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6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1.xml" ContentType="application/vnd.openxmlformats-officedocument.spreadsheetml.externalLink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xl/comments3.xml" ContentType="application/vnd.openxmlformats-officedocument.spreadsheetml.comments+xml"/>
  <Override PartName="/xl/externalLinks/externalLink7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9.xml" ContentType="application/vnd.openxmlformats-officedocument.spreadsheetml.externalLink+xml"/>
  <Override PartName="/xl/comments1.xml" ContentType="application/vnd.openxmlformats-officedocument.spreadsheetml.comments+xml"/>
  <Override PartName="/xl/externalLinks/externalLink8.xml" ContentType="application/vnd.openxmlformats-officedocument.spreadsheetml.externalLink+xml"/>
  <Override PartName="/xl/comments2.xml" ContentType="application/vnd.openxmlformats-officedocument.spreadsheetml.comments+xml"/>
  <Override PartName="/xl/externalLinks/externalLink13.xml" ContentType="application/vnd.openxmlformats-officedocument.spreadsheetml.externalLink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his Week\4. Thursday\TG-171114 Waste Connection\"/>
    </mc:Choice>
  </mc:AlternateContent>
  <bookViews>
    <workbookView xWindow="12675" yWindow="75" windowWidth="15600" windowHeight="12075"/>
  </bookViews>
  <sheets>
    <sheet name="Regulated DF Calc" sheetId="2" r:id="rId1"/>
    <sheet name="Non-Regulated" sheetId="5" r:id="rId2"/>
    <sheet name="Proposed Rates" sheetId="3" r:id="rId3"/>
    <sheet name="Disposal" sheetId="4" r:id="rId4"/>
    <sheet name="References" sheetId="1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</externalReferences>
  <definedNames>
    <definedName name="_____________CYA1">[1]Hidden!$N$11</definedName>
    <definedName name="_____________CYA10">[1]Hidden!$E$11</definedName>
    <definedName name="_____________CYA11">[1]Hidden!$P$11</definedName>
    <definedName name="_____________CYA2">[1]Hidden!$M$11</definedName>
    <definedName name="_____________CYA3">[1]Hidden!$L$11</definedName>
    <definedName name="_____________CYA4">[1]Hidden!$K$11</definedName>
    <definedName name="_____________CYA5">[1]Hidden!$J$11</definedName>
    <definedName name="_____________CYA6">[1]Hidden!$I$11</definedName>
    <definedName name="_____________CYA7">[1]Hidden!$H$11</definedName>
    <definedName name="_____________CYA8">[1]Hidden!$G$11</definedName>
    <definedName name="_____________CYA9">[1]Hidden!$F$11</definedName>
    <definedName name="_____________LYA12">[1]Hidden!$O$11</definedName>
    <definedName name="____________CYA1">[1]Hidden!$N$11</definedName>
    <definedName name="____________CYA10">[1]Hidden!$E$11</definedName>
    <definedName name="____________CYA11">[1]Hidden!$P$11</definedName>
    <definedName name="____________CYA2">[1]Hidden!$M$11</definedName>
    <definedName name="____________CYA3">[1]Hidden!$L$11</definedName>
    <definedName name="____________CYA4">[1]Hidden!$K$11</definedName>
    <definedName name="____________CYA5">[1]Hidden!$J$11</definedName>
    <definedName name="____________CYA6">[1]Hidden!$I$11</definedName>
    <definedName name="____________CYA7">[1]Hidden!$H$11</definedName>
    <definedName name="____________CYA8">[1]Hidden!$G$11</definedName>
    <definedName name="____________CYA9">[1]Hidden!$F$11</definedName>
    <definedName name="____________LYA12">[1]Hidden!$O$11</definedName>
    <definedName name="___________CYA1">[1]Hidden!$N$11</definedName>
    <definedName name="___________CYA10">[1]Hidden!$E$11</definedName>
    <definedName name="___________CYA11">[1]Hidden!$P$11</definedName>
    <definedName name="___________CYA2">[1]Hidden!$M$11</definedName>
    <definedName name="___________CYA3">[1]Hidden!$L$11</definedName>
    <definedName name="___________CYA4">[1]Hidden!$K$11</definedName>
    <definedName name="___________CYA5">[1]Hidden!$J$11</definedName>
    <definedName name="___________CYA6">[1]Hidden!$I$11</definedName>
    <definedName name="___________CYA7">[1]Hidden!$H$11</definedName>
    <definedName name="___________CYA8">[1]Hidden!$G$11</definedName>
    <definedName name="___________CYA9">[1]Hidden!$F$11</definedName>
    <definedName name="___________LYA12">[1]Hidden!$O$11</definedName>
    <definedName name="__________CYA1">[1]Hidden!$N$11</definedName>
    <definedName name="__________CYA10">[1]Hidden!$E$11</definedName>
    <definedName name="__________CYA11">[1]Hidden!$P$11</definedName>
    <definedName name="__________CYA2">[1]Hidden!$M$11</definedName>
    <definedName name="__________CYA3">[1]Hidden!$L$11</definedName>
    <definedName name="__________CYA4">[1]Hidden!$K$11</definedName>
    <definedName name="__________CYA5">[1]Hidden!$J$11</definedName>
    <definedName name="__________CYA6">[1]Hidden!$I$11</definedName>
    <definedName name="__________CYA7">[1]Hidden!$H$11</definedName>
    <definedName name="__________CYA8">[1]Hidden!$G$11</definedName>
    <definedName name="__________CYA9">[1]Hidden!$F$11</definedName>
    <definedName name="__________LYA12">[1]Hidden!$O$11</definedName>
    <definedName name="_________CYA1">[1]Hidden!$N$11</definedName>
    <definedName name="_________CYA10">[1]Hidden!$E$11</definedName>
    <definedName name="_________CYA11">[1]Hidden!$P$11</definedName>
    <definedName name="_________CYA2">[1]Hidden!$M$11</definedName>
    <definedName name="_________CYA3">[1]Hidden!$L$11</definedName>
    <definedName name="_________CYA4">[1]Hidden!$K$11</definedName>
    <definedName name="_________CYA5">[1]Hidden!$J$11</definedName>
    <definedName name="_________CYA6">[1]Hidden!$I$11</definedName>
    <definedName name="_________CYA7">[1]Hidden!$H$11</definedName>
    <definedName name="_________CYA8">[1]Hidden!$G$11</definedName>
    <definedName name="_________CYA9">[1]Hidden!$F$11</definedName>
    <definedName name="_________LYA12">[1]Hidden!$O$11</definedName>
    <definedName name="________CYA1">[1]Hidden!$N$11</definedName>
    <definedName name="________CYA10">[1]Hidden!$E$11</definedName>
    <definedName name="________CYA11">[1]Hidden!$P$11</definedName>
    <definedName name="________CYA2">[1]Hidden!$M$11</definedName>
    <definedName name="________CYA3">[1]Hidden!$L$11</definedName>
    <definedName name="________CYA4">[1]Hidden!$K$11</definedName>
    <definedName name="________CYA5">[1]Hidden!$J$11</definedName>
    <definedName name="________CYA6">[1]Hidden!$I$11</definedName>
    <definedName name="________CYA7">[1]Hidden!$H$11</definedName>
    <definedName name="________CYA8">[1]Hidden!$G$11</definedName>
    <definedName name="________CYA9">[1]Hidden!$F$11</definedName>
    <definedName name="________LYA12">[1]Hidden!$O$11</definedName>
    <definedName name="_______CYA1">[1]Hidden!$N$11</definedName>
    <definedName name="_______CYA10">[1]Hidden!$E$11</definedName>
    <definedName name="_______CYA11">[1]Hidden!$P$11</definedName>
    <definedName name="_______CYA2">[1]Hidden!$M$11</definedName>
    <definedName name="_______CYA3">[1]Hidden!$L$11</definedName>
    <definedName name="_______CYA4">[1]Hidden!$K$11</definedName>
    <definedName name="_______CYA5">[1]Hidden!$J$11</definedName>
    <definedName name="_______CYA6">[1]Hidden!$I$11</definedName>
    <definedName name="_______CYA7">[1]Hidden!$H$11</definedName>
    <definedName name="_______CYA8">[1]Hidden!$G$11</definedName>
    <definedName name="_______CYA9">[1]Hidden!$F$11</definedName>
    <definedName name="_______LYA12">[1]Hidden!$O$11</definedName>
    <definedName name="______CYA1">[1]Hidden!$N$11</definedName>
    <definedName name="______CYA10">[1]Hidden!$E$11</definedName>
    <definedName name="______CYA11">[1]Hidden!$P$11</definedName>
    <definedName name="______CYA2">[1]Hidden!$M$11</definedName>
    <definedName name="______CYA3">[1]Hidden!$L$11</definedName>
    <definedName name="______CYA4">[1]Hidden!$K$11</definedName>
    <definedName name="______CYA5">[1]Hidden!$J$11</definedName>
    <definedName name="______CYA6">[1]Hidden!$I$11</definedName>
    <definedName name="______CYA7">[1]Hidden!$H$11</definedName>
    <definedName name="______CYA8">[1]Hidden!$G$11</definedName>
    <definedName name="______CYA9">[1]Hidden!$F$11</definedName>
    <definedName name="______LYA12">[1]Hidden!$O$11</definedName>
    <definedName name="_____CYA1">[1]Hidden!$N$11</definedName>
    <definedName name="_____CYA10">[1]Hidden!$E$11</definedName>
    <definedName name="_____CYA11">[1]Hidden!$P$11</definedName>
    <definedName name="_____CYA2">[1]Hidden!$M$11</definedName>
    <definedName name="_____CYA3">[1]Hidden!$L$11</definedName>
    <definedName name="_____CYA4">[1]Hidden!$K$11</definedName>
    <definedName name="_____CYA5">[1]Hidden!$J$11</definedName>
    <definedName name="_____CYA6">[1]Hidden!$I$11</definedName>
    <definedName name="_____CYA7">[1]Hidden!$H$11</definedName>
    <definedName name="_____CYA8">[1]Hidden!$G$11</definedName>
    <definedName name="_____CYA9">[1]Hidden!$F$11</definedName>
    <definedName name="_____LYA12">[1]Hidden!$O$11</definedName>
    <definedName name="____CYA1">[1]Hidden!$N$11</definedName>
    <definedName name="____CYA10">[1]Hidden!$E$11</definedName>
    <definedName name="____CYA11">[1]Hidden!$P$11</definedName>
    <definedName name="____CYA2">[1]Hidden!$M$11</definedName>
    <definedName name="____CYA3">[1]Hidden!$L$11</definedName>
    <definedName name="____CYA4">[1]Hidden!$K$11</definedName>
    <definedName name="____CYA5">[1]Hidden!$J$11</definedName>
    <definedName name="____CYA6">[1]Hidden!$I$11</definedName>
    <definedName name="____CYA7">[1]Hidden!$H$11</definedName>
    <definedName name="____CYA8">[1]Hidden!$G$11</definedName>
    <definedName name="____CYA9">[1]Hidden!$F$11</definedName>
    <definedName name="____LYA12">[1]Hidden!$O$11</definedName>
    <definedName name="___CYA1">[1]Hidden!$N$11</definedName>
    <definedName name="___CYA10">[1]Hidden!$E$11</definedName>
    <definedName name="___CYA11">[1]Hidden!$P$11</definedName>
    <definedName name="___CYA2">[1]Hidden!$M$11</definedName>
    <definedName name="___CYA3">[1]Hidden!$L$11</definedName>
    <definedName name="___CYA4">[1]Hidden!$K$11</definedName>
    <definedName name="___CYA5">[1]Hidden!$J$11</definedName>
    <definedName name="___CYA6">[1]Hidden!$I$11</definedName>
    <definedName name="___CYA7">[1]Hidden!$H$11</definedName>
    <definedName name="___CYA8">[1]Hidden!$G$11</definedName>
    <definedName name="___CYA9">[1]Hidden!$F$11</definedName>
    <definedName name="___LYA12">[1]Hidden!$O$11</definedName>
    <definedName name="__CYA1">[1]Hidden!$N$11</definedName>
    <definedName name="__CYA10">[1]Hidden!$E$11</definedName>
    <definedName name="__CYA11">[1]Hidden!$P$11</definedName>
    <definedName name="__CYA2">[1]Hidden!$M$11</definedName>
    <definedName name="__CYA3">[1]Hidden!$L$11</definedName>
    <definedName name="__CYA4">[1]Hidden!$K$11</definedName>
    <definedName name="__CYA5">[1]Hidden!$J$11</definedName>
    <definedName name="__CYA6">[1]Hidden!$I$11</definedName>
    <definedName name="__CYA7">[1]Hidden!$H$11</definedName>
    <definedName name="__CYA8">[1]Hidden!$G$11</definedName>
    <definedName name="__CYA9">[1]Hidden!$F$11</definedName>
    <definedName name="__LYA12">[1]Hidden!$O$11</definedName>
    <definedName name="_123Graph_g" hidden="1">'[2]#REF'!$F$9:$F$83</definedName>
    <definedName name="_132" hidden="1">[3]XXXXXX!$B$10:$B$10</definedName>
    <definedName name="_132Graph_h" localSheetId="3" hidden="1">#REF!</definedName>
    <definedName name="_132Graph_h" localSheetId="2" hidden="1">#REF!</definedName>
    <definedName name="_132Graph_h" hidden="1">#REF!</definedName>
    <definedName name="_ACT1" localSheetId="3">[4]Hidden!#REF!</definedName>
    <definedName name="_ACT1" localSheetId="1">[5]Hidden!#REF!</definedName>
    <definedName name="_ACT1" localSheetId="2">[6]Hidden!#REF!</definedName>
    <definedName name="_ACT1">[5]Hidden!#REF!</definedName>
    <definedName name="_ACT2" localSheetId="3">[4]Hidden!#REF!</definedName>
    <definedName name="_ACT2" localSheetId="1">[5]Hidden!#REF!</definedName>
    <definedName name="_ACT2" localSheetId="2">[6]Hidden!#REF!</definedName>
    <definedName name="_ACT2">[5]Hidden!#REF!</definedName>
    <definedName name="_ACT3" localSheetId="3">[4]Hidden!#REF!</definedName>
    <definedName name="_ACT3" localSheetId="1">[5]Hidden!#REF!</definedName>
    <definedName name="_ACT3" localSheetId="2">[6]Hidden!#REF!</definedName>
    <definedName name="_ACT3">[5]Hidden!#REF!</definedName>
    <definedName name="_COS1" localSheetId="3">#REF!</definedName>
    <definedName name="_COS1" localSheetId="2">#REF!</definedName>
    <definedName name="_COS1">#REF!</definedName>
    <definedName name="_COS2" localSheetId="2">#REF!</definedName>
    <definedName name="_COS2">#REF!</definedName>
    <definedName name="_CYA1">[1]Hidden!$N$11</definedName>
    <definedName name="_CYA10">[1]Hidden!$E$11</definedName>
    <definedName name="_CYA11">[1]Hidden!$P$11</definedName>
    <definedName name="_CYA2">[1]Hidden!$M$11</definedName>
    <definedName name="_CYA3">[1]Hidden!$L$11</definedName>
    <definedName name="_CYA4">[1]Hidden!$K$11</definedName>
    <definedName name="_CYA5">[1]Hidden!$J$11</definedName>
    <definedName name="_CYA6">[1]Hidden!$I$11</definedName>
    <definedName name="_CYA7">[1]Hidden!$H$11</definedName>
    <definedName name="_CYA8">[1]Hidden!$G$11</definedName>
    <definedName name="_CYA9">[1]Hidden!$F$11</definedName>
    <definedName name="_Fill" localSheetId="3" hidden="1">#REF!</definedName>
    <definedName name="_Fill" localSheetId="2" hidden="1">#REF!</definedName>
    <definedName name="_Fill" hidden="1">#REF!</definedName>
    <definedName name="_xlnm._FilterDatabase" localSheetId="1" hidden="1">'Non-Regulated'!$A$72:$AA$72</definedName>
    <definedName name="_Key1" localSheetId="3" hidden="1">#REF!</definedName>
    <definedName name="_Key1" localSheetId="2" hidden="1">#REF!</definedName>
    <definedName name="_Key1" hidden="1">#REF!</definedName>
    <definedName name="_Key2" hidden="1">'[2]#REF'!$D$12</definedName>
    <definedName name="_key5" hidden="1">[3]XXXXXX!$H$10</definedName>
    <definedName name="_LYA12">[1]Hidden!$O$11</definedName>
    <definedName name="_max" localSheetId="3" hidden="1">#REF!</definedName>
    <definedName name="_max" localSheetId="2" hidden="1">#REF!</definedName>
    <definedName name="_max" hidden="1">#REF!</definedName>
    <definedName name="_Mon" localSheetId="2" hidden="1">#REF!</definedName>
    <definedName name="_Mon" hidden="1">#REF!</definedName>
    <definedName name="_Order1" hidden="1">255</definedName>
    <definedName name="_Order2" hidden="1">255</definedName>
    <definedName name="_Order3" hidden="1">0</definedName>
    <definedName name="_Sort" localSheetId="3" hidden="1">#REF!</definedName>
    <definedName name="_Sort" localSheetId="2" hidden="1">#REF!</definedName>
    <definedName name="_Sort" hidden="1">#REF!</definedName>
    <definedName name="_Sort1" hidden="1">'[2]#REF'!$A$10:$Z$281</definedName>
    <definedName name="_sort3" hidden="1">[3]XXXXXX!$G$10:$J$11</definedName>
    <definedName name="Accounts" localSheetId="3">#REF!</definedName>
    <definedName name="Accounts">#REF!</definedName>
    <definedName name="ACCT" localSheetId="3">[1]Hidden!$D$11</definedName>
    <definedName name="ACCT" localSheetId="1">[5]Hidden!#REF!</definedName>
    <definedName name="ACCT" localSheetId="2">[6]Hidden!#REF!</definedName>
    <definedName name="ACCT">[5]Hidden!#REF!</definedName>
    <definedName name="ACCT.ConsolSum">[1]Hidden!$Q$11</definedName>
    <definedName name="ACT_CUR" localSheetId="3">[4]Hidden!#REF!</definedName>
    <definedName name="ACT_CUR" localSheetId="1">[5]Hidden!#REF!</definedName>
    <definedName name="ACT_CUR" localSheetId="2">[6]Hidden!#REF!</definedName>
    <definedName name="ACT_CUR">[5]Hidden!#REF!</definedName>
    <definedName name="ACT_YTD" localSheetId="3">[4]Hidden!#REF!</definedName>
    <definedName name="ACT_YTD" localSheetId="1">[5]Hidden!#REF!</definedName>
    <definedName name="ACT_YTD" localSheetId="2">[6]Hidden!#REF!</definedName>
    <definedName name="ACT_YTD">[5]Hidden!#REF!</definedName>
    <definedName name="AmountCount" localSheetId="3">#REF!</definedName>
    <definedName name="AmountCount" localSheetId="1">#REF!</definedName>
    <definedName name="AmountCount" localSheetId="2">#REF!</definedName>
    <definedName name="AmountCount">#REF!</definedName>
    <definedName name="AmountCount1" localSheetId="3">#REF!</definedName>
    <definedName name="AmountCount1">#REF!</definedName>
    <definedName name="AmountFrom" localSheetId="3">#REF!</definedName>
    <definedName name="AmountFrom">#REF!</definedName>
    <definedName name="AmountTo" localSheetId="3">#REF!</definedName>
    <definedName name="AmountTo">#REF!</definedName>
    <definedName name="AmountTotal" localSheetId="1">#REF!</definedName>
    <definedName name="AmountTotal" localSheetId="2">#REF!</definedName>
    <definedName name="AmountTotal">#REF!</definedName>
    <definedName name="AmountTotal1">#REF!</definedName>
    <definedName name="BookRev" localSheetId="3">'[7]Pacific Regulated - Price Out'!$F$50</definedName>
    <definedName name="BookRev" localSheetId="2">'[8]Pacific Regulated - Price Out'!$F$50</definedName>
    <definedName name="BookRev">'[9]Pacific Regulated - Price Out'!$F$50</definedName>
    <definedName name="BookRev_com" localSheetId="3">'[7]Pacific Regulated - Price Out'!$F$214</definedName>
    <definedName name="BookRev_com" localSheetId="2">'[8]Pacific Regulated - Price Out'!$F$214</definedName>
    <definedName name="BookRev_com">'[9]Pacific Regulated - Price Out'!$F$214</definedName>
    <definedName name="BookRev_mfr" localSheetId="3">'[7]Pacific Regulated - Price Out'!$F$222</definedName>
    <definedName name="BookRev_mfr" localSheetId="2">'[8]Pacific Regulated - Price Out'!$F$222</definedName>
    <definedName name="BookRev_mfr">'[9]Pacific Regulated - Price Out'!$F$222</definedName>
    <definedName name="BookRev_ro" localSheetId="3">'[7]Pacific Regulated - Price Out'!$F$282</definedName>
    <definedName name="BookRev_ro" localSheetId="2">'[8]Pacific Regulated - Price Out'!$F$282</definedName>
    <definedName name="BookRev_ro">'[9]Pacific Regulated - Price Out'!$F$282</definedName>
    <definedName name="BookRev_rr" localSheetId="3">'[7]Pacific Regulated - Price Out'!$F$59</definedName>
    <definedName name="BookRev_rr" localSheetId="2">'[8]Pacific Regulated - Price Out'!$F$59</definedName>
    <definedName name="BookRev_rr">'[9]Pacific Regulated - Price Out'!$F$59</definedName>
    <definedName name="BookRev_yw" localSheetId="3">'[7]Pacific Regulated - Price Out'!$F$70</definedName>
    <definedName name="BookRev_yw" localSheetId="2">'[8]Pacific Regulated - Price Out'!$F$70</definedName>
    <definedName name="BookRev_yw">'[9]Pacific Regulated - Price Out'!$F$70</definedName>
    <definedName name="BREMAIR_COST_of_SERVICE_STUDY" localSheetId="3">#REF!</definedName>
    <definedName name="BREMAIR_COST_of_SERVICE_STUDY" localSheetId="1">#REF!</definedName>
    <definedName name="BREMAIR_COST_of_SERVICE_STUDY" localSheetId="2">#REF!</definedName>
    <definedName name="BREMAIR_COST_of_SERVICE_STUDY">#REF!</definedName>
    <definedName name="BUD_CUR" localSheetId="3">[4]Hidden!#REF!</definedName>
    <definedName name="BUD_CUR" localSheetId="1">[5]Hidden!#REF!</definedName>
    <definedName name="BUD_CUR" localSheetId="2">[6]Hidden!#REF!</definedName>
    <definedName name="BUD_CUR">[5]Hidden!#REF!</definedName>
    <definedName name="BUD_YTD" localSheetId="3">[4]Hidden!#REF!</definedName>
    <definedName name="BUD_YTD" localSheetId="1">[5]Hidden!#REF!</definedName>
    <definedName name="BUD_YTD" localSheetId="2">[6]Hidden!#REF!</definedName>
    <definedName name="BUD_YTD">[5]Hidden!#REF!</definedName>
    <definedName name="CalRecyTons" localSheetId="3">'[10]Recycl Tons, Commodity Value'!$L$23</definedName>
    <definedName name="CalRecyTons" localSheetId="2">'[11]Recycl Tons, Commodity Value'!$L$23</definedName>
    <definedName name="CalRecyTons">'[12]Recycl Tons, Commodity Value'!$L$23</definedName>
    <definedName name="CheckTotals" localSheetId="3">#REF!</definedName>
    <definedName name="CheckTotals" localSheetId="1">#REF!</definedName>
    <definedName name="CheckTotals" localSheetId="2">#REF!</definedName>
    <definedName name="CheckTotals">#REF!</definedName>
    <definedName name="colgroup">[1]Orientation!$G$6</definedName>
    <definedName name="colsegment">[1]Orientation!$F$6</definedName>
    <definedName name="CommlStaffPriceOut" localSheetId="3">'[13]Price Out-Reg EASTSIDE-Resi'!#REF!</definedName>
    <definedName name="CommlStaffPriceOut" localSheetId="2">'[13]Price Out-Reg EASTSIDE-Resi'!#REF!</definedName>
    <definedName name="CommlStaffPriceOut">'[13]Price Out-Reg EASTSIDE-Resi'!#REF!</definedName>
    <definedName name="CRCTable" localSheetId="3">#REF!</definedName>
    <definedName name="CRCTable" localSheetId="1">#REF!</definedName>
    <definedName name="CRCTable" localSheetId="2">#REF!</definedName>
    <definedName name="CRCTable">#REF!</definedName>
    <definedName name="CRCTableOLD" localSheetId="1">#REF!</definedName>
    <definedName name="CRCTableOLD" localSheetId="2">#REF!</definedName>
    <definedName name="CRCTableOLD">#REF!</definedName>
    <definedName name="CriteriaType">[14]ControlPanel!$Z$2:$Z$5</definedName>
    <definedName name="CurrentMonth" localSheetId="3">'[15]JE Query'!$J$8</definedName>
    <definedName name="CurrentMonth">'[16]38000 Other Rev'!$H$8</definedName>
    <definedName name="Cutomers" localSheetId="3">#REF!</definedName>
    <definedName name="Cutomers" localSheetId="1">#REF!</definedName>
    <definedName name="Cutomers" localSheetId="2">#REF!</definedName>
    <definedName name="Cutomers">#REF!</definedName>
    <definedName name="_xlnm.Database" localSheetId="3">#REF!</definedName>
    <definedName name="_xlnm.Database" localSheetId="1">#REF!</definedName>
    <definedName name="_xlnm.Database" localSheetId="2">#REF!</definedName>
    <definedName name="_xlnm.Database">#REF!</definedName>
    <definedName name="Database1" localSheetId="1">#REF!</definedName>
    <definedName name="Database1" localSheetId="2">#REF!</definedName>
    <definedName name="Database1">#REF!</definedName>
    <definedName name="DateFrom" localSheetId="3">'[15]JE Query'!$I$12</definedName>
    <definedName name="DateFrom">'[16]38000 Other Rev'!$G$12</definedName>
    <definedName name="DateTo" localSheetId="3">'[15]JE Query'!$I$13</definedName>
    <definedName name="DateTo">'[16]38000 Other Rev'!$G$13</definedName>
    <definedName name="DBxStaffPriceOut" localSheetId="3">'[13]Price Out-Reg EASTSIDE-Resi'!#REF!</definedName>
    <definedName name="DBxStaffPriceOut" localSheetId="2">'[13]Price Out-Reg EASTSIDE-Resi'!#REF!</definedName>
    <definedName name="DBxStaffPriceOut">'[13]Price Out-Reg EASTSIDE-Resi'!#REF!</definedName>
    <definedName name="DEPT" localSheetId="3">[4]Hidden!#REF!</definedName>
    <definedName name="DEPT" localSheetId="1">[5]Hidden!#REF!</definedName>
    <definedName name="DEPT" localSheetId="2">[6]Hidden!#REF!</definedName>
    <definedName name="DEPT">[5]Hidden!#REF!</definedName>
    <definedName name="Dist" localSheetId="2">[17]Data!$E$3</definedName>
    <definedName name="Dist">[18]Data!$E$3</definedName>
    <definedName name="District" localSheetId="3">'[19]Yakima BS'!#REF!</definedName>
    <definedName name="District" localSheetId="1">'[20]Vashon BS'!#REF!</definedName>
    <definedName name="District" localSheetId="2">'[21]Vashon BS'!#REF!</definedName>
    <definedName name="District">'[20]Vashon BS'!#REF!</definedName>
    <definedName name="DistrictNum" localSheetId="3">#REF!</definedName>
    <definedName name="DistrictNum" localSheetId="1">#REF!</definedName>
    <definedName name="DistrictNum" localSheetId="2">#REF!</definedName>
    <definedName name="DistrictNum">#REF!</definedName>
    <definedName name="Districts" localSheetId="3">#REF!</definedName>
    <definedName name="Districts">#REF!</definedName>
    <definedName name="dOG" localSheetId="2">#REF!</definedName>
    <definedName name="dOG">#REF!</definedName>
    <definedName name="drlFilter">[1]Settings!$D$27</definedName>
    <definedName name="End" localSheetId="3">#REF!</definedName>
    <definedName name="End" localSheetId="1">#REF!</definedName>
    <definedName name="End" localSheetId="2">#REF!</definedName>
    <definedName name="End">#REF!</definedName>
    <definedName name="EntrieShownLimit" localSheetId="3">'[15]JE Query'!$D$6</definedName>
    <definedName name="EntrieShownLimit">'[16]38000 Other Rev'!$D$6</definedName>
    <definedName name="ExcludeIC" localSheetId="3">'[19]Yakima BS'!#REF!</definedName>
    <definedName name="ExcludeIC" localSheetId="1">'[20]Vashon BS'!#REF!</definedName>
    <definedName name="ExcludeIC" localSheetId="2">'[22]2009 BS'!#REF!</definedName>
    <definedName name="ExcludeIC">'[20]Vashon BS'!#REF!</definedName>
    <definedName name="EXT" localSheetId="3">#REF!</definedName>
    <definedName name="EXT" localSheetId="2">#REF!</definedName>
    <definedName name="EXT">#REF!</definedName>
    <definedName name="FBTable" localSheetId="1">#REF!</definedName>
    <definedName name="FBTable" localSheetId="2">#REF!</definedName>
    <definedName name="FBTable">#REF!</definedName>
    <definedName name="FBTableOld" localSheetId="1">#REF!</definedName>
    <definedName name="FBTableOld" localSheetId="2">#REF!</definedName>
    <definedName name="FBTableOld">#REF!</definedName>
    <definedName name="filter">[1]Settings!$B$14:$H$25</definedName>
    <definedName name="FromMonth" localSheetId="3">#REF!</definedName>
    <definedName name="FromMonth">#REF!</definedName>
    <definedName name="FundsApprPend" localSheetId="3">[18]Data!#REF!</definedName>
    <definedName name="FundsApprPend" localSheetId="2">[17]Data!#REF!</definedName>
    <definedName name="FundsApprPend">[18]Data!#REF!</definedName>
    <definedName name="FundsBudUnbud" localSheetId="2">[17]Data!#REF!</definedName>
    <definedName name="FundsBudUnbud">[18]Data!#REF!</definedName>
    <definedName name="GLMappingStart" localSheetId="3">#REF!</definedName>
    <definedName name="GLMappingStart" localSheetId="1">#REF!</definedName>
    <definedName name="GLMappingStart" localSheetId="2">#REF!</definedName>
    <definedName name="GLMappingStart">#REF!</definedName>
    <definedName name="GLMappingStart1" localSheetId="3">#REF!</definedName>
    <definedName name="GLMappingStart1">#REF!</definedName>
    <definedName name="Import_Range" localSheetId="3">[18]Data!#REF!</definedName>
    <definedName name="Import_Range" localSheetId="2">[17]Data!#REF!</definedName>
    <definedName name="Import_Range">[18]Data!#REF!</definedName>
    <definedName name="IncomeStmnt" localSheetId="3">#REF!</definedName>
    <definedName name="IncomeStmnt" localSheetId="1">#REF!</definedName>
    <definedName name="IncomeStmnt" localSheetId="2">#REF!</definedName>
    <definedName name="IncomeStmnt">#REF!</definedName>
    <definedName name="INPUT" localSheetId="1">#REF!</definedName>
    <definedName name="INPUT" localSheetId="2">#REF!</definedName>
    <definedName name="INPUT">#REF!</definedName>
    <definedName name="Insurance" localSheetId="2">#REF!</definedName>
    <definedName name="Insurance">#REF!</definedName>
    <definedName name="Interject_LastPulledValues_BalanceRange">#REF!</definedName>
    <definedName name="Interject_LastPulledValues_DescriptionRange">#REF!</definedName>
    <definedName name="Interject_LastPulledValues_LastChangeGUID">#REF!</definedName>
    <definedName name="Interject_LastPulledValues_PreviousLastChangeGUID">#REF!</definedName>
    <definedName name="Invoice_Start" localSheetId="3">[18]Invoice_Drill!#REF!</definedName>
    <definedName name="Invoice_Start" localSheetId="2">[17]Invoice_Drill!#REF!</definedName>
    <definedName name="Invoice_Start">[18]Invoice_Drill!#REF!</definedName>
    <definedName name="JEDetail" localSheetId="3">#REF!</definedName>
    <definedName name="JEDetail" localSheetId="1">#REF!</definedName>
    <definedName name="JEDetail" localSheetId="2">#REF!</definedName>
    <definedName name="JEDetail">#REF!</definedName>
    <definedName name="JEDetail1" localSheetId="3">#REF!</definedName>
    <definedName name="JEDetail1">#REF!</definedName>
    <definedName name="JEType" localSheetId="2">#REF!</definedName>
    <definedName name="JEType">#REF!</definedName>
    <definedName name="JEType1">#REF!</definedName>
    <definedName name="lblBillAreaStatus" localSheetId="2">#REF!</definedName>
    <definedName name="lblBillAreaStatus">#REF!</definedName>
    <definedName name="lblBillCycleStatus" localSheetId="2">#REF!</definedName>
    <definedName name="lblBillCycleStatus">#REF!</definedName>
    <definedName name="lblCategoryStatus" localSheetId="2">#REF!</definedName>
    <definedName name="lblCategoryStatus">#REF!</definedName>
    <definedName name="lblCompanyStatus" localSheetId="2">#REF!</definedName>
    <definedName name="lblCompanyStatus">#REF!</definedName>
    <definedName name="lblDatabaseStatus" localSheetId="2">#REF!</definedName>
    <definedName name="lblDatabaseStatus">#REF!</definedName>
    <definedName name="lblPullStatus" localSheetId="2">#REF!</definedName>
    <definedName name="lblPullStatus">#REF!</definedName>
    <definedName name="lllllllllllllllllllll" localSheetId="2">#REF!</definedName>
    <definedName name="lllllllllllllllllllll">#REF!</definedName>
    <definedName name="MainDataEnd" localSheetId="2">#REF!</definedName>
    <definedName name="MainDataEnd">#REF!</definedName>
    <definedName name="MainDataStart" localSheetId="2">#REF!</definedName>
    <definedName name="MainDataStart">#REF!</definedName>
    <definedName name="MapKeyStart" localSheetId="2">#REF!</definedName>
    <definedName name="MapKeyStart">#REF!</definedName>
    <definedName name="master_def" localSheetId="3">#REF!</definedName>
    <definedName name="master_def" localSheetId="2">#REF!</definedName>
    <definedName name="master_def">#REF!</definedName>
    <definedName name="MATRIX" localSheetId="2">#REF!</definedName>
    <definedName name="MATRIX">#REF!</definedName>
    <definedName name="MemoAttachment" localSheetId="2">#REF!</definedName>
    <definedName name="MemoAttachment">#REF!</definedName>
    <definedName name="MetaSet">[1]Orientation!$C$22</definedName>
    <definedName name="MFStaffPriceOut" localSheetId="3">'[13]Price Out-Reg EASTSIDE-Resi'!#REF!</definedName>
    <definedName name="MFStaffPriceOut" localSheetId="2">'[13]Price Out-Reg EASTSIDE-Resi'!#REF!</definedName>
    <definedName name="MFStaffPriceOut">'[13]Price Out-Reg EASTSIDE-Resi'!#REF!</definedName>
    <definedName name="MonthList" localSheetId="2">'[17]Lookup Tables'!$A$1:$A$13</definedName>
    <definedName name="MonthList">'[18]Lookup Tables'!$A$1:$A$13</definedName>
    <definedName name="NewOnlyOrg">#N/A</definedName>
    <definedName name="nn" localSheetId="3">#REF!</definedName>
    <definedName name="nn" localSheetId="2">#REF!</definedName>
    <definedName name="nn">#REF!</definedName>
    <definedName name="NOTES" localSheetId="1">#REF!</definedName>
    <definedName name="NOTES" localSheetId="2">#REF!</definedName>
    <definedName name="NOTES">#REF!</definedName>
    <definedName name="NR" localSheetId="1">#REF!</definedName>
    <definedName name="NR" localSheetId="2">#REF!</definedName>
    <definedName name="NR">#REF!</definedName>
    <definedName name="OfficerSalary">#N/A</definedName>
    <definedName name="OffsetAcctBil">[23]JEexport!$L$10</definedName>
    <definedName name="OffsetAcctPmt">[23]JEexport!$L$9</definedName>
    <definedName name="Org11_13">#N/A</definedName>
    <definedName name="Org7_10">#N/A</definedName>
    <definedName name="p" localSheetId="3">#REF!</definedName>
    <definedName name="p" localSheetId="1">#REF!</definedName>
    <definedName name="p" localSheetId="2">#REF!</definedName>
    <definedName name="p">#REF!</definedName>
    <definedName name="PAGE_1" localSheetId="1">#REF!</definedName>
    <definedName name="PAGE_1" localSheetId="2">#REF!</definedName>
    <definedName name="PAGE_1">#REF!</definedName>
    <definedName name="Page16" localSheetId="2">#REF!</definedName>
    <definedName name="Page16">#REF!</definedName>
    <definedName name="Page17" localSheetId="2">#REF!</definedName>
    <definedName name="Page17">#REF!</definedName>
    <definedName name="Page18" localSheetId="2">#REF!</definedName>
    <definedName name="Page18">#REF!</definedName>
    <definedName name="Page7a" localSheetId="2">#REF!</definedName>
    <definedName name="Page7a">#REF!</definedName>
    <definedName name="pBatchID" localSheetId="1">#REF!</definedName>
    <definedName name="pBatchID" localSheetId="2">#REF!</definedName>
    <definedName name="pBatchID">#REF!</definedName>
    <definedName name="pBillArea" localSheetId="2">#REF!</definedName>
    <definedName name="pBillArea">#REF!</definedName>
    <definedName name="pBillCycle" localSheetId="2">#REF!</definedName>
    <definedName name="pBillCycle">#REF!</definedName>
    <definedName name="pCategory" localSheetId="2">#REF!</definedName>
    <definedName name="pCategory">#REF!</definedName>
    <definedName name="pCompany" localSheetId="2">#REF!</definedName>
    <definedName name="pCompany">#REF!</definedName>
    <definedName name="pCustomerNumber" localSheetId="2">#REF!</definedName>
    <definedName name="pCustomerNumber">#REF!</definedName>
    <definedName name="pDatabase" localSheetId="2">#REF!</definedName>
    <definedName name="pDatabase">#REF!</definedName>
    <definedName name="pEndPostDate" localSheetId="2">#REF!</definedName>
    <definedName name="pEndPostDate">#REF!</definedName>
    <definedName name="Period" localSheetId="2">#REF!</definedName>
    <definedName name="Period">#REF!</definedName>
    <definedName name="pMonth" localSheetId="2">#REF!</definedName>
    <definedName name="pMonth">#REF!</definedName>
    <definedName name="pOnlyShowLastTranx" localSheetId="2">#REF!</definedName>
    <definedName name="pOnlyShowLastTranx">#REF!</definedName>
    <definedName name="Posting" localSheetId="3">#REF!</definedName>
    <definedName name="Posting">#REF!</definedName>
    <definedName name="primtbl">[1]Orientation!$C$23</definedName>
    <definedName name="_xlnm.Print_Area" localSheetId="3">#REF!</definedName>
    <definedName name="_xlnm.Print_Area" localSheetId="1">'Non-Regulated'!$A$1:$AA$210</definedName>
    <definedName name="_xlnm.Print_Area" localSheetId="2">'Proposed Rates'!$A$1:$I$141</definedName>
    <definedName name="_xlnm.Print_Area" localSheetId="4">References!$A$5:$I$79</definedName>
    <definedName name="_xlnm.Print_Area" localSheetId="0">'Regulated DF Calc'!$A$1:$U$105,'Regulated DF Calc'!$I$106:$O$129</definedName>
    <definedName name="_xlnm.Print_Area">#REF!</definedName>
    <definedName name="Print_Area_MI" localSheetId="3">#REF!</definedName>
    <definedName name="Print_Area_MI" localSheetId="1">#REF!</definedName>
    <definedName name="Print_Area_MI" localSheetId="2">#REF!</definedName>
    <definedName name="Print_Area_MI">#REF!</definedName>
    <definedName name="Print_Area1" localSheetId="1">#REF!</definedName>
    <definedName name="Print_Area1" localSheetId="2">#REF!</definedName>
    <definedName name="Print_Area1">#REF!</definedName>
    <definedName name="Print_Area2" localSheetId="2">#REF!</definedName>
    <definedName name="Print_Area2">#REF!</definedName>
    <definedName name="Print_Area3" localSheetId="2">#REF!</definedName>
    <definedName name="Print_Area3">#REF!</definedName>
    <definedName name="Print_Area5" localSheetId="2">#REF!</definedName>
    <definedName name="Print_Area5">#REF!</definedName>
    <definedName name="_xlnm.Print_Titles" localSheetId="1">'Non-Regulated'!$A:$B,'Non-Regulated'!$6:$9</definedName>
    <definedName name="_xlnm.Print_Titles" localSheetId="2">'Proposed Rates'!$6:$9</definedName>
    <definedName name="_xlnm.Print_Titles" localSheetId="0">'Regulated DF Calc'!$A:$B,'Regulated DF Calc'!$6:$7</definedName>
    <definedName name="Print1" localSheetId="3">#REF!</definedName>
    <definedName name="Print1" localSheetId="1">#REF!</definedName>
    <definedName name="Print1" localSheetId="2">#REF!</definedName>
    <definedName name="Print1">#REF!</definedName>
    <definedName name="Print2" localSheetId="2">#REF!</definedName>
    <definedName name="Print2">#REF!</definedName>
    <definedName name="Print5" localSheetId="2">#REF!</definedName>
    <definedName name="Print5">#REF!</definedName>
    <definedName name="ProRev" localSheetId="3">'[7]Pacific Regulated - Price Out'!$M$49</definedName>
    <definedName name="ProRev" localSheetId="2">'[8]Pacific Regulated - Price Out'!$M$49</definedName>
    <definedName name="ProRev">'[9]Pacific Regulated - Price Out'!$M$49</definedName>
    <definedName name="ProRev_com" localSheetId="3">'[7]Pacific Regulated - Price Out'!$M$213</definedName>
    <definedName name="ProRev_com" localSheetId="2">'[8]Pacific Regulated - Price Out'!$M$213</definedName>
    <definedName name="ProRev_com">'[9]Pacific Regulated - Price Out'!$M$213</definedName>
    <definedName name="ProRev_mfr" localSheetId="3">'[7]Pacific Regulated - Price Out'!$M$221</definedName>
    <definedName name="ProRev_mfr" localSheetId="2">'[8]Pacific Regulated - Price Out'!$M$221</definedName>
    <definedName name="ProRev_mfr">'[9]Pacific Regulated - Price Out'!$M$221</definedName>
    <definedName name="ProRev_ro" localSheetId="3">'[7]Pacific Regulated - Price Out'!$M$281</definedName>
    <definedName name="ProRev_ro" localSheetId="2">'[8]Pacific Regulated - Price Out'!$M$281</definedName>
    <definedName name="ProRev_ro">'[9]Pacific Regulated - Price Out'!$M$281</definedName>
    <definedName name="ProRev_rr" localSheetId="3">'[7]Pacific Regulated - Price Out'!$M$58</definedName>
    <definedName name="ProRev_rr" localSheetId="2">'[8]Pacific Regulated - Price Out'!$M$58</definedName>
    <definedName name="ProRev_rr">'[9]Pacific Regulated - Price Out'!$M$58</definedName>
    <definedName name="ProRev_yw" localSheetId="3">'[7]Pacific Regulated - Price Out'!$M$69</definedName>
    <definedName name="ProRev_yw" localSheetId="2">'[8]Pacific Regulated - Price Out'!$M$69</definedName>
    <definedName name="ProRev_yw">'[9]Pacific Regulated - Price Out'!$M$69</definedName>
    <definedName name="pServer" localSheetId="3">#REF!</definedName>
    <definedName name="pServer" localSheetId="1">#REF!</definedName>
    <definedName name="pServer" localSheetId="2">#REF!</definedName>
    <definedName name="pServer">#REF!</definedName>
    <definedName name="pServiceCode" localSheetId="1">#REF!</definedName>
    <definedName name="pServiceCode" localSheetId="2">#REF!</definedName>
    <definedName name="pServiceCode">#REF!</definedName>
    <definedName name="pShowAllUnposted" localSheetId="1">#REF!</definedName>
    <definedName name="pShowAllUnposted" localSheetId="2">#REF!</definedName>
    <definedName name="pShowAllUnposted">#REF!</definedName>
    <definedName name="pShowCustomerDetail" localSheetId="2">#REF!</definedName>
    <definedName name="pShowCustomerDetail">#REF!</definedName>
    <definedName name="pSortOption" localSheetId="2">#REF!</definedName>
    <definedName name="pSortOption">#REF!</definedName>
    <definedName name="pStartPostDate" localSheetId="2">#REF!</definedName>
    <definedName name="pStartPostDate">#REF!</definedName>
    <definedName name="pTransType" localSheetId="2">#REF!</definedName>
    <definedName name="pTransType">#REF!</definedName>
    <definedName name="RCW_81.04.080">#N/A</definedName>
    <definedName name="RecyDisposal">#N/A</definedName>
    <definedName name="Reg_Cust_Billed_Percent" localSheetId="2">'[24]Consolidated IS 2009 2010'!$AK$20</definedName>
    <definedName name="Reg_Cust_Billed_Percent">'[25]Consolidated IS 2009 2010'!$AK$20</definedName>
    <definedName name="Reg_Cust_Percent" localSheetId="2">'[24]Consolidated IS 2009 2010'!$AC$20</definedName>
    <definedName name="Reg_Cust_Percent">'[25]Consolidated IS 2009 2010'!$AC$20</definedName>
    <definedName name="Reg_Drive_Percent" localSheetId="2">'[24]Consolidated IS 2009 2010'!$AC$40</definedName>
    <definedName name="Reg_Drive_Percent">'[25]Consolidated IS 2009 2010'!$AC$40</definedName>
    <definedName name="Reg_Haul_Rev_Percent" localSheetId="2">'[24]Consolidated IS 2009 2010'!$Z$18</definedName>
    <definedName name="Reg_Haul_Rev_Percent">'[25]Consolidated IS 2009 2010'!$Z$18</definedName>
    <definedName name="Reg_Lab_Percent" localSheetId="2">'[24]Consolidated IS 2009 2010'!$AC$39</definedName>
    <definedName name="Reg_Lab_Percent">'[25]Consolidated IS 2009 2010'!$AC$39</definedName>
    <definedName name="Reg_Steel_Cont_Percent" localSheetId="2">'[24]Consolidated IS 2009 2010'!$AE$120</definedName>
    <definedName name="Reg_Steel_Cont_Percent">'[25]Consolidated IS 2009 2010'!$AE$120</definedName>
    <definedName name="RegulatedIS" localSheetId="2">'[24]2009 IS'!$A$12:$Q$655</definedName>
    <definedName name="RegulatedIS">'[25]2009 IS'!$A$12:$Q$655</definedName>
    <definedName name="RelatedSalary">#N/A</definedName>
    <definedName name="report_type">[1]Orientation!$C$24</definedName>
    <definedName name="ReportNames">[26]ControlPanel!$S$2:$S$16</definedName>
    <definedName name="ReportVersion">[1]Settings!$D$5</definedName>
    <definedName name="ReslStaffPriceOut" localSheetId="3">'[13]Price Out-Reg EASTSIDE-Resi'!#REF!</definedName>
    <definedName name="ReslStaffPriceOut" localSheetId="2">'[13]Price Out-Reg EASTSIDE-Resi'!#REF!</definedName>
    <definedName name="ReslStaffPriceOut">'[13]Price Out-Reg EASTSIDE-Resi'!#REF!</definedName>
    <definedName name="RetainedEarnings" localSheetId="3">#REF!</definedName>
    <definedName name="RetainedEarnings" localSheetId="1">#REF!</definedName>
    <definedName name="RetainedEarnings" localSheetId="2">#REF!</definedName>
    <definedName name="RetainedEarnings">#REF!</definedName>
    <definedName name="RevCust" localSheetId="3">[27]RevenuesCust!#REF!</definedName>
    <definedName name="RevCust" localSheetId="1">[28]RevenuesCust!#REF!</definedName>
    <definedName name="RevCust" localSheetId="2">[29]RevenuesCust!#REF!</definedName>
    <definedName name="RevCust">[28]RevenuesCust!#REF!</definedName>
    <definedName name="RevCustomer" localSheetId="3">#REF!</definedName>
    <definedName name="RevCustomer" localSheetId="1">#REF!</definedName>
    <definedName name="RevCustomer" localSheetId="2">#REF!</definedName>
    <definedName name="RevCustomer">#REF!</definedName>
    <definedName name="rngCreateLog">[1]Delivery!$B$12</definedName>
    <definedName name="rngFilePassword">[1]Delivery!$B$6</definedName>
    <definedName name="rngSourceTab">[1]Delivery!$E$8</definedName>
    <definedName name="rowgroup">[1]Orientation!$C$17</definedName>
    <definedName name="rowsegment">[1]Orientation!$B$17</definedName>
    <definedName name="Sequential_Group">[1]Settings!$J$6</definedName>
    <definedName name="Sequential_Segment">[1]Settings!$I$6</definedName>
    <definedName name="Sequential_sort">[1]Settings!$I$10:$J$11</definedName>
    <definedName name="sortcol" localSheetId="3">#REF!</definedName>
    <definedName name="sortcol" localSheetId="1">#REF!</definedName>
    <definedName name="sortcol" localSheetId="2">#REF!</definedName>
    <definedName name="sortcol">#REF!</definedName>
    <definedName name="sSRCDate" localSheetId="3">'[30]Feb''12 FAR Data'!#REF!</definedName>
    <definedName name="sSRCDate" localSheetId="1">'[31]Feb''12 FAR Data'!#REF!</definedName>
    <definedName name="sSRCDate" localSheetId="2">'[32]Feb''12 FAR Data'!#REF!</definedName>
    <definedName name="sSRCDate">'[31]Feb''12 FAR Data'!#REF!</definedName>
    <definedName name="SubSystems" localSheetId="3">#REF!</definedName>
    <definedName name="SubSystems">#REF!</definedName>
    <definedName name="Supplemental_filter">[1]Settings!$C$31</definedName>
    <definedName name="SWDisposal">#N/A</definedName>
    <definedName name="System" localSheetId="3">'[19]Yakima BS'!#REF!</definedName>
    <definedName name="System" localSheetId="2">[33]BS_Close!$V$8</definedName>
    <definedName name="System">[33]BS_Close!$V$8</definedName>
    <definedName name="Systems" localSheetId="3">#REF!</definedName>
    <definedName name="Systems">#REF!</definedName>
    <definedName name="TemplateEnd" localSheetId="3">#REF!</definedName>
    <definedName name="TemplateEnd" localSheetId="1">#REF!</definedName>
    <definedName name="TemplateEnd" localSheetId="2">#REF!</definedName>
    <definedName name="TemplateEnd">#REF!</definedName>
    <definedName name="TemplateStart" localSheetId="1">#REF!</definedName>
    <definedName name="TemplateStart" localSheetId="2">#REF!</definedName>
    <definedName name="TemplateStart">#REF!</definedName>
    <definedName name="TheTable" localSheetId="1">#REF!</definedName>
    <definedName name="TheTable" localSheetId="2">#REF!</definedName>
    <definedName name="TheTable">#REF!</definedName>
    <definedName name="TheTableOLD" localSheetId="2">#REF!</definedName>
    <definedName name="TheTableOLD">#REF!</definedName>
    <definedName name="timeseries">[1]Orientation!$B$6:$C$13</definedName>
    <definedName name="ToMonth" localSheetId="3">#REF!</definedName>
    <definedName name="ToMonth">#REF!</definedName>
    <definedName name="Tons" localSheetId="3">#REF!</definedName>
    <definedName name="Tons" localSheetId="2">#REF!</definedName>
    <definedName name="Tons">#REF!</definedName>
    <definedName name="Total_Comm" localSheetId="3">'[10]Tariff Rate Sheet'!$L$214</definedName>
    <definedName name="Total_Comm" localSheetId="2">'[11]Tariff Rate Sheet'!$L$214</definedName>
    <definedName name="Total_Comm">'[12]Tariff Rate Sheet'!$L$214</definedName>
    <definedName name="Total_DB" localSheetId="3">'[10]Tariff Rate Sheet'!$L$278</definedName>
    <definedName name="Total_DB" localSheetId="2">'[11]Tariff Rate Sheet'!$L$278</definedName>
    <definedName name="Total_DB">'[12]Tariff Rate Sheet'!$L$278</definedName>
    <definedName name="Total_Resi" localSheetId="3">'[10]Tariff Rate Sheet'!$L$107</definedName>
    <definedName name="Total_Resi" localSheetId="2">'[11]Tariff Rate Sheet'!$L$107</definedName>
    <definedName name="Total_Resi">'[12]Tariff Rate Sheet'!$L$107</definedName>
    <definedName name="Transactions" localSheetId="3">#REF!</definedName>
    <definedName name="Transactions" localSheetId="1">#REF!</definedName>
    <definedName name="Transactions" localSheetId="2">#REF!</definedName>
    <definedName name="Transactions">#REF!</definedName>
    <definedName name="UnregulatedIS" localSheetId="2">'[24]2010 IS'!$A$12:$Q$654</definedName>
    <definedName name="UnregulatedIS">'[25]2010 IS'!$A$12:$Q$654</definedName>
    <definedName name="VendorCode" localSheetId="3">#REF!</definedName>
    <definedName name="VendorCode">#REF!</definedName>
    <definedName name="Version" localSheetId="3">[18]Data!#REF!</definedName>
    <definedName name="Version" localSheetId="2">[17]Data!#REF!</definedName>
    <definedName name="Version">[18]Data!#REF!</definedName>
    <definedName name="wrn.PrintReview." localSheetId="3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." localSheetId="2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.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2" localSheetId="3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2" localSheetId="2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2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nPg1_Pg11." localSheetId="3" hidden="1">{"Page1",#N/A,TRUE,"SUMM";"Page2",#N/A,TRUE,"Rev";"Page3",#N/A,TRUE,"Dir_Costs";"Page4",#N/A,TRUE,"G and A Costs";"Page5",#N/A,TRUE,"Itemize";"Page6",#N/A,TRUE,"Cust_Count1";"Page7",#N/A,TRUE,"Cust_Count2";"Page8",#N/A,TRUE,"Rev_Breakdown";"Page9",#N/A,TRUE,"Truck Hours";"Page10",#N/A,TRUE,"Labor Hours";"Page11",#N/A,TRUE,"Container Breakdown"}</definedName>
    <definedName name="wrn.PrnPg1_Pg11." localSheetId="2" hidden="1">{"Page1",#N/A,TRUE,"SUMM";"Page2",#N/A,TRUE,"Rev";"Page3",#N/A,TRUE,"Dir_Costs";"Page4",#N/A,TRUE,"G and A Costs";"Page5",#N/A,TRUE,"Itemize";"Page6",#N/A,TRUE,"Cust_Count1";"Page7",#N/A,TRUE,"Cust_Count2";"Page8",#N/A,TRUE,"Rev_Breakdown";"Page9",#N/A,TRUE,"Truck Hours";"Page10",#N/A,TRUE,"Labor Hours";"Page11",#N/A,TRUE,"Container Breakdown"}</definedName>
    <definedName name="wrn.PrnPg1_Pg11." hidden="1">{"Page1",#N/A,TRUE,"SUMM";"Page2",#N/A,TRUE,"Rev";"Page3",#N/A,TRUE,"Dir_Costs";"Page4",#N/A,TRUE,"G and A Costs";"Page5",#N/A,TRUE,"Itemize";"Page6",#N/A,TRUE,"Cust_Count1";"Page7",#N/A,TRUE,"Cust_Count2";"Page8",#N/A,TRUE,"Rev_Breakdown";"Page9",#N/A,TRUE,"Truck Hours";"Page10",#N/A,TRUE,"Labor Hours";"Page11",#N/A,TRUE,"Container Breakdown"}</definedName>
    <definedName name="wrn.test." localSheetId="3" hidden="1">{"Page1",#N/A,TRUE,"SUMM";"Page2",#N/A,TRUE,"Rev";"Page3",#N/A,TRUE,"Dir_Costs"}</definedName>
    <definedName name="wrn.test." localSheetId="2" hidden="1">{"Page1",#N/A,TRUE,"SUMM";"Page2",#N/A,TRUE,"Rev";"Page3",#N/A,TRUE,"Dir_Costs"}</definedName>
    <definedName name="wrn.test." hidden="1">{"Page1",#N/A,TRUE,"SUMM";"Page2",#N/A,TRUE,"Rev";"Page3",#N/A,TRUE,"Dir_Costs"}</definedName>
    <definedName name="WTable" localSheetId="3">#REF!</definedName>
    <definedName name="WTable" localSheetId="1">#REF!</definedName>
    <definedName name="WTable" localSheetId="2">#REF!</definedName>
    <definedName name="WTable">#REF!</definedName>
    <definedName name="WTableOld" localSheetId="1">#REF!</definedName>
    <definedName name="WTableOld" localSheetId="2">#REF!</definedName>
    <definedName name="WTableOld">#REF!</definedName>
    <definedName name="ww" localSheetId="2">#REF!</definedName>
    <definedName name="ww">#REF!</definedName>
    <definedName name="xperiod">[1]Orientation!$G$15</definedName>
    <definedName name="xtabin" localSheetId="3">[4]Hidden!#REF!</definedName>
    <definedName name="xtabin" localSheetId="1">[5]Hidden!#REF!</definedName>
    <definedName name="xtabin" localSheetId="2">[6]Hidden!#REF!</definedName>
    <definedName name="xtabin">[5]Hidden!#REF!</definedName>
    <definedName name="xx" localSheetId="3">#REF!</definedName>
    <definedName name="xx" localSheetId="1">#REF!</definedName>
    <definedName name="xx" localSheetId="2">#REF!</definedName>
    <definedName name="xx">#REF!</definedName>
    <definedName name="xxx" localSheetId="1">#REF!</definedName>
    <definedName name="xxx" localSheetId="2">#REF!</definedName>
    <definedName name="xxx">#REF!</definedName>
    <definedName name="xxxx" localSheetId="1">#REF!</definedName>
    <definedName name="xxxx" localSheetId="2">#REF!</definedName>
    <definedName name="xxxx">#REF!</definedName>
    <definedName name="YearMonth" localSheetId="3">'[19]Yakima BS'!#REF!</definedName>
    <definedName name="YearMonth" localSheetId="1">'[20]Vashon BS'!#REF!</definedName>
    <definedName name="YearMonth" localSheetId="2">'[21]Vashon BS'!#REF!</definedName>
    <definedName name="YearMonth">'[20]Vashon BS'!#REF!</definedName>
    <definedName name="YWMedWasteDisp">#N/A</definedName>
    <definedName name="yy" localSheetId="3">#REF!</definedName>
    <definedName name="yy" localSheetId="1">#REF!</definedName>
    <definedName name="yy" localSheetId="2">#REF!</definedName>
    <definedName name="yy">#REF!</definedName>
  </definedNames>
  <calcPr calcId="152511"/>
</workbook>
</file>

<file path=xl/calcChain.xml><?xml version="1.0" encoding="utf-8"?>
<calcChain xmlns="http://schemas.openxmlformats.org/spreadsheetml/2006/main">
  <c r="C53" i="1" l="1"/>
  <c r="Y73" i="5" s="1"/>
  <c r="C54" i="1"/>
  <c r="K77" i="2" s="1"/>
  <c r="C48" i="1"/>
  <c r="Y94" i="5" l="1"/>
  <c r="K70" i="2"/>
  <c r="Y188" i="5"/>
  <c r="N111" i="2"/>
  <c r="N112" i="2"/>
  <c r="N113" i="2" l="1"/>
  <c r="E28" i="2"/>
  <c r="T207" i="5" l="1"/>
  <c r="S207" i="5"/>
  <c r="Q207" i="5"/>
  <c r="P207" i="5"/>
  <c r="N207" i="5"/>
  <c r="M207" i="5"/>
  <c r="K207" i="5"/>
  <c r="J207" i="5"/>
  <c r="H207" i="5"/>
  <c r="G207" i="5"/>
  <c r="E207" i="5"/>
  <c r="D207" i="5"/>
  <c r="Y205" i="5"/>
  <c r="W205" i="5"/>
  <c r="V205" i="5"/>
  <c r="Y204" i="5"/>
  <c r="W204" i="5"/>
  <c r="V204" i="5"/>
  <c r="Y203" i="5"/>
  <c r="W203" i="5"/>
  <c r="V203" i="5"/>
  <c r="Y202" i="5"/>
  <c r="W202" i="5"/>
  <c r="V202" i="5"/>
  <c r="Y201" i="5"/>
  <c r="W201" i="5"/>
  <c r="V201" i="5"/>
  <c r="Y200" i="5"/>
  <c r="W200" i="5"/>
  <c r="V200" i="5"/>
  <c r="Y199" i="5"/>
  <c r="W199" i="5"/>
  <c r="V199" i="5"/>
  <c r="Y198" i="5"/>
  <c r="W198" i="5"/>
  <c r="V198" i="5"/>
  <c r="Y197" i="5"/>
  <c r="W197" i="5"/>
  <c r="V197" i="5"/>
  <c r="Y196" i="5"/>
  <c r="W196" i="5"/>
  <c r="V196" i="5"/>
  <c r="Y195" i="5"/>
  <c r="W195" i="5"/>
  <c r="V195" i="5"/>
  <c r="Y194" i="5"/>
  <c r="W194" i="5"/>
  <c r="V194" i="5"/>
  <c r="Y193" i="5"/>
  <c r="W193" i="5"/>
  <c r="V193" i="5"/>
  <c r="Y192" i="5"/>
  <c r="W192" i="5"/>
  <c r="V192" i="5"/>
  <c r="Y191" i="5"/>
  <c r="W191" i="5"/>
  <c r="V191" i="5"/>
  <c r="Y190" i="5"/>
  <c r="W190" i="5"/>
  <c r="V190" i="5"/>
  <c r="Y189" i="5"/>
  <c r="W189" i="5"/>
  <c r="V189" i="5"/>
  <c r="W188" i="5"/>
  <c r="V188" i="5"/>
  <c r="Y187" i="5"/>
  <c r="W187" i="5"/>
  <c r="V187" i="5"/>
  <c r="Y186" i="5"/>
  <c r="W186" i="5"/>
  <c r="X186" i="5" s="1"/>
  <c r="V186" i="5"/>
  <c r="Y185" i="5"/>
  <c r="W185" i="5"/>
  <c r="V185" i="5"/>
  <c r="Y184" i="5"/>
  <c r="W184" i="5"/>
  <c r="V184" i="5"/>
  <c r="Y183" i="5"/>
  <c r="W183" i="5"/>
  <c r="V183" i="5"/>
  <c r="Y182" i="5"/>
  <c r="W182" i="5"/>
  <c r="X182" i="5" s="1"/>
  <c r="V182" i="5"/>
  <c r="Y181" i="5"/>
  <c r="W181" i="5"/>
  <c r="V181" i="5"/>
  <c r="Y180" i="5"/>
  <c r="W180" i="5"/>
  <c r="V180" i="5"/>
  <c r="Y179" i="5"/>
  <c r="W179" i="5"/>
  <c r="V179" i="5"/>
  <c r="Y178" i="5"/>
  <c r="W178" i="5"/>
  <c r="X178" i="5" s="1"/>
  <c r="V178" i="5"/>
  <c r="Y177" i="5"/>
  <c r="W177" i="5"/>
  <c r="V177" i="5"/>
  <c r="Y176" i="5"/>
  <c r="W176" i="5"/>
  <c r="V176" i="5"/>
  <c r="Y175" i="5"/>
  <c r="W175" i="5"/>
  <c r="V175" i="5"/>
  <c r="Y174" i="5"/>
  <c r="W174" i="5"/>
  <c r="X174" i="5" s="1"/>
  <c r="V174" i="5"/>
  <c r="Y173" i="5"/>
  <c r="W173" i="5"/>
  <c r="V173" i="5"/>
  <c r="Y172" i="5"/>
  <c r="W172" i="5"/>
  <c r="V172" i="5"/>
  <c r="Y171" i="5"/>
  <c r="W171" i="5"/>
  <c r="V171" i="5"/>
  <c r="Y170" i="5"/>
  <c r="W170" i="5"/>
  <c r="X170" i="5" s="1"/>
  <c r="V170" i="5"/>
  <c r="Y169" i="5"/>
  <c r="W169" i="5"/>
  <c r="V169" i="5"/>
  <c r="Y168" i="5"/>
  <c r="W168" i="5"/>
  <c r="V168" i="5"/>
  <c r="Y167" i="5"/>
  <c r="W167" i="5"/>
  <c r="V167" i="5"/>
  <c r="Y166" i="5"/>
  <c r="W166" i="5"/>
  <c r="X166" i="5" s="1"/>
  <c r="V166" i="5"/>
  <c r="Y165" i="5"/>
  <c r="W165" i="5"/>
  <c r="V165" i="5"/>
  <c r="Y164" i="5"/>
  <c r="W164" i="5"/>
  <c r="V164" i="5"/>
  <c r="Y163" i="5"/>
  <c r="W163" i="5"/>
  <c r="V163" i="5"/>
  <c r="Y162" i="5"/>
  <c r="W162" i="5"/>
  <c r="X162" i="5" s="1"/>
  <c r="V162" i="5"/>
  <c r="Y161" i="5"/>
  <c r="W161" i="5"/>
  <c r="V161" i="5"/>
  <c r="Y160" i="5"/>
  <c r="W160" i="5"/>
  <c r="V160" i="5"/>
  <c r="Y159" i="5"/>
  <c r="W159" i="5"/>
  <c r="V159" i="5"/>
  <c r="Y158" i="5"/>
  <c r="W158" i="5"/>
  <c r="X158" i="5" s="1"/>
  <c r="V158" i="5"/>
  <c r="Y157" i="5"/>
  <c r="W157" i="5"/>
  <c r="V157" i="5"/>
  <c r="Y156" i="5"/>
  <c r="W156" i="5"/>
  <c r="V156" i="5"/>
  <c r="Y155" i="5"/>
  <c r="W155" i="5"/>
  <c r="V155" i="5"/>
  <c r="Y154" i="5"/>
  <c r="W154" i="5"/>
  <c r="X154" i="5" s="1"/>
  <c r="Z154" i="5" s="1"/>
  <c r="AA154" i="5" s="1"/>
  <c r="V154" i="5"/>
  <c r="Y153" i="5"/>
  <c r="W153" i="5"/>
  <c r="V153" i="5"/>
  <c r="Y152" i="5"/>
  <c r="W152" i="5"/>
  <c r="V152" i="5"/>
  <c r="Y151" i="5"/>
  <c r="W151" i="5"/>
  <c r="V151" i="5"/>
  <c r="Y150" i="5"/>
  <c r="W150" i="5"/>
  <c r="X150" i="5" s="1"/>
  <c r="Z150" i="5" s="1"/>
  <c r="AA150" i="5" s="1"/>
  <c r="V150" i="5"/>
  <c r="Y149" i="5"/>
  <c r="W149" i="5"/>
  <c r="V149" i="5"/>
  <c r="X149" i="5" s="1"/>
  <c r="Y148" i="5"/>
  <c r="W148" i="5"/>
  <c r="V148" i="5"/>
  <c r="Y147" i="5"/>
  <c r="W147" i="5"/>
  <c r="V147" i="5"/>
  <c r="Y146" i="5"/>
  <c r="W146" i="5"/>
  <c r="X146" i="5" s="1"/>
  <c r="Z146" i="5" s="1"/>
  <c r="AA146" i="5" s="1"/>
  <c r="V146" i="5"/>
  <c r="Y145" i="5"/>
  <c r="W145" i="5"/>
  <c r="V145" i="5"/>
  <c r="Y144" i="5"/>
  <c r="W144" i="5"/>
  <c r="V144" i="5"/>
  <c r="Y143" i="5"/>
  <c r="W143" i="5"/>
  <c r="V143" i="5"/>
  <c r="Y142" i="5"/>
  <c r="W142" i="5"/>
  <c r="X142" i="5" s="1"/>
  <c r="V142" i="5"/>
  <c r="Y141" i="5"/>
  <c r="W141" i="5"/>
  <c r="V141" i="5"/>
  <c r="Y140" i="5"/>
  <c r="W140" i="5"/>
  <c r="V140" i="5"/>
  <c r="Y139" i="5"/>
  <c r="W139" i="5"/>
  <c r="V139" i="5"/>
  <c r="Y138" i="5"/>
  <c r="W138" i="5"/>
  <c r="X138" i="5" s="1"/>
  <c r="V138" i="5"/>
  <c r="Y137" i="5"/>
  <c r="W137" i="5"/>
  <c r="V137" i="5"/>
  <c r="Y136" i="5"/>
  <c r="W136" i="5"/>
  <c r="V136" i="5"/>
  <c r="Y135" i="5"/>
  <c r="W135" i="5"/>
  <c r="V135" i="5"/>
  <c r="Y134" i="5"/>
  <c r="W134" i="5"/>
  <c r="X134" i="5" s="1"/>
  <c r="V134" i="5"/>
  <c r="Y133" i="5"/>
  <c r="W133" i="5"/>
  <c r="V133" i="5"/>
  <c r="Y132" i="5"/>
  <c r="W132" i="5"/>
  <c r="V132" i="5"/>
  <c r="Y131" i="5"/>
  <c r="W131" i="5"/>
  <c r="V131" i="5"/>
  <c r="Y130" i="5"/>
  <c r="W130" i="5"/>
  <c r="X130" i="5" s="1"/>
  <c r="V130" i="5"/>
  <c r="Y129" i="5"/>
  <c r="W129" i="5"/>
  <c r="V129" i="5"/>
  <c r="Y128" i="5"/>
  <c r="W128" i="5"/>
  <c r="V128" i="5"/>
  <c r="Y127" i="5"/>
  <c r="W127" i="5"/>
  <c r="V127" i="5"/>
  <c r="Y126" i="5"/>
  <c r="W126" i="5"/>
  <c r="X126" i="5" s="1"/>
  <c r="V126" i="5"/>
  <c r="Y125" i="5"/>
  <c r="W125" i="5"/>
  <c r="V125" i="5"/>
  <c r="Y124" i="5"/>
  <c r="W124" i="5"/>
  <c r="V124" i="5"/>
  <c r="Y123" i="5"/>
  <c r="W123" i="5"/>
  <c r="V123" i="5"/>
  <c r="Y122" i="5"/>
  <c r="W122" i="5"/>
  <c r="V122" i="5"/>
  <c r="Y121" i="5"/>
  <c r="W121" i="5"/>
  <c r="V121" i="5"/>
  <c r="Y120" i="5"/>
  <c r="W120" i="5"/>
  <c r="V120" i="5"/>
  <c r="Y119" i="5"/>
  <c r="W119" i="5"/>
  <c r="V119" i="5"/>
  <c r="Y118" i="5"/>
  <c r="W118" i="5"/>
  <c r="V118" i="5"/>
  <c r="Y117" i="5"/>
  <c r="W117" i="5"/>
  <c r="V117" i="5"/>
  <c r="Y116" i="5"/>
  <c r="W116" i="5"/>
  <c r="V116" i="5"/>
  <c r="Y115" i="5"/>
  <c r="W115" i="5"/>
  <c r="V115" i="5"/>
  <c r="Y114" i="5"/>
  <c r="W114" i="5"/>
  <c r="X114" i="5" s="1"/>
  <c r="V114" i="5"/>
  <c r="Y113" i="5"/>
  <c r="W113" i="5"/>
  <c r="V113" i="5"/>
  <c r="Y112" i="5"/>
  <c r="W112" i="5"/>
  <c r="V112" i="5"/>
  <c r="Y111" i="5"/>
  <c r="W111" i="5"/>
  <c r="V111" i="5"/>
  <c r="Y110" i="5"/>
  <c r="W110" i="5"/>
  <c r="X110" i="5" s="1"/>
  <c r="V110" i="5"/>
  <c r="Y109" i="5"/>
  <c r="W109" i="5"/>
  <c r="V109" i="5"/>
  <c r="Y108" i="5"/>
  <c r="W108" i="5"/>
  <c r="V108" i="5"/>
  <c r="Y107" i="5"/>
  <c r="W107" i="5"/>
  <c r="V107" i="5"/>
  <c r="Y106" i="5"/>
  <c r="W106" i="5"/>
  <c r="X106" i="5" s="1"/>
  <c r="V106" i="5"/>
  <c r="Y105" i="5"/>
  <c r="W105" i="5"/>
  <c r="V105" i="5"/>
  <c r="Y104" i="5"/>
  <c r="W104" i="5"/>
  <c r="V104" i="5"/>
  <c r="Y103" i="5"/>
  <c r="W103" i="5"/>
  <c r="V103" i="5"/>
  <c r="Y102" i="5"/>
  <c r="W102" i="5"/>
  <c r="X102" i="5" s="1"/>
  <c r="V102" i="5"/>
  <c r="Y101" i="5"/>
  <c r="W101" i="5"/>
  <c r="V101" i="5"/>
  <c r="Y100" i="5"/>
  <c r="W100" i="5"/>
  <c r="V100" i="5"/>
  <c r="Y99" i="5"/>
  <c r="W99" i="5"/>
  <c r="V99" i="5"/>
  <c r="Y98" i="5"/>
  <c r="W98" i="5"/>
  <c r="X98" i="5" s="1"/>
  <c r="Z98" i="5" s="1"/>
  <c r="AA98" i="5" s="1"/>
  <c r="V98" i="5"/>
  <c r="Y97" i="5"/>
  <c r="W97" i="5"/>
  <c r="V97" i="5"/>
  <c r="Y96" i="5"/>
  <c r="W96" i="5"/>
  <c r="V96" i="5"/>
  <c r="Y95" i="5"/>
  <c r="W95" i="5"/>
  <c r="V95" i="5"/>
  <c r="W94" i="5"/>
  <c r="V94" i="5"/>
  <c r="Y93" i="5"/>
  <c r="W93" i="5"/>
  <c r="V93" i="5"/>
  <c r="Y92" i="5"/>
  <c r="W92" i="5"/>
  <c r="V92" i="5"/>
  <c r="Y91" i="5"/>
  <c r="W91" i="5"/>
  <c r="V91" i="5"/>
  <c r="Y90" i="5"/>
  <c r="W90" i="5"/>
  <c r="V90" i="5"/>
  <c r="Y89" i="5"/>
  <c r="W89" i="5"/>
  <c r="V89" i="5"/>
  <c r="Y88" i="5"/>
  <c r="W88" i="5"/>
  <c r="V88" i="5"/>
  <c r="Y87" i="5"/>
  <c r="W87" i="5"/>
  <c r="V87" i="5"/>
  <c r="Y86" i="5"/>
  <c r="W86" i="5"/>
  <c r="V86" i="5"/>
  <c r="Y85" i="5"/>
  <c r="W85" i="5"/>
  <c r="V85" i="5"/>
  <c r="Y84" i="5"/>
  <c r="W84" i="5"/>
  <c r="V84" i="5"/>
  <c r="Y83" i="5"/>
  <c r="W83" i="5"/>
  <c r="V83" i="5"/>
  <c r="Y82" i="5"/>
  <c r="W82" i="5"/>
  <c r="V82" i="5"/>
  <c r="Y81" i="5"/>
  <c r="W81" i="5"/>
  <c r="V81" i="5"/>
  <c r="Y80" i="5"/>
  <c r="W80" i="5"/>
  <c r="V80" i="5"/>
  <c r="Y79" i="5"/>
  <c r="W79" i="5"/>
  <c r="V79" i="5"/>
  <c r="Y78" i="5"/>
  <c r="W78" i="5"/>
  <c r="V78" i="5"/>
  <c r="Y77" i="5"/>
  <c r="W77" i="5"/>
  <c r="V77" i="5"/>
  <c r="Y76" i="5"/>
  <c r="W76" i="5"/>
  <c r="V76" i="5"/>
  <c r="Y75" i="5"/>
  <c r="W75" i="5"/>
  <c r="V75" i="5"/>
  <c r="Y74" i="5"/>
  <c r="W74" i="5"/>
  <c r="V74" i="5"/>
  <c r="W73" i="5"/>
  <c r="V73" i="5"/>
  <c r="T67" i="5"/>
  <c r="S67" i="5"/>
  <c r="Q67" i="5"/>
  <c r="P67" i="5"/>
  <c r="N67" i="5"/>
  <c r="M67" i="5"/>
  <c r="K67" i="5"/>
  <c r="J67" i="5"/>
  <c r="H67" i="5"/>
  <c r="G67" i="5"/>
  <c r="E67" i="5"/>
  <c r="D67" i="5"/>
  <c r="Y65" i="5"/>
  <c r="W65" i="5"/>
  <c r="V65" i="5"/>
  <c r="Y64" i="5"/>
  <c r="W64" i="5"/>
  <c r="V64" i="5"/>
  <c r="Y63" i="5"/>
  <c r="W63" i="5"/>
  <c r="V63" i="5"/>
  <c r="X63" i="5" s="1"/>
  <c r="Y62" i="5"/>
  <c r="W62" i="5"/>
  <c r="V62" i="5"/>
  <c r="Y61" i="5"/>
  <c r="W61" i="5"/>
  <c r="V61" i="5"/>
  <c r="Y60" i="5"/>
  <c r="W60" i="5"/>
  <c r="V60" i="5"/>
  <c r="Y59" i="5"/>
  <c r="W59" i="5"/>
  <c r="V59" i="5"/>
  <c r="Y58" i="5"/>
  <c r="W58" i="5"/>
  <c r="V58" i="5"/>
  <c r="Y57" i="5"/>
  <c r="W57" i="5"/>
  <c r="V57" i="5"/>
  <c r="Y56" i="5"/>
  <c r="W56" i="5"/>
  <c r="V56" i="5"/>
  <c r="Y55" i="5"/>
  <c r="W55" i="5"/>
  <c r="V55" i="5"/>
  <c r="Y54" i="5"/>
  <c r="W54" i="5"/>
  <c r="V54" i="5"/>
  <c r="Y53" i="5"/>
  <c r="W53" i="5"/>
  <c r="V53" i="5"/>
  <c r="Y52" i="5"/>
  <c r="W52" i="5"/>
  <c r="V52" i="5"/>
  <c r="Y51" i="5"/>
  <c r="W51" i="5"/>
  <c r="V51" i="5"/>
  <c r="Y50" i="5"/>
  <c r="W50" i="5"/>
  <c r="V50" i="5"/>
  <c r="Y49" i="5"/>
  <c r="W49" i="5"/>
  <c r="V49" i="5"/>
  <c r="Y48" i="5"/>
  <c r="W48" i="5"/>
  <c r="V48" i="5"/>
  <c r="Y47" i="5"/>
  <c r="W47" i="5"/>
  <c r="V47" i="5"/>
  <c r="Y46" i="5"/>
  <c r="W46" i="5"/>
  <c r="X46" i="5" s="1"/>
  <c r="V46" i="5"/>
  <c r="Y45" i="5"/>
  <c r="W45" i="5"/>
  <c r="V45" i="5"/>
  <c r="Y44" i="5"/>
  <c r="W44" i="5"/>
  <c r="V44" i="5"/>
  <c r="Y43" i="5"/>
  <c r="W43" i="5"/>
  <c r="V43" i="5"/>
  <c r="Y42" i="5"/>
  <c r="W42" i="5"/>
  <c r="X42" i="5" s="1"/>
  <c r="V42" i="5"/>
  <c r="Y41" i="5"/>
  <c r="W41" i="5"/>
  <c r="V41" i="5"/>
  <c r="Y40" i="5"/>
  <c r="W40" i="5"/>
  <c r="V40" i="5"/>
  <c r="Y39" i="5"/>
  <c r="W39" i="5"/>
  <c r="V39" i="5"/>
  <c r="Y38" i="5"/>
  <c r="W38" i="5"/>
  <c r="X38" i="5" s="1"/>
  <c r="V38" i="5"/>
  <c r="Y37" i="5"/>
  <c r="W37" i="5"/>
  <c r="V37" i="5"/>
  <c r="Y36" i="5"/>
  <c r="W36" i="5"/>
  <c r="V36" i="5"/>
  <c r="Y35" i="5"/>
  <c r="W35" i="5"/>
  <c r="V35" i="5"/>
  <c r="Y34" i="5"/>
  <c r="W34" i="5"/>
  <c r="X34" i="5" s="1"/>
  <c r="V34" i="5"/>
  <c r="Y33" i="5"/>
  <c r="W33" i="5"/>
  <c r="V33" i="5"/>
  <c r="Y32" i="5"/>
  <c r="W32" i="5"/>
  <c r="V32" i="5"/>
  <c r="Y31" i="5"/>
  <c r="W31" i="5"/>
  <c r="V31" i="5"/>
  <c r="Y30" i="5"/>
  <c r="W30" i="5"/>
  <c r="X30" i="5" s="1"/>
  <c r="V30" i="5"/>
  <c r="Y29" i="5"/>
  <c r="W29" i="5"/>
  <c r="V29" i="5"/>
  <c r="Y28" i="5"/>
  <c r="W28" i="5"/>
  <c r="V28" i="5"/>
  <c r="Y27" i="5"/>
  <c r="W27" i="5"/>
  <c r="V27" i="5"/>
  <c r="Y26" i="5"/>
  <c r="W26" i="5"/>
  <c r="X26" i="5" s="1"/>
  <c r="V26" i="5"/>
  <c r="Y25" i="5"/>
  <c r="W25" i="5"/>
  <c r="V25" i="5"/>
  <c r="Y24" i="5"/>
  <c r="W24" i="5"/>
  <c r="V24" i="5"/>
  <c r="Y23" i="5"/>
  <c r="W23" i="5"/>
  <c r="V23" i="5"/>
  <c r="Y22" i="5"/>
  <c r="W22" i="5"/>
  <c r="X22" i="5" s="1"/>
  <c r="V22" i="5"/>
  <c r="Y21" i="5"/>
  <c r="W21" i="5"/>
  <c r="V21" i="5"/>
  <c r="Y20" i="5"/>
  <c r="W20" i="5"/>
  <c r="V20" i="5"/>
  <c r="Y19" i="5"/>
  <c r="W19" i="5"/>
  <c r="V19" i="5"/>
  <c r="Y18" i="5"/>
  <c r="W18" i="5"/>
  <c r="X18" i="5" s="1"/>
  <c r="V18" i="5"/>
  <c r="Y17" i="5"/>
  <c r="W17" i="5"/>
  <c r="V17" i="5"/>
  <c r="Y16" i="5"/>
  <c r="W16" i="5"/>
  <c r="V16" i="5"/>
  <c r="Y15" i="5"/>
  <c r="W15" i="5"/>
  <c r="V15" i="5"/>
  <c r="Y14" i="5"/>
  <c r="W14" i="5"/>
  <c r="V14" i="5"/>
  <c r="Y13" i="5"/>
  <c r="W13" i="5"/>
  <c r="V13" i="5"/>
  <c r="X20" i="5" l="1"/>
  <c r="Z20" i="5" s="1"/>
  <c r="AA20" i="5" s="1"/>
  <c r="X24" i="5"/>
  <c r="Z24" i="5" s="1"/>
  <c r="AA24" i="5" s="1"/>
  <c r="X15" i="5"/>
  <c r="V207" i="5"/>
  <c r="X96" i="5"/>
  <c r="Z96" i="5" s="1"/>
  <c r="AA96" i="5" s="1"/>
  <c r="X100" i="5"/>
  <c r="X104" i="5"/>
  <c r="X108" i="5"/>
  <c r="X112" i="5"/>
  <c r="Z112" i="5" s="1"/>
  <c r="AA112" i="5" s="1"/>
  <c r="X116" i="5"/>
  <c r="X120" i="5"/>
  <c r="X124" i="5"/>
  <c r="X128" i="5"/>
  <c r="Z128" i="5" s="1"/>
  <c r="AA128" i="5" s="1"/>
  <c r="X132" i="5"/>
  <c r="X136" i="5"/>
  <c r="X140" i="5"/>
  <c r="X144" i="5"/>
  <c r="Z144" i="5" s="1"/>
  <c r="AA144" i="5" s="1"/>
  <c r="X148" i="5"/>
  <c r="X152" i="5"/>
  <c r="X156" i="5"/>
  <c r="Z156" i="5" s="1"/>
  <c r="AA156" i="5" s="1"/>
  <c r="X160" i="5"/>
  <c r="X164" i="5"/>
  <c r="X168" i="5"/>
  <c r="X172" i="5"/>
  <c r="X176" i="5"/>
  <c r="Z176" i="5" s="1"/>
  <c r="AA176" i="5" s="1"/>
  <c r="X180" i="5"/>
  <c r="X184" i="5"/>
  <c r="X188" i="5"/>
  <c r="Z188" i="5" s="1"/>
  <c r="AA188" i="5" s="1"/>
  <c r="Z30" i="5"/>
  <c r="AA30" i="5" s="1"/>
  <c r="Z34" i="5"/>
  <c r="AA34" i="5" s="1"/>
  <c r="Z38" i="5"/>
  <c r="AA38" i="5" s="1"/>
  <c r="X49" i="5"/>
  <c r="X50" i="5"/>
  <c r="Z50" i="5" s="1"/>
  <c r="AA50" i="5" s="1"/>
  <c r="X53" i="5"/>
  <c r="X54" i="5"/>
  <c r="Z54" i="5" s="1"/>
  <c r="AA54" i="5" s="1"/>
  <c r="X58" i="5"/>
  <c r="Z58" i="5" s="1"/>
  <c r="AA58" i="5" s="1"/>
  <c r="X62" i="5"/>
  <c r="Z62" i="5" s="1"/>
  <c r="AA62" i="5" s="1"/>
  <c r="X76" i="5"/>
  <c r="X80" i="5"/>
  <c r="X84" i="5"/>
  <c r="X88" i="5"/>
  <c r="Z88" i="5" s="1"/>
  <c r="AA88" i="5" s="1"/>
  <c r="X92" i="5"/>
  <c r="Z92" i="5" s="1"/>
  <c r="AA92" i="5" s="1"/>
  <c r="X119" i="5"/>
  <c r="X123" i="5"/>
  <c r="X190" i="5"/>
  <c r="Z190" i="5" s="1"/>
  <c r="AA190" i="5" s="1"/>
  <c r="X194" i="5"/>
  <c r="Z194" i="5" s="1"/>
  <c r="AA194" i="5" s="1"/>
  <c r="X198" i="5"/>
  <c r="X202" i="5"/>
  <c r="X28" i="5"/>
  <c r="Z28" i="5" s="1"/>
  <c r="AA28" i="5" s="1"/>
  <c r="X32" i="5"/>
  <c r="Z32" i="5" s="1"/>
  <c r="AA32" i="5" s="1"/>
  <c r="X36" i="5"/>
  <c r="Z36" i="5" s="1"/>
  <c r="AA36" i="5" s="1"/>
  <c r="X40" i="5"/>
  <c r="X44" i="5"/>
  <c r="Z44" i="5" s="1"/>
  <c r="AA44" i="5" s="1"/>
  <c r="X48" i="5"/>
  <c r="X52" i="5"/>
  <c r="X56" i="5"/>
  <c r="Z56" i="5" s="1"/>
  <c r="AA56" i="5" s="1"/>
  <c r="X60" i="5"/>
  <c r="Z60" i="5" s="1"/>
  <c r="AA60" i="5" s="1"/>
  <c r="X64" i="5"/>
  <c r="Z64" i="5" s="1"/>
  <c r="AA64" i="5" s="1"/>
  <c r="X74" i="5"/>
  <c r="X78" i="5"/>
  <c r="Z78" i="5" s="1"/>
  <c r="AA78" i="5" s="1"/>
  <c r="X82" i="5"/>
  <c r="X86" i="5"/>
  <c r="Z86" i="5" s="1"/>
  <c r="AA86" i="5" s="1"/>
  <c r="X90" i="5"/>
  <c r="Z90" i="5" s="1"/>
  <c r="AA90" i="5" s="1"/>
  <c r="X94" i="5"/>
  <c r="Z94" i="5" s="1"/>
  <c r="AA94" i="5" s="1"/>
  <c r="X192" i="5"/>
  <c r="Z192" i="5" s="1"/>
  <c r="AA192" i="5" s="1"/>
  <c r="X196" i="5"/>
  <c r="Z196" i="5" s="1"/>
  <c r="AA196" i="5" s="1"/>
  <c r="X200" i="5"/>
  <c r="X204" i="5"/>
  <c r="X157" i="5"/>
  <c r="Z157" i="5" s="1"/>
  <c r="AA157" i="5" s="1"/>
  <c r="Z158" i="5"/>
  <c r="AA158" i="5" s="1"/>
  <c r="Z162" i="5"/>
  <c r="AA162" i="5" s="1"/>
  <c r="X165" i="5"/>
  <c r="Z166" i="5"/>
  <c r="AA166" i="5" s="1"/>
  <c r="Z170" i="5"/>
  <c r="AA170" i="5" s="1"/>
  <c r="Z178" i="5"/>
  <c r="AA178" i="5" s="1"/>
  <c r="Z63" i="5"/>
  <c r="AA63" i="5" s="1"/>
  <c r="X189" i="5"/>
  <c r="Z189" i="5" s="1"/>
  <c r="AA189" i="5" s="1"/>
  <c r="X197" i="5"/>
  <c r="Z198" i="5"/>
  <c r="AA198" i="5" s="1"/>
  <c r="X87" i="5"/>
  <c r="Z119" i="5"/>
  <c r="AA119" i="5" s="1"/>
  <c r="X122" i="5"/>
  <c r="Z122" i="5" s="1"/>
  <c r="AA122" i="5" s="1"/>
  <c r="Z123" i="5"/>
  <c r="AA123" i="5" s="1"/>
  <c r="X147" i="5"/>
  <c r="Z147" i="5" s="1"/>
  <c r="AA147" i="5" s="1"/>
  <c r="Z148" i="5"/>
  <c r="AA148" i="5" s="1"/>
  <c r="X151" i="5"/>
  <c r="Z151" i="5" s="1"/>
  <c r="AA151" i="5" s="1"/>
  <c r="Z152" i="5"/>
  <c r="AA152" i="5" s="1"/>
  <c r="X163" i="5"/>
  <c r="Z164" i="5"/>
  <c r="AA164" i="5" s="1"/>
  <c r="X167" i="5"/>
  <c r="Z167" i="5" s="1"/>
  <c r="AA167" i="5" s="1"/>
  <c r="Z168" i="5"/>
  <c r="AA168" i="5" s="1"/>
  <c r="X171" i="5"/>
  <c r="Z171" i="5" s="1"/>
  <c r="AA171" i="5" s="1"/>
  <c r="Z172" i="5"/>
  <c r="AA172" i="5" s="1"/>
  <c r="X175" i="5"/>
  <c r="Z175" i="5" s="1"/>
  <c r="AA175" i="5" s="1"/>
  <c r="X179" i="5"/>
  <c r="Z179" i="5" s="1"/>
  <c r="AA179" i="5" s="1"/>
  <c r="Z180" i="5"/>
  <c r="AA180" i="5" s="1"/>
  <c r="X183" i="5"/>
  <c r="Z183" i="5" s="1"/>
  <c r="AA183" i="5" s="1"/>
  <c r="Z184" i="5"/>
  <c r="AA184" i="5" s="1"/>
  <c r="Z18" i="5"/>
  <c r="AA18" i="5" s="1"/>
  <c r="Z22" i="5"/>
  <c r="AA22" i="5" s="1"/>
  <c r="Z74" i="5"/>
  <c r="AA74" i="5" s="1"/>
  <c r="X77" i="5"/>
  <c r="Z77" i="5" s="1"/>
  <c r="AA77" i="5" s="1"/>
  <c r="X101" i="5"/>
  <c r="Z101" i="5" s="1"/>
  <c r="AA101" i="5" s="1"/>
  <c r="Z102" i="5"/>
  <c r="AA102" i="5" s="1"/>
  <c r="Z106" i="5"/>
  <c r="AA106" i="5" s="1"/>
  <c r="X109" i="5"/>
  <c r="Z109" i="5" s="1"/>
  <c r="AA109" i="5" s="1"/>
  <c r="Z110" i="5"/>
  <c r="AA110" i="5" s="1"/>
  <c r="Z114" i="5"/>
  <c r="AA114" i="5" s="1"/>
  <c r="Z53" i="5"/>
  <c r="AA53" i="5" s="1"/>
  <c r="X61" i="5"/>
  <c r="X65" i="5"/>
  <c r="Z65" i="5" s="1"/>
  <c r="AA65" i="5" s="1"/>
  <c r="X191" i="5"/>
  <c r="Z191" i="5" s="1"/>
  <c r="AA191" i="5" s="1"/>
  <c r="Z200" i="5"/>
  <c r="AA200" i="5" s="1"/>
  <c r="X203" i="5"/>
  <c r="Z203" i="5" s="1"/>
  <c r="AA203" i="5" s="1"/>
  <c r="Z204" i="5"/>
  <c r="AA204" i="5" s="1"/>
  <c r="Z26" i="5"/>
  <c r="AA26" i="5" s="1"/>
  <c r="Z40" i="5"/>
  <c r="AA40" i="5" s="1"/>
  <c r="Z48" i="5"/>
  <c r="AA48" i="5" s="1"/>
  <c r="Z52" i="5"/>
  <c r="AA52" i="5" s="1"/>
  <c r="Z80" i="5"/>
  <c r="AA80" i="5" s="1"/>
  <c r="X83" i="5"/>
  <c r="Z83" i="5" s="1"/>
  <c r="AA83" i="5" s="1"/>
  <c r="Z84" i="5"/>
  <c r="AA84" i="5" s="1"/>
  <c r="X95" i="5"/>
  <c r="Z95" i="5" s="1"/>
  <c r="AA95" i="5" s="1"/>
  <c r="X107" i="5"/>
  <c r="Z108" i="5"/>
  <c r="AA108" i="5" s="1"/>
  <c r="X111" i="5"/>
  <c r="Z111" i="5" s="1"/>
  <c r="AA111" i="5" s="1"/>
  <c r="X115" i="5"/>
  <c r="Z116" i="5"/>
  <c r="AA116" i="5" s="1"/>
  <c r="Z120" i="5"/>
  <c r="AA120" i="5" s="1"/>
  <c r="X131" i="5"/>
  <c r="Z131" i="5" s="1"/>
  <c r="AA131" i="5" s="1"/>
  <c r="Z132" i="5"/>
  <c r="AA132" i="5" s="1"/>
  <c r="X135" i="5"/>
  <c r="Z135" i="5" s="1"/>
  <c r="AA135" i="5" s="1"/>
  <c r="Z136" i="5"/>
  <c r="AA136" i="5" s="1"/>
  <c r="X139" i="5"/>
  <c r="Z139" i="5" s="1"/>
  <c r="AA139" i="5" s="1"/>
  <c r="Z140" i="5"/>
  <c r="AA140" i="5" s="1"/>
  <c r="X143" i="5"/>
  <c r="Z143" i="5" s="1"/>
  <c r="AA143" i="5" s="1"/>
  <c r="X181" i="5"/>
  <c r="Z181" i="5" s="1"/>
  <c r="AA181" i="5" s="1"/>
  <c r="Z182" i="5"/>
  <c r="AA182" i="5" s="1"/>
  <c r="Z186" i="5"/>
  <c r="AA186" i="5" s="1"/>
  <c r="Z15" i="5"/>
  <c r="AA15" i="5" s="1"/>
  <c r="Z42" i="5"/>
  <c r="AA42" i="5" s="1"/>
  <c r="X57" i="5"/>
  <c r="Z57" i="5" s="1"/>
  <c r="AA57" i="5" s="1"/>
  <c r="X125" i="5"/>
  <c r="Z125" i="5" s="1"/>
  <c r="AA125" i="5" s="1"/>
  <c r="Z126" i="5"/>
  <c r="AA126" i="5" s="1"/>
  <c r="Z130" i="5"/>
  <c r="AA130" i="5" s="1"/>
  <c r="X133" i="5"/>
  <c r="Z133" i="5" s="1"/>
  <c r="AA133" i="5" s="1"/>
  <c r="Z134" i="5"/>
  <c r="AA134" i="5" s="1"/>
  <c r="Z138" i="5"/>
  <c r="AA138" i="5" s="1"/>
  <c r="X93" i="5"/>
  <c r="Z93" i="5" s="1"/>
  <c r="AA93" i="5" s="1"/>
  <c r="Z149" i="5"/>
  <c r="AA149" i="5" s="1"/>
  <c r="Z197" i="5"/>
  <c r="AA197" i="5" s="1"/>
  <c r="Z165" i="5"/>
  <c r="AA165" i="5" s="1"/>
  <c r="W67" i="5"/>
  <c r="X45" i="5"/>
  <c r="Z45" i="5" s="1"/>
  <c r="AA45" i="5" s="1"/>
  <c r="Z46" i="5"/>
  <c r="AA46" i="5" s="1"/>
  <c r="X55" i="5"/>
  <c r="Z55" i="5" s="1"/>
  <c r="AA55" i="5" s="1"/>
  <c r="X75" i="5"/>
  <c r="Z75" i="5" s="1"/>
  <c r="AA75" i="5" s="1"/>
  <c r="Z76" i="5"/>
  <c r="AA76" i="5" s="1"/>
  <c r="X91" i="5"/>
  <c r="Z91" i="5" s="1"/>
  <c r="AA91" i="5" s="1"/>
  <c r="X99" i="5"/>
  <c r="Z99" i="5" s="1"/>
  <c r="AA99" i="5" s="1"/>
  <c r="Z100" i="5"/>
  <c r="AA100" i="5" s="1"/>
  <c r="X103" i="5"/>
  <c r="Z103" i="5" s="1"/>
  <c r="AA103" i="5" s="1"/>
  <c r="Z104" i="5"/>
  <c r="AA104" i="5" s="1"/>
  <c r="X117" i="5"/>
  <c r="Z117" i="5" s="1"/>
  <c r="AA117" i="5" s="1"/>
  <c r="Z124" i="5"/>
  <c r="AA124" i="5" s="1"/>
  <c r="X127" i="5"/>
  <c r="Z127" i="5" s="1"/>
  <c r="AA127" i="5" s="1"/>
  <c r="X141" i="5"/>
  <c r="Z141" i="5" s="1"/>
  <c r="AA141" i="5" s="1"/>
  <c r="Z142" i="5"/>
  <c r="AA142" i="5" s="1"/>
  <c r="X155" i="5"/>
  <c r="Z155" i="5" s="1"/>
  <c r="AA155" i="5" s="1"/>
  <c r="X159" i="5"/>
  <c r="Z159" i="5" s="1"/>
  <c r="AA159" i="5" s="1"/>
  <c r="Z160" i="5"/>
  <c r="AA160" i="5" s="1"/>
  <c r="X173" i="5"/>
  <c r="Z173" i="5" s="1"/>
  <c r="AA173" i="5" s="1"/>
  <c r="Z174" i="5"/>
  <c r="AA174" i="5" s="1"/>
  <c r="X187" i="5"/>
  <c r="Z187" i="5" s="1"/>
  <c r="AA187" i="5" s="1"/>
  <c r="X195" i="5"/>
  <c r="Z195" i="5" s="1"/>
  <c r="AA195" i="5" s="1"/>
  <c r="X14" i="5"/>
  <c r="Z14" i="5" s="1"/>
  <c r="AA14" i="5" s="1"/>
  <c r="X16" i="5"/>
  <c r="Z16" i="5" s="1"/>
  <c r="AA16" i="5" s="1"/>
  <c r="X47" i="5"/>
  <c r="Z47" i="5" s="1"/>
  <c r="AA47" i="5" s="1"/>
  <c r="Z61" i="5"/>
  <c r="AA61" i="5" s="1"/>
  <c r="X79" i="5"/>
  <c r="Z79" i="5" s="1"/>
  <c r="AA79" i="5" s="1"/>
  <c r="Z82" i="5"/>
  <c r="AA82" i="5" s="1"/>
  <c r="X85" i="5"/>
  <c r="Z85" i="5" s="1"/>
  <c r="AA85" i="5" s="1"/>
  <c r="X118" i="5"/>
  <c r="Z118" i="5" s="1"/>
  <c r="AA118" i="5" s="1"/>
  <c r="Y207" i="5"/>
  <c r="Z49" i="5"/>
  <c r="AA49" i="5" s="1"/>
  <c r="Z87" i="5"/>
  <c r="AA87" i="5" s="1"/>
  <c r="X199" i="5"/>
  <c r="Z199" i="5" s="1"/>
  <c r="AA199" i="5" s="1"/>
  <c r="Z107" i="5"/>
  <c r="AA107" i="5" s="1"/>
  <c r="Z115" i="5"/>
  <c r="AA115" i="5" s="1"/>
  <c r="Z163" i="5"/>
  <c r="AA163" i="5" s="1"/>
  <c r="Y67" i="5"/>
  <c r="X17" i="5"/>
  <c r="Z17" i="5" s="1"/>
  <c r="AA17" i="5" s="1"/>
  <c r="X19" i="5"/>
  <c r="Z19" i="5" s="1"/>
  <c r="AA19" i="5" s="1"/>
  <c r="X21" i="5"/>
  <c r="Z21" i="5" s="1"/>
  <c r="AA21" i="5" s="1"/>
  <c r="X23" i="5"/>
  <c r="Z23" i="5" s="1"/>
  <c r="AA23" i="5" s="1"/>
  <c r="X25" i="5"/>
  <c r="Z25" i="5" s="1"/>
  <c r="AA25" i="5" s="1"/>
  <c r="X27" i="5"/>
  <c r="Z27" i="5" s="1"/>
  <c r="AA27" i="5" s="1"/>
  <c r="X29" i="5"/>
  <c r="Z29" i="5" s="1"/>
  <c r="AA29" i="5" s="1"/>
  <c r="X31" i="5"/>
  <c r="Z31" i="5" s="1"/>
  <c r="AA31" i="5" s="1"/>
  <c r="X33" i="5"/>
  <c r="Z33" i="5" s="1"/>
  <c r="AA33" i="5" s="1"/>
  <c r="X35" i="5"/>
  <c r="Z35" i="5" s="1"/>
  <c r="AA35" i="5" s="1"/>
  <c r="X37" i="5"/>
  <c r="Z37" i="5" s="1"/>
  <c r="AA37" i="5" s="1"/>
  <c r="X39" i="5"/>
  <c r="Z39" i="5" s="1"/>
  <c r="AA39" i="5" s="1"/>
  <c r="X41" i="5"/>
  <c r="Z41" i="5" s="1"/>
  <c r="AA41" i="5" s="1"/>
  <c r="X43" i="5"/>
  <c r="Z43" i="5" s="1"/>
  <c r="AA43" i="5" s="1"/>
  <c r="X51" i="5"/>
  <c r="Z51" i="5" s="1"/>
  <c r="AA51" i="5" s="1"/>
  <c r="X59" i="5"/>
  <c r="Z59" i="5" s="1"/>
  <c r="AA59" i="5" s="1"/>
  <c r="X81" i="5"/>
  <c r="Z81" i="5" s="1"/>
  <c r="AA81" i="5" s="1"/>
  <c r="X89" i="5"/>
  <c r="Z89" i="5" s="1"/>
  <c r="AA89" i="5" s="1"/>
  <c r="X97" i="5"/>
  <c r="Z97" i="5" s="1"/>
  <c r="AA97" i="5" s="1"/>
  <c r="X105" i="5"/>
  <c r="Z105" i="5" s="1"/>
  <c r="AA105" i="5" s="1"/>
  <c r="X113" i="5"/>
  <c r="Z113" i="5" s="1"/>
  <c r="AA113" i="5" s="1"/>
  <c r="X121" i="5"/>
  <c r="Z121" i="5" s="1"/>
  <c r="AA121" i="5" s="1"/>
  <c r="X129" i="5"/>
  <c r="Z129" i="5" s="1"/>
  <c r="AA129" i="5" s="1"/>
  <c r="X137" i="5"/>
  <c r="Z137" i="5" s="1"/>
  <c r="AA137" i="5" s="1"/>
  <c r="X145" i="5"/>
  <c r="Z145" i="5" s="1"/>
  <c r="AA145" i="5" s="1"/>
  <c r="X153" i="5"/>
  <c r="Z153" i="5" s="1"/>
  <c r="AA153" i="5" s="1"/>
  <c r="X161" i="5"/>
  <c r="Z161" i="5" s="1"/>
  <c r="AA161" i="5" s="1"/>
  <c r="X169" i="5"/>
  <c r="Z169" i="5" s="1"/>
  <c r="AA169" i="5" s="1"/>
  <c r="X177" i="5"/>
  <c r="Z177" i="5" s="1"/>
  <c r="AA177" i="5" s="1"/>
  <c r="X185" i="5"/>
  <c r="Z185" i="5" s="1"/>
  <c r="AA185" i="5" s="1"/>
  <c r="X193" i="5"/>
  <c r="Z193" i="5" s="1"/>
  <c r="AA193" i="5" s="1"/>
  <c r="X201" i="5"/>
  <c r="Z201" i="5" s="1"/>
  <c r="AA201" i="5" s="1"/>
  <c r="Z202" i="5"/>
  <c r="AA202" i="5" s="1"/>
  <c r="X205" i="5"/>
  <c r="Z205" i="5" s="1"/>
  <c r="AA205" i="5" s="1"/>
  <c r="V67" i="5"/>
  <c r="X13" i="5"/>
  <c r="V209" i="5"/>
  <c r="W207" i="5"/>
  <c r="X73" i="5"/>
  <c r="W209" i="5" l="1"/>
  <c r="Y209" i="5"/>
  <c r="X67" i="5"/>
  <c r="Z13" i="5"/>
  <c r="X207" i="5"/>
  <c r="Z73" i="5"/>
  <c r="X209" i="5" l="1"/>
  <c r="Z207" i="5"/>
  <c r="J121" i="2" s="1"/>
  <c r="AA73" i="5"/>
  <c r="AA207" i="5" s="1"/>
  <c r="K121" i="2" s="1"/>
  <c r="Z67" i="5"/>
  <c r="J120" i="2" s="1"/>
  <c r="AA13" i="5"/>
  <c r="AA67" i="5" s="1"/>
  <c r="K120" i="2" s="1"/>
  <c r="AA209" i="5" l="1"/>
  <c r="Z209" i="5"/>
  <c r="D99" i="2" l="1"/>
  <c r="D98" i="2"/>
  <c r="D97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C11" i="1"/>
  <c r="C10" i="1" s="1"/>
  <c r="D61" i="2" s="1"/>
  <c r="C12" i="1"/>
  <c r="D69" i="2" s="1"/>
  <c r="D38" i="2" l="1"/>
  <c r="D70" i="2"/>
  <c r="D34" i="2"/>
  <c r="D50" i="2"/>
  <c r="D58" i="2"/>
  <c r="D35" i="2"/>
  <c r="D51" i="2"/>
  <c r="D59" i="2"/>
  <c r="D71" i="2"/>
  <c r="D95" i="2"/>
  <c r="D46" i="2"/>
  <c r="D66" i="2"/>
  <c r="D39" i="2"/>
  <c r="C7" i="1"/>
  <c r="D36" i="2"/>
  <c r="D40" i="2"/>
  <c r="D44" i="2"/>
  <c r="D52" i="2"/>
  <c r="D56" i="2"/>
  <c r="D60" i="2"/>
  <c r="D64" i="2"/>
  <c r="D72" i="2"/>
  <c r="D96" i="2"/>
  <c r="D33" i="2"/>
  <c r="D37" i="2"/>
  <c r="D45" i="2"/>
  <c r="D57" i="2"/>
  <c r="D65" i="2"/>
  <c r="C8" i="1"/>
  <c r="C9" i="1"/>
  <c r="D68" i="2" l="1"/>
  <c r="I42" i="2"/>
  <c r="D48" i="2"/>
  <c r="D42" i="2"/>
  <c r="D54" i="2"/>
  <c r="I41" i="2"/>
  <c r="D53" i="2"/>
  <c r="D41" i="2"/>
  <c r="D67" i="2"/>
  <c r="D47" i="2"/>
  <c r="D62" i="2"/>
  <c r="D7" i="1"/>
  <c r="D49" i="2"/>
  <c r="D63" i="2"/>
  <c r="D55" i="2"/>
  <c r="D43" i="2"/>
  <c r="E7" i="1"/>
  <c r="I12" i="1"/>
  <c r="I11" i="1"/>
  <c r="I10" i="1"/>
  <c r="I9" i="1"/>
  <c r="I8" i="1"/>
  <c r="I7" i="1"/>
  <c r="H12" i="1"/>
  <c r="H11" i="1"/>
  <c r="D94" i="2" s="1"/>
  <c r="H10" i="1"/>
  <c r="H9" i="1"/>
  <c r="H8" i="1"/>
  <c r="H7" i="1"/>
  <c r="G12" i="1"/>
  <c r="G11" i="1"/>
  <c r="D93" i="2" s="1"/>
  <c r="G10" i="1"/>
  <c r="G9" i="1"/>
  <c r="G8" i="1"/>
  <c r="G7" i="1"/>
  <c r="F12" i="1"/>
  <c r="F11" i="1"/>
  <c r="D92" i="2" s="1"/>
  <c r="F10" i="1"/>
  <c r="F9" i="1"/>
  <c r="F8" i="1"/>
  <c r="F7" i="1"/>
  <c r="E12" i="1"/>
  <c r="E11" i="1"/>
  <c r="D91" i="2" s="1"/>
  <c r="E10" i="1"/>
  <c r="E9" i="1"/>
  <c r="E8" i="1"/>
  <c r="D12" i="1"/>
  <c r="D11" i="1"/>
  <c r="D90" i="2" s="1"/>
  <c r="D10" i="1"/>
  <c r="D9" i="1"/>
  <c r="D8" i="1"/>
  <c r="G33" i="2"/>
  <c r="D23" i="4"/>
  <c r="C23" i="4"/>
  <c r="C38" i="4"/>
  <c r="D20" i="4"/>
  <c r="C20" i="4"/>
  <c r="D19" i="4"/>
  <c r="C19" i="4"/>
  <c r="D18" i="4"/>
  <c r="C29" i="4" s="1"/>
  <c r="C18" i="4"/>
  <c r="D14" i="4"/>
  <c r="C14" i="4"/>
  <c r="D11" i="4"/>
  <c r="C11" i="4"/>
  <c r="D10" i="4"/>
  <c r="C10" i="4"/>
  <c r="D9" i="4"/>
  <c r="C9" i="4"/>
  <c r="C26" i="4"/>
  <c r="C30" i="4" l="1"/>
  <c r="C12" i="4"/>
  <c r="C15" i="4" s="1"/>
  <c r="D12" i="4"/>
  <c r="C39" i="4" s="1"/>
  <c r="C40" i="4" s="1"/>
  <c r="C21" i="4"/>
  <c r="C24" i="4" s="1"/>
  <c r="C28" i="4"/>
  <c r="D21" i="4"/>
  <c r="D24" i="4" s="1"/>
  <c r="C34" i="4" l="1"/>
  <c r="C35" i="4" s="1"/>
  <c r="D15" i="4"/>
  <c r="Q71" i="2" l="1"/>
  <c r="Q72" i="2"/>
  <c r="Q70" i="2"/>
  <c r="Q96" i="2"/>
  <c r="Q95" i="2"/>
  <c r="Q94" i="2"/>
  <c r="Q93" i="2"/>
  <c r="Q92" i="2"/>
  <c r="Q91" i="2"/>
  <c r="Q90" i="2"/>
  <c r="Q69" i="2"/>
  <c r="Q68" i="2"/>
  <c r="Q67" i="2"/>
  <c r="Q66" i="2"/>
  <c r="Q65" i="2"/>
  <c r="Q64" i="2"/>
  <c r="Q63" i="2"/>
  <c r="Q62" i="2"/>
  <c r="Q61" i="2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99" i="2"/>
  <c r="Q98" i="2"/>
  <c r="Q97" i="2"/>
  <c r="Q89" i="2"/>
  <c r="Q88" i="2"/>
  <c r="Q87" i="2"/>
  <c r="Q86" i="2"/>
  <c r="Q85" i="2"/>
  <c r="Q84" i="2"/>
  <c r="Q83" i="2"/>
  <c r="Q82" i="2"/>
  <c r="Q81" i="2"/>
  <c r="Q80" i="2"/>
  <c r="Q79" i="2"/>
  <c r="Q78" i="2"/>
  <c r="Q77" i="2"/>
  <c r="Q76" i="2"/>
  <c r="Q75" i="2"/>
  <c r="Q74" i="2"/>
  <c r="Q73" i="2"/>
  <c r="D26" i="2"/>
  <c r="Q26" i="2" s="1"/>
  <c r="D25" i="2"/>
  <c r="Q25" i="2" s="1"/>
  <c r="D24" i="2"/>
  <c r="Q24" i="2" s="1"/>
  <c r="D23" i="2"/>
  <c r="Q23" i="2" s="1"/>
  <c r="D22" i="2"/>
  <c r="Q22" i="2" s="1"/>
  <c r="D20" i="2"/>
  <c r="Q20" i="2" s="1"/>
  <c r="D21" i="2"/>
  <c r="Q21" i="2" s="1"/>
  <c r="D18" i="2"/>
  <c r="Q18" i="2" s="1"/>
  <c r="D19" i="2"/>
  <c r="Q19" i="2" s="1"/>
  <c r="D16" i="2"/>
  <c r="Q16" i="2" s="1"/>
  <c r="D17" i="2"/>
  <c r="Q17" i="2" s="1"/>
  <c r="D15" i="2"/>
  <c r="Q15" i="2" s="1"/>
  <c r="D14" i="2"/>
  <c r="Q14" i="2" s="1"/>
  <c r="D13" i="2"/>
  <c r="Q13" i="2" s="1"/>
  <c r="D12" i="2"/>
  <c r="Q12" i="2" s="1"/>
  <c r="D11" i="2"/>
  <c r="Q11" i="2" s="1"/>
  <c r="A3" i="3"/>
  <c r="A1" i="3"/>
  <c r="D65" i="3" l="1"/>
  <c r="F65" i="3" s="1"/>
  <c r="D69" i="3"/>
  <c r="F69" i="3" s="1"/>
  <c r="F66" i="3"/>
  <c r="D70" i="3"/>
  <c r="F70" i="3" s="1"/>
  <c r="D67" i="3"/>
  <c r="F67" i="3" s="1"/>
  <c r="D71" i="3"/>
  <c r="F71" i="3" s="1"/>
  <c r="D64" i="3"/>
  <c r="F64" i="3" s="1"/>
  <c r="D68" i="3"/>
  <c r="F68" i="3" s="1"/>
  <c r="D72" i="3"/>
  <c r="F72" i="3" s="1"/>
  <c r="E67" i="1" l="1"/>
  <c r="F66" i="1"/>
  <c r="F65" i="1"/>
  <c r="K99" i="2"/>
  <c r="I99" i="2"/>
  <c r="G99" i="2"/>
  <c r="K98" i="2"/>
  <c r="I98" i="2"/>
  <c r="K97" i="2"/>
  <c r="I97" i="2"/>
  <c r="K96" i="2"/>
  <c r="K95" i="2"/>
  <c r="K94" i="2"/>
  <c r="K93" i="2"/>
  <c r="K92" i="2"/>
  <c r="K91" i="2"/>
  <c r="K90" i="2"/>
  <c r="K89" i="2"/>
  <c r="K88" i="2"/>
  <c r="I88" i="2"/>
  <c r="K87" i="2"/>
  <c r="I87" i="2"/>
  <c r="K86" i="2"/>
  <c r="I86" i="2"/>
  <c r="K85" i="2"/>
  <c r="I85" i="2"/>
  <c r="K84" i="2"/>
  <c r="I84" i="2"/>
  <c r="K83" i="2"/>
  <c r="I83" i="2"/>
  <c r="K82" i="2"/>
  <c r="I82" i="2"/>
  <c r="K81" i="2"/>
  <c r="I81" i="2"/>
  <c r="I80" i="2"/>
  <c r="K79" i="2"/>
  <c r="I79" i="2"/>
  <c r="I78" i="2"/>
  <c r="I77" i="2"/>
  <c r="K76" i="2"/>
  <c r="I76" i="2"/>
  <c r="K75" i="2"/>
  <c r="I75" i="2"/>
  <c r="K74" i="2"/>
  <c r="I74" i="2"/>
  <c r="K73" i="2"/>
  <c r="I73" i="2"/>
  <c r="K69" i="2"/>
  <c r="K68" i="2"/>
  <c r="K67" i="2"/>
  <c r="K66" i="2"/>
  <c r="K65" i="2"/>
  <c r="K64" i="2"/>
  <c r="K63" i="2"/>
  <c r="K62" i="2"/>
  <c r="K61" i="2"/>
  <c r="K60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26" i="2"/>
  <c r="I26" i="2"/>
  <c r="K25" i="2"/>
  <c r="I25" i="2"/>
  <c r="K24" i="2"/>
  <c r="I24" i="2"/>
  <c r="K23" i="2"/>
  <c r="I23" i="2"/>
  <c r="K21" i="2"/>
  <c r="K20" i="2"/>
  <c r="K19" i="2"/>
  <c r="K18" i="2"/>
  <c r="K17" i="2"/>
  <c r="K16" i="2"/>
  <c r="K15" i="2"/>
  <c r="K14" i="2"/>
  <c r="K13" i="2"/>
  <c r="K12" i="2"/>
  <c r="K11" i="2"/>
  <c r="C67" i="1"/>
  <c r="F72" i="1"/>
  <c r="D66" i="1"/>
  <c r="F71" i="1"/>
  <c r="D65" i="1"/>
  <c r="C60" i="1"/>
  <c r="C59" i="1"/>
  <c r="C57" i="1"/>
  <c r="C56" i="1"/>
  <c r="C55" i="1"/>
  <c r="C51" i="1"/>
  <c r="C50" i="1"/>
  <c r="C49" i="1"/>
  <c r="C46" i="1"/>
  <c r="C45" i="1"/>
  <c r="C44" i="1"/>
  <c r="C40" i="1"/>
  <c r="C29" i="1"/>
  <c r="C27" i="1"/>
  <c r="C24" i="1"/>
  <c r="C13" i="1"/>
  <c r="D63" i="3" l="1"/>
  <c r="F63" i="3" s="1"/>
  <c r="C71" i="1"/>
  <c r="D62" i="3"/>
  <c r="F62" i="3" s="1"/>
  <c r="E68" i="1"/>
  <c r="N114" i="2"/>
  <c r="O114" i="2" s="1"/>
  <c r="G63" i="2"/>
  <c r="G13" i="1"/>
  <c r="I52" i="2"/>
  <c r="G81" i="2"/>
  <c r="J81" i="2" s="1"/>
  <c r="L81" i="2" s="1"/>
  <c r="G82" i="2"/>
  <c r="J82" i="2" s="1"/>
  <c r="L82" i="2" s="1"/>
  <c r="G83" i="2"/>
  <c r="J83" i="2" s="1"/>
  <c r="L83" i="2" s="1"/>
  <c r="G85" i="2"/>
  <c r="J85" i="2" s="1"/>
  <c r="L85" i="2" s="1"/>
  <c r="G86" i="2"/>
  <c r="J86" i="2" s="1"/>
  <c r="L86" i="2" s="1"/>
  <c r="G87" i="2"/>
  <c r="J87" i="2" s="1"/>
  <c r="L87" i="2" s="1"/>
  <c r="G88" i="2"/>
  <c r="J88" i="2" s="1"/>
  <c r="L88" i="2" s="1"/>
  <c r="G76" i="2"/>
  <c r="J76" i="2" s="1"/>
  <c r="L76" i="2" s="1"/>
  <c r="G12" i="2"/>
  <c r="G16" i="2"/>
  <c r="G20" i="2"/>
  <c r="G79" i="2"/>
  <c r="J79" i="2" s="1"/>
  <c r="L79" i="2" s="1"/>
  <c r="G84" i="2"/>
  <c r="J84" i="2" s="1"/>
  <c r="L84" i="2" s="1"/>
  <c r="G23" i="2"/>
  <c r="J23" i="2" s="1"/>
  <c r="L23" i="2" s="1"/>
  <c r="G25" i="2"/>
  <c r="J25" i="2" s="1"/>
  <c r="L25" i="2" s="1"/>
  <c r="G26" i="2"/>
  <c r="J26" i="2" s="1"/>
  <c r="L26" i="2" s="1"/>
  <c r="G78" i="2"/>
  <c r="J78" i="2" s="1"/>
  <c r="G80" i="2"/>
  <c r="J80" i="2" s="1"/>
  <c r="G73" i="2"/>
  <c r="J73" i="2" s="1"/>
  <c r="L73" i="2" s="1"/>
  <c r="G74" i="2"/>
  <c r="J74" i="2" s="1"/>
  <c r="L74" i="2" s="1"/>
  <c r="G75" i="2"/>
  <c r="J75" i="2" s="1"/>
  <c r="L75" i="2" s="1"/>
  <c r="G15" i="2"/>
  <c r="G19" i="2"/>
  <c r="G14" i="2"/>
  <c r="G18" i="2"/>
  <c r="G22" i="2"/>
  <c r="G69" i="2"/>
  <c r="G77" i="2"/>
  <c r="J77" i="2" s="1"/>
  <c r="F67" i="1"/>
  <c r="I13" i="1"/>
  <c r="F74" i="1"/>
  <c r="F76" i="1" s="1"/>
  <c r="G13" i="2"/>
  <c r="G17" i="2"/>
  <c r="G21" i="2"/>
  <c r="G24" i="2"/>
  <c r="J24" i="2" s="1"/>
  <c r="L24" i="2" s="1"/>
  <c r="G89" i="2"/>
  <c r="G97" i="2"/>
  <c r="J97" i="2" s="1"/>
  <c r="L97" i="2" s="1"/>
  <c r="G98" i="2"/>
  <c r="J98" i="2" s="1"/>
  <c r="L98" i="2" s="1"/>
  <c r="D13" i="1"/>
  <c r="D67" i="1"/>
  <c r="H13" i="1"/>
  <c r="E13" i="1"/>
  <c r="I14" i="2"/>
  <c r="F13" i="1"/>
  <c r="C68" i="1"/>
  <c r="K22" i="2"/>
  <c r="I68" i="2"/>
  <c r="I54" i="2"/>
  <c r="I69" i="2"/>
  <c r="I64" i="2"/>
  <c r="I59" i="2"/>
  <c r="I57" i="2"/>
  <c r="I63" i="2"/>
  <c r="I55" i="2"/>
  <c r="I96" i="2"/>
  <c r="I95" i="2"/>
  <c r="I89" i="2"/>
  <c r="I72" i="2"/>
  <c r="I71" i="2"/>
  <c r="I70" i="2"/>
  <c r="I65" i="2"/>
  <c r="I60" i="2"/>
  <c r="I58" i="2"/>
  <c r="I56" i="2"/>
  <c r="K80" i="2"/>
  <c r="K58" i="2"/>
  <c r="K71" i="2"/>
  <c r="G11" i="2"/>
  <c r="I34" i="2"/>
  <c r="I36" i="2"/>
  <c r="I38" i="2"/>
  <c r="I40" i="2"/>
  <c r="I44" i="2"/>
  <c r="I46" i="2"/>
  <c r="I48" i="2"/>
  <c r="I50" i="2"/>
  <c r="I66" i="2"/>
  <c r="I61" i="2"/>
  <c r="K72" i="2"/>
  <c r="K78" i="2"/>
  <c r="I11" i="2"/>
  <c r="I12" i="2"/>
  <c r="I13" i="2"/>
  <c r="I15" i="2"/>
  <c r="I16" i="2"/>
  <c r="I17" i="2"/>
  <c r="I18" i="2"/>
  <c r="I19" i="2"/>
  <c r="I20" i="2"/>
  <c r="I21" i="2"/>
  <c r="I22" i="2"/>
  <c r="E101" i="2"/>
  <c r="I67" i="2"/>
  <c r="I62" i="2"/>
  <c r="I53" i="2"/>
  <c r="I33" i="2"/>
  <c r="I35" i="2"/>
  <c r="I37" i="2"/>
  <c r="I39" i="2"/>
  <c r="I43" i="2"/>
  <c r="I45" i="2"/>
  <c r="I47" i="2"/>
  <c r="I49" i="2"/>
  <c r="I51" i="2"/>
  <c r="K59" i="2"/>
  <c r="J99" i="2"/>
  <c r="L99" i="2" s="1"/>
  <c r="C72" i="1" l="1"/>
  <c r="I48" i="3"/>
  <c r="N118" i="2"/>
  <c r="G96" i="2"/>
  <c r="J96" i="2" s="1"/>
  <c r="L96" i="2" s="1"/>
  <c r="G37" i="2"/>
  <c r="J37" i="2" s="1"/>
  <c r="L37" i="2" s="1"/>
  <c r="G43" i="2"/>
  <c r="J43" i="2" s="1"/>
  <c r="L43" i="2" s="1"/>
  <c r="G48" i="2"/>
  <c r="J48" i="2" s="1"/>
  <c r="L48" i="2" s="1"/>
  <c r="G50" i="2"/>
  <c r="G47" i="2"/>
  <c r="J47" i="2" s="1"/>
  <c r="L47" i="2" s="1"/>
  <c r="G56" i="2"/>
  <c r="J56" i="2" s="1"/>
  <c r="L56" i="2" s="1"/>
  <c r="G64" i="2"/>
  <c r="G62" i="2"/>
  <c r="J62" i="2" s="1"/>
  <c r="L62" i="2" s="1"/>
  <c r="G71" i="2"/>
  <c r="J71" i="2" s="1"/>
  <c r="L71" i="2" s="1"/>
  <c r="G34" i="2"/>
  <c r="G35" i="2"/>
  <c r="G39" i="2"/>
  <c r="J39" i="2" s="1"/>
  <c r="L39" i="2" s="1"/>
  <c r="G42" i="2"/>
  <c r="J42" i="2" s="1"/>
  <c r="L42" i="2" s="1"/>
  <c r="G52" i="2"/>
  <c r="J52" i="2" s="1"/>
  <c r="L52" i="2" s="1"/>
  <c r="G55" i="2"/>
  <c r="J55" i="2" s="1"/>
  <c r="L55" i="2" s="1"/>
  <c r="G59" i="2"/>
  <c r="G66" i="2"/>
  <c r="J66" i="2" s="1"/>
  <c r="L66" i="2" s="1"/>
  <c r="G68" i="2"/>
  <c r="J68" i="2" s="1"/>
  <c r="L68" i="2" s="1"/>
  <c r="G70" i="2"/>
  <c r="J70" i="2" s="1"/>
  <c r="L70" i="2" s="1"/>
  <c r="G38" i="2"/>
  <c r="G44" i="2"/>
  <c r="G51" i="2"/>
  <c r="J51" i="2" s="1"/>
  <c r="L51" i="2" s="1"/>
  <c r="G46" i="2"/>
  <c r="J46" i="2" s="1"/>
  <c r="L46" i="2" s="1"/>
  <c r="G49" i="2"/>
  <c r="J49" i="2" s="1"/>
  <c r="L49" i="2" s="1"/>
  <c r="G57" i="2"/>
  <c r="G61" i="2"/>
  <c r="J61" i="2" s="1"/>
  <c r="L61" i="2" s="1"/>
  <c r="G54" i="2"/>
  <c r="J54" i="2" s="1"/>
  <c r="L54" i="2" s="1"/>
  <c r="G72" i="2"/>
  <c r="J72" i="2" s="1"/>
  <c r="L72" i="2" s="1"/>
  <c r="G36" i="2"/>
  <c r="J36" i="2" s="1"/>
  <c r="L36" i="2" s="1"/>
  <c r="G40" i="2"/>
  <c r="J40" i="2" s="1"/>
  <c r="L40" i="2" s="1"/>
  <c r="G41" i="2"/>
  <c r="J41" i="2" s="1"/>
  <c r="L41" i="2" s="1"/>
  <c r="G45" i="2"/>
  <c r="J45" i="2" s="1"/>
  <c r="L45" i="2" s="1"/>
  <c r="G53" i="2"/>
  <c r="J53" i="2" s="1"/>
  <c r="L53" i="2" s="1"/>
  <c r="G58" i="2"/>
  <c r="J58" i="2" s="1"/>
  <c r="L58" i="2" s="1"/>
  <c r="G60" i="2"/>
  <c r="J60" i="2" s="1"/>
  <c r="L60" i="2" s="1"/>
  <c r="G67" i="2"/>
  <c r="J67" i="2" s="1"/>
  <c r="L67" i="2" s="1"/>
  <c r="G65" i="2"/>
  <c r="J65" i="2" s="1"/>
  <c r="L65" i="2" s="1"/>
  <c r="J33" i="2"/>
  <c r="G95" i="2"/>
  <c r="J95" i="2" s="1"/>
  <c r="L95" i="2" s="1"/>
  <c r="I94" i="2"/>
  <c r="I93" i="2"/>
  <c r="I92" i="2"/>
  <c r="I91" i="2"/>
  <c r="I90" i="2"/>
  <c r="J69" i="2"/>
  <c r="L69" i="2" s="1"/>
  <c r="E103" i="2"/>
  <c r="J18" i="2"/>
  <c r="L18" i="2" s="1"/>
  <c r="J13" i="2"/>
  <c r="L13" i="2" s="1"/>
  <c r="J15" i="2"/>
  <c r="L15" i="2" s="1"/>
  <c r="J17" i="2"/>
  <c r="L17" i="2" s="1"/>
  <c r="J22" i="2"/>
  <c r="L22" i="2" s="1"/>
  <c r="J20" i="2"/>
  <c r="L20" i="2" s="1"/>
  <c r="J19" i="2"/>
  <c r="L19" i="2" s="1"/>
  <c r="J21" i="2"/>
  <c r="L21" i="2" s="1"/>
  <c r="J63" i="2"/>
  <c r="L63" i="2" s="1"/>
  <c r="J14" i="2"/>
  <c r="L14" i="2" s="1"/>
  <c r="J16" i="2"/>
  <c r="L16" i="2" s="1"/>
  <c r="J89" i="2"/>
  <c r="L89" i="2" s="1"/>
  <c r="J12" i="2"/>
  <c r="L12" i="2" s="1"/>
  <c r="L78" i="2"/>
  <c r="L77" i="2"/>
  <c r="L80" i="2"/>
  <c r="G28" i="2"/>
  <c r="J11" i="2"/>
  <c r="D48" i="3" l="1"/>
  <c r="F48" i="3" s="1"/>
  <c r="D49" i="3"/>
  <c r="F49" i="3" s="1"/>
  <c r="D52" i="3"/>
  <c r="F52" i="3" s="1"/>
  <c r="D53" i="3"/>
  <c r="F53" i="3" s="1"/>
  <c r="D51" i="3"/>
  <c r="F51" i="3" s="1"/>
  <c r="D54" i="3"/>
  <c r="F54" i="3" s="1"/>
  <c r="D50" i="3"/>
  <c r="F50" i="3" s="1"/>
  <c r="J34" i="2"/>
  <c r="L34" i="2" s="1"/>
  <c r="J28" i="2"/>
  <c r="J35" i="2"/>
  <c r="L35" i="2" s="1"/>
  <c r="J57" i="2"/>
  <c r="L57" i="2" s="1"/>
  <c r="J44" i="2"/>
  <c r="L44" i="2" s="1"/>
  <c r="J38" i="2"/>
  <c r="L38" i="2" s="1"/>
  <c r="J59" i="2"/>
  <c r="L59" i="2" s="1"/>
  <c r="J50" i="2"/>
  <c r="L50" i="2" s="1"/>
  <c r="J64" i="2"/>
  <c r="L64" i="2" s="1"/>
  <c r="G90" i="2"/>
  <c r="J90" i="2" s="1"/>
  <c r="L90" i="2" s="1"/>
  <c r="G92" i="2"/>
  <c r="J92" i="2" s="1"/>
  <c r="L92" i="2" s="1"/>
  <c r="G94" i="2"/>
  <c r="J94" i="2" s="1"/>
  <c r="L94" i="2" s="1"/>
  <c r="G91" i="2"/>
  <c r="J91" i="2" s="1"/>
  <c r="L91" i="2" s="1"/>
  <c r="G93" i="2"/>
  <c r="J93" i="2" s="1"/>
  <c r="L93" i="2" s="1"/>
  <c r="L33" i="2"/>
  <c r="L11" i="2"/>
  <c r="N119" i="2" l="1"/>
  <c r="G101" i="2"/>
  <c r="G103" i="2" s="1"/>
  <c r="J101" i="2"/>
  <c r="J103" i="2" s="1"/>
  <c r="L101" i="2"/>
  <c r="J115" i="2" s="1"/>
  <c r="L28" i="2"/>
  <c r="J114" i="2" s="1"/>
  <c r="J116" i="2" l="1"/>
  <c r="L103" i="2"/>
  <c r="J122" i="2" l="1"/>
  <c r="J124" i="2" s="1"/>
  <c r="J127" i="2" s="1"/>
  <c r="J126" i="2" l="1"/>
  <c r="J109" i="2" s="1"/>
  <c r="K122" i="2"/>
  <c r="L120" i="2" s="1"/>
  <c r="L121" i="2" l="1"/>
  <c r="L122" i="2" s="1"/>
  <c r="C73" i="1" l="1"/>
  <c r="C74" i="1" s="1"/>
  <c r="J110" i="2"/>
  <c r="J111" i="2" s="1"/>
  <c r="M59" i="2" l="1"/>
  <c r="N59" i="2" s="1"/>
  <c r="O59" i="2" s="1"/>
  <c r="P59" i="2" s="1"/>
  <c r="R59" i="2" s="1"/>
  <c r="T59" i="2" s="1"/>
  <c r="U59" i="2" s="1"/>
  <c r="M34" i="2"/>
  <c r="N34" i="2" s="1"/>
  <c r="O34" i="2" s="1"/>
  <c r="P34" i="2" s="1"/>
  <c r="R34" i="2" s="1"/>
  <c r="T34" i="2" s="1"/>
  <c r="U34" i="2" s="1"/>
  <c r="M95" i="2"/>
  <c r="N95" i="2" s="1"/>
  <c r="O95" i="2" s="1"/>
  <c r="P95" i="2" s="1"/>
  <c r="R95" i="2" s="1"/>
  <c r="T95" i="2" s="1"/>
  <c r="U95" i="2" s="1"/>
  <c r="M54" i="2"/>
  <c r="N54" i="2" s="1"/>
  <c r="O54" i="2" s="1"/>
  <c r="P54" i="2" s="1"/>
  <c r="R54" i="2" s="1"/>
  <c r="T54" i="2" s="1"/>
  <c r="U54" i="2" s="1"/>
  <c r="M57" i="2"/>
  <c r="N57" i="2" s="1"/>
  <c r="O57" i="2" s="1"/>
  <c r="P57" i="2" s="1"/>
  <c r="R57" i="2" s="1"/>
  <c r="T57" i="2" s="1"/>
  <c r="U57" i="2" s="1"/>
  <c r="M64" i="2"/>
  <c r="N64" i="2" s="1"/>
  <c r="O64" i="2" s="1"/>
  <c r="P64" i="2" s="1"/>
  <c r="R64" i="2" s="1"/>
  <c r="T64" i="2" s="1"/>
  <c r="U64" i="2" s="1"/>
  <c r="M52" i="2"/>
  <c r="N52" i="2" s="1"/>
  <c r="O52" i="2" s="1"/>
  <c r="P52" i="2" s="1"/>
  <c r="R52" i="2" s="1"/>
  <c r="T52" i="2" s="1"/>
  <c r="U52" i="2" s="1"/>
  <c r="M67" i="2"/>
  <c r="N67" i="2" s="1"/>
  <c r="O67" i="2" s="1"/>
  <c r="P67" i="2" s="1"/>
  <c r="R67" i="2" s="1"/>
  <c r="T67" i="2" s="1"/>
  <c r="U67" i="2" s="1"/>
  <c r="M46" i="2"/>
  <c r="N46" i="2" s="1"/>
  <c r="O46" i="2" s="1"/>
  <c r="P46" i="2" s="1"/>
  <c r="R46" i="2" s="1"/>
  <c r="T46" i="2" s="1"/>
  <c r="U46" i="2" s="1"/>
  <c r="M86" i="2"/>
  <c r="N86" i="2" s="1"/>
  <c r="O86" i="2" s="1"/>
  <c r="P86" i="2" s="1"/>
  <c r="M42" i="2"/>
  <c r="N42" i="2" s="1"/>
  <c r="O42" i="2" s="1"/>
  <c r="P42" i="2" s="1"/>
  <c r="R42" i="2" s="1"/>
  <c r="T42" i="2" s="1"/>
  <c r="U42" i="2" s="1"/>
  <c r="M26" i="2"/>
  <c r="N26" i="2" s="1"/>
  <c r="O26" i="2" s="1"/>
  <c r="P26" i="2" s="1"/>
  <c r="R26" i="2" s="1"/>
  <c r="T26" i="2" s="1"/>
  <c r="U26" i="2" s="1"/>
  <c r="M35" i="2"/>
  <c r="N35" i="2" s="1"/>
  <c r="O35" i="2" s="1"/>
  <c r="P35" i="2" s="1"/>
  <c r="R35" i="2" s="1"/>
  <c r="T35" i="2" s="1"/>
  <c r="U35" i="2" s="1"/>
  <c r="M92" i="2"/>
  <c r="N92" i="2" s="1"/>
  <c r="O92" i="2" s="1"/>
  <c r="P92" i="2" s="1"/>
  <c r="R92" i="2" s="1"/>
  <c r="T92" i="2" s="1"/>
  <c r="U92" i="2" s="1"/>
  <c r="M19" i="2"/>
  <c r="N19" i="2" s="1"/>
  <c r="O19" i="2" s="1"/>
  <c r="P19" i="2" s="1"/>
  <c r="M74" i="2"/>
  <c r="N74" i="2" s="1"/>
  <c r="O74" i="2" s="1"/>
  <c r="P74" i="2" s="1"/>
  <c r="M50" i="2"/>
  <c r="N50" i="2" s="1"/>
  <c r="O50" i="2" s="1"/>
  <c r="P50" i="2" s="1"/>
  <c r="R50" i="2" s="1"/>
  <c r="T50" i="2" s="1"/>
  <c r="U50" i="2" s="1"/>
  <c r="M38" i="2"/>
  <c r="N38" i="2" s="1"/>
  <c r="O38" i="2" s="1"/>
  <c r="P38" i="2" s="1"/>
  <c r="R38" i="2" s="1"/>
  <c r="T38" i="2" s="1"/>
  <c r="U38" i="2" s="1"/>
  <c r="M43" i="2"/>
  <c r="N43" i="2" s="1"/>
  <c r="O43" i="2" s="1"/>
  <c r="P43" i="2" s="1"/>
  <c r="R43" i="2" s="1"/>
  <c r="T43" i="2" s="1"/>
  <c r="U43" i="2" s="1"/>
  <c r="M40" i="2"/>
  <c r="N40" i="2" s="1"/>
  <c r="O40" i="2" s="1"/>
  <c r="P40" i="2" s="1"/>
  <c r="R40" i="2" s="1"/>
  <c r="T40" i="2" s="1"/>
  <c r="U40" i="2" s="1"/>
  <c r="M55" i="2"/>
  <c r="N55" i="2" s="1"/>
  <c r="O55" i="2" s="1"/>
  <c r="P55" i="2" s="1"/>
  <c r="R55" i="2" s="1"/>
  <c r="T55" i="2" s="1"/>
  <c r="U55" i="2" s="1"/>
  <c r="M99" i="2"/>
  <c r="N99" i="2" s="1"/>
  <c r="O99" i="2" s="1"/>
  <c r="P99" i="2" s="1"/>
  <c r="M20" i="2"/>
  <c r="N20" i="2" s="1"/>
  <c r="O20" i="2" s="1"/>
  <c r="P20" i="2" s="1"/>
  <c r="M14" i="2"/>
  <c r="N14" i="2" s="1"/>
  <c r="O14" i="2" s="1"/>
  <c r="P14" i="2" s="1"/>
  <c r="M83" i="2"/>
  <c r="N83" i="2" s="1"/>
  <c r="O83" i="2" s="1"/>
  <c r="P83" i="2" s="1"/>
  <c r="M49" i="2"/>
  <c r="N49" i="2" s="1"/>
  <c r="O49" i="2" s="1"/>
  <c r="P49" i="2" s="1"/>
  <c r="R49" i="2" s="1"/>
  <c r="T49" i="2" s="1"/>
  <c r="U49" i="2" s="1"/>
  <c r="M91" i="2"/>
  <c r="N91" i="2" s="1"/>
  <c r="O91" i="2" s="1"/>
  <c r="P91" i="2" s="1"/>
  <c r="R91" i="2" s="1"/>
  <c r="T91" i="2" s="1"/>
  <c r="U91" i="2" s="1"/>
  <c r="M94" i="2"/>
  <c r="N94" i="2" s="1"/>
  <c r="O94" i="2" s="1"/>
  <c r="P94" i="2" s="1"/>
  <c r="R94" i="2" s="1"/>
  <c r="T94" i="2" s="1"/>
  <c r="U94" i="2" s="1"/>
  <c r="M61" i="2"/>
  <c r="N61" i="2" s="1"/>
  <c r="O61" i="2" s="1"/>
  <c r="P61" i="2" s="1"/>
  <c r="R61" i="2" s="1"/>
  <c r="T61" i="2" s="1"/>
  <c r="U61" i="2" s="1"/>
  <c r="M77" i="2"/>
  <c r="N77" i="2" s="1"/>
  <c r="O77" i="2" s="1"/>
  <c r="P77" i="2" s="1"/>
  <c r="M68" i="2"/>
  <c r="N68" i="2" s="1"/>
  <c r="O68" i="2" s="1"/>
  <c r="P68" i="2" s="1"/>
  <c r="R68" i="2" s="1"/>
  <c r="T68" i="2" s="1"/>
  <c r="U68" i="2" s="1"/>
  <c r="M53" i="2"/>
  <c r="N53" i="2" s="1"/>
  <c r="O53" i="2" s="1"/>
  <c r="P53" i="2" s="1"/>
  <c r="R53" i="2" s="1"/>
  <c r="T53" i="2" s="1"/>
  <c r="U53" i="2" s="1"/>
  <c r="M37" i="2"/>
  <c r="N37" i="2" s="1"/>
  <c r="O37" i="2" s="1"/>
  <c r="P37" i="2" s="1"/>
  <c r="R37" i="2" s="1"/>
  <c r="T37" i="2" s="1"/>
  <c r="U37" i="2" s="1"/>
  <c r="M44" i="2"/>
  <c r="N44" i="2" s="1"/>
  <c r="O44" i="2" s="1"/>
  <c r="P44" i="2" s="1"/>
  <c r="R44" i="2" s="1"/>
  <c r="T44" i="2" s="1"/>
  <c r="U44" i="2" s="1"/>
  <c r="M23" i="2"/>
  <c r="N23" i="2" s="1"/>
  <c r="O23" i="2" s="1"/>
  <c r="P23" i="2" s="1"/>
  <c r="M41" i="2"/>
  <c r="N41" i="2" s="1"/>
  <c r="O41" i="2" s="1"/>
  <c r="P41" i="2" s="1"/>
  <c r="R41" i="2" s="1"/>
  <c r="T41" i="2" s="1"/>
  <c r="U41" i="2" s="1"/>
  <c r="M65" i="2"/>
  <c r="N65" i="2" s="1"/>
  <c r="O65" i="2" s="1"/>
  <c r="P65" i="2" s="1"/>
  <c r="R65" i="2" s="1"/>
  <c r="T65" i="2" s="1"/>
  <c r="U65" i="2" s="1"/>
  <c r="M93" i="2"/>
  <c r="N93" i="2" s="1"/>
  <c r="O93" i="2" s="1"/>
  <c r="P93" i="2" s="1"/>
  <c r="R93" i="2" s="1"/>
  <c r="T93" i="2" s="1"/>
  <c r="U93" i="2" s="1"/>
  <c r="M56" i="2"/>
  <c r="N56" i="2" s="1"/>
  <c r="O56" i="2" s="1"/>
  <c r="P56" i="2" s="1"/>
  <c r="R56" i="2" s="1"/>
  <c r="T56" i="2" s="1"/>
  <c r="U56" i="2" s="1"/>
  <c r="M47" i="2"/>
  <c r="N47" i="2" s="1"/>
  <c r="O47" i="2" s="1"/>
  <c r="P47" i="2" s="1"/>
  <c r="R47" i="2" s="1"/>
  <c r="T47" i="2" s="1"/>
  <c r="U47" i="2" s="1"/>
  <c r="M48" i="2"/>
  <c r="N48" i="2" s="1"/>
  <c r="O48" i="2" s="1"/>
  <c r="P48" i="2" s="1"/>
  <c r="R48" i="2" s="1"/>
  <c r="T48" i="2" s="1"/>
  <c r="U48" i="2" s="1"/>
  <c r="M66" i="2"/>
  <c r="N66" i="2" s="1"/>
  <c r="O66" i="2" s="1"/>
  <c r="P66" i="2" s="1"/>
  <c r="R66" i="2" s="1"/>
  <c r="T66" i="2" s="1"/>
  <c r="U66" i="2" s="1"/>
  <c r="H121" i="3"/>
  <c r="I121" i="3" s="1"/>
  <c r="M22" i="2"/>
  <c r="N22" i="2" s="1"/>
  <c r="O22" i="2" s="1"/>
  <c r="P22" i="2" s="1"/>
  <c r="M69" i="2"/>
  <c r="N69" i="2" s="1"/>
  <c r="O69" i="2" s="1"/>
  <c r="P69" i="2" s="1"/>
  <c r="M12" i="2"/>
  <c r="N12" i="2" s="1"/>
  <c r="O12" i="2" s="1"/>
  <c r="P12" i="2" s="1"/>
  <c r="M24" i="2"/>
  <c r="N24" i="2" s="1"/>
  <c r="O24" i="2" s="1"/>
  <c r="P24" i="2" s="1"/>
  <c r="M13" i="2"/>
  <c r="N13" i="2" s="1"/>
  <c r="O13" i="2" s="1"/>
  <c r="P13" i="2" s="1"/>
  <c r="M88" i="2"/>
  <c r="N88" i="2" s="1"/>
  <c r="O88" i="2" s="1"/>
  <c r="P88" i="2" s="1"/>
  <c r="M62" i="2"/>
  <c r="N62" i="2" s="1"/>
  <c r="O62" i="2" s="1"/>
  <c r="P62" i="2" s="1"/>
  <c r="R62" i="2" s="1"/>
  <c r="T62" i="2" s="1"/>
  <c r="U62" i="2" s="1"/>
  <c r="M45" i="2"/>
  <c r="N45" i="2" s="1"/>
  <c r="O45" i="2" s="1"/>
  <c r="P45" i="2" s="1"/>
  <c r="M33" i="2"/>
  <c r="M21" i="2"/>
  <c r="N21" i="2" s="1"/>
  <c r="O21" i="2" s="1"/>
  <c r="P21" i="2" s="1"/>
  <c r="M60" i="2"/>
  <c r="N60" i="2" s="1"/>
  <c r="O60" i="2" s="1"/>
  <c r="P60" i="2" s="1"/>
  <c r="M51" i="2"/>
  <c r="N51" i="2" s="1"/>
  <c r="O51" i="2" s="1"/>
  <c r="P51" i="2" s="1"/>
  <c r="M82" i="2"/>
  <c r="N82" i="2" s="1"/>
  <c r="O82" i="2" s="1"/>
  <c r="P82" i="2" s="1"/>
  <c r="M63" i="2"/>
  <c r="N63" i="2" s="1"/>
  <c r="O63" i="2" s="1"/>
  <c r="P63" i="2" s="1"/>
  <c r="R63" i="2" s="1"/>
  <c r="T63" i="2" s="1"/>
  <c r="U63" i="2" s="1"/>
  <c r="M97" i="2"/>
  <c r="N97" i="2" s="1"/>
  <c r="O97" i="2" s="1"/>
  <c r="P97" i="2" s="1"/>
  <c r="R97" i="2" s="1"/>
  <c r="T97" i="2" s="1"/>
  <c r="U97" i="2" s="1"/>
  <c r="M96" i="2"/>
  <c r="N96" i="2" s="1"/>
  <c r="O96" i="2" s="1"/>
  <c r="P96" i="2" s="1"/>
  <c r="R96" i="2" s="1"/>
  <c r="T96" i="2" s="1"/>
  <c r="U96" i="2" s="1"/>
  <c r="M80" i="2"/>
  <c r="N80" i="2" s="1"/>
  <c r="O80" i="2" s="1"/>
  <c r="P80" i="2" s="1"/>
  <c r="M90" i="2"/>
  <c r="N90" i="2" s="1"/>
  <c r="O90" i="2" s="1"/>
  <c r="P90" i="2" s="1"/>
  <c r="M98" i="2"/>
  <c r="N98" i="2" s="1"/>
  <c r="O98" i="2" s="1"/>
  <c r="P98" i="2" s="1"/>
  <c r="M39" i="2"/>
  <c r="N39" i="2" s="1"/>
  <c r="O39" i="2" s="1"/>
  <c r="P39" i="2" s="1"/>
  <c r="M18" i="2"/>
  <c r="N18" i="2" s="1"/>
  <c r="O18" i="2" s="1"/>
  <c r="P18" i="2" s="1"/>
  <c r="M71" i="2"/>
  <c r="N71" i="2" s="1"/>
  <c r="O71" i="2" s="1"/>
  <c r="P71" i="2" s="1"/>
  <c r="M25" i="2"/>
  <c r="N25" i="2" s="1"/>
  <c r="O25" i="2" s="1"/>
  <c r="P25" i="2" s="1"/>
  <c r="M85" i="2"/>
  <c r="N85" i="2" s="1"/>
  <c r="O85" i="2" s="1"/>
  <c r="P85" i="2" s="1"/>
  <c r="M73" i="2"/>
  <c r="N73" i="2" s="1"/>
  <c r="O73" i="2" s="1"/>
  <c r="P73" i="2" s="1"/>
  <c r="M79" i="2"/>
  <c r="N79" i="2" s="1"/>
  <c r="O79" i="2" s="1"/>
  <c r="P79" i="2" s="1"/>
  <c r="M89" i="2"/>
  <c r="N89" i="2" s="1"/>
  <c r="O89" i="2" s="1"/>
  <c r="P89" i="2" s="1"/>
  <c r="R89" i="2" s="1"/>
  <c r="T89" i="2" s="1"/>
  <c r="U89" i="2" s="1"/>
  <c r="M78" i="2"/>
  <c r="N78" i="2" s="1"/>
  <c r="O78" i="2" s="1"/>
  <c r="P78" i="2" s="1"/>
  <c r="M76" i="2"/>
  <c r="N76" i="2" s="1"/>
  <c r="O76" i="2" s="1"/>
  <c r="P76" i="2" s="1"/>
  <c r="M11" i="2"/>
  <c r="M15" i="2"/>
  <c r="N15" i="2" s="1"/>
  <c r="O15" i="2" s="1"/>
  <c r="P15" i="2" s="1"/>
  <c r="M81" i="2"/>
  <c r="N81" i="2" s="1"/>
  <c r="O81" i="2" s="1"/>
  <c r="P81" i="2" s="1"/>
  <c r="M58" i="2"/>
  <c r="N58" i="2" s="1"/>
  <c r="O58" i="2" s="1"/>
  <c r="P58" i="2" s="1"/>
  <c r="M70" i="2"/>
  <c r="N70" i="2" s="1"/>
  <c r="O70" i="2" s="1"/>
  <c r="P70" i="2" s="1"/>
  <c r="M72" i="2"/>
  <c r="N72" i="2" s="1"/>
  <c r="O72" i="2" s="1"/>
  <c r="P72" i="2" s="1"/>
  <c r="M36" i="2"/>
  <c r="N36" i="2" s="1"/>
  <c r="O36" i="2" s="1"/>
  <c r="P36" i="2" s="1"/>
  <c r="M87" i="2"/>
  <c r="N87" i="2" s="1"/>
  <c r="O87" i="2" s="1"/>
  <c r="P87" i="2" s="1"/>
  <c r="M16" i="2"/>
  <c r="N16" i="2" s="1"/>
  <c r="O16" i="2" s="1"/>
  <c r="P16" i="2" s="1"/>
  <c r="M75" i="2"/>
  <c r="N75" i="2" s="1"/>
  <c r="O75" i="2" s="1"/>
  <c r="P75" i="2" s="1"/>
  <c r="M17" i="2"/>
  <c r="N17" i="2" s="1"/>
  <c r="O17" i="2" s="1"/>
  <c r="P17" i="2" s="1"/>
  <c r="H38" i="3"/>
  <c r="I38" i="3" s="1"/>
  <c r="M84" i="2"/>
  <c r="N84" i="2" s="1"/>
  <c r="O84" i="2" s="1"/>
  <c r="P84" i="2" s="1"/>
  <c r="D39" i="3" l="1"/>
  <c r="F39" i="3" s="1"/>
  <c r="D38" i="3"/>
  <c r="F38" i="3" s="1"/>
  <c r="D102" i="3"/>
  <c r="F102" i="3" s="1"/>
  <c r="S87" i="2" s="1"/>
  <c r="R87" i="2"/>
  <c r="T87" i="2" s="1"/>
  <c r="U87" i="2" s="1"/>
  <c r="R58" i="2"/>
  <c r="T58" i="2" s="1"/>
  <c r="U58" i="2" s="1"/>
  <c r="D82" i="3"/>
  <c r="F82" i="3" s="1"/>
  <c r="D90" i="3"/>
  <c r="F90" i="3" s="1"/>
  <c r="S76" i="2" s="1"/>
  <c r="R76" i="2"/>
  <c r="T76" i="2" s="1"/>
  <c r="U76" i="2" s="1"/>
  <c r="D87" i="3"/>
  <c r="F87" i="3" s="1"/>
  <c r="S73" i="2" s="1"/>
  <c r="R73" i="2"/>
  <c r="T73" i="2" s="1"/>
  <c r="U73" i="2" s="1"/>
  <c r="R18" i="2"/>
  <c r="T18" i="2" s="1"/>
  <c r="U18" i="2" s="1"/>
  <c r="D19" i="3"/>
  <c r="F19" i="3" s="1"/>
  <c r="S18" i="2" s="1"/>
  <c r="R80" i="2"/>
  <c r="T80" i="2" s="1"/>
  <c r="U80" i="2" s="1"/>
  <c r="D92" i="3"/>
  <c r="R82" i="2"/>
  <c r="T82" i="2" s="1"/>
  <c r="U82" i="2" s="1"/>
  <c r="D94" i="3"/>
  <c r="F94" i="3" s="1"/>
  <c r="S82" i="2" s="1"/>
  <c r="N33" i="2"/>
  <c r="M101" i="2"/>
  <c r="D27" i="3"/>
  <c r="F27" i="3" s="1"/>
  <c r="S13" i="2" s="1"/>
  <c r="R13" i="2"/>
  <c r="T13" i="2" s="1"/>
  <c r="U13" i="2" s="1"/>
  <c r="R22" i="2"/>
  <c r="T22" i="2" s="1"/>
  <c r="U22" i="2" s="1"/>
  <c r="D23" i="3"/>
  <c r="R14" i="2"/>
  <c r="T14" i="2" s="1"/>
  <c r="U14" i="2" s="1"/>
  <c r="D26" i="3"/>
  <c r="F26" i="3" s="1"/>
  <c r="S14" i="2" s="1"/>
  <c r="R74" i="2"/>
  <c r="T74" i="2" s="1"/>
  <c r="U74" i="2" s="1"/>
  <c r="D88" i="3"/>
  <c r="F88" i="3" s="1"/>
  <c r="S74" i="2" s="1"/>
  <c r="D78" i="3"/>
  <c r="F78" i="3" s="1"/>
  <c r="R36" i="2"/>
  <c r="T36" i="2" s="1"/>
  <c r="U36" i="2" s="1"/>
  <c r="D126" i="3"/>
  <c r="F126" i="3" s="1"/>
  <c r="S78" i="2" s="1"/>
  <c r="R78" i="2"/>
  <c r="T78" i="2" s="1"/>
  <c r="U78" i="2" s="1"/>
  <c r="R39" i="2"/>
  <c r="T39" i="2" s="1"/>
  <c r="U39" i="2" s="1"/>
  <c r="D79" i="3"/>
  <c r="F79" i="3" s="1"/>
  <c r="D81" i="3"/>
  <c r="F81" i="3" s="1"/>
  <c r="R51" i="2"/>
  <c r="T51" i="2" s="1"/>
  <c r="U51" i="2" s="1"/>
  <c r="D35" i="3"/>
  <c r="F35" i="3" s="1"/>
  <c r="S24" i="2" s="1"/>
  <c r="R24" i="2"/>
  <c r="T24" i="2" s="1"/>
  <c r="U24" i="2" s="1"/>
  <c r="R23" i="2"/>
  <c r="T23" i="2" s="1"/>
  <c r="U23" i="2" s="1"/>
  <c r="D30" i="3"/>
  <c r="F30" i="3" s="1"/>
  <c r="S23" i="2" s="1"/>
  <c r="R20" i="2"/>
  <c r="T20" i="2" s="1"/>
  <c r="U20" i="2" s="1"/>
  <c r="D21" i="3"/>
  <c r="F21" i="3" s="1"/>
  <c r="S20" i="2" s="1"/>
  <c r="D20" i="3"/>
  <c r="F20" i="3" s="1"/>
  <c r="S19" i="2" s="1"/>
  <c r="R19" i="2"/>
  <c r="T19" i="2" s="1"/>
  <c r="U19" i="2" s="1"/>
  <c r="R17" i="2"/>
  <c r="T17" i="2" s="1"/>
  <c r="U17" i="2" s="1"/>
  <c r="D18" i="3"/>
  <c r="F18" i="3" s="1"/>
  <c r="S17" i="2" s="1"/>
  <c r="R81" i="2"/>
  <c r="T81" i="2" s="1"/>
  <c r="U81" i="2" s="1"/>
  <c r="D93" i="3"/>
  <c r="R85" i="2"/>
  <c r="T85" i="2" s="1"/>
  <c r="U85" i="2" s="1"/>
  <c r="D100" i="3"/>
  <c r="F100" i="3" s="1"/>
  <c r="S85" i="2" s="1"/>
  <c r="D80" i="3"/>
  <c r="F80" i="3" s="1"/>
  <c r="R45" i="2"/>
  <c r="T45" i="2" s="1"/>
  <c r="U45" i="2" s="1"/>
  <c r="R75" i="2"/>
  <c r="T75" i="2" s="1"/>
  <c r="U75" i="2" s="1"/>
  <c r="D89" i="3"/>
  <c r="F89" i="3" s="1"/>
  <c r="S75" i="2" s="1"/>
  <c r="D120" i="3"/>
  <c r="R72" i="2"/>
  <c r="T72" i="2" s="1"/>
  <c r="U72" i="2" s="1"/>
  <c r="R15" i="2"/>
  <c r="T15" i="2" s="1"/>
  <c r="U15" i="2" s="1"/>
  <c r="D16" i="3"/>
  <c r="D11" i="3"/>
  <c r="D25" i="3" s="1"/>
  <c r="F25" i="3" s="1"/>
  <c r="R25" i="2"/>
  <c r="T25" i="2" s="1"/>
  <c r="U25" i="2" s="1"/>
  <c r="R98" i="2"/>
  <c r="T98" i="2" s="1"/>
  <c r="U98" i="2" s="1"/>
  <c r="D57" i="3"/>
  <c r="R60" i="2"/>
  <c r="T60" i="2" s="1"/>
  <c r="U60" i="2" s="1"/>
  <c r="D83" i="3"/>
  <c r="F83" i="3" s="1"/>
  <c r="R12" i="2"/>
  <c r="T12" i="2" s="1"/>
  <c r="U12" i="2" s="1"/>
  <c r="D14" i="3"/>
  <c r="D31" i="3" s="1"/>
  <c r="R77" i="2"/>
  <c r="T77" i="2" s="1"/>
  <c r="U77" i="2" s="1"/>
  <c r="D124" i="3"/>
  <c r="F124" i="3" s="1"/>
  <c r="S77" i="2" s="1"/>
  <c r="D58" i="3"/>
  <c r="F58" i="3" s="1"/>
  <c r="S99" i="2" s="1"/>
  <c r="R99" i="2"/>
  <c r="T99" i="2" s="1"/>
  <c r="U99" i="2" s="1"/>
  <c r="R86" i="2"/>
  <c r="T86" i="2" s="1"/>
  <c r="U86" i="2" s="1"/>
  <c r="D101" i="3"/>
  <c r="F101" i="3" s="1"/>
  <c r="S86" i="2" s="1"/>
  <c r="R84" i="2"/>
  <c r="T84" i="2" s="1"/>
  <c r="U84" i="2" s="1"/>
  <c r="D99" i="3"/>
  <c r="F99" i="3" s="1"/>
  <c r="S84" i="2" s="1"/>
  <c r="D17" i="3"/>
  <c r="F17" i="3" s="1"/>
  <c r="S16" i="2" s="1"/>
  <c r="R16" i="2"/>
  <c r="T16" i="2" s="1"/>
  <c r="U16" i="2" s="1"/>
  <c r="D118" i="3"/>
  <c r="D121" i="3" s="1"/>
  <c r="F121" i="3" s="1"/>
  <c r="R70" i="2"/>
  <c r="T70" i="2" s="1"/>
  <c r="U70" i="2" s="1"/>
  <c r="M28" i="2"/>
  <c r="K114" i="2" s="1"/>
  <c r="N11" i="2"/>
  <c r="R79" i="2"/>
  <c r="T79" i="2" s="1"/>
  <c r="U79" i="2" s="1"/>
  <c r="D91" i="3"/>
  <c r="F91" i="3" s="1"/>
  <c r="S79" i="2" s="1"/>
  <c r="R71" i="2"/>
  <c r="T71" i="2" s="1"/>
  <c r="U71" i="2" s="1"/>
  <c r="D119" i="3"/>
  <c r="D108" i="3"/>
  <c r="R90" i="2"/>
  <c r="T90" i="2" s="1"/>
  <c r="U90" i="2" s="1"/>
  <c r="D22" i="3"/>
  <c r="F22" i="3" s="1"/>
  <c r="S21" i="2" s="1"/>
  <c r="R21" i="2"/>
  <c r="T21" i="2" s="1"/>
  <c r="U21" i="2" s="1"/>
  <c r="D105" i="3"/>
  <c r="F105" i="3" s="1"/>
  <c r="S88" i="2" s="1"/>
  <c r="R88" i="2"/>
  <c r="T88" i="2" s="1"/>
  <c r="U88" i="2" s="1"/>
  <c r="R69" i="2"/>
  <c r="T69" i="2" s="1"/>
  <c r="U69" i="2" s="1"/>
  <c r="D84" i="3"/>
  <c r="F84" i="3" s="1"/>
  <c r="D98" i="3"/>
  <c r="F98" i="3" s="1"/>
  <c r="S83" i="2" s="1"/>
  <c r="R83" i="2"/>
  <c r="T83" i="2" s="1"/>
  <c r="U83" i="2" s="1"/>
  <c r="D127" i="3" l="1"/>
  <c r="F127" i="3" s="1"/>
  <c r="D134" i="3"/>
  <c r="F134" i="3" s="1"/>
  <c r="F11" i="3"/>
  <c r="S25" i="2" s="1"/>
  <c r="D34" i="3"/>
  <c r="F34" i="3" s="1"/>
  <c r="D33" i="3"/>
  <c r="F33" i="3" s="1"/>
  <c r="D32" i="3"/>
  <c r="F32" i="3" s="1"/>
  <c r="S68" i="2"/>
  <c r="S65" i="2"/>
  <c r="S69" i="2"/>
  <c r="S67" i="2"/>
  <c r="S66" i="2"/>
  <c r="F119" i="3"/>
  <c r="S71" i="2" s="1"/>
  <c r="D132" i="3"/>
  <c r="F132" i="3" s="1"/>
  <c r="D125" i="3"/>
  <c r="F125" i="3" s="1"/>
  <c r="N28" i="2"/>
  <c r="O11" i="2"/>
  <c r="S64" i="2"/>
  <c r="S61" i="2"/>
  <c r="S63" i="2"/>
  <c r="S60" i="2"/>
  <c r="S62" i="2"/>
  <c r="D141" i="3"/>
  <c r="F141" i="3" s="1"/>
  <c r="F120" i="3"/>
  <c r="S72" i="2" s="1"/>
  <c r="D133" i="3"/>
  <c r="F133" i="3" s="1"/>
  <c r="D138" i="3"/>
  <c r="F138" i="3" s="1"/>
  <c r="S43" i="2"/>
  <c r="S44" i="2"/>
  <c r="S42" i="2"/>
  <c r="S39" i="2"/>
  <c r="S41" i="2"/>
  <c r="S40" i="2"/>
  <c r="F14" i="3"/>
  <c r="S12" i="2" s="1"/>
  <c r="F31" i="3"/>
  <c r="D44" i="3"/>
  <c r="F44" i="3" s="1"/>
  <c r="D42" i="3"/>
  <c r="F42" i="3" s="1"/>
  <c r="F57" i="3"/>
  <c r="S98" i="2" s="1"/>
  <c r="D43" i="3"/>
  <c r="F43" i="3" s="1"/>
  <c r="F16" i="3"/>
  <c r="S15" i="2" s="1"/>
  <c r="S36" i="2"/>
  <c r="S37" i="2"/>
  <c r="S38" i="2"/>
  <c r="F108" i="3"/>
  <c r="D111" i="3"/>
  <c r="F111" i="3" s="1"/>
  <c r="D114" i="3"/>
  <c r="F114" i="3" s="1"/>
  <c r="S97" i="2" s="1"/>
  <c r="D113" i="3"/>
  <c r="F113" i="3" s="1"/>
  <c r="S89" i="2" s="1"/>
  <c r="F118" i="3"/>
  <c r="S70" i="2" s="1"/>
  <c r="D131" i="3"/>
  <c r="F131" i="3" s="1"/>
  <c r="F93" i="3"/>
  <c r="S81" i="2" s="1"/>
  <c r="D104" i="3"/>
  <c r="F104" i="3" s="1"/>
  <c r="F23" i="3"/>
  <c r="S22" i="2" s="1"/>
  <c r="D24" i="3"/>
  <c r="K115" i="2"/>
  <c r="M103" i="2"/>
  <c r="D103" i="3"/>
  <c r="F103" i="3" s="1"/>
  <c r="F92" i="3"/>
  <c r="S80" i="2" s="1"/>
  <c r="S59" i="2"/>
  <c r="S58" i="2"/>
  <c r="S49" i="2"/>
  <c r="S45" i="2"/>
  <c r="S47" i="2"/>
  <c r="S50" i="2"/>
  <c r="S46" i="2"/>
  <c r="S48" i="2"/>
  <c r="S53" i="2"/>
  <c r="S55" i="2"/>
  <c r="S57" i="2"/>
  <c r="S52" i="2"/>
  <c r="S51" i="2"/>
  <c r="S54" i="2"/>
  <c r="S56" i="2"/>
  <c r="O33" i="2"/>
  <c r="N101" i="2"/>
  <c r="F24" i="3" l="1"/>
  <c r="S26" i="2"/>
  <c r="N103" i="2"/>
  <c r="O101" i="2"/>
  <c r="P33" i="2"/>
  <c r="K116" i="2"/>
  <c r="S92" i="2"/>
  <c r="S90" i="2"/>
  <c r="S94" i="2"/>
  <c r="S95" i="2"/>
  <c r="S91" i="2"/>
  <c r="S93" i="2"/>
  <c r="S96" i="2"/>
  <c r="O28" i="2"/>
  <c r="P11" i="2"/>
  <c r="R33" i="2" l="1"/>
  <c r="D77" i="3"/>
  <c r="F77" i="3" s="1"/>
  <c r="O103" i="2"/>
  <c r="K124" i="2"/>
  <c r="L114" i="2"/>
  <c r="D15" i="3"/>
  <c r="F15" i="3" s="1"/>
  <c r="S11" i="2" s="1"/>
  <c r="R11" i="2"/>
  <c r="L115" i="2"/>
  <c r="L116" i="2" l="1"/>
  <c r="S35" i="2"/>
  <c r="S33" i="2"/>
  <c r="S34" i="2"/>
  <c r="T11" i="2"/>
  <c r="T33" i="2"/>
  <c r="U33" i="2" l="1"/>
  <c r="U101" i="2" s="1"/>
  <c r="N108" i="2" s="1"/>
  <c r="O108" i="2" s="1"/>
  <c r="T101" i="2"/>
  <c r="T28" i="2"/>
  <c r="U11" i="2"/>
  <c r="U28" i="2" s="1"/>
  <c r="N107" i="2" s="1"/>
  <c r="O107" i="2" s="1"/>
  <c r="T103" i="2" l="1"/>
  <c r="U103" i="2"/>
  <c r="U104" i="2" s="1"/>
</calcChain>
</file>

<file path=xl/comments1.xml><?xml version="1.0" encoding="utf-8"?>
<comments xmlns="http://schemas.openxmlformats.org/spreadsheetml/2006/main">
  <authors>
    <author>Lindsay Waldram</author>
  </authors>
  <commentList>
    <comment ref="E6" authorId="0" shapeId="0">
      <text>
        <r>
          <rPr>
            <b/>
            <sz val="9"/>
            <color indexed="81"/>
            <rFont val="Tahoma"/>
            <family val="2"/>
          </rPr>
          <t>Lindsay Waldram:</t>
        </r>
        <r>
          <rPr>
            <sz val="9"/>
            <color indexed="81"/>
            <rFont val="Tahoma"/>
            <family val="2"/>
          </rPr>
          <t xml:space="preserve">
Revenue per Price Out workpaper.  Copy and pasted values to maintian data integrity.</t>
        </r>
      </text>
    </comment>
    <comment ref="K21" authorId="0" shapeId="0">
      <text>
        <r>
          <rPr>
            <b/>
            <sz val="9"/>
            <color indexed="81"/>
            <rFont val="Tahoma"/>
            <family val="2"/>
          </rPr>
          <t>Lindsay Waldram:</t>
        </r>
        <r>
          <rPr>
            <sz val="9"/>
            <color indexed="81"/>
            <rFont val="Tahoma"/>
            <family val="2"/>
          </rPr>
          <t xml:space="preserve">
This service is not listed in the Meeks weight.  Used the % increase between 5 &amp; 6 cans to determine the step increase for 7 cans.</t>
        </r>
      </text>
    </comment>
  </commentList>
</comments>
</file>

<file path=xl/comments2.xml><?xml version="1.0" encoding="utf-8"?>
<comments xmlns="http://schemas.openxmlformats.org/spreadsheetml/2006/main">
  <authors>
    <author>Lindsay Waldram</author>
    <author>HeatherL</author>
  </authors>
  <commentList>
    <comment ref="E8" authorId="0" shapeId="0">
      <text>
        <r>
          <rPr>
            <sz val="9"/>
            <color indexed="81"/>
            <rFont val="Tahoma"/>
            <family val="2"/>
          </rPr>
          <t>Revenue was obtained from the Price Out.  Copy and pasted values to maintain data integrity.</t>
        </r>
      </text>
    </comment>
    <comment ref="G8" authorId="0" shapeId="0">
      <text>
        <r>
          <rPr>
            <sz val="9"/>
            <color indexed="81"/>
            <rFont val="Tahoma"/>
            <family val="2"/>
          </rPr>
          <t>Rates were obtained from the Price Out.  Copy and pasted values to maintain data integrity.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8" authorId="0" shapeId="0">
      <text>
        <r>
          <rPr>
            <sz val="9"/>
            <color indexed="81"/>
            <rFont val="Tahoma"/>
            <family val="2"/>
          </rPr>
          <t>Revenue was obtained from the Price Out.  Copy and pasted values to maintain data integrity.</t>
        </r>
      </text>
    </comment>
    <comment ref="J8" authorId="0" shapeId="0">
      <text>
        <r>
          <rPr>
            <sz val="9"/>
            <color indexed="81"/>
            <rFont val="Tahoma"/>
            <family val="2"/>
          </rPr>
          <t>Rates were obtained from the Price Out.  Copy and pasted values to maintain data integrity.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8" authorId="0" shapeId="0">
      <text>
        <r>
          <rPr>
            <sz val="9"/>
            <color indexed="81"/>
            <rFont val="Tahoma"/>
            <family val="2"/>
          </rPr>
          <t>Revenue was obtained from the Price Out.  Copy and pasted values to maintain data integrity.</t>
        </r>
      </text>
    </comment>
    <comment ref="M8" authorId="0" shapeId="0">
      <text>
        <r>
          <rPr>
            <sz val="9"/>
            <color indexed="81"/>
            <rFont val="Tahoma"/>
            <family val="2"/>
          </rPr>
          <t>Rates were obtained from the Price Out.  Copy and pasted values to maintain data integrity.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8" authorId="0" shapeId="0">
      <text>
        <r>
          <rPr>
            <sz val="9"/>
            <color indexed="81"/>
            <rFont val="Tahoma"/>
            <family val="2"/>
          </rPr>
          <t>Revenue was obtained from the Price Out.  Copy and pasted values to maintain data integrity.</t>
        </r>
      </text>
    </comment>
    <comment ref="P8" authorId="0" shapeId="0">
      <text>
        <r>
          <rPr>
            <sz val="9"/>
            <color indexed="81"/>
            <rFont val="Tahoma"/>
            <family val="2"/>
          </rPr>
          <t>Rates were obtained from the Price Out.  Copy and pasted values to maintain data integrity.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8" authorId="0" shapeId="0">
      <text>
        <r>
          <rPr>
            <sz val="9"/>
            <color indexed="81"/>
            <rFont val="Tahoma"/>
            <family val="2"/>
          </rPr>
          <t>Revenue was obtained from the Price Out.  Copy and pasted values to maintain data integrity.</t>
        </r>
      </text>
    </comment>
    <comment ref="S8" authorId="0" shapeId="0">
      <text>
        <r>
          <rPr>
            <sz val="9"/>
            <color indexed="81"/>
            <rFont val="Tahoma"/>
            <family val="2"/>
          </rPr>
          <t>Rates were obtained from the Price Out.  Copy and pasted values to maintain data integrity.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8" authorId="0" shapeId="0">
      <text>
        <r>
          <rPr>
            <sz val="9"/>
            <color indexed="81"/>
            <rFont val="Tahoma"/>
            <family val="2"/>
          </rPr>
          <t>Revenue was obtained from the Price Out.  Copy and pasted values to maintain data integrity.</t>
        </r>
      </text>
    </comment>
    <comment ref="B127" authorId="1" shapeId="0">
      <text>
        <r>
          <rPr>
            <b/>
            <sz val="8"/>
            <color indexed="81"/>
            <rFont val="Tahoma"/>
            <family val="2"/>
          </rPr>
          <t>HeatherL:</t>
        </r>
        <r>
          <rPr>
            <sz val="8"/>
            <color indexed="81"/>
            <rFont val="Tahoma"/>
            <family val="2"/>
          </rPr>
          <t xml:space="preserve">
Camas Walgreens - special compactor haul uses county rates.</t>
        </r>
      </text>
    </comment>
  </commentList>
</comments>
</file>

<file path=xl/comments3.xml><?xml version="1.0" encoding="utf-8"?>
<comments xmlns="http://schemas.openxmlformats.org/spreadsheetml/2006/main">
  <authors>
    <author>Heather Garland</author>
  </authors>
  <commentList>
    <comment ref="D25" authorId="0" shapeId="0">
      <text>
        <r>
          <rPr>
            <b/>
            <sz val="9"/>
            <color indexed="81"/>
            <rFont val="Tahoma"/>
            <family val="2"/>
          </rPr>
          <t>Heather Garland:</t>
        </r>
        <r>
          <rPr>
            <sz val="9"/>
            <color indexed="81"/>
            <rFont val="Tahoma"/>
            <family val="2"/>
          </rPr>
          <t xml:space="preserve">
No customers.  Assumed standard 32 gallon increase.</t>
        </r>
      </text>
    </comment>
    <comment ref="D32" authorId="0" shapeId="0">
      <text>
        <r>
          <rPr>
            <b/>
            <sz val="9"/>
            <color indexed="81"/>
            <rFont val="Tahoma"/>
            <family val="2"/>
          </rPr>
          <t>Heather Garland:</t>
        </r>
        <r>
          <rPr>
            <sz val="9"/>
            <color indexed="81"/>
            <rFont val="Tahoma"/>
            <family val="2"/>
          </rPr>
          <t xml:space="preserve">
Service not offered - assumed 32 gallon weight/increase x2 to approximate 60 gallons.  Will likely remove in next filing.</t>
        </r>
      </text>
    </comment>
    <comment ref="D33" authorId="0" shapeId="0">
      <text>
        <r>
          <rPr>
            <b/>
            <sz val="9"/>
            <color indexed="81"/>
            <rFont val="Tahoma"/>
            <family val="2"/>
          </rPr>
          <t>Heather Garland:</t>
        </r>
        <r>
          <rPr>
            <sz val="9"/>
            <color indexed="81"/>
            <rFont val="Tahoma"/>
            <family val="2"/>
          </rPr>
          <t xml:space="preserve">
Service not offered - assumed 32 gallon weight/increase x3 to approximate 90 gallons.  Will likely remove in next filing.</t>
        </r>
      </text>
    </comment>
    <comment ref="H38" authorId="0" shapeId="0">
      <text>
        <r>
          <rPr>
            <b/>
            <sz val="9"/>
            <color indexed="81"/>
            <rFont val="Tahoma"/>
            <family val="2"/>
          </rPr>
          <t>Heather Garland:</t>
        </r>
        <r>
          <rPr>
            <sz val="9"/>
            <color indexed="81"/>
            <rFont val="Tahoma"/>
            <family val="2"/>
          </rPr>
          <t xml:space="preserve">
Assumed 50 gallon drum similar to 60 gallon weight.  Service not offered.  Rate will likely be removed in next filing.</t>
        </r>
      </text>
    </comment>
    <comment ref="D48" authorId="0" shapeId="0">
      <text>
        <r>
          <rPr>
            <b/>
            <sz val="9"/>
            <color indexed="81"/>
            <rFont val="Tahoma"/>
            <family val="2"/>
          </rPr>
          <t>Heather Garland:</t>
        </r>
        <r>
          <rPr>
            <sz val="9"/>
            <color indexed="81"/>
            <rFont val="Tahoma"/>
            <family val="2"/>
          </rPr>
          <t xml:space="preserve">
Tariff item is stated "per 50 lbs."</t>
        </r>
      </text>
    </comment>
  </commentList>
</comments>
</file>

<file path=xl/sharedStrings.xml><?xml version="1.0" encoding="utf-8"?>
<sst xmlns="http://schemas.openxmlformats.org/spreadsheetml/2006/main" count="894" uniqueCount="643">
  <si>
    <t>Monthly Factor</t>
  </si>
  <si>
    <t>Pickups:</t>
  </si>
  <si>
    <t>1 unit</t>
  </si>
  <si>
    <t>2 units</t>
  </si>
  <si>
    <t>3 units</t>
  </si>
  <si>
    <t>4 units</t>
  </si>
  <si>
    <t>5 units</t>
  </si>
  <si>
    <t>6 units</t>
  </si>
  <si>
    <t>7 unit</t>
  </si>
  <si>
    <t>5 Times per Week</t>
  </si>
  <si>
    <t>4 Times per Week</t>
  </si>
  <si>
    <t>3 Times per Week</t>
  </si>
  <si>
    <t>2 Times per Week</t>
  </si>
  <si>
    <t>Weekly Pickup (WG)</t>
  </si>
  <si>
    <t>Every Other Week (EOWG)</t>
  </si>
  <si>
    <t>Monthly (MG)</t>
  </si>
  <si>
    <t>Extra Units</t>
  </si>
  <si>
    <t>Meeks Weights</t>
  </si>
  <si>
    <t>Res'l</t>
  </si>
  <si>
    <t>Pounds per Pickup</t>
  </si>
  <si>
    <t>20 gal minican</t>
  </si>
  <si>
    <t>1 can</t>
  </si>
  <si>
    <t>2 cans</t>
  </si>
  <si>
    <t>3 cans</t>
  </si>
  <si>
    <t>Lbs. per ton</t>
  </si>
  <si>
    <t>4 cans</t>
  </si>
  <si>
    <t>Yds. Per ton</t>
  </si>
  <si>
    <t>5 cans</t>
  </si>
  <si>
    <t>6 cans</t>
  </si>
  <si>
    <t>Annual</t>
  </si>
  <si>
    <t>8 cans</t>
  </si>
  <si>
    <t>40 gallon Can</t>
  </si>
  <si>
    <t>*</t>
  </si>
  <si>
    <t>Supercan 60</t>
  </si>
  <si>
    <t>Supercan 64</t>
  </si>
  <si>
    <t>Supercan 90</t>
  </si>
  <si>
    <t>Supercan 96</t>
  </si>
  <si>
    <t>Once a month</t>
  </si>
  <si>
    <t>Extras</t>
  </si>
  <si>
    <t>Com'l</t>
  </si>
  <si>
    <t>Cans</t>
  </si>
  <si>
    <t>Yards</t>
  </si>
  <si>
    <t>1 yd container</t>
  </si>
  <si>
    <t>1.5 yd container</t>
  </si>
  <si>
    <t>2 yd container</t>
  </si>
  <si>
    <t>3 yd container</t>
  </si>
  <si>
    <t>4 yd container</t>
  </si>
  <si>
    <t>5 yd container</t>
  </si>
  <si>
    <t>6 yd container</t>
  </si>
  <si>
    <t>8 yd container</t>
  </si>
  <si>
    <t>Compaction Ratio:   2:25</t>
  </si>
  <si>
    <t>2 yd packer/compactor</t>
  </si>
  <si>
    <t>4 yd packer/compactor</t>
  </si>
  <si>
    <t>6 yd packer/compactor</t>
  </si>
  <si>
    <t>Compaction Ratio:   3:1</t>
  </si>
  <si>
    <t>3 yd packer/compactor</t>
  </si>
  <si>
    <t>Compaction Ratio:   4:1</t>
  </si>
  <si>
    <t>Compaction Ratio:   5:1</t>
  </si>
  <si>
    <t>Vancouver Hauling</t>
  </si>
  <si>
    <t>Per Pound</t>
  </si>
  <si>
    <t>Gross Up Factors</t>
  </si>
  <si>
    <t xml:space="preserve">Current Rate </t>
  </si>
  <si>
    <t>B&amp;O tax</t>
  </si>
  <si>
    <t>New Rate per ton</t>
  </si>
  <si>
    <t>WUTC fees</t>
  </si>
  <si>
    <t>Increase</t>
  </si>
  <si>
    <t>Bad Debts</t>
  </si>
  <si>
    <t>Total</t>
  </si>
  <si>
    <t>Transfer Station</t>
  </si>
  <si>
    <t>Increase per ton</t>
  </si>
  <si>
    <t>Factor</t>
  </si>
  <si>
    <t>Grossed Up Increase per ton</t>
  </si>
  <si>
    <t>Tons Collected</t>
  </si>
  <si>
    <t>Disposal Fee Revenue Increase</t>
  </si>
  <si>
    <t>DM Disposal</t>
  </si>
  <si>
    <t>Waste Connections of WA, Inc.</t>
  </si>
  <si>
    <t>October 1, 2016 - September 30, 2017</t>
  </si>
  <si>
    <t>Rates</t>
  </si>
  <si>
    <t>Revenue</t>
  </si>
  <si>
    <t>Annual Customer Count</t>
  </si>
  <si>
    <t>Monthly Frequency</t>
  </si>
  <si>
    <t>Annual PU's</t>
  </si>
  <si>
    <t>Calculated Annual Pounds</t>
  </si>
  <si>
    <t>Adjusted Annual Pounds</t>
  </si>
  <si>
    <t>RESIDENTIAL SERVICES</t>
  </si>
  <si>
    <t>Residential Garbage</t>
  </si>
  <si>
    <t>CRMCEOW</t>
  </si>
  <si>
    <t>20GAL CAN EOW</t>
  </si>
  <si>
    <t>CRMC</t>
  </si>
  <si>
    <t>20GAL CAN WEEKLY</t>
  </si>
  <si>
    <t>CREOW</t>
  </si>
  <si>
    <t>1 32GAL CAN EOW</t>
  </si>
  <si>
    <t>CR32MO</t>
  </si>
  <si>
    <t>1 32GAL CAN ONCE A MTH</t>
  </si>
  <si>
    <t>CR32W1</t>
  </si>
  <si>
    <t>1 32GAL CAN WEEKLY</t>
  </si>
  <si>
    <t>CR32W2</t>
  </si>
  <si>
    <t>2-32GAL CANS WEEKLY</t>
  </si>
  <si>
    <t>CR32W3</t>
  </si>
  <si>
    <t>3-32GAL CANS WEEKLY</t>
  </si>
  <si>
    <t>CR32W4</t>
  </si>
  <si>
    <t>4-32GAL CANS WEEKLY</t>
  </si>
  <si>
    <t>CR32W5</t>
  </si>
  <si>
    <t>5-32GAL CANS WEEKLY</t>
  </si>
  <si>
    <t>CR32W6</t>
  </si>
  <si>
    <t>6-32GAL CANS WEEKLY</t>
  </si>
  <si>
    <t>CR32W7</t>
  </si>
  <si>
    <t>7-32GAL CANS WEEKLY</t>
  </si>
  <si>
    <t>CR32W8</t>
  </si>
  <si>
    <t>8-32GAL CANS WEEKLY</t>
  </si>
  <si>
    <t>9-32GAL CANS WEEKLY</t>
  </si>
  <si>
    <t>RREXC</t>
  </si>
  <si>
    <t>EXTRA CANS, BAGS,BOXES</t>
  </si>
  <si>
    <t>RRCALL</t>
  </si>
  <si>
    <t>ON CALL CAN</t>
  </si>
  <si>
    <t>ROFOW</t>
  </si>
  <si>
    <t>OVERWGHT-OVERFILL CAN</t>
  </si>
  <si>
    <t>COFOW</t>
  </si>
  <si>
    <t>TOTAL RESIDENTIAL SERVICES</t>
  </si>
  <si>
    <t xml:space="preserve">COMMERCIAL SERVICES </t>
  </si>
  <si>
    <t>Commercial Garbage</t>
  </si>
  <si>
    <t>CC1Y1W</t>
  </si>
  <si>
    <t>1YD CONT 1X WEEKLY</t>
  </si>
  <si>
    <t>CC1Y2W</t>
  </si>
  <si>
    <t>1YD CONT 2X WEEKLY</t>
  </si>
  <si>
    <t>CC1YEOW</t>
  </si>
  <si>
    <t>1YD CONTAINER EOW</t>
  </si>
  <si>
    <t>CC15Y1W</t>
  </si>
  <si>
    <t>1.5YD CONT 1X WEEKLY</t>
  </si>
  <si>
    <t>CC15Y2W</t>
  </si>
  <si>
    <t>1.5YD CONT 2X WEEKLY</t>
  </si>
  <si>
    <t>CC15YEOW</t>
  </si>
  <si>
    <t>1.5YD CONTAINER EOW</t>
  </si>
  <si>
    <t>CC2Y1W</t>
  </si>
  <si>
    <t>2YD CONT 1X WEEKLY</t>
  </si>
  <si>
    <t>CC2Y2W</t>
  </si>
  <si>
    <t>2YD CONT 2X WEEKLY</t>
  </si>
  <si>
    <t>CC2Y3W</t>
  </si>
  <si>
    <t>2YD CONT 3X WEEKLY</t>
  </si>
  <si>
    <t>CC2Y4W</t>
  </si>
  <si>
    <t>2YD CONT 4X WEEKLY</t>
  </si>
  <si>
    <t>CC2Y5W</t>
  </si>
  <si>
    <t>2YD CONT 5X WEEKLY</t>
  </si>
  <si>
    <t>CC2YEOW</t>
  </si>
  <si>
    <t>2YD CONTAINER EOW</t>
  </si>
  <si>
    <t>CC3Y1W</t>
  </si>
  <si>
    <t>3YD CONT 1X WEEKLY</t>
  </si>
  <si>
    <t>CC3Y2W</t>
  </si>
  <si>
    <t>3YD CONT 2X WEEKLY</t>
  </si>
  <si>
    <t>CC3Y3W</t>
  </si>
  <si>
    <t>3YD CONT 3X WEEKLY</t>
  </si>
  <si>
    <t>CC3Y4W</t>
  </si>
  <si>
    <t>3YD CONT 4X WEEKLY</t>
  </si>
  <si>
    <t>CC3Y5W</t>
  </si>
  <si>
    <t>3YD CONT 5X WEEKLY</t>
  </si>
  <si>
    <t>CC3YEOW</t>
  </si>
  <si>
    <t>3YD CONTAINER EOW</t>
  </si>
  <si>
    <t>CC4Y1W</t>
  </si>
  <si>
    <t>4YD CONT 1X WEEKLY</t>
  </si>
  <si>
    <t>CC4Y2W</t>
  </si>
  <si>
    <t>4YD CONT 2X WEEKLY</t>
  </si>
  <si>
    <t>CC4Y3W</t>
  </si>
  <si>
    <t>4YD CONT 3X WEEKLY</t>
  </si>
  <si>
    <t>CC4Y4W</t>
  </si>
  <si>
    <t>4YD CONT 4X WEEKLY</t>
  </si>
  <si>
    <t>CC4Y5W</t>
  </si>
  <si>
    <t>4YD CONT 5X WEEKLY</t>
  </si>
  <si>
    <t>CC4Y6W</t>
  </si>
  <si>
    <t>4YD CONT 6X WEEKLY</t>
  </si>
  <si>
    <t>CC4YEOW</t>
  </si>
  <si>
    <t>4YD CONTAINER EOW</t>
  </si>
  <si>
    <t>CC5Y1W</t>
  </si>
  <si>
    <t>5YD CONT 1X WEEKLY</t>
  </si>
  <si>
    <t>CC5YEOW</t>
  </si>
  <si>
    <t>5YD CONTAINER EOW</t>
  </si>
  <si>
    <t>CC6Y1W</t>
  </si>
  <si>
    <t>6YD CONT 1X WEEKLY</t>
  </si>
  <si>
    <t>CC6Y2W</t>
  </si>
  <si>
    <t>6YD CONT 2X WEEKLY</t>
  </si>
  <si>
    <t>CC6Y3W</t>
  </si>
  <si>
    <t>6YD CONT 3X WEEKLY</t>
  </si>
  <si>
    <t>CC6Y5W</t>
  </si>
  <si>
    <t>6YD CONT 5X WEEKLY</t>
  </si>
  <si>
    <t>CC6YEOW</t>
  </si>
  <si>
    <t>6YD CONTAINER EOW</t>
  </si>
  <si>
    <t>CC8Y1W</t>
  </si>
  <si>
    <t>8YD CONT 1X WEEKLY</t>
  </si>
  <si>
    <t>CC8Y2W</t>
  </si>
  <si>
    <t>8YD CONT 2X WEEKLY</t>
  </si>
  <si>
    <t>CC8Y3W</t>
  </si>
  <si>
    <t>8YD CONT 3X WEEKLY</t>
  </si>
  <si>
    <t>CC8Y4W</t>
  </si>
  <si>
    <t>8YD CONT 4X WEEKLY</t>
  </si>
  <si>
    <t>CC8YEOW</t>
  </si>
  <si>
    <t>8YD CONTAINER EOW</t>
  </si>
  <si>
    <t>CCCMP2Y</t>
  </si>
  <si>
    <t>2YD COMP CONT 1X WKLY</t>
  </si>
  <si>
    <t>CCCMP3Y</t>
  </si>
  <si>
    <t>3YD COMP CONT 1X WKLY</t>
  </si>
  <si>
    <t>CCCMP4Y</t>
  </si>
  <si>
    <t>4YD COMP CONT 1X WKLY</t>
  </si>
  <si>
    <t>CCSP1Y</t>
  </si>
  <si>
    <t>SPECIAL PICKUP 1YD CONT</t>
  </si>
  <si>
    <t>CCSP15Y</t>
  </si>
  <si>
    <t>SPECIAL PICKUP 1.5YD CONT</t>
  </si>
  <si>
    <t>CCSP2Y</t>
  </si>
  <si>
    <t>SPECIAL PICKUP 2YD CONT</t>
  </si>
  <si>
    <t>CCSP3Y</t>
  </si>
  <si>
    <t>SPECIAL PICKUP 3YD CONT</t>
  </si>
  <si>
    <t>VCSP2YC</t>
  </si>
  <si>
    <t>SPECIAL PICKUP 2YD COMP</t>
  </si>
  <si>
    <t>VCSP4YC</t>
  </si>
  <si>
    <t>SPECIAL PICKUP 4YD COMP</t>
  </si>
  <si>
    <t>CCSP4Y</t>
  </si>
  <si>
    <t>SPECIAL PICKUP 4YD CONT</t>
  </si>
  <si>
    <t>CCSP5Y</t>
  </si>
  <si>
    <t>SPECIAL PICKUP 5YD CONT</t>
  </si>
  <si>
    <t>CCSP6Y</t>
  </si>
  <si>
    <t>SPECIAL PICKUP 6YD CONT</t>
  </si>
  <si>
    <t>CCSP8Y</t>
  </si>
  <si>
    <t>SPECIAL PICKUP 8YD CONT</t>
  </si>
  <si>
    <t>CCTP1Y</t>
  </si>
  <si>
    <t>TEMP PICKUP 1YD CONT</t>
  </si>
  <si>
    <t>CCTP15Y</t>
  </si>
  <si>
    <t>TEMP PICKUP 1.5YD CONT</t>
  </si>
  <si>
    <t>CCTP2Y</t>
  </si>
  <si>
    <t>TEMP PICKUP 2YD CONT</t>
  </si>
  <si>
    <t>CCTP3Y</t>
  </si>
  <si>
    <t>TEMP PICKUP 3YD CONT</t>
  </si>
  <si>
    <t>CCTP4Y</t>
  </si>
  <si>
    <t>TEMP PICKUP 4YD CONT</t>
  </si>
  <si>
    <t>CCTP8Y</t>
  </si>
  <si>
    <t>TEMP PICKUP 8YD CONT</t>
  </si>
  <si>
    <t>CC32W1</t>
  </si>
  <si>
    <t>32GAL CAN WEEKLY-COM</t>
  </si>
  <si>
    <t>CC32W2</t>
  </si>
  <si>
    <t>CC32W3</t>
  </si>
  <si>
    <t>CC32W4</t>
  </si>
  <si>
    <t>CC32W5</t>
  </si>
  <si>
    <t>CC32W6</t>
  </si>
  <si>
    <t>CC32W8</t>
  </si>
  <si>
    <t>CC32W9</t>
  </si>
  <si>
    <t>CCEXCAN</t>
  </si>
  <si>
    <t>EXTRA = CANS - COM</t>
  </si>
  <si>
    <t>CCEXYD</t>
  </si>
  <si>
    <t>EXTRA = YARDS</t>
  </si>
  <si>
    <t>RCOF</t>
  </si>
  <si>
    <t>OVERFILLED CONTAINER</t>
  </si>
  <si>
    <t>TOTAL COMMERCIAL SERVICES</t>
  </si>
  <si>
    <t>GRAND TOTAL</t>
  </si>
  <si>
    <t>Adjustment Factor Calculation</t>
  </si>
  <si>
    <t>Clark County</t>
  </si>
  <si>
    <t>Adj lbs</t>
  </si>
  <si>
    <t>Residential</t>
  </si>
  <si>
    <t>Total Tonnage</t>
  </si>
  <si>
    <t>Commercial</t>
  </si>
  <si>
    <t>Total Pounds</t>
  </si>
  <si>
    <t>Adjustment factor</t>
  </si>
  <si>
    <t>Non-Regulated</t>
  </si>
  <si>
    <t>Per Ton (Packer)</t>
  </si>
  <si>
    <t>Per Ton (RO)</t>
  </si>
  <si>
    <t>Current</t>
  </si>
  <si>
    <t>Proposed</t>
  </si>
  <si>
    <t>Tariff</t>
  </si>
  <si>
    <t>Rate</t>
  </si>
  <si>
    <t>Item 55, pg 16</t>
  </si>
  <si>
    <t xml:space="preserve"> Oversized can</t>
  </si>
  <si>
    <t>Minimum</t>
  </si>
  <si>
    <t>Item 100, pg 21</t>
  </si>
  <si>
    <t xml:space="preserve"> Mini</t>
  </si>
  <si>
    <t xml:space="preserve"> Mini every other week</t>
  </si>
  <si>
    <t xml:space="preserve"> 1 can</t>
  </si>
  <si>
    <t xml:space="preserve"> 2 can</t>
  </si>
  <si>
    <t xml:space="preserve"> 3 can</t>
  </si>
  <si>
    <t xml:space="preserve"> 4 can</t>
  </si>
  <si>
    <t xml:space="preserve"> 5 can</t>
  </si>
  <si>
    <t xml:space="preserve"> 6 can</t>
  </si>
  <si>
    <t>7 can</t>
  </si>
  <si>
    <t xml:space="preserve">8 can </t>
  </si>
  <si>
    <t>9 can</t>
  </si>
  <si>
    <t>1 can per month</t>
  </si>
  <si>
    <t>1 can every other week</t>
  </si>
  <si>
    <t>Item 100, pg 22</t>
  </si>
  <si>
    <t>Mini-can</t>
  </si>
  <si>
    <t>60-gal toter</t>
  </si>
  <si>
    <t>90-gal toter</t>
  </si>
  <si>
    <t>Bag</t>
  </si>
  <si>
    <t>On Call</t>
  </si>
  <si>
    <t>Item 120, pg 28</t>
  </si>
  <si>
    <t>Regular route service (drums)</t>
  </si>
  <si>
    <t>Special pick up (drums)</t>
  </si>
  <si>
    <t>Item 150, pg 28</t>
  </si>
  <si>
    <t>Loose and Bulky</t>
  </si>
  <si>
    <t>Additional</t>
  </si>
  <si>
    <t>Item 207, pg 32</t>
  </si>
  <si>
    <t>Excess Weight:</t>
  </si>
  <si>
    <t>1 yard</t>
  </si>
  <si>
    <t xml:space="preserve"> 1.5 yard</t>
  </si>
  <si>
    <t xml:space="preserve"> 3 yard </t>
  </si>
  <si>
    <t xml:space="preserve"> 4 yard </t>
  </si>
  <si>
    <t>5 yard</t>
  </si>
  <si>
    <t xml:space="preserve"> 6 yard </t>
  </si>
  <si>
    <t xml:space="preserve"> 8 yard </t>
  </si>
  <si>
    <t>Item 230, pg 34</t>
  </si>
  <si>
    <t>Disposal Fees:</t>
  </si>
  <si>
    <t>Refuse (per ton)</t>
  </si>
  <si>
    <t>All other (per load)</t>
  </si>
  <si>
    <t>Washer/Dryer</t>
  </si>
  <si>
    <t>Refrigerator/Freezer</t>
  </si>
  <si>
    <t>Water Heater</t>
  </si>
  <si>
    <t>Car Tire</t>
  </si>
  <si>
    <t>Car Tire with rim</t>
  </si>
  <si>
    <t>Truck Tire</t>
  </si>
  <si>
    <t>Truck Tire with rim</t>
  </si>
  <si>
    <t>All tires greater</t>
  </si>
  <si>
    <t>Item 240, pg 35</t>
  </si>
  <si>
    <t>2 yard</t>
  </si>
  <si>
    <t xml:space="preserve"> </t>
  </si>
  <si>
    <t xml:space="preserve">Special Pickups: </t>
  </si>
  <si>
    <t>Temporary:</t>
  </si>
  <si>
    <t>Item 245, pg 36</t>
  </si>
  <si>
    <t xml:space="preserve"> 32-gal</t>
  </si>
  <si>
    <t>Special Pickups</t>
  </si>
  <si>
    <t>Minimum charge;</t>
  </si>
  <si>
    <t>Each additional unit</t>
  </si>
  <si>
    <t>Item 250, pg 37</t>
  </si>
  <si>
    <t>3 yard</t>
  </si>
  <si>
    <t>4 yard</t>
  </si>
  <si>
    <t>6 yard</t>
  </si>
  <si>
    <t>Pickup</t>
  </si>
  <si>
    <t>Special Pickup</t>
  </si>
  <si>
    <t>Temporary Service</t>
  </si>
  <si>
    <t>Temporary Pickup</t>
  </si>
  <si>
    <t>Item 255, pg 38</t>
  </si>
  <si>
    <t>Each Pickup</t>
  </si>
  <si>
    <t xml:space="preserve"> 4 yard comp</t>
  </si>
  <si>
    <t>Special Pickup:</t>
  </si>
  <si>
    <t xml:space="preserve"> 4 yard comp </t>
  </si>
  <si>
    <t>Gross Up</t>
  </si>
  <si>
    <t>Tariff Rate Increase</t>
  </si>
  <si>
    <t>Company Current Tariff</t>
  </si>
  <si>
    <t>Extra yard</t>
  </si>
  <si>
    <t>Overfilled</t>
  </si>
  <si>
    <t>Calculated Rate</t>
  </si>
  <si>
    <t>Company Proposed Tariff</t>
  </si>
  <si>
    <t>Permanent Container</t>
  </si>
  <si>
    <t>Occasional Extra</t>
  </si>
  <si>
    <t>Actual Weight</t>
  </si>
  <si>
    <t>Proposed Revenue</t>
  </si>
  <si>
    <t>Revised Revenue Increase</t>
  </si>
  <si>
    <t>Waste Connections of Washington, G-253</t>
  </si>
  <si>
    <t>Disposal Reconciliation</t>
  </si>
  <si>
    <t>Test Period Ending 9-30-2017</t>
  </si>
  <si>
    <t>Note:  Figures below are from Waste Works system.  Links have been broken to the detailed source file to maintain data integrity, but the source file is available upon request.</t>
  </si>
  <si>
    <t>Tons</t>
  </si>
  <si>
    <t>Dollars</t>
  </si>
  <si>
    <t>Per GL</t>
  </si>
  <si>
    <t>RO</t>
  </si>
  <si>
    <t>Account</t>
  </si>
  <si>
    <t>RO - Food Waste</t>
  </si>
  <si>
    <t>Waste Works RO - Garbage Only</t>
  </si>
  <si>
    <t>40139</t>
  </si>
  <si>
    <t>RO - Other</t>
  </si>
  <si>
    <t>Waste Works MSW/Comm Garbage Only</t>
  </si>
  <si>
    <t>Waste Works Other (FW, YD, etc)</t>
  </si>
  <si>
    <t>Metro - food waste</t>
  </si>
  <si>
    <t>40131</t>
  </si>
  <si>
    <t>RO Rpt Total</t>
  </si>
  <si>
    <t>IC Triangle/Wasco (Wood, SW, C&amp;D, ASB)</t>
  </si>
  <si>
    <t>40109</t>
  </si>
  <si>
    <t>Variance to Breakout</t>
  </si>
  <si>
    <t>Wood, C&amp;D, YD, Other</t>
  </si>
  <si>
    <t>40101</t>
  </si>
  <si>
    <t>Variance to GL</t>
  </si>
  <si>
    <t>MSW/Comm</t>
  </si>
  <si>
    <t>MSW Food Waste</t>
  </si>
  <si>
    <t>Reconciliation of Pass-Through Expense</t>
  </si>
  <si>
    <t>MSW - Other</t>
  </si>
  <si>
    <t>Pass-Through per Billing</t>
  </si>
  <si>
    <t>Pass-Through in Acct. 40139</t>
  </si>
  <si>
    <t>Pass-Through In Other Accts.</t>
  </si>
  <si>
    <t>MSW/Comm Rpt Total</t>
  </si>
  <si>
    <t>UTC Non-Reg</t>
  </si>
  <si>
    <t>Camas</t>
  </si>
  <si>
    <t>Ridgefield</t>
  </si>
  <si>
    <t>Vancouver</t>
  </si>
  <si>
    <t>Washougal</t>
  </si>
  <si>
    <t>West Vancouver</t>
  </si>
  <si>
    <t>Customer Count</t>
  </si>
  <si>
    <t>RESIDENTIAL GARBAGE</t>
  </si>
  <si>
    <t>RR32W1</t>
  </si>
  <si>
    <t>VRA20EOWCO</t>
  </si>
  <si>
    <t>20Gal Auto Eow-Carryout</t>
  </si>
  <si>
    <t>VRA20WCO</t>
  </si>
  <si>
    <t>20Gal Auto Wkly-Carryout</t>
  </si>
  <si>
    <t>RRMC</t>
  </si>
  <si>
    <t>RR32W2</t>
  </si>
  <si>
    <t>RREOW</t>
  </si>
  <si>
    <t>32GAL CAN EOW-RIDGE</t>
  </si>
  <si>
    <t>RR32MO</t>
  </si>
  <si>
    <t>32GAL CAN MONTHLY</t>
  </si>
  <si>
    <t>RR32W3</t>
  </si>
  <si>
    <t>WRG40EOWHEL15</t>
  </si>
  <si>
    <t>40GAL EOW HELICO 15</t>
  </si>
  <si>
    <t>WRG40EOWHEL20</t>
  </si>
  <si>
    <t>40GAL EOW HELICO 20</t>
  </si>
  <si>
    <t>WRG40EOWROL</t>
  </si>
  <si>
    <t>40GAL EOW ROLLOUT</t>
  </si>
  <si>
    <t>WRG40EOW</t>
  </si>
  <si>
    <t>40GAL EVERY OTHER WEEK</t>
  </si>
  <si>
    <t>WRG40MTHHEL</t>
  </si>
  <si>
    <t>40GAL MONTHLY-HELICO</t>
  </si>
  <si>
    <t>WRG40MTH</t>
  </si>
  <si>
    <t>40GAL MONTHLY-RESIDENTIAL</t>
  </si>
  <si>
    <t>WRG40WKHEL15</t>
  </si>
  <si>
    <t>40GAL WEEKLY HELICO 15</t>
  </si>
  <si>
    <t>WRG40WKHEL20</t>
  </si>
  <si>
    <t>40GAL WEEKLY HELICO 20</t>
  </si>
  <si>
    <t>WRG40WKROL</t>
  </si>
  <si>
    <t>40GAL WEEKLY ROLLOUT</t>
  </si>
  <si>
    <t>WRG40WK</t>
  </si>
  <si>
    <t>40GAL WEEKLY-RESIDENTIAL</t>
  </si>
  <si>
    <t>RR32W4</t>
  </si>
  <si>
    <t>RR32W5</t>
  </si>
  <si>
    <t>WRG90WK</t>
  </si>
  <si>
    <t>90GAL WEEKLY</t>
  </si>
  <si>
    <t>WRG90WKROL</t>
  </si>
  <si>
    <t>90GAL WEEKLY ROLLOUT</t>
  </si>
  <si>
    <t>VRA20W</t>
  </si>
  <si>
    <t>Automated 20g Cart Wkly</t>
  </si>
  <si>
    <t>VRA20EOWHEL</t>
  </si>
  <si>
    <t>Automated 20g Eow Helico</t>
  </si>
  <si>
    <t>VRA20WHEL</t>
  </si>
  <si>
    <t>Automated 20g Wkly Helico</t>
  </si>
  <si>
    <t>VRA20EOW</t>
  </si>
  <si>
    <t>Automated 20gal Cart EOW</t>
  </si>
  <si>
    <t>VRA64W2</t>
  </si>
  <si>
    <t>Automated 2-64g Carts Wk</t>
  </si>
  <si>
    <t>VRA32CO</t>
  </si>
  <si>
    <t>Automated 32g Cart Carry</t>
  </si>
  <si>
    <t>VRA32EOW</t>
  </si>
  <si>
    <t>Automated 32g Cart Eow</t>
  </si>
  <si>
    <t>VRA32MO</t>
  </si>
  <si>
    <t>Automated 32g Cart Mnth</t>
  </si>
  <si>
    <t>VRA32W</t>
  </si>
  <si>
    <t>Automated 32g Cart Wkly</t>
  </si>
  <si>
    <t>VRA32EOWHEL</t>
  </si>
  <si>
    <t>Automated 32g Eow Helico</t>
  </si>
  <si>
    <t>VRA32MHEL</t>
  </si>
  <si>
    <t>Automated 32g Mnth Helico</t>
  </si>
  <si>
    <t>VRA32WHEL</t>
  </si>
  <si>
    <t>Automated 32g Wk Helico</t>
  </si>
  <si>
    <t>VRA32EOWCO</t>
  </si>
  <si>
    <t>Automated 32gal Eow Carry</t>
  </si>
  <si>
    <t>VRA32MCO</t>
  </si>
  <si>
    <t>Automated 32gal Mth Carry</t>
  </si>
  <si>
    <t>VRA64W</t>
  </si>
  <si>
    <t>Automated 64g Cart Wkly</t>
  </si>
  <si>
    <t>VRA64EOWCO</t>
  </si>
  <si>
    <t>Automated 64g EOW Carry</t>
  </si>
  <si>
    <t>SRA64MO</t>
  </si>
  <si>
    <t>Automated 64g Monthly</t>
  </si>
  <si>
    <t>VRA64WHEL</t>
  </si>
  <si>
    <t>Automated 64g Wk Helico</t>
  </si>
  <si>
    <t>VRA64WCO</t>
  </si>
  <si>
    <t>Automated 64g Wkly Carry</t>
  </si>
  <si>
    <t>VRA64EOW</t>
  </si>
  <si>
    <t>Automated 64gal Cart EOW</t>
  </si>
  <si>
    <t>VRA96WCO</t>
  </si>
  <si>
    <t>Automated 96g Wkly Carry</t>
  </si>
  <si>
    <t>VRA96W</t>
  </si>
  <si>
    <t>Automated 96gal Cart Wkly</t>
  </si>
  <si>
    <t>WBMISC</t>
  </si>
  <si>
    <t>BULKY ITEM CHARGE-MISC</t>
  </si>
  <si>
    <t>RREXHEL</t>
  </si>
  <si>
    <t>EXTRA CANS OR BAGS-HELICO</t>
  </si>
  <si>
    <t>TOTAL RESIDENTIAL GARBAGE</t>
  </si>
  <si>
    <t>COMMERCIAL GARBAGE</t>
  </si>
  <si>
    <t>VCCMP15Y</t>
  </si>
  <si>
    <t>1.5YD COMP CONT 1X WKLY</t>
  </si>
  <si>
    <t>RC15Y1W</t>
  </si>
  <si>
    <t>VC15Y1W</t>
  </si>
  <si>
    <t>WC15Y1W</t>
  </si>
  <si>
    <t>VC15Y2W</t>
  </si>
  <si>
    <t>VC15Y3W</t>
  </si>
  <si>
    <t>1.5YD CONT 3X WEEKLY</t>
  </si>
  <si>
    <t>VC15Y4W</t>
  </si>
  <si>
    <t>1.5YD CONT 4X WEEKLY</t>
  </si>
  <si>
    <t>VC15Y6W</t>
  </si>
  <si>
    <t>1.5YD CONT 6X WEEKLY</t>
  </si>
  <si>
    <t>RC1Y1W</t>
  </si>
  <si>
    <t>VC1Y1W</t>
  </si>
  <si>
    <t>WC1Y1W</t>
  </si>
  <si>
    <t xml:space="preserve">VC1Y2W </t>
  </si>
  <si>
    <t>WC1Y2W</t>
  </si>
  <si>
    <t>VC1Y3W</t>
  </si>
  <si>
    <t>1YD CONT 3X WEEKLY</t>
  </si>
  <si>
    <t>VC1Y4W</t>
  </si>
  <si>
    <t>1YD CONT 4X WEEKLY</t>
  </si>
  <si>
    <t>VC1Y5W</t>
  </si>
  <si>
    <t>1YD CONT 5X WEEKLY</t>
  </si>
  <si>
    <t>RC32W2</t>
  </si>
  <si>
    <t>VCCMP2Y</t>
  </si>
  <si>
    <t>RC2Y1W</t>
  </si>
  <si>
    <t>VC2Y1W</t>
  </si>
  <si>
    <t>WC2Y1W</t>
  </si>
  <si>
    <t>VC2Y2W</t>
  </si>
  <si>
    <t>WC2Y2W</t>
  </si>
  <si>
    <t>VC2Y3W</t>
  </si>
  <si>
    <t>WC2Y3W</t>
  </si>
  <si>
    <t>VC2Y4W</t>
  </si>
  <si>
    <t>VC2Y5W</t>
  </si>
  <si>
    <t>VC2Y6W</t>
  </si>
  <si>
    <t>2YD CONT 6X WEEKLY</t>
  </si>
  <si>
    <t>RC32EOW</t>
  </si>
  <si>
    <t>32GAL CAN EOW-COM</t>
  </si>
  <si>
    <t>RC32MO</t>
  </si>
  <si>
    <t>32GAL CAN MONTHLY-COM</t>
  </si>
  <si>
    <t>RC32W1</t>
  </si>
  <si>
    <t>RC32W3</t>
  </si>
  <si>
    <t>VCCMP3Y</t>
  </si>
  <si>
    <t>RC3Y1W</t>
  </si>
  <si>
    <t>VC3Y1W</t>
  </si>
  <si>
    <t>WC3Y1W</t>
  </si>
  <si>
    <t>RC3Y2W</t>
  </si>
  <si>
    <t>VC3Y2W</t>
  </si>
  <si>
    <t>WC3Y2W</t>
  </si>
  <si>
    <t>VC3Y3W</t>
  </si>
  <si>
    <t>WC3Y3W</t>
  </si>
  <si>
    <t>VC3Y4W</t>
  </si>
  <si>
    <t>VC3Y5W</t>
  </si>
  <si>
    <t>VC3Y6W</t>
  </si>
  <si>
    <t>3YD CONT 6X WEEKLY</t>
  </si>
  <si>
    <t>VRABIN</t>
  </si>
  <si>
    <t>3YD RENT-A-BIN</t>
  </si>
  <si>
    <t>WCG40WKROL</t>
  </si>
  <si>
    <t>40GAL WEEKLY-COMM ROLL</t>
  </si>
  <si>
    <t>WCG40WK</t>
  </si>
  <si>
    <t>40GAL WEEKLY-COMMERCIAL</t>
  </si>
  <si>
    <t>VCCMP4Y</t>
  </si>
  <si>
    <t>RC4Y1W</t>
  </si>
  <si>
    <t>VC4Y1W</t>
  </si>
  <si>
    <t>WC4Y1W</t>
  </si>
  <si>
    <t>RC4Y2W</t>
  </si>
  <si>
    <t>VC4Y2W</t>
  </si>
  <si>
    <t>WC4Y2W</t>
  </si>
  <si>
    <t>VC4Y3W</t>
  </si>
  <si>
    <t>WC4Y3W</t>
  </si>
  <si>
    <t>VC4Y4W</t>
  </si>
  <si>
    <t>VC4Y5W</t>
  </si>
  <si>
    <t>VC4Y6W</t>
  </si>
  <si>
    <t>RC5Y1W</t>
  </si>
  <si>
    <t>VC5Y1W</t>
  </si>
  <si>
    <t>VCCMP6Y</t>
  </si>
  <si>
    <t>6YD COMP CONT 1X WKLY</t>
  </si>
  <si>
    <t>RC6Y1W</t>
  </si>
  <si>
    <t>VC6Y1W</t>
  </si>
  <si>
    <t>WC6Y1W</t>
  </si>
  <si>
    <t>RC6Y2W</t>
  </si>
  <si>
    <t>VC6Y2W</t>
  </si>
  <si>
    <t>WC6Y2W</t>
  </si>
  <si>
    <t xml:space="preserve">VC6Y3W </t>
  </si>
  <si>
    <t>WC6Y3W</t>
  </si>
  <si>
    <t>VC6Y4W</t>
  </si>
  <si>
    <t>6YD CONT 4X WEEKLY</t>
  </si>
  <si>
    <t>VC6Y5W</t>
  </si>
  <si>
    <t>VC6Y6W</t>
  </si>
  <si>
    <t>6YD CONT 6X WEEKLY</t>
  </si>
  <si>
    <t>RC8Y1W</t>
  </si>
  <si>
    <t>VC8Y1W</t>
  </si>
  <si>
    <t>WC8Y1W</t>
  </si>
  <si>
    <t>VC8Y2W</t>
  </si>
  <si>
    <t>WC8Y2W</t>
  </si>
  <si>
    <t>VC8Y3W</t>
  </si>
  <si>
    <t>WC8Y3W</t>
  </si>
  <si>
    <t>VC8Y4W</t>
  </si>
  <si>
    <t>VC8Y5W</t>
  </si>
  <si>
    <t>8YD CONT 5X WEEKLY</t>
  </si>
  <si>
    <t>VC8Y6W</t>
  </si>
  <si>
    <t>8YD CONT 6X WEEKLY</t>
  </si>
  <si>
    <t>WCG90WK</t>
  </si>
  <si>
    <t>90GAL WEEKLY COMM</t>
  </si>
  <si>
    <t>WCG90WKROL</t>
  </si>
  <si>
    <t>90GAL WEEKLY COMM ROLL</t>
  </si>
  <si>
    <t>VCA20W</t>
  </si>
  <si>
    <t>Automated 20gal Wkly-Com</t>
  </si>
  <si>
    <t>VCA32W2</t>
  </si>
  <si>
    <t>Automated 2-32g Wkly-Com</t>
  </si>
  <si>
    <t>VCA64W2</t>
  </si>
  <si>
    <t>Automated 2-64g Wkly-Com</t>
  </si>
  <si>
    <t>VCA32CO</t>
  </si>
  <si>
    <t>Automated 32g W Carry-Com</t>
  </si>
  <si>
    <t>VCA32EOW</t>
  </si>
  <si>
    <t>Automated 32Gal EOW-COM</t>
  </si>
  <si>
    <t>VCA32W</t>
  </si>
  <si>
    <t>Automated 32gal Wkly-Com</t>
  </si>
  <si>
    <t>VCA32W3</t>
  </si>
  <si>
    <t>Automated 3-32g Wkly-Com</t>
  </si>
  <si>
    <t>VCA32W4</t>
  </si>
  <si>
    <t>Automated 4-32g Wkly-Com</t>
  </si>
  <si>
    <t>VCA64CO</t>
  </si>
  <si>
    <t>Automated 64g W Carry-Com</t>
  </si>
  <si>
    <t>VCA64EOW</t>
  </si>
  <si>
    <t>Automated 64gal EOW-Com</t>
  </si>
  <si>
    <t>VCA64W</t>
  </si>
  <si>
    <t>Automated 64gal Wkly-Com</t>
  </si>
  <si>
    <t>VCA96CO</t>
  </si>
  <si>
    <t>Automated 96g W Carry-Com</t>
  </si>
  <si>
    <t>VCA96EOW</t>
  </si>
  <si>
    <t>Automated 96gal Eow-Com</t>
  </si>
  <si>
    <t>VCA96W</t>
  </si>
  <si>
    <t>Automated 96gal Wkly-Com</t>
  </si>
  <si>
    <t>VEXBIN</t>
  </si>
  <si>
    <t>EXTRA PICKUP RENT-A-BIN</t>
  </si>
  <si>
    <t>MF32CAN</t>
  </si>
  <si>
    <t>MULTI FAMILY 32 CAN</t>
  </si>
  <si>
    <t>VCSP3YC</t>
  </si>
  <si>
    <t>SPECIAL PICKUP 3YD COMP</t>
  </si>
  <si>
    <t>CCSPCN</t>
  </si>
  <si>
    <t>SPECIAL PICKUP COMM CAN</t>
  </si>
  <si>
    <t>CCTP6Y</t>
  </si>
  <si>
    <t>TEMP PICKUP 6YD CONT</t>
  </si>
  <si>
    <t>VMF32CAN</t>
  </si>
  <si>
    <t>VANC MULTI FAMILY 32 CART</t>
  </si>
  <si>
    <t>TOTAL COMMERCIAL GARBAGE</t>
  </si>
  <si>
    <t>Residential Increase</t>
  </si>
  <si>
    <t>Commerical Increase</t>
  </si>
  <si>
    <t>RO Increase</t>
  </si>
  <si>
    <t>Calc lbs</t>
  </si>
  <si>
    <t>Regulated RO Revenue</t>
  </si>
  <si>
    <t>From Billing Records</t>
  </si>
  <si>
    <t>Drop Box (per ton)</t>
  </si>
  <si>
    <t>Clark County - Dump Fee Calculation</t>
  </si>
  <si>
    <t>Test Period: October 1, 2016 - September 30, 2017</t>
  </si>
  <si>
    <t>Non-Regulated Dump Fee Calculation</t>
  </si>
  <si>
    <t>1.5 yd packer/compactor</t>
  </si>
  <si>
    <t>Current Price/Ton</t>
  </si>
  <si>
    <t>Customers</t>
  </si>
  <si>
    <t>Over 9 Cans</t>
  </si>
  <si>
    <t>N/A</t>
  </si>
  <si>
    <t>* not on meeks - calculated weight times compaction ratio</t>
  </si>
  <si>
    <t>Dump Fee Calculation References</t>
  </si>
  <si>
    <t>Proposed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</si>
</sst>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00_);_(&quot;$&quot;* \(#,##0.000\);_(&quot;$&quot;* &quot;-&quot;??_);_(@_)"/>
    <numFmt numFmtId="166" formatCode="_(* #,##0.000000_);_(* \(#,##0.000000\);_(* &quot;-&quot;??_);_(@_)"/>
    <numFmt numFmtId="167" formatCode="_(&quot;$&quot;* #,##0.000000_);_(&quot;$&quot;* \(#,##0.000000\);_(&quot;$&quot;* &quot;-&quot;??_);_(@_)"/>
    <numFmt numFmtId="168" formatCode="0.0000%"/>
    <numFmt numFmtId="169" formatCode="0.000000"/>
    <numFmt numFmtId="170" formatCode="_(&quot;$&quot;* #,##0.0000_);_(&quot;$&quot;* \(#,##0.0000\);_(&quot;$&quot;* &quot;-&quot;????_);_(@_)"/>
    <numFmt numFmtId="171" formatCode="&quot;$&quot;#,##0\ ;\(&quot;$&quot;#,##0\)"/>
    <numFmt numFmtId="172" formatCode="General_)"/>
    <numFmt numFmtId="173" formatCode="0.0%"/>
    <numFmt numFmtId="174" formatCode="mm\-yy;\-0;;@"/>
    <numFmt numFmtId="175" formatCode=".00#####;\-.00####;;@"/>
    <numFmt numFmtId="176" formatCode="_(&quot;$&quot;* #,##0.00000_);_(&quot;$&quot;* \(#,##0.00000\);_(&quot;$&quot;* &quot;-&quot;??_);_(@_)"/>
    <numFmt numFmtId="177" formatCode="_(&quot;$&quot;* #,##0_);_(&quot;$&quot;* \(#,##0\);_(&quot;$&quot;* &quot;-&quot;??_);_(@_)"/>
  </numFmts>
  <fonts count="9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indexed="8"/>
      <name val="Arial"/>
      <family val="2"/>
    </font>
    <font>
      <sz val="9"/>
      <color indexed="8"/>
      <name val="Calibri"/>
      <family val="2"/>
    </font>
    <font>
      <b/>
      <u/>
      <sz val="9"/>
      <color indexed="8"/>
      <name val="Calibri"/>
      <family val="2"/>
    </font>
    <font>
      <b/>
      <sz val="9.5"/>
      <color theme="0"/>
      <name val="Calibri"/>
      <family val="2"/>
      <scheme val="minor"/>
    </font>
    <font>
      <b/>
      <u/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2"/>
      <color indexed="12"/>
      <name val="Times New Roman"/>
      <family val="1"/>
    </font>
    <font>
      <sz val="11"/>
      <color indexed="20"/>
      <name val="Calibri"/>
      <family val="2"/>
    </font>
    <font>
      <b/>
      <sz val="11"/>
      <color indexed="51"/>
      <name val="Calibri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1"/>
      <color indexed="18"/>
      <name val="Britannic Bold"/>
      <family val="2"/>
    </font>
    <font>
      <sz val="12"/>
      <name val="CG Omega"/>
    </font>
    <font>
      <sz val="8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0"/>
      <name val="MS Sans Serif"/>
      <family val="2"/>
    </font>
    <font>
      <sz val="12"/>
      <name val="Courier"/>
      <family val="3"/>
    </font>
    <font>
      <sz val="9"/>
      <color indexed="8"/>
      <name val="Arial"/>
      <family val="2"/>
    </font>
    <font>
      <sz val="12"/>
      <name val="Helv"/>
    </font>
    <font>
      <sz val="10"/>
      <name val="Times New Roman"/>
      <family val="1"/>
    </font>
    <font>
      <b/>
      <sz val="10"/>
      <color indexed="1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1"/>
      <name val="Calibri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1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1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u/>
      <sz val="11"/>
      <color theme="10"/>
      <name val="Calibri"/>
      <family val="2"/>
    </font>
    <font>
      <sz val="11"/>
      <color indexed="61"/>
      <name val="Calibri"/>
      <family val="2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sz val="11"/>
      <color indexed="51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59"/>
      <name val="Calibri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theme="1"/>
      <name val="Arial"/>
      <family val="2"/>
    </font>
    <font>
      <i/>
      <sz val="10"/>
      <color indexed="10"/>
      <name val="Arial"/>
      <family val="2"/>
    </font>
    <font>
      <b/>
      <sz val="11"/>
      <color indexed="63"/>
      <name val="Calibri"/>
      <family val="2"/>
    </font>
    <font>
      <sz val="8"/>
      <color indexed="56"/>
      <name val="Arial"/>
      <family val="2"/>
    </font>
    <font>
      <b/>
      <sz val="10"/>
      <name val="MS Sans Serif"/>
      <family val="2"/>
    </font>
    <font>
      <sz val="12"/>
      <name val="Arial MT"/>
    </font>
    <font>
      <b/>
      <u/>
      <sz val="11"/>
      <name val="Arial"/>
      <family val="2"/>
    </font>
    <font>
      <b/>
      <sz val="10"/>
      <name val="Times New Roman"/>
      <family val="1"/>
    </font>
    <font>
      <b/>
      <sz val="18"/>
      <color indexed="61"/>
      <name val="Cambria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2"/>
      <name val="Arial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indexed="10"/>
      <name val="Calibri"/>
      <family val="2"/>
      <scheme val="minor"/>
    </font>
    <font>
      <sz val="8"/>
      <name val="Helv"/>
    </font>
    <font>
      <sz val="10"/>
      <name val="Helv"/>
    </font>
    <font>
      <sz val="10"/>
      <name val="SWISS"/>
    </font>
    <font>
      <b/>
      <sz val="10"/>
      <name val="Helv"/>
    </font>
    <font>
      <b/>
      <sz val="10"/>
      <name val="SWISS"/>
    </font>
    <font>
      <sz val="8"/>
      <name val="SWISS"/>
    </font>
    <font>
      <b/>
      <sz val="8"/>
      <name val="SWISS"/>
    </font>
    <font>
      <b/>
      <sz val="8"/>
      <name val="Arial"/>
      <family val="2"/>
    </font>
    <font>
      <i/>
      <sz val="10"/>
      <color rgb="FFFF000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 val="singleAccounting"/>
      <sz val="10"/>
      <color theme="1"/>
      <name val="Calibri"/>
      <family val="2"/>
      <scheme val="minor"/>
    </font>
    <font>
      <u val="singleAccounting"/>
      <sz val="10"/>
      <color theme="1"/>
      <name val="Calibri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1"/>
      </patternFill>
    </fill>
    <fill>
      <patternFill patternType="solid">
        <fgColor indexed="48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2"/>
      </patternFill>
    </fill>
    <fill>
      <patternFill patternType="solid">
        <fgColor indexed="9"/>
      </patternFill>
    </fill>
    <fill>
      <patternFill patternType="solid">
        <fgColor indexed="63"/>
      </patternFill>
    </fill>
    <fill>
      <patternFill patternType="solid">
        <fgColor indexed="55"/>
      </patternFill>
    </fill>
    <fill>
      <patternFill patternType="solid">
        <fgColor indexed="42"/>
        <b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65"/>
        <bgColor indexed="10"/>
      </patternFill>
    </fill>
    <fill>
      <patternFill patternType="gray125">
        <fgColor indexed="10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mediumGray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3366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1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7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11" fillId="0" borderId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7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14" borderId="0" applyNumberFormat="0" applyBorder="0" applyAlignment="0" applyProtection="0"/>
    <xf numFmtId="0" fontId="11" fillId="9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16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2" borderId="0" applyNumberFormat="0" applyBorder="0" applyAlignment="0" applyProtection="0"/>
    <xf numFmtId="0" fontId="11" fillId="17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18" borderId="0" applyNumberFormat="0" applyBorder="0" applyAlignment="0" applyProtection="0"/>
    <xf numFmtId="0" fontId="16" fillId="14" borderId="0" applyNumberFormat="0" applyBorder="0" applyAlignment="0" applyProtection="0"/>
    <xf numFmtId="0" fontId="16" fillId="20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7" borderId="0" applyNumberFormat="0" applyBorder="0" applyAlignment="0" applyProtection="0"/>
    <xf numFmtId="0" fontId="16" fillId="22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16" borderId="0" applyNumberFormat="0" applyBorder="0" applyAlignment="0" applyProtection="0"/>
    <xf numFmtId="0" fontId="16" fillId="23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18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18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9" borderId="0" applyNumberFormat="0" applyBorder="0" applyAlignment="0" applyProtection="0"/>
    <xf numFmtId="0" fontId="16" fillId="21" borderId="0" applyNumberFormat="0" applyBorder="0" applyAlignment="0" applyProtection="0"/>
    <xf numFmtId="0" fontId="16" fillId="29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41" fontId="17" fillId="0" borderId="0"/>
    <xf numFmtId="41" fontId="17" fillId="0" borderId="0"/>
    <xf numFmtId="41" fontId="17" fillId="0" borderId="0"/>
    <xf numFmtId="41" fontId="17" fillId="0" borderId="0"/>
    <xf numFmtId="49" fontId="18" fillId="0" borderId="0" applyFill="0" applyBorder="0" applyAlignment="0" applyProtection="0"/>
    <xf numFmtId="0" fontId="19" fillId="0" borderId="4" applyBorder="0">
      <alignment horizontal="center" vertical="center" wrapText="1"/>
    </xf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3" fontId="17" fillId="0" borderId="0"/>
    <xf numFmtId="3" fontId="17" fillId="0" borderId="0"/>
    <xf numFmtId="3" fontId="17" fillId="0" borderId="0"/>
    <xf numFmtId="3" fontId="17" fillId="0" borderId="0"/>
    <xf numFmtId="0" fontId="21" fillId="30" borderId="5" applyNumberFormat="0" applyAlignment="0" applyProtection="0"/>
    <xf numFmtId="0" fontId="22" fillId="30" borderId="5" applyNumberFormat="0" applyAlignment="0" applyProtection="0"/>
    <xf numFmtId="0" fontId="21" fillId="30" borderId="5" applyNumberFormat="0" applyAlignment="0" applyProtection="0"/>
    <xf numFmtId="0" fontId="23" fillId="30" borderId="5" applyNumberFormat="0" applyAlignment="0" applyProtection="0"/>
    <xf numFmtId="0" fontId="22" fillId="8" borderId="5" applyNumberFormat="0" applyAlignment="0" applyProtection="0"/>
    <xf numFmtId="0" fontId="23" fillId="30" borderId="5" applyNumberFormat="0" applyAlignment="0" applyProtection="0"/>
    <xf numFmtId="0" fontId="23" fillId="30" borderId="5" applyNumberFormat="0" applyAlignment="0" applyProtection="0"/>
    <xf numFmtId="0" fontId="24" fillId="31" borderId="6" applyNumberFormat="0" applyAlignment="0" applyProtection="0"/>
    <xf numFmtId="0" fontId="24" fillId="32" borderId="7" applyNumberFormat="0" applyAlignment="0" applyProtection="0"/>
    <xf numFmtId="0" fontId="25" fillId="33" borderId="0" applyNumberFormat="0" applyBorder="0" applyAlignment="0" applyProtection="0">
      <alignment horizontal="center"/>
      <protection hidden="1"/>
    </xf>
    <xf numFmtId="0" fontId="17" fillId="34" borderId="0">
      <alignment horizontal="center"/>
    </xf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" fontId="28" fillId="0" borderId="0"/>
    <xf numFmtId="3" fontId="30" fillId="0" borderId="0" applyFont="0" applyFill="0" applyBorder="0" applyAlignment="0" applyProtection="0"/>
    <xf numFmtId="0" fontId="31" fillId="0" borderId="0"/>
    <xf numFmtId="0" fontId="31" fillId="0" borderId="0"/>
    <xf numFmtId="0" fontId="32" fillId="35" borderId="1" applyAlignment="0">
      <alignment horizontal="right"/>
      <protection locked="0"/>
    </xf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1" fontId="30" fillId="0" borderId="0" applyFont="0" applyFill="0" applyBorder="0" applyAlignment="0" applyProtection="0"/>
    <xf numFmtId="0" fontId="35" fillId="36" borderId="0">
      <alignment horizontal="right"/>
      <protection locked="0"/>
    </xf>
    <xf numFmtId="14" fontId="17" fillId="0" borderId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7" fillId="0" borderId="0"/>
    <xf numFmtId="2" fontId="35" fillId="36" borderId="0">
      <alignment horizontal="right"/>
      <protection locked="0"/>
    </xf>
    <xf numFmtId="1" fontId="17" fillId="0" borderId="0">
      <alignment horizontal="center"/>
    </xf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2" fillId="2" borderId="0" applyNumberFormat="0" applyBorder="0" applyAlignment="0" applyProtection="0"/>
    <xf numFmtId="0" fontId="38" fillId="0" borderId="8" applyNumberFormat="0" applyFill="0" applyAlignment="0" applyProtection="0"/>
    <xf numFmtId="0" fontId="39" fillId="0" borderId="9" applyNumberFormat="0" applyFill="0" applyAlignment="0" applyProtection="0"/>
    <xf numFmtId="0" fontId="38" fillId="0" borderId="8" applyNumberFormat="0" applyFill="0" applyAlignment="0" applyProtection="0"/>
    <xf numFmtId="0" fontId="39" fillId="0" borderId="10" applyNumberFormat="0" applyFill="0" applyAlignment="0" applyProtection="0"/>
    <xf numFmtId="0" fontId="40" fillId="0" borderId="11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41" fillId="0" borderId="12" applyNumberFormat="0" applyFill="0" applyAlignment="0" applyProtection="0"/>
    <xf numFmtId="0" fontId="42" fillId="0" borderId="12" applyNumberFormat="0" applyFill="0" applyAlignment="0" applyProtection="0"/>
    <xf numFmtId="0" fontId="41" fillId="0" borderId="12" applyNumberFormat="0" applyFill="0" applyAlignment="0" applyProtection="0"/>
    <xf numFmtId="0" fontId="42" fillId="0" borderId="13" applyNumberFormat="0" applyFill="0" applyAlignment="0" applyProtection="0"/>
    <xf numFmtId="0" fontId="43" fillId="0" borderId="12" applyNumberFormat="0" applyFill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44" fillId="0" borderId="14" applyNumberFormat="0" applyFill="0" applyAlignment="0" applyProtection="0"/>
    <xf numFmtId="0" fontId="45" fillId="0" borderId="15" applyNumberFormat="0" applyFill="0" applyAlignment="0" applyProtection="0"/>
    <xf numFmtId="0" fontId="44" fillId="0" borderId="14" applyNumberFormat="0" applyFill="0" applyAlignment="0" applyProtection="0"/>
    <xf numFmtId="0" fontId="45" fillId="0" borderId="16" applyNumberFormat="0" applyFill="0" applyAlignment="0" applyProtection="0"/>
    <xf numFmtId="0" fontId="46" fillId="0" borderId="17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50" fillId="15" borderId="5" applyNumberFormat="0" applyAlignment="0" applyProtection="0"/>
    <xf numFmtId="0" fontId="51" fillId="15" borderId="5" applyNumberFormat="0" applyAlignment="0" applyProtection="0"/>
    <xf numFmtId="0" fontId="51" fillId="15" borderId="5" applyNumberFormat="0" applyAlignment="0" applyProtection="0"/>
    <xf numFmtId="3" fontId="52" fillId="38" borderId="0">
      <protection locked="0"/>
    </xf>
    <xf numFmtId="4" fontId="52" fillId="38" borderId="0">
      <protection locked="0"/>
    </xf>
    <xf numFmtId="0" fontId="19" fillId="0" borderId="4" applyBorder="0">
      <alignment horizontal="center" vertical="center" wrapText="1"/>
    </xf>
    <xf numFmtId="0" fontId="53" fillId="0" borderId="18" applyNumberFormat="0" applyFill="0" applyAlignment="0" applyProtection="0"/>
    <xf numFmtId="0" fontId="54" fillId="0" borderId="19" applyNumberFormat="0" applyFill="0" applyAlignment="0" applyProtection="0"/>
    <xf numFmtId="0" fontId="53" fillId="0" borderId="18" applyNumberFormat="0" applyFill="0" applyAlignment="0" applyProtection="0"/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0" fontId="56" fillId="15" borderId="0" applyNumberFormat="0" applyBorder="0" applyAlignment="0" applyProtection="0"/>
    <xf numFmtId="0" fontId="57" fillId="15" borderId="0" applyNumberFormat="0" applyBorder="0" applyAlignment="0" applyProtection="0"/>
    <xf numFmtId="0" fontId="56" fillId="15" borderId="0" applyNumberFormat="0" applyBorder="0" applyAlignment="0" applyProtection="0"/>
    <xf numFmtId="0" fontId="58" fillId="15" borderId="0" applyNumberFormat="0" applyBorder="0" applyAlignment="0" applyProtection="0"/>
    <xf numFmtId="0" fontId="58" fillId="15" borderId="0" applyNumberFormat="0" applyBorder="0" applyAlignment="0" applyProtection="0"/>
    <xf numFmtId="43" fontId="17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7" fillId="0" borderId="0"/>
    <xf numFmtId="0" fontId="17" fillId="0" borderId="0"/>
    <xf numFmtId="0" fontId="1" fillId="0" borderId="0"/>
    <xf numFmtId="0" fontId="11" fillId="0" borderId="0"/>
    <xf numFmtId="0" fontId="11" fillId="0" borderId="0"/>
    <xf numFmtId="0" fontId="17" fillId="0" borderId="0"/>
    <xf numFmtId="0" fontId="17" fillId="0" borderId="0">
      <alignment wrapText="1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" fillId="0" borderId="0"/>
    <xf numFmtId="0" fontId="59" fillId="0" borderId="0"/>
    <xf numFmtId="0" fontId="17" fillId="0" borderId="0"/>
    <xf numFmtId="0" fontId="1" fillId="0" borderId="0"/>
    <xf numFmtId="0" fontId="1" fillId="0" borderId="0"/>
    <xf numFmtId="0" fontId="59" fillId="0" borderId="0"/>
    <xf numFmtId="0" fontId="17" fillId="0" borderId="0"/>
    <xf numFmtId="0" fontId="11" fillId="0" borderId="0"/>
    <xf numFmtId="0" fontId="1" fillId="0" borderId="0"/>
    <xf numFmtId="0" fontId="26" fillId="0" borderId="0"/>
    <xf numFmtId="0" fontId="17" fillId="0" borderId="0"/>
    <xf numFmtId="0" fontId="1" fillId="0" borderId="0"/>
    <xf numFmtId="0" fontId="1" fillId="0" borderId="0"/>
    <xf numFmtId="0" fontId="26" fillId="0" borderId="0"/>
    <xf numFmtId="0" fontId="17" fillId="0" borderId="0"/>
    <xf numFmtId="0" fontId="1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1" fillId="0" borderId="0"/>
    <xf numFmtId="0" fontId="17" fillId="0" borderId="0"/>
    <xf numFmtId="0" fontId="17" fillId="0" borderId="0"/>
    <xf numFmtId="0" fontId="11" fillId="0" borderId="0"/>
    <xf numFmtId="0" fontId="17" fillId="0" borderId="0"/>
    <xf numFmtId="0" fontId="17" fillId="0" borderId="0"/>
    <xf numFmtId="0" fontId="11" fillId="0" borderId="0"/>
    <xf numFmtId="0" fontId="17" fillId="0" borderId="0"/>
    <xf numFmtId="0" fontId="17" fillId="0" borderId="0"/>
    <xf numFmtId="0" fontId="11" fillId="0" borderId="0"/>
    <xf numFmtId="0" fontId="17" fillId="0" borderId="0"/>
    <xf numFmtId="0" fontId="17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72" fontId="33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7" fillId="0" borderId="0"/>
    <xf numFmtId="0" fontId="17" fillId="0" borderId="0">
      <alignment wrapText="1"/>
    </xf>
    <xf numFmtId="0" fontId="28" fillId="0" borderId="0">
      <alignment vertical="top"/>
    </xf>
    <xf numFmtId="0" fontId="28" fillId="0" borderId="0">
      <alignment vertical="top"/>
    </xf>
    <xf numFmtId="0" fontId="17" fillId="0" borderId="0"/>
    <xf numFmtId="0" fontId="28" fillId="0" borderId="0">
      <alignment vertical="top"/>
    </xf>
    <xf numFmtId="0" fontId="17" fillId="0" borderId="0"/>
    <xf numFmtId="0" fontId="28" fillId="0" borderId="0">
      <alignment vertical="top"/>
    </xf>
    <xf numFmtId="0" fontId="17" fillId="0" borderId="0"/>
    <xf numFmtId="0" fontId="11" fillId="0" borderId="0"/>
    <xf numFmtId="0" fontId="17" fillId="0" borderId="0"/>
    <xf numFmtId="0" fontId="28" fillId="0" borderId="0">
      <alignment vertical="top"/>
    </xf>
    <xf numFmtId="0" fontId="17" fillId="0" borderId="0"/>
    <xf numFmtId="0" fontId="28" fillId="0" borderId="0">
      <alignment vertical="top"/>
    </xf>
    <xf numFmtId="0" fontId="17" fillId="0" borderId="0">
      <alignment wrapText="1"/>
    </xf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30" fillId="0" borderId="0"/>
    <xf numFmtId="0" fontId="33" fillId="0" borderId="0"/>
    <xf numFmtId="0" fontId="28" fillId="0" borderId="0">
      <alignment vertical="top"/>
    </xf>
    <xf numFmtId="0" fontId="17" fillId="0" borderId="0"/>
    <xf numFmtId="0" fontId="17" fillId="0" borderId="0"/>
    <xf numFmtId="0" fontId="17" fillId="0" borderId="0">
      <alignment wrapText="1"/>
    </xf>
    <xf numFmtId="0" fontId="17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33" fillId="0" borderId="0"/>
    <xf numFmtId="0" fontId="11" fillId="0" borderId="0"/>
    <xf numFmtId="0" fontId="33" fillId="0" borderId="0"/>
    <xf numFmtId="0" fontId="1" fillId="0" borderId="0"/>
    <xf numFmtId="0" fontId="1" fillId="0" borderId="0"/>
    <xf numFmtId="0" fontId="28" fillId="0" borderId="0">
      <alignment vertical="top"/>
    </xf>
    <xf numFmtId="0" fontId="17" fillId="0" borderId="0"/>
    <xf numFmtId="0" fontId="1" fillId="0" borderId="0"/>
    <xf numFmtId="0" fontId="17" fillId="0" borderId="0"/>
    <xf numFmtId="0" fontId="17" fillId="0" borderId="0"/>
    <xf numFmtId="0" fontId="30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3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7" fillId="0" borderId="0"/>
    <xf numFmtId="0" fontId="59" fillId="0" borderId="0"/>
    <xf numFmtId="0" fontId="11" fillId="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17" fillId="0" borderId="0"/>
    <xf numFmtId="0" fontId="17" fillId="0" borderId="0"/>
    <xf numFmtId="0" fontId="11" fillId="0" borderId="0"/>
    <xf numFmtId="0" fontId="17" fillId="0" borderId="0"/>
    <xf numFmtId="0" fontId="1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59" fillId="0" borderId="0"/>
    <xf numFmtId="0" fontId="17" fillId="0" borderId="0"/>
    <xf numFmtId="0" fontId="17" fillId="0" borderId="0"/>
    <xf numFmtId="0" fontId="28" fillId="0" borderId="0">
      <alignment vertical="top"/>
    </xf>
    <xf numFmtId="0" fontId="17" fillId="0" borderId="0"/>
    <xf numFmtId="0" fontId="28" fillId="0" borderId="0">
      <alignment vertical="top"/>
    </xf>
    <xf numFmtId="0" fontId="17" fillId="0" borderId="0"/>
    <xf numFmtId="0" fontId="17" fillId="0" borderId="0"/>
    <xf numFmtId="0" fontId="17" fillId="0" borderId="0">
      <alignment wrapText="1"/>
    </xf>
    <xf numFmtId="0" fontId="17" fillId="0" borderId="0"/>
    <xf numFmtId="0" fontId="17" fillId="0" borderId="0"/>
    <xf numFmtId="0" fontId="17" fillId="0" borderId="0"/>
    <xf numFmtId="0" fontId="17" fillId="0" borderId="0"/>
    <xf numFmtId="0" fontId="28" fillId="12" borderId="21" applyNumberFormat="0" applyFont="0" applyAlignment="0" applyProtection="0"/>
    <xf numFmtId="0" fontId="11" fillId="12" borderId="21" applyNumberFormat="0" applyFont="0" applyAlignment="0" applyProtection="0"/>
    <xf numFmtId="0" fontId="28" fillId="12" borderId="21" applyNumberFormat="0" applyFont="0" applyAlignment="0" applyProtection="0"/>
    <xf numFmtId="0" fontId="33" fillId="12" borderId="21" applyNumberFormat="0" applyFont="0" applyAlignment="0" applyProtection="0"/>
    <xf numFmtId="0" fontId="27" fillId="12" borderId="21" applyNumberFormat="0" applyFont="0" applyAlignment="0" applyProtection="0"/>
    <xf numFmtId="0" fontId="33" fillId="12" borderId="21" applyNumberFormat="0" applyFont="0" applyAlignment="0" applyProtection="0"/>
    <xf numFmtId="0" fontId="33" fillId="12" borderId="21" applyNumberFormat="0" applyFont="0" applyAlignment="0" applyProtection="0"/>
    <xf numFmtId="173" fontId="60" fillId="0" borderId="0" applyNumberFormat="0"/>
    <xf numFmtId="0" fontId="45" fillId="30" borderId="22" applyNumberFormat="0" applyAlignment="0" applyProtection="0"/>
    <xf numFmtId="0" fontId="61" fillId="30" borderId="23" applyNumberFormat="0" applyAlignment="0" applyProtection="0"/>
    <xf numFmtId="0" fontId="61" fillId="30" borderId="23" applyNumberFormat="0" applyAlignment="0" applyProtection="0"/>
    <xf numFmtId="9" fontId="28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74" fontId="34" fillId="0" borderId="0">
      <alignment horizontal="center"/>
    </xf>
    <xf numFmtId="0" fontId="17" fillId="0" borderId="0"/>
    <xf numFmtId="0" fontId="17" fillId="0" borderId="0"/>
    <xf numFmtId="0" fontId="17" fillId="0" borderId="0"/>
    <xf numFmtId="0" fontId="17" fillId="0" borderId="0"/>
    <xf numFmtId="38" fontId="62" fillId="0" borderId="0" applyNumberFormat="0" applyFont="0" applyFill="0" applyBorder="0">
      <alignment horizontal="left" indent="4"/>
      <protection locked="0"/>
    </xf>
    <xf numFmtId="0" fontId="30" fillId="0" borderId="0" applyNumberFormat="0" applyFont="0" applyFill="0" applyBorder="0" applyAlignment="0" applyProtection="0">
      <alignment horizontal="left"/>
    </xf>
    <xf numFmtId="15" fontId="30" fillId="0" borderId="0" applyFont="0" applyFill="0" applyBorder="0" applyAlignment="0" applyProtection="0"/>
    <xf numFmtId="4" fontId="30" fillId="0" borderId="0" applyFont="0" applyFill="0" applyBorder="0" applyAlignment="0" applyProtection="0"/>
    <xf numFmtId="0" fontId="63" fillId="0" borderId="24">
      <alignment horizontal="center"/>
    </xf>
    <xf numFmtId="3" fontId="30" fillId="0" borderId="0" applyFont="0" applyFill="0" applyBorder="0" applyAlignment="0" applyProtection="0"/>
    <xf numFmtId="0" fontId="30" fillId="39" borderId="0" applyNumberFormat="0" applyFont="0" applyBorder="0" applyAlignment="0" applyProtection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28" fillId="0" borderId="0">
      <alignment vertical="top"/>
    </xf>
    <xf numFmtId="0" fontId="28" fillId="0" borderId="0">
      <alignment vertical="top"/>
    </xf>
    <xf numFmtId="0" fontId="28" fillId="0" borderId="0" applyNumberFormat="0" applyBorder="0" applyAlignment="0"/>
    <xf numFmtId="0" fontId="28" fillId="0" borderId="0" applyNumberFormat="0" applyBorder="0" applyAlignment="0"/>
    <xf numFmtId="37" fontId="65" fillId="0" borderId="0"/>
    <xf numFmtId="175" fontId="66" fillId="40" borderId="0" applyFill="0" applyBorder="0" applyProtection="0">
      <alignment horizontal="center"/>
      <protection hidden="1"/>
    </xf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25" applyNumberFormat="0" applyFill="0" applyAlignment="0" applyProtection="0"/>
    <xf numFmtId="0" fontId="69" fillId="0" borderId="26" applyNumberFormat="0" applyFill="0" applyAlignment="0" applyProtection="0"/>
    <xf numFmtId="0" fontId="69" fillId="0" borderId="25" applyNumberFormat="0" applyFill="0" applyAlignment="0" applyProtection="0"/>
    <xf numFmtId="0" fontId="69" fillId="0" borderId="27" applyNumberFormat="0" applyFill="0" applyAlignment="0" applyProtection="0"/>
    <xf numFmtId="0" fontId="69" fillId="0" borderId="28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70" fillId="0" borderId="0">
      <alignment horizontal="center"/>
    </xf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164" fontId="71" fillId="41" borderId="0" applyFont="0" applyFill="0" applyBorder="0" applyAlignment="0" applyProtection="0">
      <alignment wrapText="1"/>
    </xf>
    <xf numFmtId="172" fontId="33" fillId="0" borderId="0"/>
    <xf numFmtId="0" fontId="17" fillId="0" borderId="0"/>
  </cellStyleXfs>
  <cellXfs count="250">
    <xf numFmtId="0" fontId="0" fillId="0" borderId="0" xfId="0"/>
    <xf numFmtId="0" fontId="3" fillId="4" borderId="0" xfId="0" applyFont="1" applyFill="1"/>
    <xf numFmtId="0" fontId="5" fillId="4" borderId="0" xfId="4" applyFont="1" applyFill="1"/>
    <xf numFmtId="0" fontId="0" fillId="4" borderId="0" xfId="0" applyFill="1"/>
    <xf numFmtId="0" fontId="6" fillId="4" borderId="0" xfId="4" applyFont="1" applyFill="1" applyAlignment="1">
      <alignment horizontal="left"/>
    </xf>
    <xf numFmtId="0" fontId="6" fillId="4" borderId="0" xfId="4" applyFont="1" applyFill="1" applyAlignment="1">
      <alignment horizontal="center"/>
    </xf>
    <xf numFmtId="0" fontId="7" fillId="5" borderId="0" xfId="4" applyFont="1" applyFill="1" applyAlignment="1">
      <alignment horizontal="left"/>
    </xf>
    <xf numFmtId="0" fontId="8" fillId="5" borderId="0" xfId="4" applyFont="1" applyFill="1" applyAlignment="1">
      <alignment horizontal="left"/>
    </xf>
    <xf numFmtId="0" fontId="9" fillId="6" borderId="0" xfId="4" applyFont="1" applyFill="1" applyBorder="1"/>
    <xf numFmtId="0" fontId="10" fillId="4" borderId="0" xfId="0" applyFont="1" applyFill="1"/>
    <xf numFmtId="0" fontId="5" fillId="4" borderId="0" xfId="4" applyFont="1" applyFill="1" applyBorder="1"/>
    <xf numFmtId="0" fontId="0" fillId="4" borderId="0" xfId="0" applyFill="1" applyBorder="1"/>
    <xf numFmtId="0" fontId="0" fillId="4" borderId="0" xfId="0" applyFill="1" applyBorder="1" applyAlignment="1">
      <alignment horizontal="center" wrapText="1"/>
    </xf>
    <xf numFmtId="0" fontId="0" fillId="4" borderId="0" xfId="0" applyFill="1" applyBorder="1" applyAlignment="1">
      <alignment horizontal="center"/>
    </xf>
    <xf numFmtId="0" fontId="72" fillId="4" borderId="0" xfId="4" applyFont="1" applyFill="1"/>
    <xf numFmtId="0" fontId="73" fillId="4" borderId="0" xfId="0" applyFont="1" applyFill="1"/>
    <xf numFmtId="0" fontId="74" fillId="4" borderId="0" xfId="4" applyFont="1" applyFill="1"/>
    <xf numFmtId="0" fontId="75" fillId="4" borderId="0" xfId="4" applyFont="1" applyFill="1" applyAlignment="1">
      <alignment horizontal="left"/>
    </xf>
    <xf numFmtId="0" fontId="75" fillId="4" borderId="0" xfId="4" applyFont="1" applyFill="1" applyAlignment="1">
      <alignment horizontal="center"/>
    </xf>
    <xf numFmtId="0" fontId="73" fillId="4" borderId="2" xfId="0" applyFont="1" applyFill="1" applyBorder="1"/>
    <xf numFmtId="43" fontId="73" fillId="4" borderId="0" xfId="1" applyFont="1" applyFill="1"/>
    <xf numFmtId="164" fontId="73" fillId="4" borderId="0" xfId="1" applyNumberFormat="1" applyFont="1" applyFill="1"/>
    <xf numFmtId="43" fontId="73" fillId="4" borderId="0" xfId="0" applyNumberFormat="1" applyFont="1" applyFill="1"/>
    <xf numFmtId="0" fontId="72" fillId="4" borderId="0" xfId="5" applyFont="1" applyFill="1"/>
    <xf numFmtId="0" fontId="72" fillId="4" borderId="0" xfId="4" applyFont="1" applyFill="1" applyBorder="1"/>
    <xf numFmtId="0" fontId="74" fillId="4" borderId="0" xfId="4" applyFont="1" applyFill="1" applyBorder="1" applyAlignment="1">
      <alignment horizontal="right"/>
    </xf>
    <xf numFmtId="164" fontId="73" fillId="4" borderId="2" xfId="1" applyNumberFormat="1" applyFont="1" applyFill="1" applyBorder="1"/>
    <xf numFmtId="41" fontId="73" fillId="4" borderId="0" xfId="0" applyNumberFormat="1" applyFont="1" applyFill="1"/>
    <xf numFmtId="164" fontId="73" fillId="4" borderId="2" xfId="0" applyNumberFormat="1" applyFont="1" applyFill="1" applyBorder="1"/>
    <xf numFmtId="0" fontId="74" fillId="4" borderId="0" xfId="4" applyFont="1" applyFill="1" applyAlignment="1">
      <alignment horizontal="right"/>
    </xf>
    <xf numFmtId="43" fontId="73" fillId="4" borderId="3" xfId="0" applyNumberFormat="1" applyFont="1" applyFill="1" applyBorder="1"/>
    <xf numFmtId="0" fontId="73" fillId="4" borderId="0" xfId="0" applyFont="1" applyFill="1" applyBorder="1" applyAlignment="1"/>
    <xf numFmtId="164" fontId="3" fillId="4" borderId="0" xfId="1" applyNumberFormat="1" applyFont="1" applyFill="1" applyBorder="1"/>
    <xf numFmtId="0" fontId="3" fillId="4" borderId="0" xfId="0" applyFont="1" applyFill="1" applyBorder="1" applyAlignment="1">
      <alignment horizontal="center"/>
    </xf>
    <xf numFmtId="164" fontId="3" fillId="4" borderId="1" xfId="1" applyNumberFormat="1" applyFont="1" applyFill="1" applyBorder="1" applyAlignment="1">
      <alignment horizontal="center"/>
    </xf>
    <xf numFmtId="164" fontId="73" fillId="4" borderId="0" xfId="1" applyNumberFormat="1" applyFont="1" applyFill="1" applyBorder="1"/>
    <xf numFmtId="3" fontId="73" fillId="4" borderId="0" xfId="0" applyNumberFormat="1" applyFont="1" applyFill="1" applyBorder="1"/>
    <xf numFmtId="10" fontId="73" fillId="4" borderId="0" xfId="0" applyNumberFormat="1" applyFont="1" applyFill="1" applyBorder="1"/>
    <xf numFmtId="0" fontId="73" fillId="4" borderId="0" xfId="0" applyFont="1" applyFill="1" applyBorder="1"/>
    <xf numFmtId="164" fontId="73" fillId="4" borderId="0" xfId="1" applyNumberFormat="1" applyFont="1" applyFill="1" applyBorder="1" applyAlignment="1">
      <alignment horizontal="right"/>
    </xf>
    <xf numFmtId="3" fontId="3" fillId="4" borderId="0" xfId="0" applyNumberFormat="1" applyFont="1" applyFill="1" applyBorder="1"/>
    <xf numFmtId="10" fontId="3" fillId="4" borderId="0" xfId="0" applyNumberFormat="1" applyFont="1" applyFill="1" applyBorder="1"/>
    <xf numFmtId="10" fontId="73" fillId="4" borderId="0" xfId="3" applyNumberFormat="1" applyFont="1" applyFill="1" applyBorder="1" applyAlignment="1">
      <alignment horizontal="right"/>
    </xf>
    <xf numFmtId="9" fontId="73" fillId="4" borderId="0" xfId="3" applyFont="1" applyFill="1" applyBorder="1" applyAlignment="1">
      <alignment horizontal="right"/>
    </xf>
    <xf numFmtId="44" fontId="73" fillId="4" borderId="0" xfId="2" applyFont="1" applyFill="1" applyBorder="1" applyAlignment="1">
      <alignment horizontal="right"/>
    </xf>
    <xf numFmtId="165" fontId="73" fillId="4" borderId="0" xfId="2" applyNumberFormat="1" applyFont="1" applyFill="1" applyBorder="1"/>
    <xf numFmtId="0" fontId="3" fillId="4" borderId="0" xfId="0" applyFont="1" applyFill="1" applyBorder="1" applyAlignment="1">
      <alignment horizontal="right"/>
    </xf>
    <xf numFmtId="43" fontId="73" fillId="4" borderId="0" xfId="0" applyNumberFormat="1" applyFont="1" applyFill="1" applyBorder="1"/>
    <xf numFmtId="10" fontId="73" fillId="4" borderId="0" xfId="1" applyNumberFormat="1" applyFont="1" applyFill="1" applyBorder="1"/>
    <xf numFmtId="0" fontId="73" fillId="0" borderId="0" xfId="0" applyFont="1"/>
    <xf numFmtId="0" fontId="73" fillId="4" borderId="1" xfId="0" applyFont="1" applyFill="1" applyBorder="1" applyAlignment="1">
      <alignment horizontal="center"/>
    </xf>
    <xf numFmtId="43" fontId="73" fillId="4" borderId="0" xfId="0" applyNumberFormat="1" applyFont="1" applyFill="1" applyBorder="1" applyAlignment="1">
      <alignment horizontal="center"/>
    </xf>
    <xf numFmtId="43" fontId="73" fillId="4" borderId="0" xfId="1" applyFont="1" applyFill="1" applyAlignment="1">
      <alignment horizontal="center"/>
    </xf>
    <xf numFmtId="0" fontId="73" fillId="4" borderId="0" xfId="0" applyFont="1" applyFill="1" applyAlignment="1">
      <alignment horizontal="left" indent="1"/>
    </xf>
    <xf numFmtId="0" fontId="10" fillId="4" borderId="0" xfId="0" applyFont="1" applyFill="1" applyAlignment="1">
      <alignment horizontal="right"/>
    </xf>
    <xf numFmtId="0" fontId="76" fillId="4" borderId="0" xfId="0" applyFont="1" applyFill="1"/>
    <xf numFmtId="0" fontId="76" fillId="4" borderId="0" xfId="0" applyFont="1" applyFill="1" applyAlignment="1">
      <alignment horizontal="center"/>
    </xf>
    <xf numFmtId="0" fontId="73" fillId="0" borderId="0" xfId="0" applyFont="1" applyAlignment="1">
      <alignment horizontal="left" indent="1"/>
    </xf>
    <xf numFmtId="0" fontId="3" fillId="4" borderId="0" xfId="0" applyFont="1" applyFill="1" applyAlignment="1">
      <alignment horizontal="left" indent="1"/>
    </xf>
    <xf numFmtId="43" fontId="3" fillId="4" borderId="0" xfId="0" applyNumberFormat="1" applyFont="1" applyFill="1"/>
    <xf numFmtId="41" fontId="73" fillId="4" borderId="0" xfId="1" applyNumberFormat="1" applyFont="1" applyFill="1"/>
    <xf numFmtId="0" fontId="3" fillId="3" borderId="1" xfId="0" applyFont="1" applyFill="1" applyBorder="1"/>
    <xf numFmtId="0" fontId="73" fillId="3" borderId="1" xfId="0" applyFont="1" applyFill="1" applyBorder="1" applyAlignment="1">
      <alignment horizontal="center"/>
    </xf>
    <xf numFmtId="0" fontId="73" fillId="4" borderId="0" xfId="0" applyFont="1" applyFill="1" applyAlignment="1">
      <alignment horizontal="left"/>
    </xf>
    <xf numFmtId="44" fontId="73" fillId="4" borderId="0" xfId="2" applyFont="1" applyFill="1"/>
    <xf numFmtId="165" fontId="73" fillId="4" borderId="0" xfId="2" applyNumberFormat="1" applyFont="1" applyFill="1"/>
    <xf numFmtId="166" fontId="73" fillId="4" borderId="0" xfId="1" applyNumberFormat="1" applyFont="1" applyFill="1"/>
    <xf numFmtId="44" fontId="73" fillId="4" borderId="1" xfId="2" applyFont="1" applyFill="1" applyBorder="1"/>
    <xf numFmtId="165" fontId="73" fillId="4" borderId="1" xfId="2" applyNumberFormat="1" applyFont="1" applyFill="1" applyBorder="1"/>
    <xf numFmtId="166" fontId="73" fillId="4" borderId="0" xfId="1" applyNumberFormat="1" applyFont="1" applyFill="1" applyBorder="1"/>
    <xf numFmtId="176" fontId="73" fillId="4" borderId="0" xfId="2" applyNumberFormat="1" applyFont="1" applyFill="1"/>
    <xf numFmtId="166" fontId="73" fillId="4" borderId="1" xfId="1" applyNumberFormat="1" applyFont="1" applyFill="1" applyBorder="1"/>
    <xf numFmtId="10" fontId="73" fillId="4" borderId="0" xfId="0" applyNumberFormat="1" applyFont="1" applyFill="1"/>
    <xf numFmtId="167" fontId="73" fillId="4" borderId="0" xfId="0" applyNumberFormat="1" applyFont="1" applyFill="1"/>
    <xf numFmtId="168" fontId="73" fillId="4" borderId="0" xfId="0" applyNumberFormat="1" applyFont="1" applyFill="1"/>
    <xf numFmtId="166" fontId="73" fillId="4" borderId="0" xfId="0" applyNumberFormat="1" applyFont="1" applyFill="1"/>
    <xf numFmtId="0" fontId="73" fillId="3" borderId="1" xfId="0" applyFont="1" applyFill="1" applyBorder="1"/>
    <xf numFmtId="44" fontId="73" fillId="4" borderId="0" xfId="0" applyNumberFormat="1" applyFont="1" applyFill="1"/>
    <xf numFmtId="169" fontId="73" fillId="4" borderId="0" xfId="0" applyNumberFormat="1" applyFont="1" applyFill="1"/>
    <xf numFmtId="170" fontId="73" fillId="4" borderId="0" xfId="0" applyNumberFormat="1" applyFont="1" applyFill="1"/>
    <xf numFmtId="42" fontId="3" fillId="4" borderId="0" xfId="0" applyNumberFormat="1" applyFont="1" applyFill="1"/>
    <xf numFmtId="0" fontId="3" fillId="4" borderId="0" xfId="0" applyFont="1" applyFill="1" applyBorder="1"/>
    <xf numFmtId="0" fontId="73" fillId="4" borderId="0" xfId="0" applyFont="1" applyFill="1" applyBorder="1" applyAlignment="1">
      <alignment horizontal="center"/>
    </xf>
    <xf numFmtId="42" fontId="73" fillId="4" borderId="0" xfId="2" applyNumberFormat="1" applyFont="1" applyFill="1" applyBorder="1"/>
    <xf numFmtId="10" fontId="73" fillId="4" borderId="0" xfId="0" applyNumberFormat="1" applyFont="1" applyFill="1" applyBorder="1" applyAlignment="1">
      <alignment horizontal="right"/>
    </xf>
    <xf numFmtId="0" fontId="74" fillId="4" borderId="0" xfId="0" applyFont="1" applyFill="1" applyAlignment="1">
      <alignment horizontal="left"/>
    </xf>
    <xf numFmtId="0" fontId="73" fillId="4" borderId="1" xfId="0" applyFont="1" applyFill="1" applyBorder="1"/>
    <xf numFmtId="10" fontId="74" fillId="4" borderId="0" xfId="0" applyNumberFormat="1" applyFont="1" applyFill="1"/>
    <xf numFmtId="0" fontId="74" fillId="4" borderId="0" xfId="0" applyFont="1" applyFill="1"/>
    <xf numFmtId="1" fontId="3" fillId="4" borderId="0" xfId="0" applyNumberFormat="1" applyFont="1" applyFill="1"/>
    <xf numFmtId="4" fontId="10" fillId="4" borderId="0" xfId="676" applyNumberFormat="1" applyFont="1" applyFill="1" applyBorder="1"/>
    <xf numFmtId="172" fontId="10" fillId="4" borderId="0" xfId="676" applyFont="1" applyFill="1" applyBorder="1"/>
    <xf numFmtId="172" fontId="77" fillId="4" borderId="0" xfId="676" applyFont="1" applyFill="1" applyBorder="1"/>
    <xf numFmtId="2" fontId="10" fillId="4" borderId="0" xfId="676" applyNumberFormat="1" applyFont="1" applyFill="1" applyBorder="1"/>
    <xf numFmtId="1" fontId="74" fillId="4" borderId="0" xfId="4" applyNumberFormat="1" applyFont="1" applyFill="1"/>
    <xf numFmtId="10" fontId="77" fillId="4" borderId="0" xfId="676" applyNumberFormat="1" applyFont="1" applyFill="1" applyBorder="1"/>
    <xf numFmtId="4" fontId="10" fillId="4" borderId="0" xfId="676" applyNumberFormat="1" applyFont="1" applyFill="1" applyBorder="1" applyAlignment="1">
      <alignment horizontal="center"/>
    </xf>
    <xf numFmtId="10" fontId="77" fillId="4" borderId="0" xfId="3" applyNumberFormat="1" applyFont="1" applyFill="1" applyBorder="1"/>
    <xf numFmtId="4" fontId="77" fillId="4" borderId="0" xfId="677" applyNumberFormat="1" applyFont="1" applyFill="1" applyBorder="1" applyAlignment="1"/>
    <xf numFmtId="4" fontId="10" fillId="4" borderId="0" xfId="676" quotePrefix="1" applyNumberFormat="1" applyFont="1" applyFill="1" applyBorder="1" applyAlignment="1">
      <alignment horizontal="center"/>
    </xf>
    <xf numFmtId="2" fontId="10" fillId="4" borderId="0" xfId="676" applyNumberFormat="1" applyFont="1" applyFill="1" applyBorder="1" applyAlignment="1">
      <alignment horizontal="right"/>
    </xf>
    <xf numFmtId="4" fontId="10" fillId="42" borderId="0" xfId="677" applyNumberFormat="1" applyFont="1" applyFill="1" applyBorder="1" applyAlignment="1"/>
    <xf numFmtId="14" fontId="78" fillId="42" borderId="0" xfId="676" applyNumberFormat="1" applyFont="1" applyFill="1" applyBorder="1" applyAlignment="1">
      <alignment horizontal="center"/>
    </xf>
    <xf numFmtId="172" fontId="78" fillId="42" borderId="0" xfId="676" applyFont="1" applyFill="1" applyBorder="1"/>
    <xf numFmtId="2" fontId="78" fillId="42" borderId="0" xfId="676" applyNumberFormat="1" applyFont="1" applyFill="1" applyBorder="1" applyAlignment="1">
      <alignment horizontal="right"/>
    </xf>
    <xf numFmtId="2" fontId="78" fillId="42" borderId="0" xfId="676" applyNumberFormat="1" applyFont="1" applyFill="1" applyBorder="1"/>
    <xf numFmtId="2" fontId="78" fillId="42" borderId="0" xfId="676" applyNumberFormat="1" applyFont="1" applyFill="1" applyBorder="1" applyAlignment="1">
      <alignment horizontal="center"/>
    </xf>
    <xf numFmtId="0" fontId="10" fillId="42" borderId="0" xfId="677" applyFont="1" applyFill="1" applyBorder="1" applyAlignment="1">
      <alignment horizontal="center"/>
    </xf>
    <xf numFmtId="4" fontId="78" fillId="42" borderId="0" xfId="676" applyNumberFormat="1" applyFont="1" applyFill="1" applyBorder="1" applyAlignment="1">
      <alignment horizontal="center"/>
    </xf>
    <xf numFmtId="43" fontId="77" fillId="42" borderId="0" xfId="677" applyNumberFormat="1" applyFont="1" applyFill="1" applyBorder="1"/>
    <xf numFmtId="43" fontId="77" fillId="6" borderId="0" xfId="677" applyNumberFormat="1" applyFont="1" applyFill="1" applyBorder="1"/>
    <xf numFmtId="4" fontId="77" fillId="6" borderId="0" xfId="676" applyNumberFormat="1" applyFont="1" applyFill="1" applyBorder="1" applyAlignment="1">
      <alignment horizontal="center"/>
    </xf>
    <xf numFmtId="172" fontId="77" fillId="6" borderId="0" xfId="676" applyFont="1" applyFill="1" applyBorder="1"/>
    <xf numFmtId="2" fontId="77" fillId="6" borderId="0" xfId="676" applyNumberFormat="1" applyFont="1" applyFill="1" applyBorder="1" applyAlignment="1">
      <alignment horizontal="right"/>
    </xf>
    <xf numFmtId="2" fontId="77" fillId="6" borderId="0" xfId="676" applyNumberFormat="1" applyFont="1" applyFill="1" applyBorder="1" applyAlignment="1">
      <alignment horizontal="center"/>
    </xf>
    <xf numFmtId="4" fontId="10" fillId="6" borderId="0" xfId="676" applyNumberFormat="1" applyFont="1" applyFill="1" applyBorder="1"/>
    <xf numFmtId="43" fontId="10" fillId="4" borderId="0" xfId="677" applyNumberFormat="1" applyFont="1" applyFill="1" applyBorder="1"/>
    <xf numFmtId="4" fontId="10" fillId="4" borderId="0" xfId="676" applyNumberFormat="1" applyFont="1" applyFill="1" applyBorder="1" applyAlignment="1">
      <alignment horizontal="right"/>
    </xf>
    <xf numFmtId="43" fontId="77" fillId="4" borderId="0" xfId="677" applyNumberFormat="1" applyFont="1" applyFill="1" applyBorder="1"/>
    <xf numFmtId="2" fontId="77" fillId="4" borderId="0" xfId="676" applyNumberFormat="1" applyFont="1" applyFill="1" applyBorder="1" applyAlignment="1">
      <alignment horizontal="right"/>
    </xf>
    <xf numFmtId="4" fontId="10" fillId="6" borderId="0" xfId="676" applyNumberFormat="1" applyFont="1" applyFill="1" applyBorder="1" applyAlignment="1">
      <alignment horizontal="right"/>
    </xf>
    <xf numFmtId="172" fontId="10" fillId="4" borderId="0" xfId="676" applyFont="1" applyFill="1" applyBorder="1" applyAlignment="1">
      <alignment horizontal="right"/>
    </xf>
    <xf numFmtId="172" fontId="10" fillId="6" borderId="0" xfId="676" applyFont="1" applyFill="1" applyBorder="1" applyAlignment="1">
      <alignment horizontal="right"/>
    </xf>
    <xf numFmtId="2" fontId="10" fillId="6" borderId="0" xfId="676" applyNumberFormat="1" applyFont="1" applyFill="1" applyBorder="1" applyAlignment="1">
      <alignment horizontal="right"/>
    </xf>
    <xf numFmtId="4" fontId="77" fillId="4" borderId="0" xfId="676" applyNumberFormat="1" applyFont="1" applyFill="1" applyBorder="1"/>
    <xf numFmtId="4" fontId="79" fillId="4" borderId="0" xfId="676" applyNumberFormat="1" applyFont="1" applyFill="1" applyBorder="1"/>
    <xf numFmtId="173" fontId="10" fillId="4" borderId="0" xfId="3" applyNumberFormat="1" applyFont="1" applyFill="1" applyBorder="1"/>
    <xf numFmtId="172" fontId="10" fillId="6" borderId="0" xfId="676" applyFont="1" applyFill="1" applyBorder="1"/>
    <xf numFmtId="2" fontId="10" fillId="6" borderId="0" xfId="676" applyNumberFormat="1" applyFont="1" applyFill="1" applyBorder="1"/>
    <xf numFmtId="4" fontId="10" fillId="0" borderId="0" xfId="676" applyNumberFormat="1" applyFont="1" applyFill="1" applyBorder="1"/>
    <xf numFmtId="2" fontId="77" fillId="4" borderId="0" xfId="676" applyNumberFormat="1" applyFont="1" applyFill="1" applyBorder="1"/>
    <xf numFmtId="172" fontId="80" fillId="4" borderId="0" xfId="676" applyFont="1" applyFill="1" applyBorder="1"/>
    <xf numFmtId="4" fontId="80" fillId="4" borderId="0" xfId="676" applyNumberFormat="1" applyFont="1" applyFill="1" applyBorder="1"/>
    <xf numFmtId="2" fontId="80" fillId="4" borderId="0" xfId="676" applyNumberFormat="1" applyFont="1" applyFill="1" applyBorder="1" applyAlignment="1">
      <alignment horizontal="right"/>
    </xf>
    <xf numFmtId="2" fontId="80" fillId="4" borderId="0" xfId="676" applyNumberFormat="1" applyFont="1" applyFill="1" applyBorder="1"/>
    <xf numFmtId="4" fontId="81" fillId="4" borderId="0" xfId="676" applyNumberFormat="1" applyFont="1" applyFill="1" applyBorder="1"/>
    <xf numFmtId="43" fontId="82" fillId="4" borderId="0" xfId="677" applyNumberFormat="1" applyFont="1" applyFill="1" applyBorder="1"/>
    <xf numFmtId="172" fontId="81" fillId="4" borderId="0" xfId="676" applyFont="1" applyFill="1" applyBorder="1"/>
    <xf numFmtId="2" fontId="81" fillId="4" borderId="0" xfId="676" applyNumberFormat="1" applyFont="1" applyFill="1" applyBorder="1" applyAlignment="1">
      <alignment horizontal="right"/>
    </xf>
    <xf numFmtId="2" fontId="81" fillId="4" borderId="0" xfId="676" applyNumberFormat="1" applyFont="1" applyFill="1" applyBorder="1"/>
    <xf numFmtId="172" fontId="83" fillId="4" borderId="0" xfId="676" applyFont="1" applyFill="1" applyBorder="1"/>
    <xf numFmtId="43" fontId="84" fillId="4" borderId="0" xfId="677" applyNumberFormat="1" applyFont="1" applyFill="1" applyBorder="1"/>
    <xf numFmtId="43" fontId="82" fillId="4" borderId="0" xfId="677" applyNumberFormat="1" applyFont="1" applyFill="1" applyBorder="1" applyAlignment="1">
      <alignment horizontal="left"/>
    </xf>
    <xf numFmtId="4" fontId="82" fillId="4" borderId="0" xfId="677" applyNumberFormat="1" applyFont="1" applyFill="1" applyBorder="1" applyAlignment="1"/>
    <xf numFmtId="43" fontId="85" fillId="4" borderId="0" xfId="677" applyNumberFormat="1" applyFont="1" applyFill="1" applyBorder="1"/>
    <xf numFmtId="4" fontId="85" fillId="4" borderId="0" xfId="677" applyNumberFormat="1" applyFont="1" applyFill="1" applyBorder="1" applyAlignment="1"/>
    <xf numFmtId="4" fontId="86" fillId="4" borderId="0" xfId="677" applyNumberFormat="1" applyFont="1" applyFill="1" applyBorder="1" applyAlignment="1"/>
    <xf numFmtId="43" fontId="86" fillId="4" borderId="0" xfId="677" applyNumberFormat="1" applyFont="1" applyFill="1" applyBorder="1"/>
    <xf numFmtId="43" fontId="85" fillId="4" borderId="0" xfId="677" applyNumberFormat="1" applyFont="1" applyFill="1" applyBorder="1" applyAlignment="1">
      <alignment horizontal="left"/>
    </xf>
    <xf numFmtId="0" fontId="87" fillId="4" borderId="0" xfId="677" applyFont="1" applyFill="1" applyBorder="1"/>
    <xf numFmtId="0" fontId="27" fillId="4" borderId="0" xfId="677" applyFont="1" applyFill="1" applyBorder="1"/>
    <xf numFmtId="44" fontId="73" fillId="4" borderId="2" xfId="2" applyFont="1" applyFill="1" applyBorder="1"/>
    <xf numFmtId="44" fontId="73" fillId="4" borderId="3" xfId="2" applyFont="1" applyFill="1" applyBorder="1"/>
    <xf numFmtId="43" fontId="73" fillId="4" borderId="0" xfId="1" applyNumberFormat="1" applyFont="1" applyFill="1"/>
    <xf numFmtId="44" fontId="73" fillId="4" borderId="0" xfId="2" quotePrefix="1" applyFont="1" applyFill="1"/>
    <xf numFmtId="172" fontId="10" fillId="4" borderId="0" xfId="676" applyFont="1" applyFill="1" applyBorder="1" applyAlignment="1">
      <alignment horizontal="left"/>
    </xf>
    <xf numFmtId="2" fontId="10" fillId="0" borderId="0" xfId="676" applyNumberFormat="1" applyFont="1" applyFill="1" applyBorder="1" applyAlignment="1">
      <alignment horizontal="right"/>
    </xf>
    <xf numFmtId="43" fontId="10" fillId="4" borderId="0" xfId="1" applyFont="1" applyFill="1" applyBorder="1"/>
    <xf numFmtId="172" fontId="10" fillId="4" borderId="0" xfId="676" applyFont="1" applyFill="1" applyBorder="1" applyAlignment="1"/>
    <xf numFmtId="0" fontId="3" fillId="4" borderId="2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2" xfId="0" applyFont="1" applyFill="1" applyBorder="1" applyAlignment="1">
      <alignment horizontal="center" wrapText="1"/>
    </xf>
    <xf numFmtId="1" fontId="77" fillId="4" borderId="0" xfId="403" applyNumberFormat="1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44" fontId="3" fillId="0" borderId="0" xfId="2" applyFont="1"/>
    <xf numFmtId="43" fontId="73" fillId="43" borderId="0" xfId="1" applyFont="1" applyFill="1"/>
    <xf numFmtId="44" fontId="73" fillId="43" borderId="0" xfId="2" applyFont="1" applyFill="1"/>
    <xf numFmtId="44" fontId="73" fillId="0" borderId="0" xfId="2" applyFont="1"/>
    <xf numFmtId="177" fontId="73" fillId="0" borderId="0" xfId="2" applyNumberFormat="1" applyFont="1"/>
    <xf numFmtId="0" fontId="73" fillId="0" borderId="0" xfId="0" quotePrefix="1" applyFont="1"/>
    <xf numFmtId="44" fontId="73" fillId="0" borderId="0" xfId="0" applyNumberFormat="1" applyFont="1"/>
    <xf numFmtId="43" fontId="73" fillId="43" borderId="3" xfId="1" applyFont="1" applyFill="1" applyBorder="1"/>
    <xf numFmtId="44" fontId="73" fillId="43" borderId="3" xfId="2" applyFont="1" applyFill="1" applyBorder="1"/>
    <xf numFmtId="43" fontId="73" fillId="0" borderId="0" xfId="1" applyFont="1"/>
    <xf numFmtId="177" fontId="73" fillId="0" borderId="3" xfId="2" applyNumberFormat="1" applyFont="1" applyBorder="1"/>
    <xf numFmtId="0" fontId="73" fillId="0" borderId="0" xfId="0" applyFont="1" applyAlignment="1"/>
    <xf numFmtId="43" fontId="73" fillId="44" borderId="0" xfId="1" applyFont="1" applyFill="1"/>
    <xf numFmtId="44" fontId="73" fillId="44" borderId="0" xfId="2" applyFont="1" applyFill="1"/>
    <xf numFmtId="168" fontId="73" fillId="0" borderId="0" xfId="3" applyNumberFormat="1" applyFont="1"/>
    <xf numFmtId="0" fontId="73" fillId="0" borderId="0" xfId="0" applyFont="1" applyAlignment="1">
      <alignment horizontal="right"/>
    </xf>
    <xf numFmtId="43" fontId="73" fillId="44" borderId="3" xfId="1" applyFont="1" applyFill="1" applyBorder="1"/>
    <xf numFmtId="44" fontId="73" fillId="44" borderId="3" xfId="2" applyFont="1" applyFill="1" applyBorder="1"/>
    <xf numFmtId="164" fontId="73" fillId="4" borderId="0" xfId="0" applyNumberFormat="1" applyFont="1" applyFill="1"/>
    <xf numFmtId="44" fontId="73" fillId="4" borderId="0" xfId="2" applyNumberFormat="1" applyFont="1" applyFill="1"/>
    <xf numFmtId="164" fontId="0" fillId="4" borderId="0" xfId="1" applyNumberFormat="1" applyFont="1" applyFill="1"/>
    <xf numFmtId="49" fontId="10" fillId="4" borderId="0" xfId="0" applyNumberFormat="1" applyFont="1" applyFill="1"/>
    <xf numFmtId="0" fontId="72" fillId="4" borderId="0" xfId="0" applyFont="1" applyFill="1" applyAlignment="1">
      <alignment vertical="top"/>
    </xf>
    <xf numFmtId="0" fontId="77" fillId="4" borderId="0" xfId="0" applyFont="1" applyFill="1" applyAlignment="1">
      <alignment horizontal="right"/>
    </xf>
    <xf numFmtId="10" fontId="3" fillId="4" borderId="0" xfId="3" applyNumberFormat="1" applyFont="1" applyFill="1" applyBorder="1" applyAlignment="1">
      <alignment horizontal="right"/>
    </xf>
    <xf numFmtId="0" fontId="74" fillId="4" borderId="0" xfId="4" applyFont="1" applyFill="1" applyAlignment="1">
      <alignment horizontal="center" wrapText="1"/>
    </xf>
    <xf numFmtId="0" fontId="73" fillId="4" borderId="2" xfId="0" applyFont="1" applyFill="1" applyBorder="1" applyAlignment="1">
      <alignment horizontal="center"/>
    </xf>
    <xf numFmtId="164" fontId="73" fillId="4" borderId="2" xfId="1" applyNumberFormat="1" applyFont="1" applyFill="1" applyBorder="1" applyAlignment="1">
      <alignment horizontal="center"/>
    </xf>
    <xf numFmtId="0" fontId="73" fillId="4" borderId="2" xfId="0" applyFont="1" applyFill="1" applyBorder="1" applyAlignment="1">
      <alignment horizontal="center" wrapText="1"/>
    </xf>
    <xf numFmtId="0" fontId="78" fillId="5" borderId="0" xfId="4" applyFont="1" applyFill="1" applyAlignment="1">
      <alignment horizontal="left"/>
    </xf>
    <xf numFmtId="43" fontId="72" fillId="5" borderId="0" xfId="1" applyFont="1" applyFill="1" applyAlignment="1">
      <alignment horizontal="center"/>
    </xf>
    <xf numFmtId="0" fontId="74" fillId="6" borderId="0" xfId="4" applyFont="1" applyFill="1" applyAlignment="1">
      <alignment horizontal="left"/>
    </xf>
    <xf numFmtId="43" fontId="73" fillId="4" borderId="2" xfId="0" applyNumberFormat="1" applyFont="1" applyFill="1" applyBorder="1"/>
    <xf numFmtId="0" fontId="73" fillId="0" borderId="0" xfId="0" applyFont="1" applyFill="1"/>
    <xf numFmtId="0" fontId="73" fillId="4" borderId="3" xfId="0" applyFont="1" applyFill="1" applyBorder="1"/>
    <xf numFmtId="164" fontId="73" fillId="4" borderId="3" xfId="0" applyNumberFormat="1" applyFont="1" applyFill="1" applyBorder="1"/>
    <xf numFmtId="164" fontId="73" fillId="4" borderId="3" xfId="1" applyNumberFormat="1" applyFont="1" applyFill="1" applyBorder="1"/>
    <xf numFmtId="0" fontId="73" fillId="4" borderId="0" xfId="0" applyFont="1" applyFill="1" applyAlignment="1">
      <alignment horizontal="right"/>
    </xf>
    <xf numFmtId="164" fontId="3" fillId="4" borderId="2" xfId="1" applyNumberFormat="1" applyFont="1" applyFill="1" applyBorder="1" applyAlignment="1">
      <alignment horizontal="center"/>
    </xf>
    <xf numFmtId="164" fontId="0" fillId="4" borderId="0" xfId="1" applyNumberFormat="1" applyFont="1" applyFill="1" applyBorder="1"/>
    <xf numFmtId="164" fontId="8" fillId="5" borderId="0" xfId="1" applyNumberFormat="1" applyFont="1" applyFill="1" applyAlignment="1">
      <alignment horizontal="left"/>
    </xf>
    <xf numFmtId="164" fontId="9" fillId="6" borderId="0" xfId="1" applyNumberFormat="1" applyFont="1" applyFill="1" applyBorder="1"/>
    <xf numFmtId="43" fontId="73" fillId="0" borderId="0" xfId="0" applyNumberFormat="1" applyFont="1" applyFill="1"/>
    <xf numFmtId="43" fontId="73" fillId="0" borderId="0" xfId="1" applyFont="1" applyFill="1"/>
    <xf numFmtId="164" fontId="90" fillId="4" borderId="0" xfId="1" applyNumberFormat="1" applyFont="1" applyFill="1" applyBorder="1"/>
    <xf numFmtId="0" fontId="91" fillId="4" borderId="0" xfId="0" applyFont="1" applyFill="1"/>
    <xf numFmtId="0" fontId="90" fillId="4" borderId="0" xfId="0" applyFont="1" applyFill="1" applyBorder="1" applyAlignment="1">
      <alignment horizontal="center"/>
    </xf>
    <xf numFmtId="177" fontId="73" fillId="4" borderId="0" xfId="0" applyNumberFormat="1" applyFont="1" applyFill="1"/>
    <xf numFmtId="177" fontId="73" fillId="4" borderId="0" xfId="0" applyNumberFormat="1" applyFont="1" applyFill="1" applyAlignment="1">
      <alignment horizontal="right"/>
    </xf>
    <xf numFmtId="0" fontId="3" fillId="4" borderId="0" xfId="0" applyFont="1" applyFill="1" applyAlignment="1">
      <alignment horizontal="right"/>
    </xf>
    <xf numFmtId="177" fontId="3" fillId="4" borderId="0" xfId="0" applyNumberFormat="1" applyFont="1" applyFill="1"/>
    <xf numFmtId="10" fontId="3" fillId="4" borderId="0" xfId="3" applyNumberFormat="1" applyFont="1" applyFill="1"/>
    <xf numFmtId="164" fontId="73" fillId="0" borderId="0" xfId="1" applyNumberFormat="1" applyFont="1" applyFill="1"/>
    <xf numFmtId="0" fontId="10" fillId="0" borderId="0" xfId="0" applyFont="1" applyFill="1"/>
    <xf numFmtId="49" fontId="10" fillId="0" borderId="0" xfId="0" applyNumberFormat="1" applyFont="1" applyFill="1"/>
    <xf numFmtId="177" fontId="73" fillId="4" borderId="0" xfId="2" applyNumberFormat="1" applyFont="1" applyFill="1"/>
    <xf numFmtId="177" fontId="73" fillId="4" borderId="2" xfId="2" applyNumberFormat="1" applyFont="1" applyFill="1" applyBorder="1"/>
    <xf numFmtId="10" fontId="10" fillId="4" borderId="0" xfId="3" applyNumberFormat="1" applyFont="1" applyFill="1" applyBorder="1"/>
    <xf numFmtId="0" fontId="73" fillId="4" borderId="0" xfId="0" applyFont="1" applyFill="1" applyAlignment="1">
      <alignment horizontal="center"/>
    </xf>
    <xf numFmtId="0" fontId="88" fillId="0" borderId="0" xfId="0" applyFont="1" applyAlignment="1">
      <alignment horizontal="left" wrapText="1"/>
    </xf>
    <xf numFmtId="0" fontId="89" fillId="0" borderId="0" xfId="0" applyFont="1" applyAlignment="1">
      <alignment horizontal="center" wrapText="1"/>
    </xf>
    <xf numFmtId="44" fontId="73" fillId="0" borderId="0" xfId="2" applyFont="1" applyFill="1"/>
    <xf numFmtId="177" fontId="73" fillId="0" borderId="0" xfId="2" applyNumberFormat="1" applyFont="1" applyFill="1"/>
    <xf numFmtId="0" fontId="73" fillId="4" borderId="0" xfId="0" applyFont="1" applyFill="1" applyAlignment="1"/>
    <xf numFmtId="164" fontId="73" fillId="4" borderId="0" xfId="1" applyNumberFormat="1" applyFont="1" applyFill="1" applyAlignment="1"/>
    <xf numFmtId="164" fontId="73" fillId="0" borderId="0" xfId="0" applyNumberFormat="1" applyFont="1" applyFill="1"/>
    <xf numFmtId="9" fontId="10" fillId="4" borderId="0" xfId="3" applyFont="1" applyFill="1" applyBorder="1"/>
    <xf numFmtId="44" fontId="73" fillId="4" borderId="1" xfId="2" applyNumberFormat="1" applyFont="1" applyFill="1" applyBorder="1"/>
    <xf numFmtId="0" fontId="3" fillId="4" borderId="0" xfId="0" applyFont="1" applyFill="1" applyBorder="1" applyAlignment="1">
      <alignment horizontal="left" wrapText="1"/>
    </xf>
    <xf numFmtId="0" fontId="88" fillId="0" borderId="0" xfId="0" applyFont="1" applyAlignment="1">
      <alignment wrapText="1"/>
    </xf>
    <xf numFmtId="164" fontId="3" fillId="4" borderId="0" xfId="1" applyNumberFormat="1" applyFont="1" applyFill="1" applyBorder="1" applyAlignment="1">
      <alignment horizontal="right"/>
    </xf>
    <xf numFmtId="164" fontId="73" fillId="4" borderId="1" xfId="1" applyNumberFormat="1" applyFont="1" applyFill="1" applyBorder="1"/>
    <xf numFmtId="0" fontId="73" fillId="43" borderId="0" xfId="0" applyFont="1" applyFill="1" applyAlignment="1">
      <alignment horizontal="right"/>
    </xf>
    <xf numFmtId="0" fontId="73" fillId="44" borderId="0" xfId="0" applyFont="1" applyFill="1" applyAlignment="1">
      <alignment horizontal="right"/>
    </xf>
    <xf numFmtId="0" fontId="73" fillId="0" borderId="0" xfId="0" applyFont="1" applyAlignment="1">
      <alignment horizontal="left"/>
    </xf>
    <xf numFmtId="164" fontId="73" fillId="4" borderId="0" xfId="1" applyNumberFormat="1" applyFont="1" applyFill="1" applyBorder="1" applyAlignment="1">
      <alignment horizontal="center"/>
    </xf>
    <xf numFmtId="0" fontId="73" fillId="4" borderId="0" xfId="0" applyFont="1" applyFill="1" applyBorder="1" applyAlignment="1">
      <alignment horizontal="center" wrapText="1"/>
    </xf>
    <xf numFmtId="0" fontId="3" fillId="4" borderId="0" xfId="0" applyFont="1" applyFill="1" applyAlignment="1">
      <alignment horizontal="left"/>
    </xf>
    <xf numFmtId="0" fontId="73" fillId="3" borderId="0" xfId="0" applyFont="1" applyFill="1" applyBorder="1" applyAlignment="1">
      <alignment horizontal="center"/>
    </xf>
    <xf numFmtId="0" fontId="74" fillId="4" borderId="0" xfId="4" applyFont="1" applyFill="1" applyAlignment="1">
      <alignment horizontal="left" wrapText="1"/>
    </xf>
    <xf numFmtId="0" fontId="73" fillId="4" borderId="0" xfId="0" applyFont="1" applyFill="1" applyAlignment="1">
      <alignment horizontal="center"/>
    </xf>
    <xf numFmtId="0" fontId="88" fillId="0" borderId="0" xfId="0" applyFont="1" applyAlignment="1">
      <alignment horizontal="left" wrapText="1"/>
    </xf>
    <xf numFmtId="0" fontId="73" fillId="3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73" fillId="4" borderId="0" xfId="0" applyFont="1" applyFill="1" applyAlignment="1">
      <alignment horizontal="center" wrapText="1"/>
    </xf>
  </cellXfs>
  <cellStyles count="678">
    <cellStyle name="20% - Accent1 2" xfId="6"/>
    <cellStyle name="20% - Accent1 2 2" xfId="7"/>
    <cellStyle name="20% - Accent1 2 3" xfId="8"/>
    <cellStyle name="20% - Accent1 3" xfId="9"/>
    <cellStyle name="20% - Accent1 3 2" xfId="10"/>
    <cellStyle name="20% - Accent1 3 3" xfId="11"/>
    <cellStyle name="20% - Accent1 4" xfId="12"/>
    <cellStyle name="20% - Accent2 2" xfId="13"/>
    <cellStyle name="20% - Accent2 3" xfId="14"/>
    <cellStyle name="20% - Accent2 3 2" xfId="15"/>
    <cellStyle name="20% - Accent3 2" xfId="16"/>
    <cellStyle name="20% - Accent3 3" xfId="17"/>
    <cellStyle name="20% - Accent3 3 2" xfId="18"/>
    <cellStyle name="20% - Accent4 2" xfId="19"/>
    <cellStyle name="20% - Accent4 2 2" xfId="20"/>
    <cellStyle name="20% - Accent4 2 3" xfId="21"/>
    <cellStyle name="20% - Accent4 3" xfId="22"/>
    <cellStyle name="20% - Accent4 3 2" xfId="23"/>
    <cellStyle name="20% - Accent4 3 3" xfId="24"/>
    <cellStyle name="20% - Accent4 4" xfId="25"/>
    <cellStyle name="20% - Accent5 2" xfId="26"/>
    <cellStyle name="20% - Accent5 3" xfId="27"/>
    <cellStyle name="20% - Accent6 2" xfId="28"/>
    <cellStyle name="20% - Accent6 3" xfId="29"/>
    <cellStyle name="20% - Accent6 3 2" xfId="30"/>
    <cellStyle name="40% - Accent1 2" xfId="31"/>
    <cellStyle name="40% - Accent1 2 2" xfId="32"/>
    <cellStyle name="40% - Accent1 3" xfId="33"/>
    <cellStyle name="40% - Accent1 3 2" xfId="34"/>
    <cellStyle name="40% - Accent1 3 3" xfId="35"/>
    <cellStyle name="40% - Accent1 4" xfId="36"/>
    <cellStyle name="40% - Accent2 2" xfId="37"/>
    <cellStyle name="40% - Accent2 3" xfId="38"/>
    <cellStyle name="40% - Accent3 2" xfId="39"/>
    <cellStyle name="40% - Accent3 3" xfId="40"/>
    <cellStyle name="40% - Accent3 3 2" xfId="41"/>
    <cellStyle name="40% - Accent4 2" xfId="42"/>
    <cellStyle name="40% - Accent4 2 2" xfId="43"/>
    <cellStyle name="40% - Accent4 3" xfId="44"/>
    <cellStyle name="40% - Accent4 3 2" xfId="45"/>
    <cellStyle name="40% - Accent4 3 3" xfId="46"/>
    <cellStyle name="40% - Accent4 4" xfId="47"/>
    <cellStyle name="40% - Accent5 2" xfId="48"/>
    <cellStyle name="40% - Accent5 2 2" xfId="49"/>
    <cellStyle name="40% - Accent5 3" xfId="50"/>
    <cellStyle name="40% - Accent5 3 2" xfId="51"/>
    <cellStyle name="40% - Accent6 2" xfId="52"/>
    <cellStyle name="40% - Accent6 2 2" xfId="53"/>
    <cellStyle name="40% - Accent6 3" xfId="54"/>
    <cellStyle name="40% - Accent6 3 2" xfId="55"/>
    <cellStyle name="40% - Accent6 3 3" xfId="56"/>
    <cellStyle name="40% - Accent6 4" xfId="57"/>
    <cellStyle name="60% - Accent1 2" xfId="58"/>
    <cellStyle name="60% - Accent1 2 2" xfId="59"/>
    <cellStyle name="60% - Accent1 2 3" xfId="60"/>
    <cellStyle name="60% - Accent1 3" xfId="61"/>
    <cellStyle name="60% - Accent1 3 2" xfId="62"/>
    <cellStyle name="60% - Accent1 3 3" xfId="63"/>
    <cellStyle name="60% - Accent1 4" xfId="64"/>
    <cellStyle name="60% - Accent2 2" xfId="65"/>
    <cellStyle name="60% - Accent2 2 2" xfId="66"/>
    <cellStyle name="60% - Accent2 3" xfId="67"/>
    <cellStyle name="60% - Accent2 3 2" xfId="68"/>
    <cellStyle name="60% - Accent3 2" xfId="69"/>
    <cellStyle name="60% - Accent3 2 2" xfId="70"/>
    <cellStyle name="60% - Accent3 3" xfId="71"/>
    <cellStyle name="60% - Accent3 3 2" xfId="72"/>
    <cellStyle name="60% - Accent3 3 3" xfId="73"/>
    <cellStyle name="60% - Accent3 4" xfId="74"/>
    <cellStyle name="60% - Accent4 2" xfId="75"/>
    <cellStyle name="60% - Accent4 2 2" xfId="76"/>
    <cellStyle name="60% - Accent4 3" xfId="77"/>
    <cellStyle name="60% - Accent4 3 2" xfId="78"/>
    <cellStyle name="60% - Accent4 3 3" xfId="79"/>
    <cellStyle name="60% - Accent4 4" xfId="80"/>
    <cellStyle name="60% - Accent5 2" xfId="81"/>
    <cellStyle name="60% - Accent5 2 2" xfId="82"/>
    <cellStyle name="60% - Accent5 2 3" xfId="83"/>
    <cellStyle name="60% - Accent5 3" xfId="84"/>
    <cellStyle name="60% - Accent5 3 2" xfId="85"/>
    <cellStyle name="60% - Accent6 2" xfId="86"/>
    <cellStyle name="60% - Accent6 3" xfId="87"/>
    <cellStyle name="60% - Accent6 3 2" xfId="88"/>
    <cellStyle name="Accent1 2" xfId="89"/>
    <cellStyle name="Accent1 2 2" xfId="90"/>
    <cellStyle name="Accent1 2 3" xfId="91"/>
    <cellStyle name="Accent1 3" xfId="92"/>
    <cellStyle name="Accent1 3 2" xfId="93"/>
    <cellStyle name="Accent1 3 3" xfId="94"/>
    <cellStyle name="Accent1 4" xfId="95"/>
    <cellStyle name="Accent2 2" xfId="96"/>
    <cellStyle name="Accent2 2 2" xfId="97"/>
    <cellStyle name="Accent2 3" xfId="98"/>
    <cellStyle name="Accent2 3 2" xfId="99"/>
    <cellStyle name="Accent3 2" xfId="100"/>
    <cellStyle name="Accent3 2 2" xfId="101"/>
    <cellStyle name="Accent3 2 3" xfId="102"/>
    <cellStyle name="Accent3 3" xfId="103"/>
    <cellStyle name="Accent3 3 2" xfId="104"/>
    <cellStyle name="Accent4 2" xfId="105"/>
    <cellStyle name="Accent4 3" xfId="106"/>
    <cellStyle name="Accent4 3 2" xfId="107"/>
    <cellStyle name="Accent5 2" xfId="108"/>
    <cellStyle name="Accent5 3" xfId="109"/>
    <cellStyle name="Accent6 2" xfId="110"/>
    <cellStyle name="Accent6 2 2" xfId="111"/>
    <cellStyle name="Accent6 2 3" xfId="112"/>
    <cellStyle name="Accent6 3" xfId="113"/>
    <cellStyle name="Accent6 3 2" xfId="114"/>
    <cellStyle name="Accounting" xfId="115"/>
    <cellStyle name="Accounting 2" xfId="116"/>
    <cellStyle name="Accounting 3" xfId="117"/>
    <cellStyle name="Accounting_2011-11" xfId="118"/>
    <cellStyle name="APS" xfId="119"/>
    <cellStyle name="APSLabels" xfId="120"/>
    <cellStyle name="Bad 2" xfId="121"/>
    <cellStyle name="Bad 2 2" xfId="122"/>
    <cellStyle name="Bad 3" xfId="123"/>
    <cellStyle name="Bad 3 2" xfId="124"/>
    <cellStyle name="Budget" xfId="125"/>
    <cellStyle name="Budget 2" xfId="126"/>
    <cellStyle name="Budget 3" xfId="127"/>
    <cellStyle name="Budget_2011-11" xfId="128"/>
    <cellStyle name="Calculation 2" xfId="129"/>
    <cellStyle name="Calculation 2 2" xfId="130"/>
    <cellStyle name="Calculation 2 3" xfId="131"/>
    <cellStyle name="Calculation 3" xfId="132"/>
    <cellStyle name="Calculation 3 2" xfId="133"/>
    <cellStyle name="Calculation 3 3" xfId="134"/>
    <cellStyle name="Calculation 4" xfId="135"/>
    <cellStyle name="Check Cell 2" xfId="136"/>
    <cellStyle name="Check Cell 3" xfId="137"/>
    <cellStyle name="Color" xfId="138"/>
    <cellStyle name="combo" xfId="139"/>
    <cellStyle name="Comma" xfId="1" builtinId="3"/>
    <cellStyle name="Comma 10" xfId="140"/>
    <cellStyle name="Comma 10 2" xfId="141"/>
    <cellStyle name="Comma 11" xfId="142"/>
    <cellStyle name="Comma 11 2" xfId="143"/>
    <cellStyle name="Comma 12" xfId="144"/>
    <cellStyle name="Comma 12 2" xfId="145"/>
    <cellStyle name="Comma 12 2 2" xfId="146"/>
    <cellStyle name="Comma 12 3" xfId="147"/>
    <cellStyle name="Comma 12 4" xfId="148"/>
    <cellStyle name="Comma 12 5" xfId="149"/>
    <cellStyle name="Comma 13" xfId="150"/>
    <cellStyle name="Comma 13 2" xfId="151"/>
    <cellStyle name="Comma 13 3" xfId="152"/>
    <cellStyle name="Comma 14" xfId="153"/>
    <cellStyle name="Comma 15" xfId="154"/>
    <cellStyle name="Comma 15 2" xfId="155"/>
    <cellStyle name="Comma 15 3" xfId="156"/>
    <cellStyle name="Comma 16" xfId="157"/>
    <cellStyle name="Comma 17" xfId="158"/>
    <cellStyle name="Comma 17 2" xfId="159"/>
    <cellStyle name="Comma 17 3" xfId="160"/>
    <cellStyle name="Comma 17 4" xfId="161"/>
    <cellStyle name="Comma 18" xfId="162"/>
    <cellStyle name="Comma 18 2" xfId="163"/>
    <cellStyle name="Comma 18 3" xfId="164"/>
    <cellStyle name="Comma 18 4" xfId="165"/>
    <cellStyle name="Comma 19" xfId="166"/>
    <cellStyle name="Comma 2" xfId="167"/>
    <cellStyle name="Comma 2 2" xfId="168"/>
    <cellStyle name="Comma 2 2 2" xfId="169"/>
    <cellStyle name="Comma 2 2 2 2" xfId="170"/>
    <cellStyle name="Comma 2 2 3" xfId="171"/>
    <cellStyle name="Comma 2 3" xfId="172"/>
    <cellStyle name="Comma 2 4" xfId="173"/>
    <cellStyle name="Comma 2 4 2" xfId="174"/>
    <cellStyle name="Comma 2 4 3" xfId="175"/>
    <cellStyle name="Comma 2 4 4" xfId="176"/>
    <cellStyle name="Comma 2 5" xfId="177"/>
    <cellStyle name="Comma 2 6" xfId="178"/>
    <cellStyle name="Comma 2 6 2" xfId="179"/>
    <cellStyle name="Comma 2 7" xfId="180"/>
    <cellStyle name="Comma 2 8" xfId="181"/>
    <cellStyle name="Comma 20" xfId="182"/>
    <cellStyle name="Comma 21" xfId="183"/>
    <cellStyle name="Comma 21 2" xfId="184"/>
    <cellStyle name="Comma 22" xfId="185"/>
    <cellStyle name="Comma 23" xfId="186"/>
    <cellStyle name="Comma 3" xfId="187"/>
    <cellStyle name="Comma 3 2" xfId="188"/>
    <cellStyle name="Comma 3 2 2" xfId="189"/>
    <cellStyle name="Comma 3 3" xfId="190"/>
    <cellStyle name="Comma 3 4" xfId="191"/>
    <cellStyle name="Comma 4" xfId="192"/>
    <cellStyle name="Comma 4 2" xfId="193"/>
    <cellStyle name="Comma 4 2 2" xfId="194"/>
    <cellStyle name="Comma 4 2 3" xfId="195"/>
    <cellStyle name="Comma 4 2 4" xfId="196"/>
    <cellStyle name="Comma 4 3" xfId="197"/>
    <cellStyle name="Comma 4 3 2" xfId="198"/>
    <cellStyle name="Comma 4 3 3" xfId="199"/>
    <cellStyle name="Comma 4 4" xfId="200"/>
    <cellStyle name="Comma 4 4 2" xfId="201"/>
    <cellStyle name="Comma 4 4 3" xfId="202"/>
    <cellStyle name="Comma 4 5" xfId="203"/>
    <cellStyle name="Comma 4 5 2" xfId="204"/>
    <cellStyle name="Comma 4 6" xfId="205"/>
    <cellStyle name="Comma 5" xfId="206"/>
    <cellStyle name="Comma 5 2" xfId="207"/>
    <cellStyle name="Comma 5 2 2" xfId="208"/>
    <cellStyle name="Comma 5 3" xfId="209"/>
    <cellStyle name="Comma 5 4" xfId="210"/>
    <cellStyle name="Comma 5 5" xfId="211"/>
    <cellStyle name="Comma 6" xfId="212"/>
    <cellStyle name="Comma 6 2" xfId="213"/>
    <cellStyle name="Comma 6 2 2" xfId="214"/>
    <cellStyle name="Comma 6 2 3" xfId="215"/>
    <cellStyle name="Comma 6 3" xfId="216"/>
    <cellStyle name="Comma 6 4" xfId="217"/>
    <cellStyle name="Comma 7" xfId="218"/>
    <cellStyle name="Comma 7 2" xfId="219"/>
    <cellStyle name="Comma 7 2 2" xfId="220"/>
    <cellStyle name="Comma 7 3" xfId="221"/>
    <cellStyle name="Comma 8" xfId="222"/>
    <cellStyle name="Comma 8 2" xfId="223"/>
    <cellStyle name="Comma 8 2 2" xfId="224"/>
    <cellStyle name="Comma 8 3" xfId="225"/>
    <cellStyle name="Comma 8 4" xfId="226"/>
    <cellStyle name="Comma 9" xfId="227"/>
    <cellStyle name="Comma 9 2" xfId="228"/>
    <cellStyle name="Comma(2)" xfId="229"/>
    <cellStyle name="Comma0" xfId="230"/>
    <cellStyle name="Comma0 - Style2" xfId="231"/>
    <cellStyle name="Comma1 - Style1" xfId="232"/>
    <cellStyle name="Comments" xfId="233"/>
    <cellStyle name="Currency" xfId="2" builtinId="4"/>
    <cellStyle name="Currency 10" xfId="234"/>
    <cellStyle name="Currency 11" xfId="235"/>
    <cellStyle name="Currency 12" xfId="236"/>
    <cellStyle name="Currency 13" xfId="237"/>
    <cellStyle name="Currency 14" xfId="238"/>
    <cellStyle name="Currency 15" xfId="239"/>
    <cellStyle name="Currency 2" xfId="240"/>
    <cellStyle name="Currency 2 2" xfId="241"/>
    <cellStyle name="Currency 2 2 2" xfId="242"/>
    <cellStyle name="Currency 2 2 3" xfId="243"/>
    <cellStyle name="Currency 2 2 4" xfId="244"/>
    <cellStyle name="Currency 2 3" xfId="245"/>
    <cellStyle name="Currency 2 3 2" xfId="246"/>
    <cellStyle name="Currency 2 3 3" xfId="247"/>
    <cellStyle name="Currency 2 4" xfId="248"/>
    <cellStyle name="Currency 2 5" xfId="249"/>
    <cellStyle name="Currency 2 6" xfId="250"/>
    <cellStyle name="Currency 2 6 2" xfId="251"/>
    <cellStyle name="Currency 3" xfId="252"/>
    <cellStyle name="Currency 3 2" xfId="253"/>
    <cellStyle name="Currency 3 2 2" xfId="254"/>
    <cellStyle name="Currency 3 3" xfId="255"/>
    <cellStyle name="Currency 3 3 2" xfId="256"/>
    <cellStyle name="Currency 3 4" xfId="257"/>
    <cellStyle name="Currency 3 5" xfId="258"/>
    <cellStyle name="Currency 4" xfId="259"/>
    <cellStyle name="Currency 4 2" xfId="260"/>
    <cellStyle name="Currency 4 2 2" xfId="261"/>
    <cellStyle name="Currency 4 3" xfId="262"/>
    <cellStyle name="Currency 4 4" xfId="263"/>
    <cellStyle name="Currency 5" xfId="264"/>
    <cellStyle name="Currency 5 2" xfId="265"/>
    <cellStyle name="Currency 5 3" xfId="266"/>
    <cellStyle name="Currency 6" xfId="267"/>
    <cellStyle name="Currency 7" xfId="268"/>
    <cellStyle name="Currency 8" xfId="269"/>
    <cellStyle name="Currency 8 2" xfId="270"/>
    <cellStyle name="Currency 8 3" xfId="271"/>
    <cellStyle name="Currency 9" xfId="272"/>
    <cellStyle name="Currency0" xfId="273"/>
    <cellStyle name="Data Enter" xfId="274"/>
    <cellStyle name="date" xfId="275"/>
    <cellStyle name="Explanatory Text 2" xfId="276"/>
    <cellStyle name="Explanatory Text 3" xfId="277"/>
    <cellStyle name="F9ReportControlStyle_ctpInquire" xfId="278"/>
    <cellStyle name="FactSheet" xfId="279"/>
    <cellStyle name="fish" xfId="280"/>
    <cellStyle name="Good 2" xfId="281"/>
    <cellStyle name="Good 2 2" xfId="282"/>
    <cellStyle name="Good 3" xfId="283"/>
    <cellStyle name="Good 3 2" xfId="284"/>
    <cellStyle name="Good 4" xfId="285"/>
    <cellStyle name="Heading 1 2" xfId="286"/>
    <cellStyle name="Heading 1 2 2" xfId="287"/>
    <cellStyle name="Heading 1 2 3" xfId="288"/>
    <cellStyle name="Heading 1 3" xfId="289"/>
    <cellStyle name="Heading 1 3 2" xfId="290"/>
    <cellStyle name="Heading 1 3 3" xfId="291"/>
    <cellStyle name="Heading 1 4" xfId="292"/>
    <cellStyle name="Heading 2 2" xfId="293"/>
    <cellStyle name="Heading 2 2 2" xfId="294"/>
    <cellStyle name="Heading 2 2 3" xfId="295"/>
    <cellStyle name="Heading 2 3" xfId="296"/>
    <cellStyle name="Heading 2 3 2" xfId="297"/>
    <cellStyle name="Heading 2 3 3" xfId="298"/>
    <cellStyle name="Heading 2 4" xfId="299"/>
    <cellStyle name="Heading 3 2" xfId="300"/>
    <cellStyle name="Heading 3 2 2" xfId="301"/>
    <cellStyle name="Heading 3 2 3" xfId="302"/>
    <cellStyle name="Heading 3 3" xfId="303"/>
    <cellStyle name="Heading 3 3 2" xfId="304"/>
    <cellStyle name="Heading 3 3 3" xfId="305"/>
    <cellStyle name="Heading 3 4" xfId="306"/>
    <cellStyle name="Heading 4 2" xfId="307"/>
    <cellStyle name="Heading 4 3" xfId="308"/>
    <cellStyle name="Heading 4 3 2" xfId="309"/>
    <cellStyle name="Hyperlink 2" xfId="310"/>
    <cellStyle name="Hyperlink 3" xfId="311"/>
    <cellStyle name="Hyperlink 3 2" xfId="312"/>
    <cellStyle name="Input 2" xfId="313"/>
    <cellStyle name="Input 3" xfId="314"/>
    <cellStyle name="Input 3 2" xfId="315"/>
    <cellStyle name="input(0)" xfId="316"/>
    <cellStyle name="Input(2)" xfId="317"/>
    <cellStyle name="Labels" xfId="318"/>
    <cellStyle name="Linked Cell 2" xfId="319"/>
    <cellStyle name="Linked Cell 2 2" xfId="320"/>
    <cellStyle name="Linked Cell 2 3" xfId="321"/>
    <cellStyle name="Linked Cell 3" xfId="322"/>
    <cellStyle name="Linked Cell 3 2" xfId="323"/>
    <cellStyle name="Neutral 2" xfId="324"/>
    <cellStyle name="Neutral 2 2" xfId="325"/>
    <cellStyle name="Neutral 2 3" xfId="326"/>
    <cellStyle name="Neutral 3" xfId="327"/>
    <cellStyle name="Neutral 3 2" xfId="328"/>
    <cellStyle name="New_normal" xfId="329"/>
    <cellStyle name="Normal" xfId="0" builtinId="0"/>
    <cellStyle name="Normal - Style1" xfId="330"/>
    <cellStyle name="Normal - Style2" xfId="331"/>
    <cellStyle name="Normal - Style3" xfId="332"/>
    <cellStyle name="Normal - Style4" xfId="333"/>
    <cellStyle name="Normal - Style5" xfId="334"/>
    <cellStyle name="Normal 10" xfId="335"/>
    <cellStyle name="Normal 10 2" xfId="336"/>
    <cellStyle name="Normal 10 2 2" xfId="337"/>
    <cellStyle name="Normal 10 2 3" xfId="338"/>
    <cellStyle name="Normal 10 2 4" xfId="339"/>
    <cellStyle name="Normal 10 2 5" xfId="340"/>
    <cellStyle name="Normal 10 3" xfId="341"/>
    <cellStyle name="Normal 10_2112 DF Schedule" xfId="342"/>
    <cellStyle name="Normal 100" xfId="343"/>
    <cellStyle name="Normal 101" xfId="344"/>
    <cellStyle name="Normal 102" xfId="345"/>
    <cellStyle name="Normal 103" xfId="346"/>
    <cellStyle name="Normal 104" xfId="347"/>
    <cellStyle name="Normal 105" xfId="348"/>
    <cellStyle name="Normal 106" xfId="349"/>
    <cellStyle name="Normal 107" xfId="350"/>
    <cellStyle name="Normal 108" xfId="351"/>
    <cellStyle name="Normal 109" xfId="352"/>
    <cellStyle name="Normal 109 2" xfId="353"/>
    <cellStyle name="Normal 11" xfId="354"/>
    <cellStyle name="Normal 11 2" xfId="355"/>
    <cellStyle name="Normal 11 2 2" xfId="356"/>
    <cellStyle name="Normal 11 2 3" xfId="357"/>
    <cellStyle name="Normal 11 3" xfId="358"/>
    <cellStyle name="Normal 110" xfId="359"/>
    <cellStyle name="Normal 111" xfId="360"/>
    <cellStyle name="Normal 112" xfId="361"/>
    <cellStyle name="Normal 113" xfId="362"/>
    <cellStyle name="Normal 113 2" xfId="363"/>
    <cellStyle name="Normal 12" xfId="364"/>
    <cellStyle name="Normal 12 2" xfId="365"/>
    <cellStyle name="Normal 12 2 2" xfId="366"/>
    <cellStyle name="Normal 12 3" xfId="367"/>
    <cellStyle name="Normal 12 4" xfId="368"/>
    <cellStyle name="Normal 12 5" xfId="369"/>
    <cellStyle name="Normal 12 6" xfId="370"/>
    <cellStyle name="Normal 12_Sheet1" xfId="371"/>
    <cellStyle name="Normal 13" xfId="372"/>
    <cellStyle name="Normal 13 2" xfId="373"/>
    <cellStyle name="Normal 13 2 2" xfId="374"/>
    <cellStyle name="Normal 13 3" xfId="375"/>
    <cellStyle name="Normal 13 4" xfId="376"/>
    <cellStyle name="Normal 13 5" xfId="377"/>
    <cellStyle name="Normal 13 6" xfId="378"/>
    <cellStyle name="Normal 13_Sheet1" xfId="379"/>
    <cellStyle name="Normal 14" xfId="380"/>
    <cellStyle name="Normal 14 2" xfId="381"/>
    <cellStyle name="Normal 14 3" xfId="382"/>
    <cellStyle name="Normal 14 4" xfId="383"/>
    <cellStyle name="Normal 14 5" xfId="384"/>
    <cellStyle name="Normal 14_Sheet1" xfId="385"/>
    <cellStyle name="Normal 15" xfId="386"/>
    <cellStyle name="Normal 15 2" xfId="387"/>
    <cellStyle name="Normal 15 3" xfId="388"/>
    <cellStyle name="Normal 15 4" xfId="389"/>
    <cellStyle name="Normal 15 5" xfId="390"/>
    <cellStyle name="Normal 16" xfId="391"/>
    <cellStyle name="Normal 16 2" xfId="392"/>
    <cellStyle name="Normal 16 3" xfId="393"/>
    <cellStyle name="Normal 17" xfId="394"/>
    <cellStyle name="Normal 17 2" xfId="395"/>
    <cellStyle name="Normal 17 3" xfId="396"/>
    <cellStyle name="Normal 18" xfId="397"/>
    <cellStyle name="Normal 18 2" xfId="398"/>
    <cellStyle name="Normal 18 3" xfId="399"/>
    <cellStyle name="Normal 19" xfId="400"/>
    <cellStyle name="Normal 19 2" xfId="401"/>
    <cellStyle name="Normal 19 3" xfId="402"/>
    <cellStyle name="Normal 2" xfId="403"/>
    <cellStyle name="Normal 2 10" xfId="404"/>
    <cellStyle name="Normal 2 11" xfId="405"/>
    <cellStyle name="Normal 2 2" xfId="406"/>
    <cellStyle name="Normal 2 2 2" xfId="407"/>
    <cellStyle name="Normal 2 2 2 2" xfId="408"/>
    <cellStyle name="Normal 2 2 2_JE_IS11" xfId="409"/>
    <cellStyle name="Normal 2 2 3" xfId="410"/>
    <cellStyle name="Normal 2 2 4" xfId="411"/>
    <cellStyle name="Normal 2 2_4MthProj2" xfId="412"/>
    <cellStyle name="Normal 2 3" xfId="413"/>
    <cellStyle name="Normal 2 3 2" xfId="414"/>
    <cellStyle name="Normal 2 3 2 2" xfId="415"/>
    <cellStyle name="Normal 2 3 2 3" xfId="416"/>
    <cellStyle name="Normal 2 3 3" xfId="417"/>
    <cellStyle name="Normal 2 3 4" xfId="418"/>
    <cellStyle name="Normal 2 3_4MthProj2" xfId="419"/>
    <cellStyle name="Normal 2 4" xfId="420"/>
    <cellStyle name="Normal 2 4 2" xfId="421"/>
    <cellStyle name="Normal 2 4 3" xfId="422"/>
    <cellStyle name="Normal 2 5" xfId="423"/>
    <cellStyle name="Normal 2 6" xfId="424"/>
    <cellStyle name="Normal 2 7" xfId="425"/>
    <cellStyle name="Normal 2 8" xfId="426"/>
    <cellStyle name="Normal 2 9" xfId="427"/>
    <cellStyle name="Normal 2_2009 Regulated Price Out" xfId="428"/>
    <cellStyle name="Normal 20" xfId="429"/>
    <cellStyle name="Normal 20 2" xfId="430"/>
    <cellStyle name="Normal 20 3" xfId="431"/>
    <cellStyle name="Normal 20 4" xfId="432"/>
    <cellStyle name="Normal 20 5" xfId="433"/>
    <cellStyle name="Normal 20 6" xfId="434"/>
    <cellStyle name="Normal 21" xfId="435"/>
    <cellStyle name="Normal 21 2" xfId="436"/>
    <cellStyle name="Normal 21 3" xfId="437"/>
    <cellStyle name="Normal 21 4" xfId="438"/>
    <cellStyle name="Normal 22" xfId="439"/>
    <cellStyle name="Normal 22 2" xfId="440"/>
    <cellStyle name="Normal 22 3" xfId="441"/>
    <cellStyle name="Normal 22 4" xfId="442"/>
    <cellStyle name="Normal 23" xfId="443"/>
    <cellStyle name="Normal 23 2" xfId="444"/>
    <cellStyle name="Normal 23 3" xfId="445"/>
    <cellStyle name="Normal 24" xfId="446"/>
    <cellStyle name="Normal 24 2" xfId="447"/>
    <cellStyle name="Normal 25" xfId="448"/>
    <cellStyle name="Normal 25 2" xfId="449"/>
    <cellStyle name="Normal 26" xfId="450"/>
    <cellStyle name="Normal 26 2" xfId="451"/>
    <cellStyle name="Normal 26 3" xfId="452"/>
    <cellStyle name="Normal 26 4" xfId="453"/>
    <cellStyle name="Normal 27" xfId="454"/>
    <cellStyle name="Normal 27 2" xfId="455"/>
    <cellStyle name="Normal 27 3" xfId="456"/>
    <cellStyle name="Normal 27 4" xfId="457"/>
    <cellStyle name="Normal 27 5" xfId="458"/>
    <cellStyle name="Normal 28" xfId="459"/>
    <cellStyle name="Normal 28 2" xfId="460"/>
    <cellStyle name="Normal 28 3" xfId="461"/>
    <cellStyle name="Normal 29" xfId="462"/>
    <cellStyle name="Normal 29 2" xfId="463"/>
    <cellStyle name="Normal 3" xfId="464"/>
    <cellStyle name="Normal 3 2" xfId="465"/>
    <cellStyle name="Normal 3 2 2" xfId="466"/>
    <cellStyle name="Normal 3 3" xfId="467"/>
    <cellStyle name="Normal 3 3 2" xfId="468"/>
    <cellStyle name="Normal 3 3 3" xfId="469"/>
    <cellStyle name="Normal 3 3 4" xfId="470"/>
    <cellStyle name="Normal 3 4" xfId="471"/>
    <cellStyle name="Normal 3_2012 PR" xfId="472"/>
    <cellStyle name="Normal 30" xfId="473"/>
    <cellStyle name="Normal 30 2" xfId="474"/>
    <cellStyle name="Normal 31" xfId="475"/>
    <cellStyle name="Normal 31 2" xfId="476"/>
    <cellStyle name="Normal 31 3" xfId="477"/>
    <cellStyle name="Normal 32" xfId="478"/>
    <cellStyle name="Normal 32 2" xfId="479"/>
    <cellStyle name="Normal 33" xfId="480"/>
    <cellStyle name="Normal 34" xfId="481"/>
    <cellStyle name="Normal 35" xfId="482"/>
    <cellStyle name="Normal 36" xfId="483"/>
    <cellStyle name="Normal 37" xfId="484"/>
    <cellStyle name="Normal 38" xfId="485"/>
    <cellStyle name="Normal 39" xfId="486"/>
    <cellStyle name="Normal 4" xfId="487"/>
    <cellStyle name="Normal 4 2" xfId="488"/>
    <cellStyle name="Normal 4 2 2" xfId="489"/>
    <cellStyle name="Normal 4 2 3" xfId="490"/>
    <cellStyle name="Normal 4 2 4" xfId="491"/>
    <cellStyle name="Normal 4 3" xfId="492"/>
    <cellStyle name="Normal 4 3 2" xfId="493"/>
    <cellStyle name="Normal 4 3 3" xfId="494"/>
    <cellStyle name="Normal 4 4" xfId="495"/>
    <cellStyle name="Normal 4 5" xfId="496"/>
    <cellStyle name="Normal 4_Consolidated IS" xfId="497"/>
    <cellStyle name="Normal 40" xfId="498"/>
    <cellStyle name="Normal 41" xfId="499"/>
    <cellStyle name="Normal 42" xfId="500"/>
    <cellStyle name="Normal 43" xfId="501"/>
    <cellStyle name="Normal 44" xfId="502"/>
    <cellStyle name="Normal 45" xfId="503"/>
    <cellStyle name="Normal 46" xfId="504"/>
    <cellStyle name="Normal 47" xfId="505"/>
    <cellStyle name="Normal 48" xfId="506"/>
    <cellStyle name="Normal 49" xfId="507"/>
    <cellStyle name="Normal 5" xfId="508"/>
    <cellStyle name="Normal 5 2" xfId="509"/>
    <cellStyle name="Normal 5 2 2" xfId="510"/>
    <cellStyle name="Normal 5 3" xfId="511"/>
    <cellStyle name="Normal 5 4" xfId="512"/>
    <cellStyle name="Normal 5 5" xfId="513"/>
    <cellStyle name="Normal 5_2112 DF Schedule" xfId="514"/>
    <cellStyle name="Normal 50" xfId="515"/>
    <cellStyle name="Normal 51" xfId="516"/>
    <cellStyle name="Normal 52" xfId="517"/>
    <cellStyle name="Normal 53" xfId="518"/>
    <cellStyle name="Normal 54" xfId="519"/>
    <cellStyle name="Normal 55" xfId="520"/>
    <cellStyle name="Normal 56" xfId="521"/>
    <cellStyle name="Normal 57" xfId="522"/>
    <cellStyle name="Normal 58" xfId="523"/>
    <cellStyle name="Normal 59" xfId="524"/>
    <cellStyle name="Normal 6" xfId="525"/>
    <cellStyle name="Normal 6 2" xfId="526"/>
    <cellStyle name="Normal 6 2 2" xfId="527"/>
    <cellStyle name="Normal 6 2 3" xfId="528"/>
    <cellStyle name="Normal 6 3" xfId="529"/>
    <cellStyle name="Normal 60" xfId="530"/>
    <cellStyle name="Normal 61" xfId="531"/>
    <cellStyle name="Normal 62" xfId="532"/>
    <cellStyle name="Normal 63" xfId="533"/>
    <cellStyle name="Normal 64" xfId="534"/>
    <cellStyle name="Normal 65" xfId="535"/>
    <cellStyle name="Normal 66" xfId="536"/>
    <cellStyle name="Normal 67" xfId="537"/>
    <cellStyle name="Normal 68" xfId="538"/>
    <cellStyle name="Normal 69" xfId="539"/>
    <cellStyle name="Normal 7" xfId="540"/>
    <cellStyle name="Normal 7 2" xfId="541"/>
    <cellStyle name="Normal 7 2 2" xfId="542"/>
    <cellStyle name="Normal 7 2 2 2" xfId="543"/>
    <cellStyle name="Normal 7 2 3" xfId="544"/>
    <cellStyle name="Normal 7 3" xfId="545"/>
    <cellStyle name="Normal 7 3 2" xfId="546"/>
    <cellStyle name="Normal 7 4" xfId="547"/>
    <cellStyle name="Normal 70" xfId="548"/>
    <cellStyle name="Normal 71" xfId="549"/>
    <cellStyle name="Normal 72" xfId="550"/>
    <cellStyle name="Normal 73" xfId="551"/>
    <cellStyle name="Normal 74" xfId="552"/>
    <cellStyle name="Normal 75" xfId="553"/>
    <cellStyle name="Normal 76" xfId="554"/>
    <cellStyle name="Normal 77" xfId="555"/>
    <cellStyle name="Normal 78" xfId="556"/>
    <cellStyle name="Normal 79" xfId="557"/>
    <cellStyle name="Normal 8" xfId="558"/>
    <cellStyle name="Normal 8 2" xfId="559"/>
    <cellStyle name="Normal 8 2 2" xfId="560"/>
    <cellStyle name="Normal 8 2 3" xfId="561"/>
    <cellStyle name="Normal 8 3" xfId="562"/>
    <cellStyle name="Normal 8 4" xfId="563"/>
    <cellStyle name="Normal 80" xfId="564"/>
    <cellStyle name="Normal 81" xfId="565"/>
    <cellStyle name="Normal 82" xfId="566"/>
    <cellStyle name="Normal 83" xfId="567"/>
    <cellStyle name="Normal 84" xfId="568"/>
    <cellStyle name="Normal 84 2" xfId="569"/>
    <cellStyle name="Normal 84 3" xfId="570"/>
    <cellStyle name="Normal 85" xfId="571"/>
    <cellStyle name="Normal 85 2" xfId="572"/>
    <cellStyle name="Normal 85 3" xfId="573"/>
    <cellStyle name="Normal 86" xfId="574"/>
    <cellStyle name="Normal 87" xfId="575"/>
    <cellStyle name="Normal 88" xfId="576"/>
    <cellStyle name="Normal 89" xfId="577"/>
    <cellStyle name="Normal 9" xfId="578"/>
    <cellStyle name="Normal 9 2" xfId="579"/>
    <cellStyle name="Normal 9 2 2" xfId="580"/>
    <cellStyle name="Normal 9 2 3" xfId="581"/>
    <cellStyle name="Normal 9 3" xfId="582"/>
    <cellStyle name="Normal 90" xfId="583"/>
    <cellStyle name="Normal 91" xfId="584"/>
    <cellStyle name="Normal 92" xfId="585"/>
    <cellStyle name="Normal 92 2" xfId="586"/>
    <cellStyle name="Normal 93" xfId="587"/>
    <cellStyle name="Normal 93 2" xfId="588"/>
    <cellStyle name="Normal 94" xfId="589"/>
    <cellStyle name="Normal 95" xfId="590"/>
    <cellStyle name="Normal 96" xfId="591"/>
    <cellStyle name="Normal 97" xfId="592"/>
    <cellStyle name="Normal 98" xfId="593"/>
    <cellStyle name="Normal 99" xfId="594"/>
    <cellStyle name="Normal_2183 Regulated Price Out Final 6-7-2012" xfId="5"/>
    <cellStyle name="Normal_Proforma Yakima UTC-Nicki 2009" xfId="676"/>
    <cellStyle name="Normal_Regulated Price Out 9-6-2011 Final HL" xfId="4"/>
    <cellStyle name="Normal_Regulated-Non-Regulated Revenue" xfId="677"/>
    <cellStyle name="Note 2" xfId="595"/>
    <cellStyle name="Note 2 2" xfId="596"/>
    <cellStyle name="Note 2 3" xfId="597"/>
    <cellStyle name="Note 3" xfId="598"/>
    <cellStyle name="Note 3 2" xfId="599"/>
    <cellStyle name="Note 3 3" xfId="600"/>
    <cellStyle name="Note 4" xfId="601"/>
    <cellStyle name="Notes" xfId="602"/>
    <cellStyle name="Output 2" xfId="603"/>
    <cellStyle name="Output 3" xfId="604"/>
    <cellStyle name="Output 3 2" xfId="605"/>
    <cellStyle name="Percent" xfId="3" builtinId="5"/>
    <cellStyle name="Percent 10" xfId="606"/>
    <cellStyle name="Percent 2" xfId="607"/>
    <cellStyle name="Percent 2 2" xfId="608"/>
    <cellStyle name="Percent 2 2 2" xfId="609"/>
    <cellStyle name="Percent 2 2 3" xfId="610"/>
    <cellStyle name="Percent 2 3" xfId="611"/>
    <cellStyle name="Percent 2 4" xfId="612"/>
    <cellStyle name="Percent 2 6" xfId="613"/>
    <cellStyle name="Percent 3" xfId="614"/>
    <cellStyle name="Percent 3 2" xfId="615"/>
    <cellStyle name="Percent 3 2 2" xfId="616"/>
    <cellStyle name="Percent 3 3" xfId="617"/>
    <cellStyle name="Percent 4" xfId="618"/>
    <cellStyle name="Percent 4 2" xfId="619"/>
    <cellStyle name="Percent 4 3" xfId="620"/>
    <cellStyle name="Percent 4 4" xfId="621"/>
    <cellStyle name="Percent 5" xfId="622"/>
    <cellStyle name="Percent 5 2" xfId="623"/>
    <cellStyle name="Percent 5 2 2" xfId="624"/>
    <cellStyle name="Percent 5 3" xfId="625"/>
    <cellStyle name="Percent 5 4" xfId="626"/>
    <cellStyle name="Percent 6" xfId="627"/>
    <cellStyle name="Percent 6 2" xfId="628"/>
    <cellStyle name="Percent 7" xfId="629"/>
    <cellStyle name="Percent 7 2" xfId="630"/>
    <cellStyle name="Percent 7 3" xfId="631"/>
    <cellStyle name="Percent 8" xfId="632"/>
    <cellStyle name="Percent 9" xfId="633"/>
    <cellStyle name="Percent(1)" xfId="634"/>
    <cellStyle name="Percent(2)" xfId="635"/>
    <cellStyle name="Posting_Period" xfId="636"/>
    <cellStyle name="PRM" xfId="637"/>
    <cellStyle name="PRM 2" xfId="638"/>
    <cellStyle name="PRM 3" xfId="639"/>
    <cellStyle name="PRM_2011-11" xfId="640"/>
    <cellStyle name="PS_Comma" xfId="641"/>
    <cellStyle name="PSChar" xfId="642"/>
    <cellStyle name="PSDate" xfId="643"/>
    <cellStyle name="PSDec" xfId="644"/>
    <cellStyle name="PSHeading" xfId="645"/>
    <cellStyle name="PSInt" xfId="646"/>
    <cellStyle name="PSSpacer" xfId="647"/>
    <cellStyle name="STYL0 - Style1" xfId="648"/>
    <cellStyle name="STYL1 - Style2" xfId="649"/>
    <cellStyle name="STYL2 - Style3" xfId="650"/>
    <cellStyle name="STYL3 - Style4" xfId="651"/>
    <cellStyle name="STYL4 - Style5" xfId="652"/>
    <cellStyle name="STYL5 - Style6" xfId="653"/>
    <cellStyle name="STYL6 - Style7" xfId="654"/>
    <cellStyle name="STYL7 - Style8" xfId="655"/>
    <cellStyle name="Style 1" xfId="656"/>
    <cellStyle name="Style 1 2" xfId="657"/>
    <cellStyle name="STYLE1" xfId="658"/>
    <cellStyle name="STYLE1 2" xfId="659"/>
    <cellStyle name="sub heading" xfId="660"/>
    <cellStyle name="Tax_Rate" xfId="661"/>
    <cellStyle name="Title 2" xfId="662"/>
    <cellStyle name="Title 3" xfId="663"/>
    <cellStyle name="Title 3 2" xfId="664"/>
    <cellStyle name="Total 2" xfId="665"/>
    <cellStyle name="Total 2 2" xfId="666"/>
    <cellStyle name="Total 2 3" xfId="667"/>
    <cellStyle name="Total 3" xfId="668"/>
    <cellStyle name="Total 3 2" xfId="669"/>
    <cellStyle name="Total 3 3" xfId="670"/>
    <cellStyle name="Total 4" xfId="671"/>
    <cellStyle name="Transcript_Date" xfId="672"/>
    <cellStyle name="Warning Text 2" xfId="673"/>
    <cellStyle name="Warning Text 3" xfId="674"/>
    <cellStyle name="WM_STANDARD" xfId="67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9" Type="http://schemas.openxmlformats.org/officeDocument/2006/relationships/externalLink" Target="externalLinks/externalLink34.xml"/><Relationship Id="rId21" Type="http://schemas.openxmlformats.org/officeDocument/2006/relationships/externalLink" Target="externalLinks/externalLink16.xml"/><Relationship Id="rId34" Type="http://schemas.openxmlformats.org/officeDocument/2006/relationships/externalLink" Target="externalLinks/externalLink29.xml"/><Relationship Id="rId42" Type="http://schemas.openxmlformats.org/officeDocument/2006/relationships/theme" Target="theme/theme1.xml"/><Relationship Id="rId47" Type="http://schemas.openxmlformats.org/officeDocument/2006/relationships/customXml" Target="../customXml/item2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9" Type="http://schemas.openxmlformats.org/officeDocument/2006/relationships/externalLink" Target="externalLinks/externalLink24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37" Type="http://schemas.openxmlformats.org/officeDocument/2006/relationships/externalLink" Target="externalLinks/externalLink32.xml"/><Relationship Id="rId40" Type="http://schemas.openxmlformats.org/officeDocument/2006/relationships/externalLink" Target="externalLinks/externalLink35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externalLink" Target="externalLinks/externalLink31.xml"/><Relationship Id="rId49" Type="http://schemas.openxmlformats.org/officeDocument/2006/relationships/customXml" Target="../customXml/item4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externalLink" Target="externalLinks/externalLink26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externalLink" Target="externalLinks/externalLink30.xml"/><Relationship Id="rId43" Type="http://schemas.openxmlformats.org/officeDocument/2006/relationships/styles" Target="styles.xml"/><Relationship Id="rId48" Type="http://schemas.openxmlformats.org/officeDocument/2006/relationships/customXml" Target="../customXml/item3.xml"/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externalLink" Target="externalLinks/externalLink28.xml"/><Relationship Id="rId38" Type="http://schemas.openxmlformats.org/officeDocument/2006/relationships/externalLink" Target="externalLinks/externalLink33.xml"/><Relationship Id="rId46" Type="http://schemas.openxmlformats.org/officeDocument/2006/relationships/customXml" Target="../customXml/item1.xml"/><Relationship Id="rId20" Type="http://schemas.openxmlformats.org/officeDocument/2006/relationships/externalLink" Target="externalLinks/externalLink15.xml"/><Relationship Id="rId41" Type="http://schemas.openxmlformats.org/officeDocument/2006/relationships/externalLink" Target="externalLinks/externalLink3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_db5_srv\SRC\User\REPORTS\STANDARD%20REPORTS\CUSTOM%20REPORTS\PL_RollingTrend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Mason/Rate%20Increase%201-1-2013/1%20Filing%2011-14-2012/Revised%202-21-2013/staff%20Mason%20Proforma%209-30-2012-Linked%20Cust%20Count%20Fix%2012-27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son\Rate%20Increase%201-1-2013\1%20Filing%2011-14-2012\Revised%202-21-2013\staff%20Mason%20Proforma%209-30-2012-Linked%20Cust%20Count%20Fix%2012-27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ason\Rate%20Increase%201-1-2013\1%20Filing%2011-14-2012\Revised%202-21-2013\staff%20Mason%20Proforma%209-30-2012-Linked%20Cust%20Count%20Fix%2012-27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utcfs2\grp_data\District\Joe_Garza\mark%20gregg\WUTC%20Files\Eastside\Eastside%20Rate%20Case%202006\Eastside%20RC%202006%20Filing%20Docs\Proforma%20Eastside%202005%204.17.0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5\DistShares\WCNX%20Stuff\Excel\Financials\Excel%20Financials\ExcelFinancial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Western%20Region/WUTC/WIP%20Files/2010%20Clark%20County-%202009%20Vancouver/General%20Filings/Rate%20Review%20YE%209.30.17/Disposal%2010.2016%20thru%209.2017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Western%20Region/WUTC/WUTC-Columbia%202025/General%20Filing%204-15-2016/Filed%204-15-16/CRD%20Pro%20forma%203-31-2016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estern%20Region\ControllerDir\Brent_Blair_Kortney\PO%20Report%20by%20Division\PO%20Report_v3b%202013-08-26.xlsm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Western%20Region/ControllerDir/Brent_Blair_Kortney/PO%20Report%20by%20Division/PO%20Report_v3b%202013-08-26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Western%20Region/WUTC/WIP%20Files/2195%20Yakima/General%20Rate%20Filings/2017%20Rate%20Filing/.Yakima%20Waste%20Pro%20forma%20YE%206.30.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disnap\accounting\MODEST~1\2032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Vashon\Rate%20Incr%201-1-2012\Vashon%20Pro%20Forma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ashon\Rate%20Incr%201-1-2012\Vashon%20Pro%20Forma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estern%20Region\WUTC\WIP%20Files\2010%20Clark%20County-%202009%20Vancouver\Misc%20Analsysis%20Non-Filing\Pro%20froma%208.31.2013%20for%20Budgets\Consolidated%20Pro%20forma%20Year%20201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6\sacshare\Data_Automation\DMS\RouteManagerReports\RM_MM001_Query_v4c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estern%20Region\WUTC\WIP%20Files\2010%20Clark%20County-%202009%20Vancouver\12.31.2010%20Test%20Year\Proforma%20Clark%20County%20101231%20Filing-Draft-FINAL%20VERSION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Western%20Region/WUTC/WIP%20Files/2010%20Clark%20County-%202009%20Vancouver/12.31.2010%20Test%20Year/Proforma%20Clark%20County%20101231%20Filing-Draft-FINAL%20VERSION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celFinancials_v3b1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Annual%20Reports/2180%20LeMay/2009/LeMay%20Annual%20Report%2009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Annual%20Reports\2180%20LeMay\2009\LeMay%20Annual%20Report%2009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nnual%20Reports\2180%20LeMay\2009\LeMay%20Annual%20Report%20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L_WASTE\SYS\ACCOUNT\CV2000\022000\2000_FEBRUARY_%20GL%20RECON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LeMay/Master%20Truck%20Schedule/South_LeMay%20Master%20Truck%20Schedule-Shared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LeMay\Master%20Truck%20Schedule\South_LeMay%20Master%20Truck%20Schedule-Shar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eMay\Master%20Truck%20Schedule\South_LeMay%20Master%20Truck%20Schedule-Shar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celFinancials_v3c1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Western%20Region/WUTC/WIP%20Files/2010%20Clark%20County-%202009%20Vancouver/General%20Filings/Rate%20Review%20YE%209.30.17/Revenue/Clark%20Co%20Price%20Out%20YE%209-30-17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Western%20Region/WUTC/WIP%20Files/2010%20Clark%20County-%202009%20Vancouver/General%20Filings/Rate%20Review%20YE%209.30.17/DF%20Allocation%20Calculation%209-30-17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Western%20Region/WUTC/WIP%20Files/2010%20Clark%20County-%202009%20Vancouver/General%20Filings/Rate%20Review%20YE%209.30.17/.Proforma%20Vancouver%20YE%209.30.1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SRC%20Reports/SRC%20Format/Bonus%20Schedule/PNWR%20SRC%20Bonus%20Schedule%2020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SRC%20Reports\SRC%20Format\Bonus%20Schedule\PNWR%20SRC%20Bonus%20Schedule%20200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RC%20Reports\SRC%20Format\Bonus%20Schedule\PNWR%20SRC%20Bonus%20Schedule%2020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LeMay/2183-1%20Pacific%20Disp,%20Butlers%20Cove/Filing%20Possibly%202012/Filing/Audit/Final%20Outcome%208-14-2012/Pro%20Forma%20Pacific%20Disposal_Staff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eMay\2183-1%20Pacific%20Disp,%20Butlers%20Cove\Filing%20Possibly%202012\Filing\Audit\Final%20Outcome%208-14-2012\Pro%20Forma%20Pacific%20Disposal_Staff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LeMay\2183-1%20Pacific%20Disp,%20Butlers%20Cove\Filing%20Possibly%202012\Filing\Audit\Final%20Outcome%208-14-2012\Pro%20Forma%20Pacific%20Disposal_Staf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>
        <row r="5">
          <cell r="D5">
            <v>10.71</v>
          </cell>
        </row>
        <row r="14">
          <cell r="C14" t="str">
            <v>dist</v>
          </cell>
          <cell r="E14" t="str">
            <v>=</v>
          </cell>
          <cell r="F14">
            <v>2149</v>
          </cell>
        </row>
      </sheetData>
      <sheetData sheetId="4" refreshError="1">
        <row r="6">
          <cell r="F6" t="str">
            <v>Time Series</v>
          </cell>
        </row>
        <row r="17">
          <cell r="B17" t="str">
            <v>ACCT</v>
          </cell>
          <cell r="C17" t="str">
            <v>-</v>
          </cell>
        </row>
        <row r="22">
          <cell r="C22" t="str">
            <v>Financial</v>
          </cell>
        </row>
        <row r="23">
          <cell r="C23" t="str">
            <v>ALL</v>
          </cell>
        </row>
        <row r="24">
          <cell r="C24" t="str">
            <v>Variable</v>
          </cell>
        </row>
      </sheetData>
      <sheetData sheetId="5" refreshError="1">
        <row r="8">
          <cell r="E8" t="str">
            <v>Report</v>
          </cell>
        </row>
        <row r="12">
          <cell r="B12" t="b">
            <v>0</v>
          </cell>
        </row>
      </sheetData>
      <sheetData sheetId="6" refreshError="1"/>
      <sheetData sheetId="7" refreshError="1">
        <row r="11">
          <cell r="D11">
            <v>10002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 t="str">
            <v>Cash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 Rate Sheet"/>
      <sheetName val="Class A IS"/>
      <sheetName val="2149 BS"/>
      <sheetName val="9-30-11 BS"/>
      <sheetName val="2149 IS"/>
      <sheetName val="Consolidated IS"/>
      <sheetName val="Ratios"/>
      <sheetName val="Restating Adj"/>
      <sheetName val="Restating Expl"/>
      <sheetName val="Pro forma Adj"/>
      <sheetName val="Pro-forma"/>
      <sheetName val="LG-Combined"/>
      <sheetName val="LG-Pckr,RO"/>
      <sheetName val="LG-Recycl"/>
      <sheetName val="Price Out"/>
      <sheetName val="Rate Sheet"/>
      <sheetName val="Pckr, RO, Matrix"/>
      <sheetName val="COS Packer,RO "/>
      <sheetName val="Recycl Matrix"/>
      <sheetName val="COS Recycle"/>
      <sheetName val="Disposal Calc"/>
      <sheetName val="Disposal Schedule"/>
      <sheetName val="Fuel"/>
      <sheetName val="PR Summary"/>
      <sheetName val="Depr Summary"/>
      <sheetName val="Depreciation"/>
      <sheetName val="Cust Count"/>
      <sheetName val="Rt Study Summary"/>
      <sheetName val="Recycl Tons, Commodity Value"/>
      <sheetName val="Tribal Cnts"/>
      <sheetName val="Corp OH"/>
      <sheetName val="Corp Debt Equity"/>
      <sheetName val="Balance Sheet"/>
      <sheetName val="P&amp;L"/>
      <sheetName val="70195 JE-WRRA Dues"/>
      <sheetName val="56095 JE"/>
      <sheetName val="Non-Reg Price Out"/>
      <sheetName val="30% Commodity Justification"/>
      <sheetName val="TRC Processing Justfication"/>
      <sheetName val="Orig Price Out"/>
      <sheetName val="Rate Sheet Dec 2012"/>
      <sheetName val="Orig COS Packer,RO "/>
      <sheetName val="LG-Pckr w DF"/>
      <sheetName val="LG-Pckr w-out DF"/>
      <sheetName val="LG-RO"/>
    </sheetNames>
    <sheetDataSet>
      <sheetData sheetId="0" refreshError="1">
        <row r="107">
          <cell r="L107">
            <v>1755086.2007667283</v>
          </cell>
        </row>
        <row r="214">
          <cell r="L214">
            <v>861493.18580596044</v>
          </cell>
        </row>
        <row r="278">
          <cell r="L278">
            <v>840474.49671344017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3">
          <cell r="L23">
            <v>2329.3388396454475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 Rate Sheet"/>
      <sheetName val="Class A IS"/>
      <sheetName val="2149 BS"/>
      <sheetName val="9-30-11 BS"/>
      <sheetName val="2149 IS"/>
      <sheetName val="Consolidated IS"/>
      <sheetName val="Ratios"/>
      <sheetName val="Restating Adj"/>
      <sheetName val="Restating Expl"/>
      <sheetName val="Pro forma Adj"/>
      <sheetName val="Pro-forma"/>
      <sheetName val="LG-Combined"/>
      <sheetName val="LG-Pckr,RO"/>
      <sheetName val="LG-Recycl"/>
      <sheetName val="Price Out"/>
      <sheetName val="Rate Sheet"/>
      <sheetName val="Pckr, RO, Matrix"/>
      <sheetName val="COS Packer,RO "/>
      <sheetName val="Recycl Matrix"/>
      <sheetName val="COS Recycle"/>
      <sheetName val="Disposal Calc"/>
      <sheetName val="Disposal Schedule"/>
      <sheetName val="Fuel"/>
      <sheetName val="PR Summary"/>
      <sheetName val="Depr Summary"/>
      <sheetName val="Depreciation"/>
      <sheetName val="Cust Count"/>
      <sheetName val="Rt Study Summary"/>
      <sheetName val="Recycl Tons, Commodity Value"/>
      <sheetName val="Tribal Cnts"/>
      <sheetName val="Corp OH"/>
      <sheetName val="Corp Debt Equity"/>
      <sheetName val="Balance Sheet"/>
      <sheetName val="P&amp;L"/>
      <sheetName val="70195 JE-WRRA Dues"/>
      <sheetName val="56095 JE"/>
      <sheetName val="Non-Reg Price Out"/>
      <sheetName val="30% Commodity Justification"/>
      <sheetName val="TRC Processing Justfication"/>
      <sheetName val="Orig Price Out"/>
      <sheetName val="Rate Sheet Dec 2012"/>
      <sheetName val="Orig COS Packer,RO "/>
      <sheetName val="LG-Pckr w DF"/>
      <sheetName val="LG-Pckr w-out DF"/>
      <sheetName val="LG-RO"/>
    </sheetNames>
    <sheetDataSet>
      <sheetData sheetId="0">
        <row r="107">
          <cell r="L107">
            <v>1755086.2007667283</v>
          </cell>
        </row>
        <row r="214">
          <cell r="L214">
            <v>861493.18580596044</v>
          </cell>
        </row>
        <row r="278">
          <cell r="L278">
            <v>840474.49671344017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3">
          <cell r="L23">
            <v>2329.3388396454475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 Rate Sheet"/>
      <sheetName val="Class A IS"/>
      <sheetName val="2149 BS"/>
      <sheetName val="9-30-11 BS"/>
      <sheetName val="2149 IS"/>
      <sheetName val="Consolidated IS"/>
      <sheetName val="Ratios"/>
      <sheetName val="Restating Adj"/>
      <sheetName val="Restating Expl"/>
      <sheetName val="Pro forma Adj"/>
      <sheetName val="Pro-forma"/>
      <sheetName val="LG-Combined"/>
      <sheetName val="LG-Pckr,RO"/>
      <sheetName val="LG-Recycl"/>
      <sheetName val="Price Out"/>
      <sheetName val="Rate Sheet"/>
      <sheetName val="Pckr, RO, Matrix"/>
      <sheetName val="COS Packer,RO "/>
      <sheetName val="Recycl Matrix"/>
      <sheetName val="COS Recycle"/>
      <sheetName val="Disposal Calc"/>
      <sheetName val="Disposal Schedule"/>
      <sheetName val="Fuel"/>
      <sheetName val="PR Summary"/>
      <sheetName val="Depr Summary"/>
      <sheetName val="Depreciation"/>
      <sheetName val="Cust Count"/>
      <sheetName val="Rt Study Summary"/>
      <sheetName val="Recycl Tons, Commodity Value"/>
      <sheetName val="Tribal Cnts"/>
      <sheetName val="Corp OH"/>
      <sheetName val="Corp Debt Equity"/>
      <sheetName val="Balance Sheet"/>
      <sheetName val="P&amp;L"/>
      <sheetName val="70195 JE-WRRA Dues"/>
      <sheetName val="56095 JE"/>
      <sheetName val="Non-Reg Price Out"/>
      <sheetName val="30% Commodity Justification"/>
      <sheetName val="TRC Processing Justfication"/>
      <sheetName val="Orig Price Out"/>
      <sheetName val="Rate Sheet Dec 2012"/>
      <sheetName val="Orig COS Packer,RO "/>
      <sheetName val="LG-Pckr w DF"/>
      <sheetName val="LG-Pckr w-out DF"/>
      <sheetName val="LG-RO"/>
    </sheetNames>
    <sheetDataSet>
      <sheetData sheetId="0">
        <row r="107">
          <cell r="L107">
            <v>1755086.2007667283</v>
          </cell>
        </row>
        <row r="214">
          <cell r="L214">
            <v>861493.18580596044</v>
          </cell>
        </row>
        <row r="278">
          <cell r="L278">
            <v>840474.49671344017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3">
          <cell r="L23">
            <v>2329.3388396454475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LG Garbage"/>
      <sheetName val=" LG recycle"/>
      <sheetName val="LG Yardwaste"/>
      <sheetName val="LG MF Recycle"/>
      <sheetName val="Proforma"/>
      <sheetName val="matrix"/>
      <sheetName val="COS"/>
      <sheetName val="Price Out-Reg EASTSIDE-Resi"/>
      <sheetName val="Price Out-Comm MSW"/>
      <sheetName val="Price Out-Drop Box"/>
      <sheetName val="Price Out-MF Recycle 20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PL_ActReview"/>
      <sheetName val="BS_Close"/>
      <sheetName val="PL_ActTranx"/>
      <sheetName val="JE_Review"/>
      <sheetName val="PL_CloseByDay"/>
      <sheetName val="PL_IS200"/>
      <sheetName val="PL_IS210"/>
      <sheetName val="PL_ActByDistrict"/>
      <sheetName val="PL_ProjReview"/>
    </sheetNames>
    <sheetDataSet>
      <sheetData sheetId="0"/>
      <sheetData sheetId="1" refreshError="1">
        <row r="2">
          <cell r="X2" t="str">
            <v>P&amp;L Close Report</v>
          </cell>
          <cell r="Z2" t="str">
            <v>Consolidated</v>
          </cell>
        </row>
        <row r="3">
          <cell r="Z3" t="str">
            <v>Region</v>
          </cell>
        </row>
        <row r="4">
          <cell r="Z4" t="str">
            <v>District</v>
          </cell>
        </row>
        <row r="5">
          <cell r="Z5" t="str">
            <v>Multiple Districts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 Disposal - do not use"/>
      <sheetName val="JE Query"/>
      <sheetName val="JE Lookup"/>
      <sheetName val="Waste Works Breakdown"/>
      <sheetName val="Waste Works Rpt Oct 2016 to Sep"/>
      <sheetName val="WW ALL RO Only"/>
      <sheetName val="WW RO - Garbage Only"/>
      <sheetName val="WW RO Food Waste"/>
      <sheetName val="WW RO Other"/>
      <sheetName val="WW All Resi and Comm"/>
      <sheetName val="WW MSW Only"/>
      <sheetName val="WW Food Waste"/>
      <sheetName val="WW Resi Comm Other"/>
    </sheetNames>
    <sheetDataSet>
      <sheetData sheetId="0"/>
      <sheetData sheetId="1">
        <row r="6">
          <cell r="D6">
            <v>10000</v>
          </cell>
        </row>
        <row r="8">
          <cell r="J8" t="str">
            <v>2017-10</v>
          </cell>
        </row>
        <row r="12">
          <cell r="I12" t="str">
            <v>2016-10</v>
          </cell>
        </row>
        <row r="13">
          <cell r="I13" t="str">
            <v>2017-09</v>
          </cell>
        </row>
      </sheetData>
      <sheetData sheetId="2"/>
      <sheetData sheetId="3"/>
      <sheetData sheetId="4"/>
      <sheetData sheetId="5">
        <row r="22482">
          <cell r="W22482">
            <v>80726.470000000249</v>
          </cell>
          <cell r="Z22482">
            <v>6386917.4000000479</v>
          </cell>
        </row>
      </sheetData>
      <sheetData sheetId="6">
        <row r="21469">
          <cell r="W21469">
            <v>78285.730000000345</v>
          </cell>
          <cell r="Z21469">
            <v>6325405.3100000434</v>
          </cell>
        </row>
      </sheetData>
      <sheetData sheetId="7">
        <row r="11">
          <cell r="W11">
            <v>0.59000000000000019</v>
          </cell>
          <cell r="Z11">
            <v>141.58000000000001</v>
          </cell>
        </row>
      </sheetData>
      <sheetData sheetId="8">
        <row r="1008">
          <cell r="W1008">
            <v>2440.150000000001</v>
          </cell>
          <cell r="Z1008">
            <v>61370.51</v>
          </cell>
        </row>
      </sheetData>
      <sheetData sheetId="9">
        <row r="16932">
          <cell r="W16932">
            <v>150965.99</v>
          </cell>
          <cell r="Z16932">
            <v>13084500.410000021</v>
          </cell>
        </row>
      </sheetData>
      <sheetData sheetId="10">
        <row r="15493">
          <cell r="W15493">
            <v>142353.68000000023</v>
          </cell>
          <cell r="Z15493">
            <v>12776228.64000003</v>
          </cell>
        </row>
      </sheetData>
      <sheetData sheetId="11">
        <row r="532">
          <cell r="W532">
            <v>1689.4800000000014</v>
          </cell>
          <cell r="Z532">
            <v>110572.83000000007</v>
          </cell>
        </row>
      </sheetData>
      <sheetData sheetId="12">
        <row r="913">
          <cell r="W913">
            <v>6922.8299999999917</v>
          </cell>
          <cell r="Z913">
            <v>197698.93999999989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5 BS"/>
      <sheetName val="2025 IS"/>
      <sheetName val="Consolidated IS"/>
      <sheetName val="Pro-forma"/>
      <sheetName val="Restating Adj"/>
      <sheetName val="Restating Expl"/>
      <sheetName val="Pro Forma Adj"/>
      <sheetName val="Ratios"/>
      <sheetName val="LG"/>
      <sheetName val="LG G-48"/>
      <sheetName val="LG G-51"/>
      <sheetName val="G-48 Price Out"/>
      <sheetName val="G-51 Price Out"/>
      <sheetName val="Rate Schedule G-48"/>
      <sheetName val="References"/>
      <sheetName val="G-48 DF Calc"/>
      <sheetName val="DF Schedule"/>
      <sheetName val="Depr Summary"/>
      <sheetName val="Depreciation"/>
      <sheetName val="Payroll Detail"/>
      <sheetName val="DivCon-DVP Alloc In"/>
      <sheetName val="Corp-OH"/>
      <sheetName val="Region OH Calc"/>
      <sheetName val="Corp-BS"/>
      <sheetName val="Corp-IS"/>
      <sheetName val="38000 Other Rev"/>
      <sheetName val="2025 BS 3-31-2015"/>
    </sheetNames>
    <sheetDataSet>
      <sheetData sheetId="0"/>
      <sheetData sheetId="1"/>
      <sheetData sheetId="2"/>
      <sheetData sheetId="3" refreshError="1"/>
      <sheetData sheetId="4"/>
      <sheetData sheetId="5">
        <row r="78">
          <cell r="D78">
            <v>13340.018881532844</v>
          </cell>
        </row>
      </sheetData>
      <sheetData sheetId="6">
        <row r="27">
          <cell r="B27">
            <v>353.32367365298381</v>
          </cell>
        </row>
      </sheetData>
      <sheetData sheetId="7">
        <row r="13">
          <cell r="B13">
            <v>0.89361089902323576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60">
          <cell r="C60">
            <v>178633.12500000003</v>
          </cell>
        </row>
      </sheetData>
      <sheetData sheetId="17">
        <row r="1">
          <cell r="A1" t="str">
            <v>Columbia River Disposal, Inc. G-48/G-51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6">
          <cell r="D6">
            <v>10000</v>
          </cell>
        </row>
        <row r="8">
          <cell r="H8" t="str">
            <v>2016-06</v>
          </cell>
        </row>
        <row r="12">
          <cell r="G12" t="str">
            <v>2015-04</v>
          </cell>
        </row>
        <row r="13">
          <cell r="G13" t="str">
            <v>2016-03</v>
          </cell>
        </row>
      </sheetData>
      <sheetData sheetId="2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up Tables"/>
      <sheetName val="Data"/>
      <sheetName val="By Division"/>
      <sheetName val="&quot;Invioced&quot;"/>
      <sheetName val="Invoice_Drill"/>
      <sheetName val="PO_Drill"/>
      <sheetName val="District-Division Listing"/>
    </sheetNames>
    <sheetDataSet>
      <sheetData sheetId="0" refreshError="1">
        <row r="1">
          <cell r="A1" t="str">
            <v>All</v>
          </cell>
        </row>
        <row r="2">
          <cell r="A2" t="str">
            <v>2008-01</v>
          </cell>
        </row>
        <row r="3">
          <cell r="A3" t="str">
            <v>2008-02</v>
          </cell>
        </row>
        <row r="4">
          <cell r="A4" t="str">
            <v>2008-03</v>
          </cell>
        </row>
        <row r="5">
          <cell r="A5" t="str">
            <v>2008-04</v>
          </cell>
        </row>
        <row r="6">
          <cell r="A6" t="str">
            <v>2008-05</v>
          </cell>
        </row>
        <row r="7">
          <cell r="A7" t="str">
            <v>2008-06</v>
          </cell>
        </row>
        <row r="8">
          <cell r="A8" t="str">
            <v>2008-07</v>
          </cell>
        </row>
        <row r="9">
          <cell r="A9" t="str">
            <v>2008-08</v>
          </cell>
        </row>
        <row r="10">
          <cell r="A10" t="str">
            <v>2008-09</v>
          </cell>
        </row>
        <row r="11">
          <cell r="A11" t="str">
            <v>2008-10</v>
          </cell>
        </row>
        <row r="12">
          <cell r="A12" t="str">
            <v>2008-11</v>
          </cell>
        </row>
        <row r="13">
          <cell r="A13" t="str">
            <v>2008-12</v>
          </cell>
        </row>
      </sheetData>
      <sheetData sheetId="1" refreshError="1">
        <row r="3">
          <cell r="E3" t="str">
            <v>Western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up Tables"/>
      <sheetName val="Data"/>
      <sheetName val="By Division"/>
      <sheetName val="&quot;Invioced&quot;"/>
      <sheetName val="Invoice_Drill"/>
      <sheetName val="PO_Drill"/>
      <sheetName val="District-Division Listing"/>
    </sheetNames>
    <sheetDataSet>
      <sheetData sheetId="0">
        <row r="1">
          <cell r="A1" t="str">
            <v>All</v>
          </cell>
        </row>
        <row r="2">
          <cell r="A2" t="str">
            <v>2008-01</v>
          </cell>
        </row>
        <row r="3">
          <cell r="A3" t="str">
            <v>2008-02</v>
          </cell>
        </row>
        <row r="4">
          <cell r="A4" t="str">
            <v>2008-03</v>
          </cell>
        </row>
        <row r="5">
          <cell r="A5" t="str">
            <v>2008-04</v>
          </cell>
        </row>
        <row r="6">
          <cell r="A6" t="str">
            <v>2008-05</v>
          </cell>
        </row>
        <row r="7">
          <cell r="A7" t="str">
            <v>2008-06</v>
          </cell>
        </row>
        <row r="8">
          <cell r="A8" t="str">
            <v>2008-07</v>
          </cell>
        </row>
        <row r="9">
          <cell r="A9" t="str">
            <v>2008-08</v>
          </cell>
        </row>
        <row r="10">
          <cell r="A10" t="str">
            <v>2008-09</v>
          </cell>
        </row>
        <row r="11">
          <cell r="A11" t="str">
            <v>2008-10</v>
          </cell>
        </row>
        <row r="12">
          <cell r="A12" t="str">
            <v>2008-11</v>
          </cell>
        </row>
        <row r="13">
          <cell r="A13" t="str">
            <v>2008-12</v>
          </cell>
        </row>
      </sheetData>
      <sheetData sheetId="1">
        <row r="3">
          <cell r="E3" t="str">
            <v>Western</v>
          </cell>
        </row>
      </sheetData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kima BS"/>
      <sheetName val="Yakima IS"/>
      <sheetName val="References"/>
      <sheetName val="Yakima Consolidated IS"/>
      <sheetName val="Ratios"/>
      <sheetName val="Restating Adj's"/>
      <sheetName val="Pro-forma Adj's"/>
      <sheetName val="LG-Total Reg"/>
      <sheetName val="LG-Garbage"/>
      <sheetName val="LG-Recycle"/>
      <sheetName val="LG-Yardwaste"/>
      <sheetName val="Yakima Regulated Price Out"/>
      <sheetName val="Proposed Rates"/>
      <sheetName val="Revenue Summary"/>
      <sheetName val="Depr Summary"/>
      <sheetName val="Yakima Payroll"/>
      <sheetName val="Disposal"/>
      <sheetName val="Fuel Schedule"/>
      <sheetName val="A-Team Summary"/>
      <sheetName val="Roll Off Cust Count"/>
      <sheetName val="DivCon-DVP Alloc In"/>
      <sheetName val="Region OH Calc"/>
      <sheetName val="WCI P&amp;L"/>
      <sheetName val="WCI BS"/>
      <sheetName val="Corp OH"/>
      <sheetName val="July Fuel"/>
      <sheetName val="70149 Detail"/>
      <sheetName val="70095 Detail"/>
      <sheetName val="70195 Detail"/>
      <sheetName val="70255 Detail"/>
      <sheetName val="6.30.17 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320"/>
      <sheetName val="#REF"/>
    </sheetNames>
    <sheetDataSet>
      <sheetData sheetId="0" refreshError="1"/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, IS "/>
      <sheetName val="Vashon BS"/>
      <sheetName val="Vashon IS"/>
      <sheetName val="Consolidated IS"/>
      <sheetName val="Restating Adj"/>
      <sheetName val="Prof Adj"/>
      <sheetName val="Price-out"/>
      <sheetName val="LG-Total Comp"/>
      <sheetName val="LG-Packer Rts"/>
      <sheetName val="LG-RO Rts"/>
      <sheetName val="LG-Recycl"/>
      <sheetName val="DF Schedule"/>
      <sheetName val="Depr-Summary"/>
      <sheetName val="2132 Trks"/>
      <sheetName val="2132 Cont, DB"/>
      <sheetName val="2132 Oth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, IS "/>
      <sheetName val="Vashon BS"/>
      <sheetName val="Vashon IS"/>
      <sheetName val="Consolidated IS"/>
      <sheetName val="Restating Adj"/>
      <sheetName val="Prof Adj"/>
      <sheetName val="Price-out"/>
      <sheetName val="LG-Total Comp"/>
      <sheetName val="LG-Packer Rts"/>
      <sheetName val="LG-RO Rts"/>
      <sheetName val="LG-Recycl"/>
      <sheetName val="DF Schedule"/>
      <sheetName val="Depr-Summary"/>
      <sheetName val="2132 Trks"/>
      <sheetName val="2132 Cont, DB"/>
      <sheetName val="2132 Oth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 BS"/>
      <sheetName val="2010 BS"/>
      <sheetName val="2009 IS"/>
      <sheetName val="2010 IS"/>
      <sheetName val="Consolidated IS"/>
      <sheetName val="Alloc %"/>
      <sheetName val="Rest Expl"/>
      <sheetName val="Prof Expl"/>
      <sheetName val="2009 Price Out (REG)"/>
      <sheetName val="LG-Total Reg"/>
      <sheetName val="LG-Pckr"/>
      <sheetName val="LG-RO"/>
      <sheetName val="2009-2010"/>
      <sheetName val="2009 Depr Summary"/>
      <sheetName val="2009 Trks"/>
      <sheetName val="2009 Cont, DB"/>
      <sheetName val="2009 Serv, Shop"/>
      <sheetName val="2009 Office"/>
      <sheetName val="2009 Leasehold"/>
      <sheetName val="2010 Deprec Summary"/>
      <sheetName val="2010 Trks"/>
      <sheetName val="2010 Cont, DB"/>
      <sheetName val="2010 Serv, Shop"/>
      <sheetName val="2010 Office"/>
      <sheetName val="2010 Leasehol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001Tranx"/>
      <sheetName val="JEexport"/>
      <sheetName val="Intro Memo"/>
      <sheetName val="JE_Summary"/>
      <sheetName val="Mth00"/>
      <sheetName val="Mth01"/>
      <sheetName val="Mth02"/>
      <sheetName val="Mth03"/>
      <sheetName val="Mth04"/>
      <sheetName val="Mth05"/>
      <sheetName val="Mth06"/>
      <sheetName val="Mth07"/>
      <sheetName val="Mth08"/>
      <sheetName val="Mth09"/>
      <sheetName val="Mth10"/>
      <sheetName val="Mth11"/>
      <sheetName val="Mth12"/>
      <sheetName val="TEST"/>
      <sheetName val="To Do"/>
      <sheetName val="GLMapping"/>
      <sheetName val="BatchLog"/>
      <sheetName val="Reference"/>
    </sheetNames>
    <sheetDataSet>
      <sheetData sheetId="0"/>
      <sheetData sheetId="1">
        <row r="9">
          <cell r="L9">
            <v>11501</v>
          </cell>
        </row>
        <row r="10">
          <cell r="L10" t="str">
            <v>11501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 IS"/>
      <sheetName val="2009 BS"/>
      <sheetName val="2010 BS"/>
      <sheetName val="Combined BS"/>
      <sheetName val="2009 IS"/>
      <sheetName val="2010 IS"/>
      <sheetName val="Combined 12 mo IS"/>
      <sheetName val="Consolidated IS 2009 2010"/>
      <sheetName val="Consolidated IS - IRMGARD"/>
      <sheetName val="Pro forma "/>
      <sheetName val="Pro forma-Line of Service"/>
      <sheetName val="Restatements"/>
      <sheetName val="Proforma Adjusts"/>
      <sheetName val="2009 Price Out (REG)"/>
      <sheetName val="GL Recon"/>
      <sheetName val="Customer Count Summary"/>
      <sheetName val="2009 Payroll"/>
      <sheetName val="2010 Payroll"/>
      <sheetName val="2009,2010 Depr Summary"/>
      <sheetName val="Time Study"/>
      <sheetName val="2009 Insurance"/>
      <sheetName val="2010 Insurance"/>
      <sheetName val="2009 Disposal"/>
      <sheetName val="2010 Disposal"/>
      <sheetName val="2009 Fuel"/>
      <sheetName val="2009 Depr Summary"/>
      <sheetName val="2009 Trks"/>
      <sheetName val="2009 Cont, DB"/>
      <sheetName val="2009 Serv, Shop"/>
      <sheetName val="2009 Office"/>
      <sheetName val="2009 Leasehold"/>
      <sheetName val="2010 Fuel"/>
      <sheetName val="2010 Deprec Summary"/>
      <sheetName val="2010 Trks"/>
      <sheetName val="2010 Cont, DB"/>
      <sheetName val="2010 Serv, Shop"/>
      <sheetName val="2010 Office"/>
      <sheetName val="2010 Leasehold"/>
      <sheetName val="Region Allocation (2)"/>
      <sheetName val="LG-Total Company before DF"/>
      <sheetName val="LG-Packer Rts before DF"/>
      <sheetName val="LG-RO Rts before DF"/>
      <sheetName val="LG-Total Company"/>
      <sheetName val="LG-Packer Rts"/>
      <sheetName val="LG-RO Rts"/>
      <sheetName val="LG-Recycl"/>
      <sheetName val="Scenarios"/>
      <sheetName val="Scenarios (2)"/>
      <sheetName val="No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2">
          <cell r="A12" t="str">
            <v>Revenue</v>
          </cell>
        </row>
        <row r="13">
          <cell r="A13" t="str">
            <v>Hauling</v>
          </cell>
        </row>
        <row r="14">
          <cell r="A14">
            <v>31000</v>
          </cell>
          <cell r="B14" t="str">
            <v>Hauling Revenue - Roll Off Permanent</v>
          </cell>
          <cell r="E14">
            <v>41429.11</v>
          </cell>
          <cell r="F14">
            <v>39826.22</v>
          </cell>
          <cell r="G14">
            <v>49022.75</v>
          </cell>
          <cell r="H14">
            <v>45137.86</v>
          </cell>
          <cell r="I14">
            <v>48263.81</v>
          </cell>
          <cell r="J14">
            <v>55314.5</v>
          </cell>
          <cell r="K14">
            <v>60046.02</v>
          </cell>
          <cell r="L14">
            <v>64582.7</v>
          </cell>
          <cell r="M14">
            <v>55932.07</v>
          </cell>
          <cell r="N14">
            <v>50932.34</v>
          </cell>
          <cell r="O14">
            <v>38587.67</v>
          </cell>
          <cell r="P14">
            <v>43420.76</v>
          </cell>
          <cell r="Q14">
            <v>592495.81000000006</v>
          </cell>
        </row>
        <row r="15">
          <cell r="A15">
            <v>31001</v>
          </cell>
          <cell r="B15" t="str">
            <v>Hauling Revenue - Roll Off Temporary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A16">
            <v>31002</v>
          </cell>
          <cell r="B16" t="str">
            <v>Hauling Revenue - Roll Off Rental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A17">
            <v>31003</v>
          </cell>
          <cell r="B17" t="str">
            <v>Hauling Revenue - Roll Off Compactor Ren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A18">
            <v>31004</v>
          </cell>
          <cell r="B18" t="str">
            <v>Hauling Revenue - Roll Off Recycling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A19">
            <v>31005</v>
          </cell>
          <cell r="B19" t="str">
            <v>Corporate Roll Off Disposal Charge</v>
          </cell>
          <cell r="E19">
            <v>93946.63</v>
          </cell>
          <cell r="F19">
            <v>91101.8</v>
          </cell>
          <cell r="G19">
            <v>108743.12</v>
          </cell>
          <cell r="H19">
            <v>100411.54</v>
          </cell>
          <cell r="I19">
            <v>109421.85</v>
          </cell>
          <cell r="J19">
            <v>119111.11</v>
          </cell>
          <cell r="K19">
            <v>114939.05</v>
          </cell>
          <cell r="L19">
            <v>123201.29</v>
          </cell>
          <cell r="M19">
            <v>128616.56</v>
          </cell>
          <cell r="N19">
            <v>103849.76</v>
          </cell>
          <cell r="O19">
            <v>87162.7</v>
          </cell>
          <cell r="P19">
            <v>101585.44</v>
          </cell>
          <cell r="Q19">
            <v>1282090.8499999999</v>
          </cell>
        </row>
        <row r="20">
          <cell r="A20">
            <v>31008</v>
          </cell>
          <cell r="B20" t="str">
            <v>Hauling Revenue - Roll Off Adjustments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A21">
            <v>31009</v>
          </cell>
          <cell r="B21" t="str">
            <v>Hauling Revenue - Roll Off Intercompany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A22">
            <v>31010</v>
          </cell>
          <cell r="B22" t="str">
            <v>Hauling Revenue - Roll Off Extras</v>
          </cell>
          <cell r="E22">
            <v>16354.41</v>
          </cell>
          <cell r="F22">
            <v>16430.849999999999</v>
          </cell>
          <cell r="G22">
            <v>18226.63</v>
          </cell>
          <cell r="H22">
            <v>17972.400000000001</v>
          </cell>
          <cell r="I22">
            <v>18790.919999999998</v>
          </cell>
          <cell r="J22">
            <v>19705.3</v>
          </cell>
          <cell r="K22">
            <v>21354.080000000002</v>
          </cell>
          <cell r="L22">
            <v>22365.29</v>
          </cell>
          <cell r="M22">
            <v>20804.36</v>
          </cell>
          <cell r="N22">
            <v>18374.21</v>
          </cell>
          <cell r="O22">
            <v>17346.11</v>
          </cell>
          <cell r="P22">
            <v>15627.2</v>
          </cell>
          <cell r="Q22">
            <v>223351.76</v>
          </cell>
        </row>
        <row r="23">
          <cell r="A23">
            <v>31020</v>
          </cell>
          <cell r="B23" t="str">
            <v>Hauling Revenue - Roll Off Special Waste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A24">
            <v>31021</v>
          </cell>
          <cell r="B24" t="str">
            <v>Hauling Revenue - Roll Off Special Waste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A25">
            <v>31029</v>
          </cell>
          <cell r="B25" t="str">
            <v>Hauling Revenue - Roll Off Special Waste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A26">
            <v>32000</v>
          </cell>
          <cell r="B26" t="str">
            <v>Hauling Revenue - Residential MSW</v>
          </cell>
          <cell r="E26">
            <v>754535.74</v>
          </cell>
          <cell r="F26">
            <v>750848.79</v>
          </cell>
          <cell r="G26">
            <v>751484.07</v>
          </cell>
          <cell r="H26">
            <v>759461.88</v>
          </cell>
          <cell r="I26">
            <v>756344.84</v>
          </cell>
          <cell r="J26">
            <v>762351.19</v>
          </cell>
          <cell r="K26">
            <v>763571.04</v>
          </cell>
          <cell r="L26">
            <v>762014.08</v>
          </cell>
          <cell r="M26">
            <v>763381.19</v>
          </cell>
          <cell r="N26">
            <v>760410.82</v>
          </cell>
          <cell r="O26">
            <v>760222.53</v>
          </cell>
          <cell r="P26">
            <v>757663.07</v>
          </cell>
          <cell r="Q26">
            <v>9102289.2400000002</v>
          </cell>
        </row>
        <row r="27">
          <cell r="A27">
            <v>32001</v>
          </cell>
          <cell r="B27" t="str">
            <v>Hauling Revenue - Residential MSW Extras</v>
          </cell>
          <cell r="E27">
            <v>48676.93</v>
          </cell>
          <cell r="F27">
            <v>46005.81</v>
          </cell>
          <cell r="G27">
            <v>44057.39</v>
          </cell>
          <cell r="H27">
            <v>54145.79</v>
          </cell>
          <cell r="I27">
            <v>47089.22</v>
          </cell>
          <cell r="J27">
            <v>62711.39</v>
          </cell>
          <cell r="K27">
            <v>60222.84</v>
          </cell>
          <cell r="L27">
            <v>63321.38</v>
          </cell>
          <cell r="M27">
            <v>48663.92</v>
          </cell>
          <cell r="N27">
            <v>45750.71</v>
          </cell>
          <cell r="O27">
            <v>44578.41</v>
          </cell>
          <cell r="P27">
            <v>66011.64</v>
          </cell>
          <cell r="Q27">
            <v>631235.43000000005</v>
          </cell>
        </row>
        <row r="28">
          <cell r="A28">
            <v>32002</v>
          </cell>
          <cell r="B28" t="str">
            <v>Hauling Revenue - Residential MSW Adjust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A29">
            <v>32003</v>
          </cell>
          <cell r="B29" t="str">
            <v>Hauling Revenue - Residential MSW Specia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A30">
            <v>32009</v>
          </cell>
          <cell r="B30" t="str">
            <v>Hauling Revenue - Residential MSW Interc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A31">
            <v>32100</v>
          </cell>
          <cell r="B31" t="str">
            <v>Hauling Revenue - Residential Recycling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A32">
            <v>32101</v>
          </cell>
          <cell r="B32" t="str">
            <v>Hauling Revenue - Residential Recycling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A33">
            <v>32102</v>
          </cell>
          <cell r="B33" t="str">
            <v>Hauling Revenue - Residential Recycling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A34">
            <v>32103</v>
          </cell>
          <cell r="B34" t="str">
            <v>Hauling Revenue - Residential Recycling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A35">
            <v>32109</v>
          </cell>
          <cell r="B35" t="str">
            <v>Hauling Revenue - Residential Recycling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A36">
            <v>32110</v>
          </cell>
          <cell r="B36" t="str">
            <v>Hauling Revenue - Residential Composting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A37">
            <v>32111</v>
          </cell>
          <cell r="B37" t="str">
            <v>Hauling Revenue - Residential Composting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A38">
            <v>32112</v>
          </cell>
          <cell r="B38" t="str">
            <v>Hauling Revenue - Residential Composting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A39">
            <v>32113</v>
          </cell>
          <cell r="B39" t="str">
            <v>Hauling Revenue - Residential Composting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A40">
            <v>32119</v>
          </cell>
          <cell r="B40" t="str">
            <v>Hauling Revenue - Residential Composting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A41">
            <v>33000</v>
          </cell>
          <cell r="B41" t="str">
            <v>Hauling Revenue - Commercial FEL</v>
          </cell>
          <cell r="E41">
            <v>414760.73</v>
          </cell>
          <cell r="F41">
            <v>412841.01</v>
          </cell>
          <cell r="G41">
            <v>416757.93</v>
          </cell>
          <cell r="H41">
            <v>417298.76</v>
          </cell>
          <cell r="I41">
            <v>417121.97</v>
          </cell>
          <cell r="J41">
            <v>421939.51</v>
          </cell>
          <cell r="K41">
            <v>420917.49</v>
          </cell>
          <cell r="L41">
            <v>425821.47</v>
          </cell>
          <cell r="M41">
            <v>424192</v>
          </cell>
          <cell r="N41">
            <v>415412.9</v>
          </cell>
          <cell r="O41">
            <v>413023.47</v>
          </cell>
          <cell r="P41">
            <v>411406.25</v>
          </cell>
          <cell r="Q41">
            <v>5011493.49</v>
          </cell>
        </row>
        <row r="42">
          <cell r="A42">
            <v>33001</v>
          </cell>
          <cell r="B42" t="str">
            <v>Hauling Revenue - Commercial FEL Extras</v>
          </cell>
          <cell r="E42">
            <v>16369.94</v>
          </cell>
          <cell r="F42">
            <v>15223.46</v>
          </cell>
          <cell r="G42">
            <v>18054.59</v>
          </cell>
          <cell r="H42">
            <v>17483.330000000002</v>
          </cell>
          <cell r="I42">
            <v>19168.46</v>
          </cell>
          <cell r="J42">
            <v>18357.68</v>
          </cell>
          <cell r="K42">
            <v>21453.19</v>
          </cell>
          <cell r="L42">
            <v>22591.22</v>
          </cell>
          <cell r="M42">
            <v>16352.74</v>
          </cell>
          <cell r="N42">
            <v>17430.650000000001</v>
          </cell>
          <cell r="O42">
            <v>16278.67</v>
          </cell>
          <cell r="P42">
            <v>16972.88</v>
          </cell>
          <cell r="Q42">
            <v>215736.81</v>
          </cell>
        </row>
        <row r="43">
          <cell r="A43">
            <v>33002</v>
          </cell>
          <cell r="B43" t="str">
            <v>Hauling Revenue - Commercial FEL Adjustm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A44">
            <v>33009</v>
          </cell>
          <cell r="B44" t="str">
            <v>Hauling Revenue - Commercial FEL Interco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A45">
            <v>33010</v>
          </cell>
          <cell r="B45" t="str">
            <v>Hauling Revenue - Commercial REL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A46">
            <v>33011</v>
          </cell>
          <cell r="B46" t="str">
            <v>Hauling Revenue - Commercial REL Extras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A47">
            <v>33012</v>
          </cell>
          <cell r="B47" t="str">
            <v>Hauling Revenue - Commercial REL Adjustm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A48">
            <v>33019</v>
          </cell>
          <cell r="B48" t="str">
            <v>Hauling Revenue - Commercial REL Interco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A49">
            <v>33020</v>
          </cell>
          <cell r="B49" t="str">
            <v>Hauling Revenue - Commercial Recycling F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A50">
            <v>33021</v>
          </cell>
          <cell r="B50" t="str">
            <v>Hauling Revenue - Commercial Recycling F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A51">
            <v>33022</v>
          </cell>
          <cell r="B51" t="str">
            <v>Hauling Revenue - Commercial Recycling F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A52">
            <v>33029</v>
          </cell>
          <cell r="B52" t="str">
            <v>Hauling Revenue - Commercial Recycling F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A53">
            <v>33030</v>
          </cell>
          <cell r="B53" t="str">
            <v>Hauling Revenue - Commercial Recycling R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A54">
            <v>33031</v>
          </cell>
          <cell r="B54" t="str">
            <v>Hauling Revenue - Commercial Recycling R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A55">
            <v>33032</v>
          </cell>
          <cell r="B55" t="str">
            <v>Hauling Revenue - Commercial Recycling R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A56">
            <v>33039</v>
          </cell>
          <cell r="B56" t="str">
            <v>Hauling Revenue - Commercial Recycling R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A57">
            <v>33500</v>
          </cell>
          <cell r="B57" t="str">
            <v>Portable Toilet Revenue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A58">
            <v>33501</v>
          </cell>
          <cell r="B58" t="str">
            <v>Portable Toilet Extras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</row>
        <row r="59">
          <cell r="A59">
            <v>33502</v>
          </cell>
          <cell r="B59" t="str">
            <v>Portable Toilet Adjustments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</row>
        <row r="60">
          <cell r="A60">
            <v>33509</v>
          </cell>
          <cell r="B60" t="str">
            <v>Portable Toilet Intercompany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</row>
        <row r="61">
          <cell r="A61" t="str">
            <v>Total Hauling</v>
          </cell>
          <cell r="E61">
            <v>1386073.49</v>
          </cell>
          <cell r="F61">
            <v>1372277.94</v>
          </cell>
          <cell r="G61">
            <v>1406346.48</v>
          </cell>
          <cell r="H61">
            <v>1411911.56</v>
          </cell>
          <cell r="I61">
            <v>1416201.0699999998</v>
          </cell>
          <cell r="J61">
            <v>1459490.68</v>
          </cell>
          <cell r="K61">
            <v>1462503.71</v>
          </cell>
          <cell r="L61">
            <v>1483897.43</v>
          </cell>
          <cell r="M61">
            <v>1457942.84</v>
          </cell>
          <cell r="N61">
            <v>1412161.3899999997</v>
          </cell>
          <cell r="O61">
            <v>1377199.56</v>
          </cell>
          <cell r="P61">
            <v>1412687.2399999998</v>
          </cell>
          <cell r="Q61">
            <v>17058693.389999997</v>
          </cell>
        </row>
        <row r="63">
          <cell r="A63" t="str">
            <v>Transfer</v>
          </cell>
        </row>
        <row r="64">
          <cell r="A64">
            <v>35000</v>
          </cell>
          <cell r="B64" t="str">
            <v>Transfer Station - Third Party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A65">
            <v>35001</v>
          </cell>
          <cell r="B65" t="str">
            <v>Transfer Station - Third Party Adjustmen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A66">
            <v>35009</v>
          </cell>
          <cell r="B66" t="str">
            <v>Transfer Station - Intercompany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A67">
            <v>35500</v>
          </cell>
          <cell r="B67" t="str">
            <v>MRF Processing Charge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A68">
            <v>35501</v>
          </cell>
          <cell r="B68" t="str">
            <v>MRF Processing Charge Adjustments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A69">
            <v>35509</v>
          </cell>
          <cell r="B69" t="str">
            <v>MRF Processing Charge Intercompany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A70" t="str">
            <v>Total Transfer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2">
          <cell r="A72" t="str">
            <v>MRF</v>
          </cell>
        </row>
        <row r="73">
          <cell r="A73">
            <v>35510</v>
          </cell>
          <cell r="B73" t="str">
            <v>Proceeds - OCC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A74">
            <v>35511</v>
          </cell>
          <cell r="B74" t="str">
            <v>Proceeds - ONP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A75">
            <v>35512</v>
          </cell>
          <cell r="B75" t="str">
            <v>Proceeds - Other Paper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A76">
            <v>35513</v>
          </cell>
          <cell r="B76" t="str">
            <v>Proceeds - Aluminum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A77">
            <v>35514</v>
          </cell>
          <cell r="B77" t="str">
            <v>Proceeds - Metal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</row>
        <row r="78">
          <cell r="A78">
            <v>35515</v>
          </cell>
          <cell r="B78" t="str">
            <v>Proceeds - Glass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A79">
            <v>35516</v>
          </cell>
          <cell r="B79" t="str">
            <v>Proceeds - Plastic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</row>
        <row r="80">
          <cell r="A80">
            <v>35517</v>
          </cell>
          <cell r="B80" t="str">
            <v>Proceeds - Other Recyclables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A81">
            <v>35518</v>
          </cell>
          <cell r="B81" t="str">
            <v>Proceeds - Commingled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A82">
            <v>35519</v>
          </cell>
          <cell r="B82" t="str">
            <v>Proceeds - Intercompany Material Sales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</row>
        <row r="83">
          <cell r="A83">
            <v>35520</v>
          </cell>
          <cell r="B83" t="str">
            <v>Support - OCC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A84">
            <v>35521</v>
          </cell>
          <cell r="B84" t="str">
            <v>Support - ONP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A85">
            <v>35522</v>
          </cell>
          <cell r="B85" t="str">
            <v>Support - Other Paper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A86">
            <v>35523</v>
          </cell>
          <cell r="B86" t="str">
            <v>Support - Aluminum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A87">
            <v>35524</v>
          </cell>
          <cell r="B87" t="str">
            <v>Support - Metal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A88">
            <v>35525</v>
          </cell>
          <cell r="B88" t="str">
            <v>Support - Glass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A89">
            <v>35526</v>
          </cell>
          <cell r="B89" t="str">
            <v>Support - Plastic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A90">
            <v>35527</v>
          </cell>
          <cell r="B90" t="str">
            <v>Support - Other Recyclables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</row>
        <row r="91">
          <cell r="A91">
            <v>35529</v>
          </cell>
          <cell r="B91" t="str">
            <v>Support - Intercompany Material Sales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A92">
            <v>35551</v>
          </cell>
          <cell r="B92" t="str">
            <v>Proceeds - Compost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A93">
            <v>35552</v>
          </cell>
          <cell r="B93" t="str">
            <v>Proceeds - Fuel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A94">
            <v>35553</v>
          </cell>
          <cell r="B94" t="str">
            <v>Proceeds - Landscape Materials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A95" t="str">
            <v>Total MRF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</row>
        <row r="97">
          <cell r="A97" t="str">
            <v>Landfill</v>
          </cell>
        </row>
        <row r="98">
          <cell r="A98">
            <v>36000</v>
          </cell>
          <cell r="B98" t="str">
            <v>Landfill Revenue - MSW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A99">
            <v>36001</v>
          </cell>
          <cell r="B99" t="str">
            <v>Landfill Revenue - MSW Adjustments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A100">
            <v>36002</v>
          </cell>
          <cell r="B100" t="str">
            <v>Landfill Revenue - Extras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</row>
        <row r="101">
          <cell r="A101">
            <v>36009</v>
          </cell>
          <cell r="B101" t="str">
            <v>Landfill Revenue - MSW Intercompany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</row>
        <row r="102">
          <cell r="A102">
            <v>36010</v>
          </cell>
          <cell r="B102" t="str">
            <v>Landfill Revenue - C&amp;D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A103">
            <v>36011</v>
          </cell>
          <cell r="B103" t="str">
            <v>Landfill Revenue - C&amp;D Adjustments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A104">
            <v>36019</v>
          </cell>
          <cell r="B104" t="str">
            <v>Landfill Revenue - C&amp;D Intercompany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A105">
            <v>36020</v>
          </cell>
          <cell r="B105" t="str">
            <v>Landfill Revenue - Special Waste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A106">
            <v>36021</v>
          </cell>
          <cell r="B106" t="str">
            <v>Landfill Revenue - Special Waste Adjustm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</row>
        <row r="107">
          <cell r="A107">
            <v>36029</v>
          </cell>
          <cell r="B107" t="str">
            <v>Landfill Revenue - Special Waste Interco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</row>
        <row r="108">
          <cell r="A108">
            <v>36030</v>
          </cell>
          <cell r="B108" t="str">
            <v>Landfill Revenue - Asbestos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A109">
            <v>36031</v>
          </cell>
          <cell r="B109" t="str">
            <v>Landfill Revenue - Asbestos Adjustments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</row>
        <row r="110">
          <cell r="A110">
            <v>36039</v>
          </cell>
          <cell r="B110" t="str">
            <v>Landfill Revenue - Asbestos Intercompany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</row>
        <row r="111">
          <cell r="A111">
            <v>36040</v>
          </cell>
          <cell r="B111" t="str">
            <v>Landfill Revenue - Contaminated Soil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A112">
            <v>36041</v>
          </cell>
          <cell r="B112" t="str">
            <v>Landfill Revenue - Contaminated Soil Adj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</row>
        <row r="113">
          <cell r="A113">
            <v>36049</v>
          </cell>
          <cell r="B113" t="str">
            <v>Landfill Revenue - Contaminated Soil Int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A114">
            <v>36050</v>
          </cell>
          <cell r="B114" t="str">
            <v>Landfill Revenue - Yard Waste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</row>
        <row r="115">
          <cell r="A115">
            <v>36051</v>
          </cell>
          <cell r="B115" t="str">
            <v>Landfill Revenue - Yard Waste Adjustment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A116">
            <v>36059</v>
          </cell>
          <cell r="B116" t="str">
            <v>Landfill Revenue - Yard Waste Intercompa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</row>
        <row r="117">
          <cell r="A117">
            <v>36090</v>
          </cell>
          <cell r="B117" t="str">
            <v>Landfill Pass Through Revenue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A118">
            <v>36099</v>
          </cell>
          <cell r="B118" t="str">
            <v>Landfill Pass Through Revenue Intercompany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</row>
        <row r="119">
          <cell r="A119">
            <v>36301</v>
          </cell>
          <cell r="B119" t="str">
            <v>E&amp;P Liquids - Non Count Waste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A120">
            <v>36309</v>
          </cell>
          <cell r="B120" t="str">
            <v>E&amp;P Liquids - Non Count Waste Intercompany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A121">
            <v>36311</v>
          </cell>
          <cell r="B121" t="str">
            <v>E&amp;P Liquids - Count Waste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</row>
        <row r="122">
          <cell r="A122">
            <v>36319</v>
          </cell>
          <cell r="B122" t="str">
            <v>E&amp;P Liquids - Count Waste Intercompany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</row>
        <row r="123">
          <cell r="A123">
            <v>36321</v>
          </cell>
          <cell r="B123" t="str">
            <v>Other Liquids - Non E&amp;P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</row>
        <row r="124">
          <cell r="A124">
            <v>36329</v>
          </cell>
          <cell r="B124" t="str">
            <v>Other Liquids - Non E&amp;P Intercompany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</row>
        <row r="125">
          <cell r="A125">
            <v>36331</v>
          </cell>
          <cell r="B125" t="str">
            <v>E&amp;P Solids - Count Waste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</row>
        <row r="126">
          <cell r="A126">
            <v>36339</v>
          </cell>
          <cell r="B126" t="str">
            <v>E&amp;P Solids - Count Waste Intercompany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</row>
        <row r="127">
          <cell r="A127" t="str">
            <v>Total Landfill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</row>
        <row r="129">
          <cell r="A129" t="str">
            <v>Intermodal</v>
          </cell>
        </row>
        <row r="130">
          <cell r="A130">
            <v>36101</v>
          </cell>
          <cell r="B130" t="str">
            <v>Rail Drayage Revenue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</row>
        <row r="131">
          <cell r="A131">
            <v>36109</v>
          </cell>
          <cell r="B131" t="str">
            <v>Rail Drayage Revenue - Intercompany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A132">
            <v>36111</v>
          </cell>
          <cell r="B132" t="str">
            <v>Truck Drayage Revenue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</row>
        <row r="133">
          <cell r="A133">
            <v>36119</v>
          </cell>
          <cell r="B133" t="str">
            <v>Truck Drayage Revenue - Intercompany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</row>
        <row r="134">
          <cell r="A134">
            <v>36121</v>
          </cell>
          <cell r="B134" t="str">
            <v>Barge Drayage Revenue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</row>
        <row r="135">
          <cell r="A135">
            <v>36131</v>
          </cell>
          <cell r="B135" t="str">
            <v>Service Labor Revenue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</row>
        <row r="136">
          <cell r="A136">
            <v>36141</v>
          </cell>
          <cell r="B136" t="str">
            <v>Refrigeration Labor Revenue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</row>
        <row r="137">
          <cell r="A137">
            <v>36145</v>
          </cell>
          <cell r="B137" t="str">
            <v>Parts Revenue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</row>
        <row r="138">
          <cell r="A138">
            <v>36151</v>
          </cell>
          <cell r="B138" t="str">
            <v>Container Sales Revenue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</row>
        <row r="139">
          <cell r="A139">
            <v>36161</v>
          </cell>
          <cell r="B139" t="str">
            <v>Container Rental Revenue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</row>
        <row r="140">
          <cell r="A140">
            <v>36171</v>
          </cell>
          <cell r="B140" t="str">
            <v>Intermodal Revenue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</row>
        <row r="141">
          <cell r="A141">
            <v>36181</v>
          </cell>
          <cell r="B141" t="str">
            <v>Chassis Lease Revenue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</row>
        <row r="142">
          <cell r="A142">
            <v>36191</v>
          </cell>
          <cell r="B142" t="str">
            <v>Interchanges Revenue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</row>
        <row r="143">
          <cell r="A143">
            <v>36201</v>
          </cell>
          <cell r="B143" t="str">
            <v>Storage Revenue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</row>
        <row r="144">
          <cell r="A144">
            <v>36211</v>
          </cell>
          <cell r="B144" t="str">
            <v>Empty Lifts Revenue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</row>
        <row r="145">
          <cell r="A145">
            <v>36221</v>
          </cell>
          <cell r="B145" t="str">
            <v>Load Lifts Revenue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</row>
        <row r="146">
          <cell r="A146" t="str">
            <v>Total Intermodal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</row>
        <row r="148">
          <cell r="A148" t="str">
            <v>Other Revenue</v>
          </cell>
        </row>
        <row r="149">
          <cell r="A149">
            <v>37001</v>
          </cell>
          <cell r="B149" t="str">
            <v>Sale of Equipment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</row>
        <row r="150">
          <cell r="A150">
            <v>37010</v>
          </cell>
          <cell r="B150" t="str">
            <v>Tire Processing Revenue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</row>
        <row r="151">
          <cell r="A151">
            <v>37019</v>
          </cell>
          <cell r="B151" t="str">
            <v>Tire Processing Revenue - Intercompany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</row>
        <row r="152">
          <cell r="A152">
            <v>38000</v>
          </cell>
          <cell r="B152" t="str">
            <v>Corporate Other Revenue</v>
          </cell>
          <cell r="E152">
            <v>3459.12</v>
          </cell>
          <cell r="F152">
            <v>7799.57</v>
          </cell>
          <cell r="G152">
            <v>2100.42</v>
          </cell>
          <cell r="H152">
            <v>7267.51</v>
          </cell>
          <cell r="I152">
            <v>3376.39</v>
          </cell>
          <cell r="J152">
            <v>7176.57</v>
          </cell>
          <cell r="K152">
            <v>3493.22</v>
          </cell>
          <cell r="L152">
            <v>8060.32</v>
          </cell>
          <cell r="M152">
            <v>2594</v>
          </cell>
          <cell r="N152">
            <v>7784.1</v>
          </cell>
          <cell r="O152">
            <v>6369.79</v>
          </cell>
          <cell r="P152">
            <v>9281.82</v>
          </cell>
          <cell r="Q152">
            <v>68762.829999999987</v>
          </cell>
        </row>
        <row r="153">
          <cell r="A153">
            <v>38001</v>
          </cell>
          <cell r="B153" t="str">
            <v>P-Card Rebate Revenue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</row>
        <row r="154">
          <cell r="A154" t="str">
            <v>Total Other Revenue</v>
          </cell>
          <cell r="E154">
            <v>3459.12</v>
          </cell>
          <cell r="F154">
            <v>7799.57</v>
          </cell>
          <cell r="G154">
            <v>2100.42</v>
          </cell>
          <cell r="H154">
            <v>7267.51</v>
          </cell>
          <cell r="I154">
            <v>3376.39</v>
          </cell>
          <cell r="J154">
            <v>7176.57</v>
          </cell>
          <cell r="K154">
            <v>3493.22</v>
          </cell>
          <cell r="L154">
            <v>8060.32</v>
          </cell>
          <cell r="M154">
            <v>2594</v>
          </cell>
          <cell r="N154">
            <v>7784.1</v>
          </cell>
          <cell r="O154">
            <v>6369.79</v>
          </cell>
          <cell r="P154">
            <v>9281.82</v>
          </cell>
          <cell r="Q154">
            <v>68762.829999999987</v>
          </cell>
        </row>
        <row r="156">
          <cell r="A156" t="str">
            <v>Total Revenue</v>
          </cell>
          <cell r="E156">
            <v>1389532.61</v>
          </cell>
          <cell r="F156">
            <v>1380077.51</v>
          </cell>
          <cell r="G156">
            <v>1408446.9</v>
          </cell>
          <cell r="H156">
            <v>1419179.07</v>
          </cell>
          <cell r="I156">
            <v>1419577.4599999997</v>
          </cell>
          <cell r="J156">
            <v>1466667.25</v>
          </cell>
          <cell r="K156">
            <v>1465996.93</v>
          </cell>
          <cell r="L156">
            <v>1491957.75</v>
          </cell>
          <cell r="M156">
            <v>1460536.84</v>
          </cell>
          <cell r="N156">
            <v>1419945.4899999998</v>
          </cell>
          <cell r="O156">
            <v>1383569.35</v>
          </cell>
          <cell r="P156">
            <v>1421969.0599999998</v>
          </cell>
          <cell r="Q156">
            <v>17127456.219999995</v>
          </cell>
        </row>
        <row r="158">
          <cell r="A158" t="str">
            <v>Revenue Reductions</v>
          </cell>
        </row>
        <row r="159">
          <cell r="A159" t="str">
            <v>Disposal</v>
          </cell>
        </row>
        <row r="160">
          <cell r="A160">
            <v>40101</v>
          </cell>
          <cell r="B160" t="str">
            <v>Disposal Landfill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</row>
        <row r="161">
          <cell r="A161">
            <v>40109</v>
          </cell>
          <cell r="B161" t="str">
            <v>Disposal Landfill Intercompany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</row>
        <row r="162">
          <cell r="A162">
            <v>40121</v>
          </cell>
          <cell r="B162" t="str">
            <v>Disposal Incineration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</row>
        <row r="163">
          <cell r="A163">
            <v>40122</v>
          </cell>
          <cell r="B163" t="str">
            <v>Disposal Other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</row>
        <row r="164">
          <cell r="A164">
            <v>40129</v>
          </cell>
          <cell r="B164" t="str">
            <v>Disposal Other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</row>
        <row r="165">
          <cell r="A165">
            <v>40131</v>
          </cell>
          <cell r="B165" t="str">
            <v>Disposal Transfer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</row>
        <row r="166">
          <cell r="A166">
            <v>40139</v>
          </cell>
          <cell r="B166" t="str">
            <v>Disposal Transfer Intercompany</v>
          </cell>
          <cell r="E166">
            <v>522940.33</v>
          </cell>
          <cell r="F166">
            <v>473522.39</v>
          </cell>
          <cell r="G166">
            <v>554204.89</v>
          </cell>
          <cell r="H166">
            <v>538277.64</v>
          </cell>
          <cell r="I166">
            <v>535071.71</v>
          </cell>
          <cell r="J166">
            <v>582693.4</v>
          </cell>
          <cell r="K166">
            <v>571614.11</v>
          </cell>
          <cell r="L166">
            <v>571380.55000000005</v>
          </cell>
          <cell r="M166">
            <v>569779.74</v>
          </cell>
          <cell r="N166">
            <v>537814.68999999994</v>
          </cell>
          <cell r="O166">
            <v>530807.82999999996</v>
          </cell>
          <cell r="P166">
            <v>576009.71</v>
          </cell>
          <cell r="Q166">
            <v>6564116.9899999993</v>
          </cell>
        </row>
        <row r="167">
          <cell r="A167" t="str">
            <v>Total Disposal</v>
          </cell>
          <cell r="E167">
            <v>522940.33</v>
          </cell>
          <cell r="F167">
            <v>473522.39</v>
          </cell>
          <cell r="G167">
            <v>554204.89</v>
          </cell>
          <cell r="H167">
            <v>538277.64</v>
          </cell>
          <cell r="I167">
            <v>535071.71</v>
          </cell>
          <cell r="J167">
            <v>582693.4</v>
          </cell>
          <cell r="K167">
            <v>571614.11</v>
          </cell>
          <cell r="L167">
            <v>571380.55000000005</v>
          </cell>
          <cell r="M167">
            <v>569779.74</v>
          </cell>
          <cell r="N167">
            <v>537814.68999999994</v>
          </cell>
          <cell r="O167">
            <v>530807.82999999996</v>
          </cell>
          <cell r="P167">
            <v>576009.71</v>
          </cell>
          <cell r="Q167">
            <v>6564116.9899999993</v>
          </cell>
        </row>
        <row r="169">
          <cell r="A169" t="str">
            <v>MRF Processing</v>
          </cell>
        </row>
        <row r="170">
          <cell r="A170">
            <v>40861</v>
          </cell>
          <cell r="B170" t="str">
            <v>Processing Fees MRF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</row>
        <row r="171">
          <cell r="A171">
            <v>40869</v>
          </cell>
          <cell r="B171" t="str">
            <v>Processing Fees MRF Intercompany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</row>
        <row r="172">
          <cell r="A172" t="str">
            <v>Total MRF Processing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</row>
        <row r="174">
          <cell r="A174" t="str">
            <v>Brokerage, Rebates and Taxes</v>
          </cell>
        </row>
        <row r="175">
          <cell r="A175">
            <v>41121</v>
          </cell>
          <cell r="B175" t="str">
            <v>Brokerage Cost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</row>
        <row r="176">
          <cell r="A176">
            <v>41129</v>
          </cell>
          <cell r="B176" t="str">
            <v>Brokerage Cost Intercompany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</row>
        <row r="177">
          <cell r="A177">
            <v>41131</v>
          </cell>
          <cell r="B177" t="str">
            <v>Rail Drayage Expenses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</row>
        <row r="178">
          <cell r="A178">
            <v>41135</v>
          </cell>
          <cell r="B178" t="str">
            <v>Resale Parts - Cost of Goods Sold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</row>
        <row r="179">
          <cell r="A179">
            <v>41139</v>
          </cell>
          <cell r="B179" t="str">
            <v>Rail Drayage Expenses - Intercompany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</row>
        <row r="180">
          <cell r="A180">
            <v>41141</v>
          </cell>
          <cell r="B180" t="str">
            <v>Truck Drayage Expenses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</row>
        <row r="181">
          <cell r="A181">
            <v>41149</v>
          </cell>
          <cell r="B181" t="str">
            <v>Truck Drayage Expenses - Intercompany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</row>
        <row r="182">
          <cell r="A182">
            <v>41151</v>
          </cell>
          <cell r="B182" t="str">
            <v>Intermodal Expenses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</row>
        <row r="183">
          <cell r="A183">
            <v>41201</v>
          </cell>
          <cell r="B183" t="str">
            <v>Rebates and Revenue Sharing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</row>
        <row r="184">
          <cell r="A184">
            <v>43001</v>
          </cell>
          <cell r="B184" t="str">
            <v>Taxes and Pass Thru Fees</v>
          </cell>
          <cell r="E184">
            <v>21087.73</v>
          </cell>
          <cell r="F184">
            <v>20959.080000000002</v>
          </cell>
          <cell r="G184">
            <v>21310.05</v>
          </cell>
          <cell r="H184">
            <v>15944.56</v>
          </cell>
          <cell r="I184">
            <v>23292.27</v>
          </cell>
          <cell r="J184">
            <v>26639.14</v>
          </cell>
          <cell r="K184">
            <v>26629.39</v>
          </cell>
          <cell r="L184">
            <v>27074.49</v>
          </cell>
          <cell r="M184">
            <v>26539.13</v>
          </cell>
          <cell r="N184">
            <v>25799.21</v>
          </cell>
          <cell r="O184">
            <v>25079.16</v>
          </cell>
          <cell r="P184">
            <v>25860.43</v>
          </cell>
          <cell r="Q184">
            <v>286214.64</v>
          </cell>
        </row>
        <row r="185">
          <cell r="A185">
            <v>43002</v>
          </cell>
          <cell r="B185" t="str">
            <v>WUTC Taxes</v>
          </cell>
          <cell r="E185">
            <v>5546.62</v>
          </cell>
          <cell r="F185">
            <v>5496.04</v>
          </cell>
          <cell r="G185">
            <v>5619.91</v>
          </cell>
          <cell r="H185">
            <v>5691.97</v>
          </cell>
          <cell r="I185">
            <v>5646.5</v>
          </cell>
          <cell r="J185">
            <v>5841.42</v>
          </cell>
          <cell r="K185">
            <v>5857.81</v>
          </cell>
          <cell r="L185">
            <v>5948.97</v>
          </cell>
          <cell r="M185">
            <v>5802.43</v>
          </cell>
          <cell r="N185">
            <v>5678.9</v>
          </cell>
          <cell r="O185">
            <v>5511.15</v>
          </cell>
          <cell r="P185">
            <v>5695</v>
          </cell>
          <cell r="Q185">
            <v>68336.72</v>
          </cell>
        </row>
        <row r="186">
          <cell r="A186">
            <v>43090</v>
          </cell>
          <cell r="B186" t="str">
            <v>Pass Through Expenses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</row>
        <row r="187">
          <cell r="A187">
            <v>43099</v>
          </cell>
          <cell r="B187" t="str">
            <v>Pass Through Expenses Intercompany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</row>
        <row r="188">
          <cell r="A188" t="str">
            <v>Total Brokerage, Rebates and Taxes</v>
          </cell>
          <cell r="E188">
            <v>26634.35</v>
          </cell>
          <cell r="F188">
            <v>26455.120000000003</v>
          </cell>
          <cell r="G188">
            <v>26929.96</v>
          </cell>
          <cell r="H188">
            <v>21636.53</v>
          </cell>
          <cell r="I188">
            <v>28938.77</v>
          </cell>
          <cell r="J188">
            <v>32480.559999999998</v>
          </cell>
          <cell r="K188">
            <v>32487.200000000001</v>
          </cell>
          <cell r="L188">
            <v>33023.46</v>
          </cell>
          <cell r="M188">
            <v>32341.56</v>
          </cell>
          <cell r="N188">
            <v>31478.11</v>
          </cell>
          <cell r="O188">
            <v>30590.309999999998</v>
          </cell>
          <cell r="P188">
            <v>31555.43</v>
          </cell>
          <cell r="Q188">
            <v>354551.36</v>
          </cell>
        </row>
        <row r="190">
          <cell r="A190" t="str">
            <v>Recycling Materials Expense</v>
          </cell>
        </row>
        <row r="191">
          <cell r="A191">
            <v>44161</v>
          </cell>
          <cell r="B191" t="str">
            <v>Cost of Materials - OCC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</row>
        <row r="192">
          <cell r="A192">
            <v>44162</v>
          </cell>
          <cell r="B192" t="str">
            <v>Cost of Materials - ONP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</row>
        <row r="193">
          <cell r="A193">
            <v>44163</v>
          </cell>
          <cell r="B193" t="str">
            <v>Cost of Materials - Other Paper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</row>
        <row r="194">
          <cell r="A194">
            <v>44164</v>
          </cell>
          <cell r="B194" t="str">
            <v>Cost of Materials - Aluminum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</row>
        <row r="195">
          <cell r="A195">
            <v>44165</v>
          </cell>
          <cell r="B195" t="str">
            <v>Cost of Materials - Metal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</row>
        <row r="196">
          <cell r="A196">
            <v>44166</v>
          </cell>
          <cell r="B196" t="str">
            <v>Cost of Materials - Glass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</row>
        <row r="197">
          <cell r="A197">
            <v>44167</v>
          </cell>
          <cell r="B197" t="str">
            <v>Cost of Materials - Plastic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</row>
        <row r="198">
          <cell r="A198">
            <v>44168</v>
          </cell>
          <cell r="B198" t="str">
            <v>Cost of Materials - Other Recyclables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</row>
        <row r="199">
          <cell r="A199">
            <v>44169</v>
          </cell>
          <cell r="B199" t="str">
            <v>Cost of Materials - Intercompany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</row>
        <row r="200">
          <cell r="A200">
            <v>44261</v>
          </cell>
          <cell r="B200" t="str">
            <v>Cost of Materials - Organics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</row>
        <row r="201">
          <cell r="A201">
            <v>44262</v>
          </cell>
          <cell r="B201" t="str">
            <v>Cost of Materials - Clean Wood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</row>
        <row r="202">
          <cell r="A202">
            <v>44263</v>
          </cell>
          <cell r="B202" t="str">
            <v>Cost of Materials - Landscaping Materials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</row>
        <row r="203">
          <cell r="A203" t="str">
            <v>Total Recycling Materials Expense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</row>
        <row r="205">
          <cell r="A205" t="str">
            <v>Other Expense</v>
          </cell>
        </row>
        <row r="206">
          <cell r="A206">
            <v>47000</v>
          </cell>
          <cell r="B206" t="str">
            <v>Cost of Containers Sold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</row>
        <row r="207">
          <cell r="A207">
            <v>47001</v>
          </cell>
          <cell r="B207" t="str">
            <v>Cost of Equipment Sold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</row>
        <row r="208">
          <cell r="A208">
            <v>47010</v>
          </cell>
          <cell r="B208" t="str">
            <v>Tire Processing Expenses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</row>
        <row r="209">
          <cell r="A209">
            <v>47019</v>
          </cell>
          <cell r="B209" t="str">
            <v>Tire Processing Expenses - Intercompany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</row>
        <row r="210">
          <cell r="A210" t="str">
            <v>Total Other Expense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</row>
        <row r="212">
          <cell r="A212" t="str">
            <v>Total Revenue Reductions</v>
          </cell>
          <cell r="E212">
            <v>549574.68000000005</v>
          </cell>
          <cell r="F212">
            <v>499977.51</v>
          </cell>
          <cell r="G212">
            <v>581134.85</v>
          </cell>
          <cell r="H212">
            <v>559914.17000000004</v>
          </cell>
          <cell r="I212">
            <v>564010.48</v>
          </cell>
          <cell r="J212">
            <v>615173.96</v>
          </cell>
          <cell r="K212">
            <v>604101.30999999994</v>
          </cell>
          <cell r="L212">
            <v>604404.01</v>
          </cell>
          <cell r="M212">
            <v>602121.30000000005</v>
          </cell>
          <cell r="N212">
            <v>569292.79999999993</v>
          </cell>
          <cell r="O212">
            <v>561398.1399999999</v>
          </cell>
          <cell r="P212">
            <v>607565.14</v>
          </cell>
          <cell r="Q212">
            <v>6918668.3499999996</v>
          </cell>
        </row>
        <row r="214">
          <cell r="A214" t="str">
            <v>Net Revenue</v>
          </cell>
          <cell r="E214">
            <v>839957.93</v>
          </cell>
          <cell r="F214">
            <v>880100</v>
          </cell>
          <cell r="G214">
            <v>827312.04999999993</v>
          </cell>
          <cell r="H214">
            <v>859264.9</v>
          </cell>
          <cell r="I214">
            <v>855566.97999999975</v>
          </cell>
          <cell r="J214">
            <v>851493.29</v>
          </cell>
          <cell r="K214">
            <v>861895.62</v>
          </cell>
          <cell r="L214">
            <v>887553.74</v>
          </cell>
          <cell r="M214">
            <v>858415.54</v>
          </cell>
          <cell r="N214">
            <v>850652.68999999983</v>
          </cell>
          <cell r="O214">
            <v>822171.2100000002</v>
          </cell>
          <cell r="P214">
            <v>814403.91999999981</v>
          </cell>
          <cell r="Q214">
            <v>10208787.869999995</v>
          </cell>
        </row>
        <row r="216">
          <cell r="A216" t="str">
            <v>Cost of Operations</v>
          </cell>
        </row>
        <row r="217">
          <cell r="A217" t="str">
            <v>Labor</v>
          </cell>
        </row>
        <row r="218">
          <cell r="A218">
            <v>50010</v>
          </cell>
          <cell r="B218" t="str">
            <v>Salaries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</row>
        <row r="219">
          <cell r="A219">
            <v>50020</v>
          </cell>
          <cell r="B219" t="str">
            <v>Wages Regular</v>
          </cell>
          <cell r="E219">
            <v>148506.62</v>
          </cell>
          <cell r="F219">
            <v>147781.52000000002</v>
          </cell>
          <cell r="G219">
            <v>162872.48000000001</v>
          </cell>
          <cell r="H219">
            <v>152426.56</v>
          </cell>
          <cell r="I219">
            <v>133250.6</v>
          </cell>
          <cell r="J219">
            <v>141014.94</v>
          </cell>
          <cell r="K219">
            <v>138800.41999999998</v>
          </cell>
          <cell r="L219">
            <v>144467.28999999998</v>
          </cell>
          <cell r="M219">
            <v>139411.4</v>
          </cell>
          <cell r="N219">
            <v>131255.16</v>
          </cell>
          <cell r="O219">
            <v>135440.33000000002</v>
          </cell>
          <cell r="P219">
            <v>141049.91999999998</v>
          </cell>
          <cell r="Q219">
            <v>1716277.2399999998</v>
          </cell>
        </row>
        <row r="220">
          <cell r="A220">
            <v>50025</v>
          </cell>
          <cell r="B220" t="str">
            <v>Wages O.T.</v>
          </cell>
          <cell r="E220">
            <v>22975.54</v>
          </cell>
          <cell r="F220">
            <v>6810.35</v>
          </cell>
          <cell r="G220">
            <v>14008.81</v>
          </cell>
          <cell r="H220">
            <v>20795.96</v>
          </cell>
          <cell r="I220">
            <v>28625.24</v>
          </cell>
          <cell r="J220">
            <v>22652.750000000004</v>
          </cell>
          <cell r="K220">
            <v>20035.850000000002</v>
          </cell>
          <cell r="L220">
            <v>20754.88</v>
          </cell>
          <cell r="M220">
            <v>29699.32</v>
          </cell>
          <cell r="N220">
            <v>20332.329999999998</v>
          </cell>
          <cell r="O220">
            <v>32459.590000000004</v>
          </cell>
          <cell r="P220">
            <v>20007.580000000002</v>
          </cell>
          <cell r="Q220">
            <v>259158.2</v>
          </cell>
        </row>
        <row r="221">
          <cell r="A221">
            <v>50035</v>
          </cell>
          <cell r="B221" t="str">
            <v>Safety Bonuses</v>
          </cell>
          <cell r="E221">
            <v>3200</v>
          </cell>
          <cell r="F221">
            <v>3200</v>
          </cell>
          <cell r="G221">
            <v>3200</v>
          </cell>
          <cell r="H221">
            <v>3200</v>
          </cell>
          <cell r="I221">
            <v>3950</v>
          </cell>
          <cell r="J221">
            <v>3950</v>
          </cell>
          <cell r="K221">
            <v>3950</v>
          </cell>
          <cell r="L221">
            <v>3950</v>
          </cell>
          <cell r="M221">
            <v>2000</v>
          </cell>
          <cell r="N221">
            <v>2000</v>
          </cell>
          <cell r="O221">
            <v>3200</v>
          </cell>
          <cell r="P221">
            <v>0</v>
          </cell>
          <cell r="Q221">
            <v>35800</v>
          </cell>
        </row>
        <row r="222">
          <cell r="A222">
            <v>50036</v>
          </cell>
          <cell r="B222" t="str">
            <v>Other Bonus/Commission - Non-Safety</v>
          </cell>
          <cell r="E222">
            <v>0</v>
          </cell>
          <cell r="F222">
            <v>0</v>
          </cell>
          <cell r="G222">
            <v>1125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1125</v>
          </cell>
        </row>
        <row r="223">
          <cell r="A223">
            <v>50045</v>
          </cell>
          <cell r="B223" t="str">
            <v>Contract Labor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</row>
        <row r="224">
          <cell r="A224">
            <v>50050</v>
          </cell>
          <cell r="B224" t="str">
            <v>Payroll Taxes</v>
          </cell>
          <cell r="E224">
            <v>21085.43</v>
          </cell>
          <cell r="F224">
            <v>16517.190000000002</v>
          </cell>
          <cell r="G224">
            <v>17618.89</v>
          </cell>
          <cell r="H224">
            <v>17201.14</v>
          </cell>
          <cell r="I224">
            <v>16035.320000000002</v>
          </cell>
          <cell r="J224">
            <v>17468.87</v>
          </cell>
          <cell r="K224">
            <v>16392.41</v>
          </cell>
          <cell r="L224">
            <v>16351.01</v>
          </cell>
          <cell r="M224">
            <v>17217.28</v>
          </cell>
          <cell r="N224">
            <v>14701.12</v>
          </cell>
          <cell r="O224">
            <v>17942.59</v>
          </cell>
          <cell r="P224">
            <v>10482.15</v>
          </cell>
          <cell r="Q224">
            <v>199013.4</v>
          </cell>
        </row>
        <row r="225">
          <cell r="A225">
            <v>50060</v>
          </cell>
          <cell r="B225" t="str">
            <v>Group Insurance</v>
          </cell>
          <cell r="E225">
            <v>1330</v>
          </cell>
          <cell r="F225">
            <v>1226</v>
          </cell>
          <cell r="G225">
            <v>729.5</v>
          </cell>
          <cell r="H225">
            <v>1026.5</v>
          </cell>
          <cell r="I225">
            <v>878</v>
          </cell>
          <cell r="J225">
            <v>878</v>
          </cell>
          <cell r="K225">
            <v>878.77</v>
          </cell>
          <cell r="L225">
            <v>826</v>
          </cell>
          <cell r="M225">
            <v>1077.5</v>
          </cell>
          <cell r="N225">
            <v>1826.5</v>
          </cell>
          <cell r="O225">
            <v>1678.77</v>
          </cell>
          <cell r="P225">
            <v>1088.4199999999998</v>
          </cell>
          <cell r="Q225">
            <v>13443.960000000001</v>
          </cell>
        </row>
        <row r="226">
          <cell r="A226">
            <v>50065</v>
          </cell>
          <cell r="B226" t="str">
            <v>Vacation Pay</v>
          </cell>
          <cell r="E226">
            <v>13381.59</v>
          </cell>
          <cell r="F226">
            <v>8706.9500000000007</v>
          </cell>
          <cell r="G226">
            <v>9543.1899999999987</v>
          </cell>
          <cell r="H226">
            <v>7013.4</v>
          </cell>
          <cell r="I226">
            <v>14309.95</v>
          </cell>
          <cell r="J226">
            <v>8179.11</v>
          </cell>
          <cell r="K226">
            <v>14227.68</v>
          </cell>
          <cell r="L226">
            <v>7288.4699999999993</v>
          </cell>
          <cell r="M226">
            <v>15009.16</v>
          </cell>
          <cell r="N226">
            <v>10400.879999999999</v>
          </cell>
          <cell r="O226">
            <v>16702.490000000002</v>
          </cell>
          <cell r="P226">
            <v>14167.710000000001</v>
          </cell>
          <cell r="Q226">
            <v>138930.58000000002</v>
          </cell>
        </row>
        <row r="227">
          <cell r="A227">
            <v>50070</v>
          </cell>
          <cell r="B227" t="str">
            <v>Sick Pay</v>
          </cell>
          <cell r="E227">
            <v>510.84</v>
          </cell>
          <cell r="F227">
            <v>-249.9</v>
          </cell>
          <cell r="G227">
            <v>257.39999999999998</v>
          </cell>
          <cell r="H227">
            <v>14.4</v>
          </cell>
          <cell r="I227">
            <v>0</v>
          </cell>
          <cell r="J227">
            <v>722.88</v>
          </cell>
          <cell r="K227">
            <v>80.319999999999993</v>
          </cell>
          <cell r="L227">
            <v>92</v>
          </cell>
          <cell r="M227">
            <v>0</v>
          </cell>
          <cell r="N227">
            <v>200.8</v>
          </cell>
          <cell r="O227">
            <v>156.4</v>
          </cell>
          <cell r="P227">
            <v>27.6</v>
          </cell>
          <cell r="Q227">
            <v>1812.7399999999998</v>
          </cell>
        </row>
        <row r="228">
          <cell r="A228">
            <v>50086</v>
          </cell>
          <cell r="B228" t="str">
            <v>Safety and Training</v>
          </cell>
          <cell r="E228">
            <v>52.5</v>
          </cell>
          <cell r="F228">
            <v>57.5</v>
          </cell>
          <cell r="G228">
            <v>269.42</v>
          </cell>
          <cell r="H228">
            <v>-147.5</v>
          </cell>
          <cell r="I228">
            <v>423.2</v>
          </cell>
          <cell r="J228">
            <v>0</v>
          </cell>
          <cell r="K228">
            <v>0</v>
          </cell>
          <cell r="L228">
            <v>0</v>
          </cell>
          <cell r="M228">
            <v>1724.48</v>
          </cell>
          <cell r="N228">
            <v>1092.78</v>
          </cell>
          <cell r="O228">
            <v>642.78</v>
          </cell>
          <cell r="P228">
            <v>0</v>
          </cell>
          <cell r="Q228">
            <v>4115.16</v>
          </cell>
        </row>
        <row r="229">
          <cell r="A229">
            <v>50087</v>
          </cell>
          <cell r="B229" t="str">
            <v>Drug Testing</v>
          </cell>
          <cell r="E229">
            <v>60</v>
          </cell>
          <cell r="F229">
            <v>0</v>
          </cell>
          <cell r="G229">
            <v>0</v>
          </cell>
          <cell r="H229">
            <v>240</v>
          </cell>
          <cell r="I229">
            <v>120</v>
          </cell>
          <cell r="J229">
            <v>240</v>
          </cell>
          <cell r="K229">
            <v>694</v>
          </cell>
          <cell r="L229">
            <v>180</v>
          </cell>
          <cell r="M229">
            <v>420</v>
          </cell>
          <cell r="N229">
            <v>60</v>
          </cell>
          <cell r="O229">
            <v>360</v>
          </cell>
          <cell r="P229">
            <v>60</v>
          </cell>
          <cell r="Q229">
            <v>2434</v>
          </cell>
        </row>
        <row r="230">
          <cell r="A230">
            <v>50090</v>
          </cell>
          <cell r="B230" t="str">
            <v>Uniforms</v>
          </cell>
          <cell r="E230">
            <v>6868.59</v>
          </cell>
          <cell r="F230">
            <v>9292.77</v>
          </cell>
          <cell r="G230">
            <v>8124.38</v>
          </cell>
          <cell r="H230">
            <v>7694.95</v>
          </cell>
          <cell r="I230">
            <v>4128.24</v>
          </cell>
          <cell r="J230">
            <v>12100.73</v>
          </cell>
          <cell r="K230">
            <v>9167.7900000000009</v>
          </cell>
          <cell r="L230">
            <v>12042.49</v>
          </cell>
          <cell r="M230">
            <v>8237.0400000000009</v>
          </cell>
          <cell r="N230">
            <v>8038.55</v>
          </cell>
          <cell r="O230">
            <v>7814.48</v>
          </cell>
          <cell r="P230">
            <v>9358.16</v>
          </cell>
          <cell r="Q230">
            <v>102868.17000000001</v>
          </cell>
        </row>
        <row r="231">
          <cell r="A231">
            <v>50115</v>
          </cell>
          <cell r="B231" t="str">
            <v>Pension and Profit Sharing</v>
          </cell>
          <cell r="E231">
            <v>20881.310000000001</v>
          </cell>
          <cell r="F231">
            <v>19908.310000000001</v>
          </cell>
          <cell r="G231">
            <v>22571.059999999998</v>
          </cell>
          <cell r="H231">
            <v>20908.93</v>
          </cell>
          <cell r="I231">
            <v>20644.87</v>
          </cell>
          <cell r="J231">
            <v>20431.82</v>
          </cell>
          <cell r="K231">
            <v>19793.68</v>
          </cell>
          <cell r="L231">
            <v>25409.94</v>
          </cell>
          <cell r="M231">
            <v>19345.43</v>
          </cell>
          <cell r="N231">
            <v>18963.18</v>
          </cell>
          <cell r="O231">
            <v>19131.61</v>
          </cell>
          <cell r="P231">
            <v>16610.04</v>
          </cell>
          <cell r="Q231">
            <v>244600.17999999996</v>
          </cell>
        </row>
        <row r="232">
          <cell r="A232">
            <v>50116</v>
          </cell>
          <cell r="B232" t="str">
            <v>Union Benefit Expense</v>
          </cell>
          <cell r="E232">
            <v>55955.6</v>
          </cell>
          <cell r="F232">
            <v>54981.08</v>
          </cell>
          <cell r="G232">
            <v>57124.76</v>
          </cell>
          <cell r="H232">
            <v>59521.61</v>
          </cell>
          <cell r="I232">
            <v>55020.61</v>
          </cell>
          <cell r="J232">
            <v>53907.77</v>
          </cell>
          <cell r="K232">
            <v>51487.79</v>
          </cell>
          <cell r="L232">
            <v>50364.490000000005</v>
          </cell>
          <cell r="M232">
            <v>51135.950000000004</v>
          </cell>
          <cell r="N232">
            <v>51271.57</v>
          </cell>
          <cell r="O232">
            <v>52010.640000000007</v>
          </cell>
          <cell r="P232">
            <v>49943.11</v>
          </cell>
          <cell r="Q232">
            <v>642724.98</v>
          </cell>
        </row>
        <row r="233">
          <cell r="A233">
            <v>50117</v>
          </cell>
          <cell r="B233" t="str">
            <v>Union Pension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</row>
        <row r="234">
          <cell r="A234">
            <v>50148</v>
          </cell>
          <cell r="B234" t="str">
            <v>Allocated Exp In - District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</row>
        <row r="235">
          <cell r="A235">
            <v>50149</v>
          </cell>
          <cell r="B235" t="str">
            <v>Allocated Exp In Out - District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</row>
        <row r="236">
          <cell r="A236">
            <v>50335</v>
          </cell>
          <cell r="B236" t="str">
            <v>Miscellaneous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</row>
        <row r="237">
          <cell r="A237">
            <v>50900</v>
          </cell>
          <cell r="B237" t="str">
            <v>Capitalized Costs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</row>
        <row r="238">
          <cell r="A238">
            <v>50998</v>
          </cell>
          <cell r="B238" t="str">
            <v>Allocation Out - District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</row>
        <row r="239">
          <cell r="A239">
            <v>50999</v>
          </cell>
          <cell r="B239" t="str">
            <v>Allocation Out - Out District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</row>
        <row r="240">
          <cell r="A240" t="str">
            <v>Total Labor</v>
          </cell>
          <cell r="E240">
            <v>294808.01999999996</v>
          </cell>
          <cell r="F240">
            <v>268231.77</v>
          </cell>
          <cell r="G240">
            <v>297444.89</v>
          </cell>
          <cell r="H240">
            <v>289895.94999999995</v>
          </cell>
          <cell r="I240">
            <v>277386.03000000003</v>
          </cell>
          <cell r="J240">
            <v>281546.87</v>
          </cell>
          <cell r="K240">
            <v>275508.70999999996</v>
          </cell>
          <cell r="L240">
            <v>281726.57</v>
          </cell>
          <cell r="M240">
            <v>285277.56</v>
          </cell>
          <cell r="N240">
            <v>260142.86999999997</v>
          </cell>
          <cell r="O240">
            <v>287539.68</v>
          </cell>
          <cell r="P240">
            <v>262794.69</v>
          </cell>
          <cell r="Q240">
            <v>3362303.6100000003</v>
          </cell>
        </row>
        <row r="242">
          <cell r="A242" t="str">
            <v>Truck Fixed Expenses</v>
          </cell>
        </row>
        <row r="243">
          <cell r="A243">
            <v>51148</v>
          </cell>
          <cell r="B243" t="str">
            <v>Allocation In - District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</row>
        <row r="244">
          <cell r="A244">
            <v>51149</v>
          </cell>
          <cell r="B244" t="str">
            <v>Allocation In - Out District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</row>
        <row r="245">
          <cell r="A245">
            <v>51175</v>
          </cell>
          <cell r="B245" t="str">
            <v>Equipment/Vehicle Rental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</row>
        <row r="246">
          <cell r="A246">
            <v>51275</v>
          </cell>
          <cell r="B246" t="str">
            <v>Property Taxes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</row>
        <row r="247">
          <cell r="A247">
            <v>51295</v>
          </cell>
          <cell r="B247" t="str">
            <v>Licenses</v>
          </cell>
          <cell r="E247">
            <v>2602.56</v>
          </cell>
          <cell r="F247">
            <v>2531.56</v>
          </cell>
          <cell r="G247">
            <v>2595.5500000000002</v>
          </cell>
          <cell r="H247">
            <v>2489.9299999999998</v>
          </cell>
          <cell r="I247">
            <v>2160.58</v>
          </cell>
          <cell r="J247">
            <v>2256.83</v>
          </cell>
          <cell r="K247">
            <v>2128.83</v>
          </cell>
          <cell r="L247">
            <v>2085.83</v>
          </cell>
          <cell r="M247">
            <v>2085.83</v>
          </cell>
          <cell r="N247">
            <v>2190.83</v>
          </cell>
          <cell r="O247">
            <v>2085.83</v>
          </cell>
          <cell r="P247">
            <v>2550.89</v>
          </cell>
          <cell r="Q247">
            <v>27765.050000000003</v>
          </cell>
        </row>
        <row r="248">
          <cell r="A248">
            <v>51335</v>
          </cell>
          <cell r="B248" t="str">
            <v>Miscellaneous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</row>
        <row r="249">
          <cell r="A249">
            <v>51998</v>
          </cell>
          <cell r="B249" t="str">
            <v>Allocation Out - District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</row>
        <row r="250">
          <cell r="A250">
            <v>51999</v>
          </cell>
          <cell r="B250" t="str">
            <v>Allocation Out - Out District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</row>
        <row r="251">
          <cell r="A251" t="str">
            <v>Total Truck Fixed Expenses</v>
          </cell>
          <cell r="E251">
            <v>2602.56</v>
          </cell>
          <cell r="F251">
            <v>2531.56</v>
          </cell>
          <cell r="G251">
            <v>2595.5500000000002</v>
          </cell>
          <cell r="H251">
            <v>2489.9299999999998</v>
          </cell>
          <cell r="I251">
            <v>2160.58</v>
          </cell>
          <cell r="J251">
            <v>2256.83</v>
          </cell>
          <cell r="K251">
            <v>2128.83</v>
          </cell>
          <cell r="L251">
            <v>2085.83</v>
          </cell>
          <cell r="M251">
            <v>2085.83</v>
          </cell>
          <cell r="N251">
            <v>2190.83</v>
          </cell>
          <cell r="O251">
            <v>2085.83</v>
          </cell>
          <cell r="P251">
            <v>2550.89</v>
          </cell>
          <cell r="Q251">
            <v>27765.050000000003</v>
          </cell>
        </row>
        <row r="253">
          <cell r="A253" t="str">
            <v>Truck Variable Expenses</v>
          </cell>
        </row>
        <row r="254">
          <cell r="A254">
            <v>52010</v>
          </cell>
          <cell r="B254" t="str">
            <v>Salaries</v>
          </cell>
          <cell r="E254">
            <v>6209.13</v>
          </cell>
          <cell r="F254">
            <v>5913.46</v>
          </cell>
          <cell r="G254">
            <v>6800.48</v>
          </cell>
          <cell r="H254">
            <v>6504.81</v>
          </cell>
          <cell r="I254">
            <v>6209.13</v>
          </cell>
          <cell r="J254">
            <v>6504.8</v>
          </cell>
          <cell r="K254">
            <v>6504.81</v>
          </cell>
          <cell r="L254">
            <v>6504.81</v>
          </cell>
          <cell r="M254">
            <v>6504.8</v>
          </cell>
          <cell r="N254">
            <v>6209.14</v>
          </cell>
          <cell r="O254">
            <v>6504.8</v>
          </cell>
          <cell r="P254">
            <v>6800.48</v>
          </cell>
          <cell r="Q254">
            <v>77170.649999999994</v>
          </cell>
        </row>
        <row r="255">
          <cell r="A255">
            <v>52020</v>
          </cell>
          <cell r="B255" t="str">
            <v>Wages Regular</v>
          </cell>
          <cell r="E255">
            <v>11640.62</v>
          </cell>
          <cell r="F255">
            <v>14929.71</v>
          </cell>
          <cell r="G255">
            <v>14082.73</v>
          </cell>
          <cell r="H255">
            <v>13654.74</v>
          </cell>
          <cell r="I255">
            <v>14918.37</v>
          </cell>
          <cell r="J255">
            <v>14754.95</v>
          </cell>
          <cell r="K255">
            <v>12181.44</v>
          </cell>
          <cell r="L255">
            <v>11315.17</v>
          </cell>
          <cell r="M255">
            <v>11931.83</v>
          </cell>
          <cell r="N255">
            <v>11946.65</v>
          </cell>
          <cell r="O255">
            <v>12371.33</v>
          </cell>
          <cell r="P255">
            <v>15662.7</v>
          </cell>
          <cell r="Q255">
            <v>159390.24</v>
          </cell>
        </row>
        <row r="256">
          <cell r="A256">
            <v>52025</v>
          </cell>
          <cell r="B256" t="str">
            <v>Wages O.T.</v>
          </cell>
          <cell r="E256">
            <v>2614.52</v>
          </cell>
          <cell r="F256">
            <v>2473.63</v>
          </cell>
          <cell r="G256">
            <v>2117.09</v>
          </cell>
          <cell r="H256">
            <v>2164.7199999999998</v>
          </cell>
          <cell r="I256">
            <v>2848.44</v>
          </cell>
          <cell r="J256">
            <v>3075.19</v>
          </cell>
          <cell r="K256">
            <v>3378.52</v>
          </cell>
          <cell r="L256">
            <v>1747.37</v>
          </cell>
          <cell r="M256">
            <v>2402.91</v>
          </cell>
          <cell r="N256">
            <v>2322.34</v>
          </cell>
          <cell r="O256">
            <v>3755.06</v>
          </cell>
          <cell r="P256">
            <v>2288.11</v>
          </cell>
          <cell r="Q256">
            <v>31187.9</v>
          </cell>
        </row>
        <row r="257">
          <cell r="A257">
            <v>52035</v>
          </cell>
          <cell r="B257" t="str">
            <v>Safety Bonuses</v>
          </cell>
          <cell r="E257">
            <v>833</v>
          </cell>
          <cell r="F257">
            <v>833</v>
          </cell>
          <cell r="G257">
            <v>833</v>
          </cell>
          <cell r="H257">
            <v>833</v>
          </cell>
          <cell r="I257">
            <v>1583</v>
          </cell>
          <cell r="J257">
            <v>1583</v>
          </cell>
          <cell r="K257">
            <v>1583</v>
          </cell>
          <cell r="L257">
            <v>1583</v>
          </cell>
          <cell r="M257">
            <v>500</v>
          </cell>
          <cell r="N257">
            <v>500</v>
          </cell>
          <cell r="O257">
            <v>1000</v>
          </cell>
          <cell r="P257">
            <v>0</v>
          </cell>
          <cell r="Q257">
            <v>11664</v>
          </cell>
        </row>
        <row r="258">
          <cell r="A258">
            <v>52036</v>
          </cell>
          <cell r="B258" t="str">
            <v>Other Bonus/Commission - Non-Safety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</row>
        <row r="259">
          <cell r="A259">
            <v>52045</v>
          </cell>
          <cell r="B259" t="str">
            <v>Contract Labor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</row>
        <row r="260">
          <cell r="A260">
            <v>52050</v>
          </cell>
          <cell r="B260" t="str">
            <v>Payroll Taxes</v>
          </cell>
          <cell r="E260">
            <v>2869.35</v>
          </cell>
          <cell r="F260">
            <v>2242.16</v>
          </cell>
          <cell r="G260">
            <v>2468.5100000000002</v>
          </cell>
          <cell r="H260">
            <v>2064.63</v>
          </cell>
          <cell r="I260">
            <v>2186.88</v>
          </cell>
          <cell r="J260">
            <v>2344.56</v>
          </cell>
          <cell r="K260">
            <v>1962.2</v>
          </cell>
          <cell r="L260">
            <v>1763.36</v>
          </cell>
          <cell r="M260">
            <v>1881.81</v>
          </cell>
          <cell r="N260">
            <v>1731.74</v>
          </cell>
          <cell r="O260">
            <v>2453.91</v>
          </cell>
          <cell r="P260">
            <v>1757.74</v>
          </cell>
          <cell r="Q260">
            <v>25726.850000000006</v>
          </cell>
        </row>
        <row r="261">
          <cell r="A261">
            <v>52060</v>
          </cell>
          <cell r="B261" t="str">
            <v>Group Insurance</v>
          </cell>
          <cell r="E261">
            <v>1441</v>
          </cell>
          <cell r="F261">
            <v>1441</v>
          </cell>
          <cell r="G261">
            <v>561.5</v>
          </cell>
          <cell r="H261">
            <v>720.5</v>
          </cell>
          <cell r="I261">
            <v>641</v>
          </cell>
          <cell r="J261">
            <v>641</v>
          </cell>
          <cell r="K261">
            <v>641</v>
          </cell>
          <cell r="L261">
            <v>641</v>
          </cell>
          <cell r="M261">
            <v>561.5</v>
          </cell>
          <cell r="N261">
            <v>720.5</v>
          </cell>
          <cell r="O261">
            <v>641</v>
          </cell>
          <cell r="P261">
            <v>583.48</v>
          </cell>
          <cell r="Q261">
            <v>9234.48</v>
          </cell>
        </row>
        <row r="262">
          <cell r="A262">
            <v>52065</v>
          </cell>
          <cell r="B262" t="str">
            <v>Vacation Pay</v>
          </cell>
          <cell r="E262">
            <v>1511.38</v>
          </cell>
          <cell r="F262">
            <v>-838.54</v>
          </cell>
          <cell r="G262">
            <v>2800.68</v>
          </cell>
          <cell r="H262">
            <v>381.27</v>
          </cell>
          <cell r="I262">
            <v>800.29</v>
          </cell>
          <cell r="J262">
            <v>1912.65</v>
          </cell>
          <cell r="K262">
            <v>745.69</v>
          </cell>
          <cell r="L262">
            <v>1755.74</v>
          </cell>
          <cell r="M262">
            <v>996.88</v>
          </cell>
          <cell r="N262">
            <v>1492.04</v>
          </cell>
          <cell r="O262">
            <v>2476.17</v>
          </cell>
          <cell r="P262">
            <v>1846.32</v>
          </cell>
          <cell r="Q262">
            <v>15880.569999999998</v>
          </cell>
        </row>
        <row r="263">
          <cell r="A263">
            <v>52070</v>
          </cell>
          <cell r="B263" t="str">
            <v>Sick Pay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</row>
        <row r="264">
          <cell r="A264">
            <v>52086</v>
          </cell>
          <cell r="B264" t="str">
            <v>Safety and Training</v>
          </cell>
          <cell r="E264">
            <v>104.55</v>
          </cell>
          <cell r="F264">
            <v>112.64</v>
          </cell>
          <cell r="G264">
            <v>154.71</v>
          </cell>
          <cell r="H264">
            <v>299.60000000000002</v>
          </cell>
          <cell r="I264">
            <v>846.98</v>
          </cell>
          <cell r="J264">
            <v>185.38</v>
          </cell>
          <cell r="K264">
            <v>78.989999999999995</v>
          </cell>
          <cell r="L264">
            <v>145.65</v>
          </cell>
          <cell r="M264">
            <v>0</v>
          </cell>
          <cell r="N264">
            <v>876.33</v>
          </cell>
          <cell r="O264">
            <v>-395.59</v>
          </cell>
          <cell r="P264">
            <v>1720.49</v>
          </cell>
          <cell r="Q264">
            <v>4129.7300000000005</v>
          </cell>
        </row>
        <row r="265">
          <cell r="A265">
            <v>52087</v>
          </cell>
          <cell r="B265" t="str">
            <v>Drug Screening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</row>
        <row r="266">
          <cell r="A266">
            <v>52090</v>
          </cell>
          <cell r="B266" t="str">
            <v>Uniforms</v>
          </cell>
          <cell r="E266">
            <v>1040.42</v>
          </cell>
          <cell r="F266">
            <v>1033.9000000000001</v>
          </cell>
          <cell r="G266">
            <v>1397.48</v>
          </cell>
          <cell r="H266">
            <v>1377.31</v>
          </cell>
          <cell r="I266">
            <v>475.1</v>
          </cell>
          <cell r="J266">
            <v>1617.7</v>
          </cell>
          <cell r="K266">
            <v>910.5</v>
          </cell>
          <cell r="L266">
            <v>1633.6</v>
          </cell>
          <cell r="M266">
            <v>1021.73</v>
          </cell>
          <cell r="N266">
            <v>756.54</v>
          </cell>
          <cell r="O266">
            <v>828.81</v>
          </cell>
          <cell r="P266">
            <v>987.61</v>
          </cell>
          <cell r="Q266">
            <v>13080.699999999999</v>
          </cell>
        </row>
        <row r="267">
          <cell r="A267">
            <v>52115</v>
          </cell>
          <cell r="B267" t="str">
            <v>Pension and Profit Sharing</v>
          </cell>
          <cell r="E267">
            <v>2995.29</v>
          </cell>
          <cell r="F267">
            <v>2862.61</v>
          </cell>
          <cell r="G267">
            <v>3299.63</v>
          </cell>
          <cell r="H267">
            <v>2999.06</v>
          </cell>
          <cell r="I267">
            <v>2963.05</v>
          </cell>
          <cell r="J267">
            <v>2934</v>
          </cell>
          <cell r="K267">
            <v>2846.98</v>
          </cell>
          <cell r="L267">
            <v>2774.57</v>
          </cell>
          <cell r="M267">
            <v>2785.85</v>
          </cell>
          <cell r="N267">
            <v>2807.65</v>
          </cell>
          <cell r="O267">
            <v>2756.7</v>
          </cell>
          <cell r="P267">
            <v>2412.85</v>
          </cell>
          <cell r="Q267">
            <v>34438.239999999998</v>
          </cell>
        </row>
        <row r="268">
          <cell r="A268">
            <v>52116</v>
          </cell>
          <cell r="B268" t="str">
            <v>Union Benefit Expense</v>
          </cell>
          <cell r="E268">
            <v>7876.76</v>
          </cell>
          <cell r="F268">
            <v>7880.62</v>
          </cell>
          <cell r="G268">
            <v>7872.8</v>
          </cell>
          <cell r="H268">
            <v>7884.58</v>
          </cell>
          <cell r="I268">
            <v>7878.69</v>
          </cell>
          <cell r="J268">
            <v>7878.69</v>
          </cell>
          <cell r="K268">
            <v>7881.97</v>
          </cell>
          <cell r="L268">
            <v>6752.1</v>
          </cell>
          <cell r="M268">
            <v>6747.85</v>
          </cell>
          <cell r="N268">
            <v>6756.35</v>
          </cell>
          <cell r="O268">
            <v>7182.94</v>
          </cell>
          <cell r="P268">
            <v>7779.69</v>
          </cell>
          <cell r="Q268">
            <v>90373.040000000023</v>
          </cell>
        </row>
        <row r="269">
          <cell r="A269">
            <v>52117</v>
          </cell>
          <cell r="B269" t="str">
            <v>Union Pension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</row>
        <row r="270">
          <cell r="A270">
            <v>52120</v>
          </cell>
          <cell r="B270" t="str">
            <v>Parts and Materials</v>
          </cell>
          <cell r="E270">
            <v>13715.59</v>
          </cell>
          <cell r="F270">
            <v>21102.71</v>
          </cell>
          <cell r="G270">
            <v>18678.920000000006</v>
          </cell>
          <cell r="H270">
            <v>30064.99</v>
          </cell>
          <cell r="I270">
            <v>11133.51</v>
          </cell>
          <cell r="J270">
            <v>9706.94</v>
          </cell>
          <cell r="K270">
            <v>12873.069999999998</v>
          </cell>
          <cell r="L270">
            <v>12811.720000000001</v>
          </cell>
          <cell r="M270">
            <v>13514.23</v>
          </cell>
          <cell r="N270">
            <v>8953.7200000000012</v>
          </cell>
          <cell r="O270">
            <v>16547.27</v>
          </cell>
          <cell r="P270">
            <v>15817.25</v>
          </cell>
          <cell r="Q270">
            <v>184919.91999999998</v>
          </cell>
        </row>
        <row r="271">
          <cell r="A271">
            <v>52125</v>
          </cell>
          <cell r="B271" t="str">
            <v>Operating Supplies</v>
          </cell>
          <cell r="E271">
            <v>568.15</v>
          </cell>
          <cell r="F271">
            <v>288.02999999999997</v>
          </cell>
          <cell r="G271">
            <v>385.62</v>
          </cell>
          <cell r="H271">
            <v>179.18</v>
          </cell>
          <cell r="I271">
            <v>339.98</v>
          </cell>
          <cell r="J271">
            <v>264.08</v>
          </cell>
          <cell r="K271">
            <v>131.13</v>
          </cell>
          <cell r="L271">
            <v>13.55</v>
          </cell>
          <cell r="M271">
            <v>9.8699999999999992</v>
          </cell>
          <cell r="N271">
            <v>372.92</v>
          </cell>
          <cell r="O271">
            <v>819.61</v>
          </cell>
          <cell r="P271">
            <v>414.71</v>
          </cell>
          <cell r="Q271">
            <v>3786.8300000000004</v>
          </cell>
        </row>
        <row r="272">
          <cell r="A272">
            <v>52135</v>
          </cell>
          <cell r="B272" t="str">
            <v>Equipment and Maint Repair</v>
          </cell>
          <cell r="E272">
            <v>0</v>
          </cell>
          <cell r="F272">
            <v>0</v>
          </cell>
          <cell r="G272">
            <v>149.16</v>
          </cell>
          <cell r="H272">
            <v>681.98</v>
          </cell>
          <cell r="I272">
            <v>545.25</v>
          </cell>
          <cell r="J272">
            <v>332.59</v>
          </cell>
          <cell r="K272">
            <v>984.37</v>
          </cell>
          <cell r="L272">
            <v>173.37</v>
          </cell>
          <cell r="M272">
            <v>0</v>
          </cell>
          <cell r="N272">
            <v>156.19999999999999</v>
          </cell>
          <cell r="O272">
            <v>-156.19999999999999</v>
          </cell>
          <cell r="P272">
            <v>27.01</v>
          </cell>
          <cell r="Q272">
            <v>2893.73</v>
          </cell>
        </row>
        <row r="273">
          <cell r="A273">
            <v>52140</v>
          </cell>
          <cell r="B273" t="str">
            <v>Tires</v>
          </cell>
          <cell r="E273">
            <v>11282.69</v>
          </cell>
          <cell r="F273">
            <v>1664.63</v>
          </cell>
          <cell r="G273">
            <v>5175.3999999999996</v>
          </cell>
          <cell r="H273">
            <v>8753.43</v>
          </cell>
          <cell r="I273">
            <v>9084.64</v>
          </cell>
          <cell r="J273">
            <v>1370.04</v>
          </cell>
          <cell r="K273">
            <v>8864.5</v>
          </cell>
          <cell r="L273">
            <v>438.2</v>
          </cell>
          <cell r="M273">
            <v>5010.1400000000003</v>
          </cell>
          <cell r="N273">
            <v>1896.06</v>
          </cell>
          <cell r="O273">
            <v>7161.25</v>
          </cell>
          <cell r="P273">
            <v>3395.56</v>
          </cell>
          <cell r="Q273">
            <v>64096.539999999994</v>
          </cell>
        </row>
        <row r="274">
          <cell r="A274">
            <v>52142</v>
          </cell>
          <cell r="B274" t="str">
            <v>Fuel Expense</v>
          </cell>
          <cell r="E274">
            <v>54158.289999999994</v>
          </cell>
          <cell r="F274">
            <v>50956.94</v>
          </cell>
          <cell r="G274">
            <v>60111.49</v>
          </cell>
          <cell r="H274">
            <v>62505</v>
          </cell>
          <cell r="I274">
            <v>58155.18</v>
          </cell>
          <cell r="J274">
            <v>61304.36</v>
          </cell>
          <cell r="K274">
            <v>60908.59</v>
          </cell>
          <cell r="L274">
            <v>64096.240000000005</v>
          </cell>
          <cell r="M274">
            <v>63144.08</v>
          </cell>
          <cell r="N274">
            <v>63868.340000000004</v>
          </cell>
          <cell r="O274">
            <v>56605.93</v>
          </cell>
          <cell r="P274">
            <v>67191.64</v>
          </cell>
          <cell r="Q274">
            <v>723006.08</v>
          </cell>
        </row>
        <row r="275">
          <cell r="A275">
            <v>52143</v>
          </cell>
          <cell r="B275" t="str">
            <v>Transmontagne Fuel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</row>
        <row r="276">
          <cell r="A276">
            <v>52144</v>
          </cell>
          <cell r="B276" t="str">
            <v>Urea Expense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</row>
        <row r="277">
          <cell r="A277">
            <v>52146</v>
          </cell>
          <cell r="B277" t="str">
            <v>Oil and Grease</v>
          </cell>
          <cell r="E277">
            <v>3179.71</v>
          </cell>
          <cell r="F277">
            <v>7401.66</v>
          </cell>
          <cell r="G277">
            <v>5696.15</v>
          </cell>
          <cell r="H277">
            <v>6990.25</v>
          </cell>
          <cell r="I277">
            <v>4918.58</v>
          </cell>
          <cell r="J277">
            <v>3341.27</v>
          </cell>
          <cell r="K277">
            <v>1599.94</v>
          </cell>
          <cell r="L277">
            <v>9095.31</v>
          </cell>
          <cell r="M277">
            <v>5629.35</v>
          </cell>
          <cell r="N277">
            <v>4937.97</v>
          </cell>
          <cell r="O277">
            <v>5285.37</v>
          </cell>
          <cell r="P277">
            <v>5402.36</v>
          </cell>
          <cell r="Q277">
            <v>63477.919999999998</v>
          </cell>
        </row>
        <row r="278">
          <cell r="A278">
            <v>52147</v>
          </cell>
          <cell r="B278" t="str">
            <v>Outside Repairs</v>
          </cell>
          <cell r="E278">
            <v>2520.1099999999997</v>
          </cell>
          <cell r="F278">
            <v>148.44</v>
          </cell>
          <cell r="G278">
            <v>4753.75</v>
          </cell>
          <cell r="H278">
            <v>2049.4</v>
          </cell>
          <cell r="I278">
            <v>568.04999999999995</v>
          </cell>
          <cell r="J278">
            <v>4319.34</v>
          </cell>
          <cell r="K278">
            <v>3088.65</v>
          </cell>
          <cell r="L278">
            <v>4131.92</v>
          </cell>
          <cell r="M278">
            <v>939.12</v>
          </cell>
          <cell r="N278">
            <v>4227.5600000000004</v>
          </cell>
          <cell r="O278">
            <v>38.909999999999997</v>
          </cell>
          <cell r="P278">
            <v>448.88</v>
          </cell>
          <cell r="Q278">
            <v>27234.129999999997</v>
          </cell>
        </row>
        <row r="279">
          <cell r="A279">
            <v>52148</v>
          </cell>
          <cell r="B279" t="str">
            <v>Allocated Exp In - District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</row>
        <row r="280">
          <cell r="A280">
            <v>52149</v>
          </cell>
          <cell r="B280" t="str">
            <v>Allocated Exp In Out - District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</row>
        <row r="281">
          <cell r="A281">
            <v>52150</v>
          </cell>
          <cell r="B281" t="str">
            <v>Utilities</v>
          </cell>
          <cell r="E281">
            <v>1060.3800000000001</v>
          </cell>
          <cell r="F281">
            <v>764.22</v>
          </cell>
          <cell r="G281">
            <v>713.08</v>
          </cell>
          <cell r="H281">
            <v>617.6</v>
          </cell>
          <cell r="I281">
            <v>412.22</v>
          </cell>
          <cell r="J281">
            <v>355.41</v>
          </cell>
          <cell r="K281">
            <v>1187.46</v>
          </cell>
          <cell r="L281">
            <v>314.74</v>
          </cell>
          <cell r="M281">
            <v>291.92</v>
          </cell>
          <cell r="N281">
            <v>296.52999999999997</v>
          </cell>
          <cell r="O281">
            <v>545.01</v>
          </cell>
          <cell r="P281">
            <v>997.3</v>
          </cell>
          <cell r="Q281">
            <v>7555.87</v>
          </cell>
        </row>
        <row r="282">
          <cell r="A282">
            <v>52165</v>
          </cell>
          <cell r="B282" t="str">
            <v>Communications</v>
          </cell>
          <cell r="E282">
            <v>497.52</v>
          </cell>
          <cell r="F282">
            <v>509.58</v>
          </cell>
          <cell r="G282">
            <v>521.71</v>
          </cell>
          <cell r="H282">
            <v>497.47</v>
          </cell>
          <cell r="I282">
            <v>622.69000000000005</v>
          </cell>
          <cell r="J282">
            <v>534.09</v>
          </cell>
          <cell r="K282">
            <v>-388.32</v>
          </cell>
          <cell r="L282">
            <v>662.93</v>
          </cell>
          <cell r="M282">
            <v>678.76</v>
          </cell>
          <cell r="N282">
            <v>509.78</v>
          </cell>
          <cell r="O282">
            <v>678.67</v>
          </cell>
          <cell r="P282">
            <v>546.71</v>
          </cell>
          <cell r="Q282">
            <v>5871.59</v>
          </cell>
        </row>
        <row r="283">
          <cell r="A283">
            <v>52170</v>
          </cell>
          <cell r="B283" t="str">
            <v>Real Estate Rentals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</row>
        <row r="284">
          <cell r="A284">
            <v>52172</v>
          </cell>
          <cell r="B284" t="str">
            <v>Chassis Lease Expense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</row>
        <row r="285">
          <cell r="A285">
            <v>52175</v>
          </cell>
          <cell r="B285" t="str">
            <v>Equip/Vehicle Rental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</row>
        <row r="286">
          <cell r="A286">
            <v>52181</v>
          </cell>
          <cell r="B286" t="str">
            <v>Freight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</row>
        <row r="287">
          <cell r="A287">
            <v>52182</v>
          </cell>
          <cell r="B287" t="str">
            <v>Towing Expense</v>
          </cell>
          <cell r="E287">
            <v>243.9</v>
          </cell>
          <cell r="F287">
            <v>678.32</v>
          </cell>
          <cell r="G287">
            <v>518.41999999999996</v>
          </cell>
          <cell r="H287">
            <v>0</v>
          </cell>
          <cell r="I287">
            <v>0</v>
          </cell>
          <cell r="J287">
            <v>271</v>
          </cell>
          <cell r="K287">
            <v>0</v>
          </cell>
          <cell r="L287">
            <v>211.38</v>
          </cell>
          <cell r="M287">
            <v>563.67999999999995</v>
          </cell>
          <cell r="N287">
            <v>0</v>
          </cell>
          <cell r="O287">
            <v>0</v>
          </cell>
          <cell r="P287">
            <v>243.9</v>
          </cell>
          <cell r="Q287">
            <v>2730.6</v>
          </cell>
        </row>
        <row r="288">
          <cell r="A288">
            <v>52185</v>
          </cell>
          <cell r="B288" t="str">
            <v>Travel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397.98</v>
          </cell>
          <cell r="O288">
            <v>-397.98</v>
          </cell>
          <cell r="P288">
            <v>0</v>
          </cell>
          <cell r="Q288">
            <v>0</v>
          </cell>
        </row>
        <row r="289">
          <cell r="A289">
            <v>52200</v>
          </cell>
          <cell r="B289" t="str">
            <v>Office Supply and Equip</v>
          </cell>
          <cell r="E289">
            <v>100.76</v>
          </cell>
          <cell r="F289">
            <v>168.31</v>
          </cell>
          <cell r="G289">
            <v>81.760000000000005</v>
          </cell>
          <cell r="H289">
            <v>538.53</v>
          </cell>
          <cell r="I289">
            <v>50.95</v>
          </cell>
          <cell r="J289">
            <v>51.81</v>
          </cell>
          <cell r="K289">
            <v>0</v>
          </cell>
          <cell r="L289">
            <v>226.01</v>
          </cell>
          <cell r="M289">
            <v>51.5</v>
          </cell>
          <cell r="N289">
            <v>0</v>
          </cell>
          <cell r="O289">
            <v>556.91</v>
          </cell>
          <cell r="P289">
            <v>324.24</v>
          </cell>
          <cell r="Q289">
            <v>2150.7799999999997</v>
          </cell>
        </row>
        <row r="290">
          <cell r="A290">
            <v>52275</v>
          </cell>
          <cell r="B290" t="str">
            <v>Property Taxes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</row>
        <row r="291">
          <cell r="A291">
            <v>52335</v>
          </cell>
          <cell r="B291" t="str">
            <v>Miscellaneous</v>
          </cell>
          <cell r="E291">
            <v>9</v>
          </cell>
          <cell r="F291">
            <v>0</v>
          </cell>
          <cell r="G291">
            <v>4.5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13.5</v>
          </cell>
        </row>
        <row r="292">
          <cell r="A292">
            <v>52900</v>
          </cell>
          <cell r="B292" t="str">
            <v>Capitalized Costs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</row>
        <row r="293">
          <cell r="A293">
            <v>52901</v>
          </cell>
          <cell r="B293" t="str">
            <v>Costs Awaiting Capitilization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</row>
        <row r="294">
          <cell r="A294">
            <v>52998</v>
          </cell>
          <cell r="B294" t="str">
            <v>Allocation Out - District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</row>
        <row r="295">
          <cell r="A295">
            <v>52999</v>
          </cell>
          <cell r="B295" t="str">
            <v>Allocation Out - Out District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</row>
        <row r="296">
          <cell r="A296" t="str">
            <v>Total Truck Variable</v>
          </cell>
          <cell r="E296">
            <v>126472.12</v>
          </cell>
          <cell r="F296">
            <v>122567.03000000001</v>
          </cell>
          <cell r="G296">
            <v>139178.57</v>
          </cell>
          <cell r="H296">
            <v>151762.04999999999</v>
          </cell>
          <cell r="I296">
            <v>127181.98000000001</v>
          </cell>
          <cell r="J296">
            <v>125282.85</v>
          </cell>
          <cell r="K296">
            <v>127964.48999999999</v>
          </cell>
          <cell r="L296">
            <v>128791.74</v>
          </cell>
          <cell r="M296">
            <v>125167.81</v>
          </cell>
          <cell r="N296">
            <v>121736.34</v>
          </cell>
          <cell r="O296">
            <v>127259.88000000002</v>
          </cell>
          <cell r="P296">
            <v>136649.02999999997</v>
          </cell>
          <cell r="Q296">
            <v>1560013.8900000001</v>
          </cell>
        </row>
        <row r="298">
          <cell r="A298" t="str">
            <v>Container</v>
          </cell>
        </row>
        <row r="299">
          <cell r="A299">
            <v>54148</v>
          </cell>
          <cell r="B299" t="str">
            <v>Allocation In - District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</row>
        <row r="300">
          <cell r="A300">
            <v>54149</v>
          </cell>
          <cell r="B300" t="str">
            <v>Allocation In - Out District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</row>
        <row r="301">
          <cell r="A301">
            <v>54175</v>
          </cell>
          <cell r="B301" t="str">
            <v>Equipment/Vehicle Rental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</row>
        <row r="302">
          <cell r="A302">
            <v>54275</v>
          </cell>
          <cell r="B302" t="str">
            <v>Property Taxes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</row>
        <row r="303">
          <cell r="A303">
            <v>54335</v>
          </cell>
          <cell r="B303" t="str">
            <v>Miscellaneous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</row>
        <row r="304">
          <cell r="A304">
            <v>54998</v>
          </cell>
          <cell r="B304" t="str">
            <v>Allocation Out - District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</row>
        <row r="305">
          <cell r="A305">
            <v>54999</v>
          </cell>
          <cell r="B305" t="str">
            <v>Allocation Out - Out District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</row>
        <row r="306">
          <cell r="A306">
            <v>55010</v>
          </cell>
          <cell r="B306" t="str">
            <v>Salaries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</row>
        <row r="307">
          <cell r="A307">
            <v>55020</v>
          </cell>
          <cell r="B307" t="str">
            <v>Wages Regular</v>
          </cell>
          <cell r="E307">
            <v>10121.69</v>
          </cell>
          <cell r="F307">
            <v>8242.4699999999993</v>
          </cell>
          <cell r="G307">
            <v>12061.67</v>
          </cell>
          <cell r="H307">
            <v>10915.7</v>
          </cell>
          <cell r="I307">
            <v>8008.44</v>
          </cell>
          <cell r="J307">
            <v>8531.7900000000009</v>
          </cell>
          <cell r="K307">
            <v>9525.08</v>
          </cell>
          <cell r="L307">
            <v>11641.49</v>
          </cell>
          <cell r="M307">
            <v>9358.9</v>
          </cell>
          <cell r="N307">
            <v>9463.3700000000008</v>
          </cell>
          <cell r="O307">
            <v>10355.24</v>
          </cell>
          <cell r="P307">
            <v>9802.01</v>
          </cell>
          <cell r="Q307">
            <v>118027.84999999999</v>
          </cell>
        </row>
        <row r="308">
          <cell r="A308">
            <v>55025</v>
          </cell>
          <cell r="B308" t="str">
            <v>Wages O.T.</v>
          </cell>
          <cell r="E308">
            <v>636.62</v>
          </cell>
          <cell r="F308">
            <v>425.9</v>
          </cell>
          <cell r="G308">
            <v>278.45999999999998</v>
          </cell>
          <cell r="H308">
            <v>1269.6099999999999</v>
          </cell>
          <cell r="I308">
            <v>580.07000000000005</v>
          </cell>
          <cell r="J308">
            <v>803.54</v>
          </cell>
          <cell r="K308">
            <v>467.98</v>
          </cell>
          <cell r="L308">
            <v>832.02</v>
          </cell>
          <cell r="M308">
            <v>17.989999999999998</v>
          </cell>
          <cell r="N308">
            <v>412.16</v>
          </cell>
          <cell r="O308">
            <v>650.38</v>
          </cell>
          <cell r="P308">
            <v>65.599999999999994</v>
          </cell>
          <cell r="Q308">
            <v>6440.3300000000008</v>
          </cell>
        </row>
        <row r="309">
          <cell r="A309">
            <v>55035</v>
          </cell>
          <cell r="B309" t="str">
            <v>Safety Bonuses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</row>
        <row r="310">
          <cell r="A310">
            <v>55036</v>
          </cell>
          <cell r="B310" t="str">
            <v>Other Bonus/Commission - Non-Safety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</row>
        <row r="311">
          <cell r="A311">
            <v>55045</v>
          </cell>
          <cell r="B311" t="str">
            <v>Contract Labor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</row>
        <row r="312">
          <cell r="A312">
            <v>55050</v>
          </cell>
          <cell r="B312" t="str">
            <v>Payroll Taxes</v>
          </cell>
          <cell r="E312">
            <v>1302.32</v>
          </cell>
          <cell r="F312">
            <v>934.4</v>
          </cell>
          <cell r="G312">
            <v>1150.47</v>
          </cell>
          <cell r="H312">
            <v>1167.9000000000001</v>
          </cell>
          <cell r="I312">
            <v>860.19</v>
          </cell>
          <cell r="J312">
            <v>884.97</v>
          </cell>
          <cell r="K312">
            <v>1058.24</v>
          </cell>
          <cell r="L312">
            <v>1180.19</v>
          </cell>
          <cell r="M312">
            <v>1055.3399999999999</v>
          </cell>
          <cell r="N312">
            <v>1038.93</v>
          </cell>
          <cell r="O312">
            <v>1185.43</v>
          </cell>
          <cell r="P312">
            <v>525.12</v>
          </cell>
          <cell r="Q312">
            <v>12343.500000000002</v>
          </cell>
        </row>
        <row r="313">
          <cell r="A313">
            <v>55060</v>
          </cell>
          <cell r="B313" t="str">
            <v>Group Insurance</v>
          </cell>
          <cell r="E313">
            <v>2215</v>
          </cell>
          <cell r="F313">
            <v>2215</v>
          </cell>
          <cell r="G313">
            <v>1935</v>
          </cell>
          <cell r="H313">
            <v>2495</v>
          </cell>
          <cell r="I313">
            <v>2215</v>
          </cell>
          <cell r="J313">
            <v>1919</v>
          </cell>
          <cell r="K313">
            <v>1919</v>
          </cell>
          <cell r="L313">
            <v>1919</v>
          </cell>
          <cell r="M313">
            <v>1691</v>
          </cell>
          <cell r="N313">
            <v>2147</v>
          </cell>
          <cell r="O313">
            <v>1711</v>
          </cell>
          <cell r="P313">
            <v>2215</v>
          </cell>
          <cell r="Q313">
            <v>24596</v>
          </cell>
        </row>
        <row r="314">
          <cell r="A314">
            <v>55065</v>
          </cell>
          <cell r="B314" t="str">
            <v>Vacation Pay</v>
          </cell>
          <cell r="E314">
            <v>303.81</v>
          </cell>
          <cell r="F314">
            <v>1016.29</v>
          </cell>
          <cell r="G314">
            <v>-198.06</v>
          </cell>
          <cell r="H314">
            <v>1145.3599999999999</v>
          </cell>
          <cell r="I314">
            <v>1042.8699999999999</v>
          </cell>
          <cell r="J314">
            <v>-719.54</v>
          </cell>
          <cell r="K314">
            <v>1222.3399999999999</v>
          </cell>
          <cell r="L314">
            <v>925.15</v>
          </cell>
          <cell r="M314">
            <v>1907.53</v>
          </cell>
          <cell r="N314">
            <v>789.75</v>
          </cell>
          <cell r="O314">
            <v>394.38</v>
          </cell>
          <cell r="P314">
            <v>930.27</v>
          </cell>
          <cell r="Q314">
            <v>8760.15</v>
          </cell>
        </row>
        <row r="315">
          <cell r="A315">
            <v>55070</v>
          </cell>
          <cell r="B315" t="str">
            <v>Sick Pay</v>
          </cell>
          <cell r="E315">
            <v>255.74</v>
          </cell>
          <cell r="F315">
            <v>163.92</v>
          </cell>
          <cell r="G315">
            <v>253.25</v>
          </cell>
          <cell r="H315">
            <v>-42.31</v>
          </cell>
          <cell r="I315">
            <v>0</v>
          </cell>
          <cell r="J315">
            <v>317.39999999999998</v>
          </cell>
          <cell r="K315">
            <v>165.6</v>
          </cell>
          <cell r="L315">
            <v>-138</v>
          </cell>
          <cell r="M315">
            <v>138</v>
          </cell>
          <cell r="N315">
            <v>216.36</v>
          </cell>
          <cell r="O315">
            <v>0</v>
          </cell>
          <cell r="P315">
            <v>317.60000000000002</v>
          </cell>
          <cell r="Q315">
            <v>1647.56</v>
          </cell>
        </row>
        <row r="316">
          <cell r="A316">
            <v>55086</v>
          </cell>
          <cell r="B316" t="str">
            <v>Safety and Training</v>
          </cell>
          <cell r="E316">
            <v>0</v>
          </cell>
          <cell r="F316">
            <v>0</v>
          </cell>
          <cell r="G316">
            <v>0</v>
          </cell>
          <cell r="H316">
            <v>34.299999999999997</v>
          </cell>
          <cell r="I316">
            <v>29.01</v>
          </cell>
          <cell r="J316">
            <v>0</v>
          </cell>
          <cell r="K316">
            <v>0</v>
          </cell>
          <cell r="L316">
            <v>1292.83</v>
          </cell>
          <cell r="M316">
            <v>425.23</v>
          </cell>
          <cell r="N316">
            <v>50</v>
          </cell>
          <cell r="O316">
            <v>0</v>
          </cell>
          <cell r="P316">
            <v>0</v>
          </cell>
          <cell r="Q316">
            <v>1831.37</v>
          </cell>
        </row>
        <row r="317">
          <cell r="A317">
            <v>55090</v>
          </cell>
          <cell r="B317" t="str">
            <v>Uniforms</v>
          </cell>
          <cell r="E317">
            <v>711.08</v>
          </cell>
          <cell r="F317">
            <v>516.91999999999996</v>
          </cell>
          <cell r="G317">
            <v>548.66</v>
          </cell>
          <cell r="H317">
            <v>420.37</v>
          </cell>
          <cell r="I317">
            <v>237.53</v>
          </cell>
          <cell r="J317">
            <v>620.41999999999996</v>
          </cell>
          <cell r="K317">
            <v>488.2</v>
          </cell>
          <cell r="L317">
            <v>1071.5999999999999</v>
          </cell>
          <cell r="M317">
            <v>360.8</v>
          </cell>
          <cell r="N317">
            <v>378.21</v>
          </cell>
          <cell r="O317">
            <v>414.33</v>
          </cell>
          <cell r="P317">
            <v>378.31</v>
          </cell>
          <cell r="Q317">
            <v>6146.43</v>
          </cell>
        </row>
        <row r="318">
          <cell r="A318">
            <v>55115</v>
          </cell>
          <cell r="B318" t="str">
            <v>Pension and Profit Sharing</v>
          </cell>
          <cell r="E318">
            <v>75.61</v>
          </cell>
          <cell r="F318">
            <v>80.2</v>
          </cell>
          <cell r="G318">
            <v>115.17</v>
          </cell>
          <cell r="H318">
            <v>81.77</v>
          </cell>
          <cell r="I318">
            <v>90.46</v>
          </cell>
          <cell r="J318">
            <v>86.97</v>
          </cell>
          <cell r="K318">
            <v>86.46</v>
          </cell>
          <cell r="L318">
            <v>85.09</v>
          </cell>
          <cell r="M318">
            <v>75.69</v>
          </cell>
          <cell r="N318">
            <v>120.4</v>
          </cell>
          <cell r="O318">
            <v>78.64</v>
          </cell>
          <cell r="P318">
            <v>73.08</v>
          </cell>
          <cell r="Q318">
            <v>1049.54</v>
          </cell>
        </row>
        <row r="319">
          <cell r="A319">
            <v>55116</v>
          </cell>
          <cell r="B319" t="str">
            <v>Union Benefit Expense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</row>
        <row r="320">
          <cell r="A320">
            <v>55117</v>
          </cell>
          <cell r="B320" t="str">
            <v>Union Pension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</row>
        <row r="321">
          <cell r="A321">
            <v>55120</v>
          </cell>
          <cell r="B321" t="str">
            <v>Parts and Materials</v>
          </cell>
          <cell r="E321">
            <v>6822.4</v>
          </cell>
          <cell r="F321">
            <v>7408.98</v>
          </cell>
          <cell r="G321">
            <v>6676.59</v>
          </cell>
          <cell r="H321">
            <v>10883.54</v>
          </cell>
          <cell r="I321">
            <v>6756.74</v>
          </cell>
          <cell r="J321">
            <v>6992.66</v>
          </cell>
          <cell r="K321">
            <v>7598.15</v>
          </cell>
          <cell r="L321">
            <v>6124.07</v>
          </cell>
          <cell r="M321">
            <v>6075.32</v>
          </cell>
          <cell r="N321">
            <v>1985.95</v>
          </cell>
          <cell r="O321">
            <v>4110.71</v>
          </cell>
          <cell r="P321">
            <v>5007.25</v>
          </cell>
          <cell r="Q321">
            <v>76442.360000000015</v>
          </cell>
        </row>
        <row r="322">
          <cell r="A322">
            <v>55125</v>
          </cell>
          <cell r="B322" t="str">
            <v>Operating Supplies</v>
          </cell>
          <cell r="E322">
            <v>208.43</v>
          </cell>
          <cell r="F322">
            <v>96</v>
          </cell>
          <cell r="G322">
            <v>0</v>
          </cell>
          <cell r="H322">
            <v>269.91000000000003</v>
          </cell>
          <cell r="I322">
            <v>134.9</v>
          </cell>
          <cell r="J322">
            <v>0</v>
          </cell>
          <cell r="K322">
            <v>0</v>
          </cell>
          <cell r="L322">
            <v>242.16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951.4</v>
          </cell>
        </row>
        <row r="323">
          <cell r="A323">
            <v>55135</v>
          </cell>
          <cell r="B323" t="str">
            <v>Equipment and Maint Repair</v>
          </cell>
          <cell r="E323">
            <v>0</v>
          </cell>
          <cell r="F323">
            <v>107.12</v>
          </cell>
          <cell r="G323">
            <v>103.06</v>
          </cell>
          <cell r="H323">
            <v>127.6</v>
          </cell>
          <cell r="I323">
            <v>177.2</v>
          </cell>
          <cell r="J323">
            <v>0</v>
          </cell>
          <cell r="K323">
            <v>402.9</v>
          </cell>
          <cell r="L323">
            <v>0</v>
          </cell>
          <cell r="M323">
            <v>1045.6400000000001</v>
          </cell>
          <cell r="N323">
            <v>613.79999999999995</v>
          </cell>
          <cell r="O323">
            <v>0.01</v>
          </cell>
          <cell r="P323">
            <v>0</v>
          </cell>
          <cell r="Q323">
            <v>2577.33</v>
          </cell>
        </row>
        <row r="324">
          <cell r="A324">
            <v>55140</v>
          </cell>
          <cell r="B324" t="str">
            <v>Tires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</row>
        <row r="325">
          <cell r="A325">
            <v>55142</v>
          </cell>
          <cell r="B325" t="str">
            <v>Fuel Expense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</row>
        <row r="326">
          <cell r="A326">
            <v>55143</v>
          </cell>
          <cell r="B326" t="str">
            <v>Corporate Medical Waste Supplies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</row>
        <row r="327">
          <cell r="A327">
            <v>55146</v>
          </cell>
          <cell r="B327" t="str">
            <v>Oil and Grease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</row>
        <row r="328">
          <cell r="A328">
            <v>55147</v>
          </cell>
          <cell r="B328" t="str">
            <v>Outside Repairs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</row>
        <row r="329">
          <cell r="A329">
            <v>55148</v>
          </cell>
          <cell r="B329" t="str">
            <v>Allocated Exp In - District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</row>
        <row r="330">
          <cell r="A330">
            <v>55149</v>
          </cell>
          <cell r="B330" t="str">
            <v>Allocated Exp In Out - District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</row>
        <row r="331">
          <cell r="A331">
            <v>55150</v>
          </cell>
          <cell r="B331" t="str">
            <v>Utilities</v>
          </cell>
          <cell r="E331">
            <v>145.91</v>
          </cell>
          <cell r="F331">
            <v>170</v>
          </cell>
          <cell r="G331">
            <v>160.13999999999999</v>
          </cell>
          <cell r="H331">
            <v>153.57</v>
          </cell>
          <cell r="I331">
            <v>132.77000000000001</v>
          </cell>
          <cell r="J331">
            <v>124.01</v>
          </cell>
          <cell r="K331">
            <v>109.77</v>
          </cell>
          <cell r="L331">
            <v>522.32000000000005</v>
          </cell>
          <cell r="M331">
            <v>123.5</v>
          </cell>
          <cell r="N331">
            <v>114.69</v>
          </cell>
          <cell r="O331">
            <v>122.68</v>
          </cell>
          <cell r="P331">
            <v>122.68</v>
          </cell>
          <cell r="Q331">
            <v>2002.04</v>
          </cell>
        </row>
        <row r="332">
          <cell r="A332">
            <v>55181</v>
          </cell>
          <cell r="B332" t="str">
            <v>Freight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</row>
        <row r="333">
          <cell r="A333">
            <v>55335</v>
          </cell>
          <cell r="B333" t="str">
            <v>Miscellaneous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</row>
        <row r="334">
          <cell r="A334">
            <v>55900</v>
          </cell>
          <cell r="B334" t="str">
            <v>Capitalized Costs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</row>
        <row r="335">
          <cell r="A335">
            <v>55998</v>
          </cell>
          <cell r="B335" t="str">
            <v>Allocation Out - District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</row>
        <row r="336">
          <cell r="A336">
            <v>55999</v>
          </cell>
          <cell r="B336" t="str">
            <v>Allocation Out - Out District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</row>
        <row r="337">
          <cell r="A337" t="str">
            <v>Total Container</v>
          </cell>
          <cell r="E337">
            <v>22798.61</v>
          </cell>
          <cell r="F337">
            <v>21377.199999999997</v>
          </cell>
          <cell r="G337">
            <v>23084.41</v>
          </cell>
          <cell r="H337">
            <v>28922.319999999996</v>
          </cell>
          <cell r="I337">
            <v>20265.18</v>
          </cell>
          <cell r="J337">
            <v>19561.219999999998</v>
          </cell>
          <cell r="K337">
            <v>23043.72</v>
          </cell>
          <cell r="L337">
            <v>25697.919999999998</v>
          </cell>
          <cell r="M337">
            <v>22274.94</v>
          </cell>
          <cell r="N337">
            <v>17330.62</v>
          </cell>
          <cell r="O337">
            <v>19022.799999999996</v>
          </cell>
          <cell r="P337">
            <v>19436.920000000002</v>
          </cell>
          <cell r="Q337">
            <v>262815.86</v>
          </cell>
        </row>
        <row r="339">
          <cell r="A339" t="str">
            <v>Supervisor</v>
          </cell>
        </row>
        <row r="340">
          <cell r="A340">
            <v>56010</v>
          </cell>
          <cell r="B340" t="str">
            <v>Salaries</v>
          </cell>
          <cell r="E340">
            <v>21484.6</v>
          </cell>
          <cell r="F340">
            <v>20461.52</v>
          </cell>
          <cell r="G340">
            <v>23530.74</v>
          </cell>
          <cell r="H340">
            <v>22507.68</v>
          </cell>
          <cell r="I340">
            <v>21484.6</v>
          </cell>
          <cell r="J340">
            <v>22507.66</v>
          </cell>
          <cell r="K340">
            <v>22636.52</v>
          </cell>
          <cell r="L340">
            <v>22649.4</v>
          </cell>
          <cell r="M340">
            <v>22649.39</v>
          </cell>
          <cell r="N340">
            <v>21768.59</v>
          </cell>
          <cell r="O340">
            <v>22733.7</v>
          </cell>
          <cell r="P340">
            <v>23898.34</v>
          </cell>
          <cell r="Q340">
            <v>268312.74</v>
          </cell>
        </row>
        <row r="341">
          <cell r="A341">
            <v>56020</v>
          </cell>
          <cell r="B341" t="str">
            <v>Wages Regular</v>
          </cell>
          <cell r="E341">
            <v>4948.7299999999996</v>
          </cell>
          <cell r="F341">
            <v>4243.8599999999997</v>
          </cell>
          <cell r="G341">
            <v>5249.43</v>
          </cell>
          <cell r="H341">
            <v>5618.66</v>
          </cell>
          <cell r="I341">
            <v>4920.93</v>
          </cell>
          <cell r="J341">
            <v>5799.39</v>
          </cell>
          <cell r="K341">
            <v>5404.71</v>
          </cell>
          <cell r="L341">
            <v>5365.56</v>
          </cell>
          <cell r="M341">
            <v>4903.59</v>
          </cell>
          <cell r="N341">
            <v>5263.01</v>
          </cell>
          <cell r="O341">
            <v>5800.6</v>
          </cell>
          <cell r="P341">
            <v>5428.54</v>
          </cell>
          <cell r="Q341">
            <v>62947.01</v>
          </cell>
        </row>
        <row r="342">
          <cell r="A342">
            <v>56025</v>
          </cell>
          <cell r="B342" t="str">
            <v>Wages O.T.</v>
          </cell>
          <cell r="E342">
            <v>515.38</v>
          </cell>
          <cell r="F342">
            <v>23.34</v>
          </cell>
          <cell r="G342">
            <v>199.47</v>
          </cell>
          <cell r="H342">
            <v>439.74</v>
          </cell>
          <cell r="I342">
            <v>937.69</v>
          </cell>
          <cell r="J342">
            <v>676.04</v>
          </cell>
          <cell r="K342">
            <v>89.23</v>
          </cell>
          <cell r="L342">
            <v>691.05</v>
          </cell>
          <cell r="M342">
            <v>707.32</v>
          </cell>
          <cell r="N342">
            <v>322.20999999999998</v>
          </cell>
          <cell r="O342">
            <v>737.63</v>
          </cell>
          <cell r="P342">
            <v>791.29</v>
          </cell>
          <cell r="Q342">
            <v>6130.3899999999994</v>
          </cell>
        </row>
        <row r="343">
          <cell r="A343">
            <v>56035</v>
          </cell>
          <cell r="B343" t="str">
            <v>Safety Bonuses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</row>
        <row r="344">
          <cell r="A344">
            <v>56036</v>
          </cell>
          <cell r="B344" t="str">
            <v>Other Bonus/Commission - Non-Safety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</row>
        <row r="345">
          <cell r="A345">
            <v>56037</v>
          </cell>
          <cell r="B345" t="str">
            <v>Termination Pay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</row>
        <row r="346">
          <cell r="A346">
            <v>56045</v>
          </cell>
          <cell r="B346" t="str">
            <v>Contract Labor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</row>
        <row r="347">
          <cell r="A347">
            <v>56050</v>
          </cell>
          <cell r="B347" t="str">
            <v>Payroll Taxes</v>
          </cell>
          <cell r="E347">
            <v>3178.64</v>
          </cell>
          <cell r="F347">
            <v>2251.66</v>
          </cell>
          <cell r="G347">
            <v>2524.9499999999998</v>
          </cell>
          <cell r="H347">
            <v>2497.5100000000002</v>
          </cell>
          <cell r="I347">
            <v>2309.15</v>
          </cell>
          <cell r="J347">
            <v>2588.5</v>
          </cell>
          <cell r="K347">
            <v>2219.94</v>
          </cell>
          <cell r="L347">
            <v>1586.57</v>
          </cell>
          <cell r="M347">
            <v>1804.92</v>
          </cell>
          <cell r="N347">
            <v>1787.26</v>
          </cell>
          <cell r="O347">
            <v>1971.2</v>
          </cell>
          <cell r="P347">
            <v>1725.76</v>
          </cell>
          <cell r="Q347">
            <v>26446.059999999994</v>
          </cell>
        </row>
        <row r="348">
          <cell r="A348">
            <v>56060</v>
          </cell>
          <cell r="B348" t="str">
            <v>Group Insurance</v>
          </cell>
          <cell r="E348">
            <v>2508.5</v>
          </cell>
          <cell r="F348">
            <v>2315.5</v>
          </cell>
          <cell r="G348">
            <v>2043</v>
          </cell>
          <cell r="H348">
            <v>2781</v>
          </cell>
          <cell r="I348">
            <v>2412</v>
          </cell>
          <cell r="J348">
            <v>1237</v>
          </cell>
          <cell r="K348">
            <v>1237</v>
          </cell>
          <cell r="L348">
            <v>1237</v>
          </cell>
          <cell r="M348">
            <v>868</v>
          </cell>
          <cell r="N348">
            <v>1606</v>
          </cell>
          <cell r="O348">
            <v>1237</v>
          </cell>
          <cell r="P348">
            <v>1237</v>
          </cell>
          <cell r="Q348">
            <v>20719</v>
          </cell>
        </row>
        <row r="349">
          <cell r="A349">
            <v>56065</v>
          </cell>
          <cell r="B349" t="str">
            <v>Vacation Pay</v>
          </cell>
          <cell r="E349">
            <v>2015.83</v>
          </cell>
          <cell r="F349">
            <v>1112.7</v>
          </cell>
          <cell r="G349">
            <v>1240.4000000000001</v>
          </cell>
          <cell r="H349">
            <v>1221.3699999999999</v>
          </cell>
          <cell r="I349">
            <v>1789.21</v>
          </cell>
          <cell r="J349">
            <v>2096.9899999999998</v>
          </cell>
          <cell r="K349">
            <v>-3773.2</v>
          </cell>
          <cell r="L349">
            <v>-940.29</v>
          </cell>
          <cell r="M349">
            <v>2549.7399999999998</v>
          </cell>
          <cell r="N349">
            <v>360.95</v>
          </cell>
          <cell r="O349">
            <v>2162.4499999999998</v>
          </cell>
          <cell r="P349">
            <v>2200.5700000000002</v>
          </cell>
          <cell r="Q349">
            <v>12036.72</v>
          </cell>
        </row>
        <row r="350">
          <cell r="A350">
            <v>56070</v>
          </cell>
          <cell r="B350" t="str">
            <v>Sick Pay</v>
          </cell>
          <cell r="E350">
            <v>-88.92</v>
          </cell>
          <cell r="F350">
            <v>208.16</v>
          </cell>
          <cell r="G350">
            <v>-102.08</v>
          </cell>
          <cell r="H350">
            <v>0</v>
          </cell>
          <cell r="I350">
            <v>487.17</v>
          </cell>
          <cell r="J350">
            <v>-182.69</v>
          </cell>
          <cell r="K350">
            <v>304.48</v>
          </cell>
          <cell r="L350">
            <v>182.69</v>
          </cell>
          <cell r="M350">
            <v>124.67</v>
          </cell>
          <cell r="N350">
            <v>66.48</v>
          </cell>
          <cell r="O350">
            <v>0</v>
          </cell>
          <cell r="P350">
            <v>0</v>
          </cell>
          <cell r="Q350">
            <v>999.96000000000015</v>
          </cell>
        </row>
        <row r="351">
          <cell r="A351">
            <v>56086</v>
          </cell>
          <cell r="B351" t="str">
            <v>Safety and Training</v>
          </cell>
          <cell r="E351">
            <v>86.34</v>
          </cell>
          <cell r="F351">
            <v>16.23</v>
          </cell>
          <cell r="G351">
            <v>31.23</v>
          </cell>
          <cell r="H351">
            <v>21.48</v>
          </cell>
          <cell r="I351">
            <v>0</v>
          </cell>
          <cell r="J351">
            <v>64.92</v>
          </cell>
          <cell r="K351">
            <v>0</v>
          </cell>
          <cell r="L351">
            <v>80.650000000000006</v>
          </cell>
          <cell r="M351">
            <v>0</v>
          </cell>
          <cell r="N351">
            <v>121.71</v>
          </cell>
          <cell r="O351">
            <v>0</v>
          </cell>
          <cell r="P351">
            <v>0</v>
          </cell>
          <cell r="Q351">
            <v>422.56</v>
          </cell>
        </row>
        <row r="352">
          <cell r="A352">
            <v>56090</v>
          </cell>
          <cell r="B352" t="str">
            <v>Uniforms</v>
          </cell>
          <cell r="E352">
            <v>356.19</v>
          </cell>
          <cell r="F352">
            <v>519.97</v>
          </cell>
          <cell r="G352">
            <v>1421.43</v>
          </cell>
          <cell r="H352">
            <v>967.63</v>
          </cell>
          <cell r="I352">
            <v>1153.95</v>
          </cell>
          <cell r="J352">
            <v>1314.26</v>
          </cell>
          <cell r="K352">
            <v>1629.69</v>
          </cell>
          <cell r="L352">
            <v>1082.08</v>
          </cell>
          <cell r="M352">
            <v>1087.67</v>
          </cell>
          <cell r="N352">
            <v>1240.51</v>
          </cell>
          <cell r="O352">
            <v>1230.1199999999999</v>
          </cell>
          <cell r="P352">
            <v>1719.85</v>
          </cell>
          <cell r="Q352">
            <v>13723.35</v>
          </cell>
        </row>
        <row r="353">
          <cell r="A353">
            <v>56095</v>
          </cell>
          <cell r="B353" t="str">
            <v>Empl &amp; Commun Activ</v>
          </cell>
          <cell r="E353">
            <v>242.51</v>
          </cell>
          <cell r="F353">
            <v>-88.98</v>
          </cell>
          <cell r="G353">
            <v>0</v>
          </cell>
          <cell r="H353">
            <v>30.82</v>
          </cell>
          <cell r="I353">
            <v>161.91999999999999</v>
          </cell>
          <cell r="J353">
            <v>154.44999999999999</v>
          </cell>
          <cell r="K353">
            <v>0</v>
          </cell>
          <cell r="L353">
            <v>81.739999999999995</v>
          </cell>
          <cell r="M353">
            <v>97.68</v>
          </cell>
          <cell r="N353">
            <v>250.97</v>
          </cell>
          <cell r="O353">
            <v>-60.35</v>
          </cell>
          <cell r="P353">
            <v>0</v>
          </cell>
          <cell r="Q353">
            <v>870.75999999999988</v>
          </cell>
        </row>
        <row r="354">
          <cell r="A354">
            <v>56105</v>
          </cell>
          <cell r="B354" t="str">
            <v>Employee Relocation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</row>
        <row r="355">
          <cell r="A355">
            <v>56108</v>
          </cell>
          <cell r="B355" t="str">
            <v>School Tuition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</row>
        <row r="356">
          <cell r="A356">
            <v>56115</v>
          </cell>
          <cell r="B356" t="str">
            <v>Pension and Profit Sharing</v>
          </cell>
          <cell r="E356">
            <v>259.32</v>
          </cell>
          <cell r="F356">
            <v>257.68</v>
          </cell>
          <cell r="G356">
            <v>386.43</v>
          </cell>
          <cell r="H356">
            <v>258.10000000000002</v>
          </cell>
          <cell r="I356">
            <v>332.41</v>
          </cell>
          <cell r="J356">
            <v>433.93</v>
          </cell>
          <cell r="K356">
            <v>427.05</v>
          </cell>
          <cell r="L356">
            <v>424.39</v>
          </cell>
          <cell r="M356">
            <v>428.34</v>
          </cell>
          <cell r="N356">
            <v>657.37</v>
          </cell>
          <cell r="O356">
            <v>545.69000000000005</v>
          </cell>
          <cell r="P356">
            <v>433.37</v>
          </cell>
          <cell r="Q356">
            <v>4844.0800000000008</v>
          </cell>
        </row>
        <row r="357">
          <cell r="A357">
            <v>56116</v>
          </cell>
          <cell r="B357" t="str">
            <v>Union Benefit Expense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</row>
        <row r="358">
          <cell r="A358">
            <v>56117</v>
          </cell>
          <cell r="B358" t="str">
            <v>Union Pension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</row>
        <row r="359">
          <cell r="A359">
            <v>56125</v>
          </cell>
          <cell r="B359" t="str">
            <v>Operating Supplies</v>
          </cell>
          <cell r="E359">
            <v>391.66</v>
          </cell>
          <cell r="F359">
            <v>526.79999999999995</v>
          </cell>
          <cell r="G359">
            <v>580.32000000000005</v>
          </cell>
          <cell r="H359">
            <v>1039.98</v>
          </cell>
          <cell r="I359">
            <v>-623.28</v>
          </cell>
          <cell r="J359">
            <v>102.55</v>
          </cell>
          <cell r="K359">
            <v>582.14</v>
          </cell>
          <cell r="L359">
            <v>366.9</v>
          </cell>
          <cell r="M359">
            <v>350.1</v>
          </cell>
          <cell r="N359">
            <v>0</v>
          </cell>
          <cell r="O359">
            <v>255.27</v>
          </cell>
          <cell r="P359">
            <v>127.61</v>
          </cell>
          <cell r="Q359">
            <v>3700.05</v>
          </cell>
        </row>
        <row r="360">
          <cell r="A360">
            <v>56140</v>
          </cell>
          <cell r="B360" t="str">
            <v>Tires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</row>
        <row r="361">
          <cell r="A361">
            <v>56142</v>
          </cell>
          <cell r="B361" t="str">
            <v>Fuel Expense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</row>
        <row r="362">
          <cell r="A362">
            <v>56148</v>
          </cell>
          <cell r="B362" t="str">
            <v>Allocated Exp In - District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</row>
        <row r="363">
          <cell r="A363">
            <v>56149</v>
          </cell>
          <cell r="B363" t="str">
            <v>Allocated Exp In Out - District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</row>
        <row r="364">
          <cell r="A364">
            <v>56165</v>
          </cell>
          <cell r="B364" t="str">
            <v>Communications</v>
          </cell>
          <cell r="E364">
            <v>1519.45</v>
          </cell>
          <cell r="F364">
            <v>1450.07</v>
          </cell>
          <cell r="G364">
            <v>1554.65</v>
          </cell>
          <cell r="H364">
            <v>4434.3500000000004</v>
          </cell>
          <cell r="I364">
            <v>-1597.73</v>
          </cell>
          <cell r="J364">
            <v>1513.67</v>
          </cell>
          <cell r="K364">
            <v>1505.33</v>
          </cell>
          <cell r="L364">
            <v>5156.7</v>
          </cell>
          <cell r="M364">
            <v>1422.01</v>
          </cell>
          <cell r="N364">
            <v>1404.71</v>
          </cell>
          <cell r="O364">
            <v>4969.07</v>
          </cell>
          <cell r="P364">
            <v>2885.81</v>
          </cell>
          <cell r="Q364">
            <v>26218.09</v>
          </cell>
        </row>
        <row r="365">
          <cell r="A365">
            <v>56200</v>
          </cell>
          <cell r="B365" t="str">
            <v>Travel</v>
          </cell>
          <cell r="E365">
            <v>0</v>
          </cell>
          <cell r="F365">
            <v>23</v>
          </cell>
          <cell r="G365">
            <v>32.75</v>
          </cell>
          <cell r="H365">
            <v>17.62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14.84</v>
          </cell>
          <cell r="O365">
            <v>-12.97</v>
          </cell>
          <cell r="P365">
            <v>0</v>
          </cell>
          <cell r="Q365">
            <v>75.240000000000009</v>
          </cell>
        </row>
        <row r="366">
          <cell r="A366">
            <v>56201</v>
          </cell>
          <cell r="B366" t="str">
            <v>Meal and Entertainment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34.36</v>
          </cell>
          <cell r="K366">
            <v>0</v>
          </cell>
          <cell r="L366">
            <v>0</v>
          </cell>
          <cell r="M366">
            <v>0</v>
          </cell>
          <cell r="N366">
            <v>348.63</v>
          </cell>
          <cell r="O366">
            <v>-333.79</v>
          </cell>
          <cell r="P366">
            <v>0</v>
          </cell>
          <cell r="Q366">
            <v>49.199999999999989</v>
          </cell>
        </row>
        <row r="367">
          <cell r="A367">
            <v>56210</v>
          </cell>
          <cell r="B367" t="str">
            <v>Office Supply and Equip</v>
          </cell>
          <cell r="E367">
            <v>302.63</v>
          </cell>
          <cell r="F367">
            <v>422.29</v>
          </cell>
          <cell r="G367">
            <v>391.69</v>
          </cell>
          <cell r="H367">
            <v>179.55</v>
          </cell>
          <cell r="I367">
            <v>722.74</v>
          </cell>
          <cell r="J367">
            <v>352.24</v>
          </cell>
          <cell r="K367">
            <v>0</v>
          </cell>
          <cell r="L367">
            <v>741.46</v>
          </cell>
          <cell r="M367">
            <v>364.82</v>
          </cell>
          <cell r="N367">
            <v>0</v>
          </cell>
          <cell r="O367">
            <v>886.4</v>
          </cell>
          <cell r="P367">
            <v>0</v>
          </cell>
          <cell r="Q367">
            <v>4363.8200000000006</v>
          </cell>
        </row>
        <row r="368">
          <cell r="A368">
            <v>56335</v>
          </cell>
          <cell r="B368" t="str">
            <v>Miscellaneous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</row>
        <row r="369">
          <cell r="A369">
            <v>56998</v>
          </cell>
          <cell r="B369" t="str">
            <v>Allocation Out - District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</row>
        <row r="370">
          <cell r="A370">
            <v>56999</v>
          </cell>
          <cell r="B370" t="str">
            <v>Allocation Out - Out District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</row>
        <row r="371">
          <cell r="A371" t="str">
            <v>Total Supervisor</v>
          </cell>
          <cell r="E371">
            <v>37720.86</v>
          </cell>
          <cell r="F371">
            <v>33743.800000000003</v>
          </cell>
          <cell r="G371">
            <v>39084.410000000011</v>
          </cell>
          <cell r="H371">
            <v>42015.490000000013</v>
          </cell>
          <cell r="I371">
            <v>34490.759999999995</v>
          </cell>
          <cell r="J371">
            <v>38693.26999999999</v>
          </cell>
          <cell r="K371">
            <v>32262.889999999992</v>
          </cell>
          <cell r="L371">
            <v>38705.899999999994</v>
          </cell>
          <cell r="M371">
            <v>37358.249999999993</v>
          </cell>
          <cell r="N371">
            <v>35213.239999999991</v>
          </cell>
          <cell r="O371">
            <v>42122.020000000004</v>
          </cell>
          <cell r="P371">
            <v>40448.14</v>
          </cell>
          <cell r="Q371">
            <v>451859.03</v>
          </cell>
        </row>
        <row r="373">
          <cell r="A373" t="str">
            <v>Other Operating Expense</v>
          </cell>
        </row>
        <row r="374">
          <cell r="A374">
            <v>46020</v>
          </cell>
          <cell r="B374" t="str">
            <v>Post Closure Amortization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</row>
        <row r="375">
          <cell r="A375">
            <v>57051</v>
          </cell>
          <cell r="B375" t="str">
            <v>AA Premiums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</row>
        <row r="376">
          <cell r="A376">
            <v>57125</v>
          </cell>
          <cell r="B376" t="str">
            <v>Operating Supplies</v>
          </cell>
          <cell r="E376">
            <v>0</v>
          </cell>
          <cell r="F376">
            <v>0</v>
          </cell>
          <cell r="G376">
            <v>0</v>
          </cell>
          <cell r="H376">
            <v>142.55000000000001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1177.5899999999999</v>
          </cell>
          <cell r="O376">
            <v>-1102.77</v>
          </cell>
          <cell r="P376">
            <v>0</v>
          </cell>
          <cell r="Q376">
            <v>217.36999999999989</v>
          </cell>
        </row>
        <row r="377">
          <cell r="A377">
            <v>57147</v>
          </cell>
          <cell r="B377" t="str">
            <v>Bldg &amp; Property</v>
          </cell>
          <cell r="E377">
            <v>5273.81</v>
          </cell>
          <cell r="F377">
            <v>1312.43</v>
          </cell>
          <cell r="G377">
            <v>1899.21</v>
          </cell>
          <cell r="H377">
            <v>1309.79</v>
          </cell>
          <cell r="I377">
            <v>1872.61</v>
          </cell>
          <cell r="J377">
            <v>1128</v>
          </cell>
          <cell r="K377">
            <v>1740.26</v>
          </cell>
          <cell r="L377">
            <v>3083.68</v>
          </cell>
          <cell r="M377">
            <v>2114.81</v>
          </cell>
          <cell r="N377">
            <v>1811.92</v>
          </cell>
          <cell r="O377">
            <v>3002.6</v>
          </cell>
          <cell r="P377">
            <v>2169.63</v>
          </cell>
          <cell r="Q377">
            <v>26718.750000000004</v>
          </cell>
        </row>
        <row r="378">
          <cell r="A378">
            <v>57148</v>
          </cell>
          <cell r="B378" t="str">
            <v>Allocated In - District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</row>
        <row r="379">
          <cell r="A379">
            <v>57149</v>
          </cell>
          <cell r="B379" t="str">
            <v>Allocated In - Out District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</row>
        <row r="380">
          <cell r="A380">
            <v>57150</v>
          </cell>
          <cell r="B380" t="str">
            <v>Utilities</v>
          </cell>
          <cell r="E380">
            <v>461.43</v>
          </cell>
          <cell r="F380">
            <v>96.57</v>
          </cell>
          <cell r="G380">
            <v>117.6</v>
          </cell>
          <cell r="H380">
            <v>83.43</v>
          </cell>
          <cell r="I380">
            <v>90.9</v>
          </cell>
          <cell r="J380">
            <v>57.15</v>
          </cell>
          <cell r="K380">
            <v>89.42</v>
          </cell>
          <cell r="L380">
            <v>52.59</v>
          </cell>
          <cell r="M380">
            <v>307.08</v>
          </cell>
          <cell r="N380">
            <v>59.56</v>
          </cell>
          <cell r="O380">
            <v>541.69000000000005</v>
          </cell>
          <cell r="P380">
            <v>104.21</v>
          </cell>
          <cell r="Q380">
            <v>2061.6299999999997</v>
          </cell>
        </row>
        <row r="381">
          <cell r="A381">
            <v>57165</v>
          </cell>
          <cell r="B381" t="str">
            <v>Communications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</row>
        <row r="382">
          <cell r="A382">
            <v>57166</v>
          </cell>
          <cell r="B382" t="str">
            <v>Leachate Treatment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</row>
        <row r="383">
          <cell r="A383">
            <v>57170</v>
          </cell>
          <cell r="B383" t="str">
            <v>Real Estate Rentals</v>
          </cell>
          <cell r="E383">
            <v>5891.03</v>
          </cell>
          <cell r="F383">
            <v>6528.62</v>
          </cell>
          <cell r="G383">
            <v>5891.03</v>
          </cell>
          <cell r="H383">
            <v>5800.95</v>
          </cell>
          <cell r="I383">
            <v>5800.95</v>
          </cell>
          <cell r="J383">
            <v>5800.95</v>
          </cell>
          <cell r="K383">
            <v>5800.95</v>
          </cell>
          <cell r="L383">
            <v>5800.95</v>
          </cell>
          <cell r="M383">
            <v>4412</v>
          </cell>
          <cell r="N383">
            <v>4412</v>
          </cell>
          <cell r="O383">
            <v>5800.95</v>
          </cell>
          <cell r="P383">
            <v>13259</v>
          </cell>
          <cell r="Q383">
            <v>75199.37999999999</v>
          </cell>
        </row>
        <row r="384">
          <cell r="A384">
            <v>57175</v>
          </cell>
          <cell r="B384" t="str">
            <v>Equipment Vehicle Rental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</row>
        <row r="385">
          <cell r="A385">
            <v>57185</v>
          </cell>
          <cell r="B385" t="str">
            <v>Postage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</row>
        <row r="386">
          <cell r="A386">
            <v>57252</v>
          </cell>
          <cell r="B386" t="str">
            <v>Subcontract Expense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</row>
        <row r="387">
          <cell r="A387">
            <v>57254</v>
          </cell>
          <cell r="B387" t="str">
            <v>Drive Cam Fees</v>
          </cell>
          <cell r="E387">
            <v>1912.5</v>
          </cell>
          <cell r="F387">
            <v>1912.5</v>
          </cell>
          <cell r="G387">
            <v>1912.5</v>
          </cell>
          <cell r="H387">
            <v>1912.5</v>
          </cell>
          <cell r="I387">
            <v>2520</v>
          </cell>
          <cell r="J387">
            <v>2520</v>
          </cell>
          <cell r="K387">
            <v>2678.73</v>
          </cell>
          <cell r="L387">
            <v>2580.4699999999998</v>
          </cell>
          <cell r="M387">
            <v>2576.33</v>
          </cell>
          <cell r="N387">
            <v>2636.37</v>
          </cell>
          <cell r="O387">
            <v>2511.33</v>
          </cell>
          <cell r="P387">
            <v>2531.54</v>
          </cell>
          <cell r="Q387">
            <v>28204.769999999997</v>
          </cell>
        </row>
        <row r="388">
          <cell r="A388">
            <v>57255</v>
          </cell>
          <cell r="B388" t="str">
            <v>Other Prof Fees</v>
          </cell>
          <cell r="E388">
            <v>0</v>
          </cell>
          <cell r="F388">
            <v>0</v>
          </cell>
          <cell r="G388">
            <v>4.5</v>
          </cell>
          <cell r="H388">
            <v>4.5</v>
          </cell>
          <cell r="I388">
            <v>4.5</v>
          </cell>
          <cell r="J388">
            <v>4.5</v>
          </cell>
          <cell r="K388">
            <v>18</v>
          </cell>
          <cell r="L388">
            <v>4.5</v>
          </cell>
          <cell r="M388">
            <v>4.5</v>
          </cell>
          <cell r="N388">
            <v>4.5</v>
          </cell>
          <cell r="O388">
            <v>4.5</v>
          </cell>
          <cell r="P388">
            <v>0</v>
          </cell>
          <cell r="Q388">
            <v>54</v>
          </cell>
        </row>
        <row r="389">
          <cell r="A389">
            <v>57256</v>
          </cell>
          <cell r="B389" t="str">
            <v>Laboratory Fees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</row>
        <row r="390">
          <cell r="A390">
            <v>57257</v>
          </cell>
          <cell r="B390" t="str">
            <v>Engineering Fees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18100.03</v>
          </cell>
          <cell r="K390">
            <v>1254.3699999999999</v>
          </cell>
          <cell r="L390">
            <v>1448.12</v>
          </cell>
          <cell r="M390">
            <v>-11585</v>
          </cell>
          <cell r="N390">
            <v>0</v>
          </cell>
          <cell r="O390">
            <v>0</v>
          </cell>
          <cell r="P390">
            <v>0</v>
          </cell>
          <cell r="Q390">
            <v>9217.5199999999968</v>
          </cell>
        </row>
        <row r="391">
          <cell r="A391">
            <v>57275</v>
          </cell>
          <cell r="B391" t="str">
            <v>Property Taxes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</row>
        <row r="392">
          <cell r="A392">
            <v>57280</v>
          </cell>
          <cell r="B392" t="str">
            <v>Other Taxes</v>
          </cell>
          <cell r="E392">
            <v>459</v>
          </cell>
          <cell r="F392">
            <v>459</v>
          </cell>
          <cell r="G392">
            <v>459</v>
          </cell>
          <cell r="H392">
            <v>459</v>
          </cell>
          <cell r="I392">
            <v>459</v>
          </cell>
          <cell r="J392">
            <v>459</v>
          </cell>
          <cell r="K392">
            <v>459</v>
          </cell>
          <cell r="L392">
            <v>459</v>
          </cell>
          <cell r="M392">
            <v>459</v>
          </cell>
          <cell r="N392">
            <v>459</v>
          </cell>
          <cell r="O392">
            <v>459</v>
          </cell>
          <cell r="P392">
            <v>459</v>
          </cell>
          <cell r="Q392">
            <v>5508</v>
          </cell>
        </row>
        <row r="393">
          <cell r="A393">
            <v>57324</v>
          </cell>
          <cell r="B393" t="str">
            <v>Penalties and Violations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266.95</v>
          </cell>
          <cell r="O393">
            <v>0</v>
          </cell>
          <cell r="P393">
            <v>631.95000000000005</v>
          </cell>
          <cell r="Q393">
            <v>898.90000000000009</v>
          </cell>
        </row>
        <row r="394">
          <cell r="A394">
            <v>57335</v>
          </cell>
          <cell r="B394" t="str">
            <v>Miscellaneous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</row>
        <row r="395">
          <cell r="A395">
            <v>57345</v>
          </cell>
          <cell r="B395" t="str">
            <v>Secruity Services</v>
          </cell>
          <cell r="E395">
            <v>62.5</v>
          </cell>
          <cell r="F395">
            <v>62.5</v>
          </cell>
          <cell r="G395">
            <v>62.5</v>
          </cell>
          <cell r="H395">
            <v>62.5</v>
          </cell>
          <cell r="I395">
            <v>62.5</v>
          </cell>
          <cell r="J395">
            <v>62.5</v>
          </cell>
          <cell r="K395">
            <v>62.5</v>
          </cell>
          <cell r="L395">
            <v>62.5</v>
          </cell>
          <cell r="M395">
            <v>62.5</v>
          </cell>
          <cell r="N395">
            <v>0</v>
          </cell>
          <cell r="O395">
            <v>125</v>
          </cell>
          <cell r="P395">
            <v>0</v>
          </cell>
          <cell r="Q395">
            <v>687.5</v>
          </cell>
        </row>
        <row r="396">
          <cell r="A396">
            <v>57353</v>
          </cell>
          <cell r="B396" t="str">
            <v>Monitoring and Maint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</row>
        <row r="397">
          <cell r="A397">
            <v>57356</v>
          </cell>
          <cell r="B397" t="str">
            <v>Cover Cost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</row>
        <row r="398">
          <cell r="A398">
            <v>57357</v>
          </cell>
          <cell r="B398" t="str">
            <v>Permits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15</v>
          </cell>
          <cell r="O398">
            <v>0</v>
          </cell>
          <cell r="P398">
            <v>80</v>
          </cell>
          <cell r="Q398">
            <v>95</v>
          </cell>
        </row>
        <row r="399">
          <cell r="A399">
            <v>57360</v>
          </cell>
          <cell r="B399" t="str">
            <v>Royalties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</row>
        <row r="400">
          <cell r="A400">
            <v>57370</v>
          </cell>
          <cell r="B400" t="str">
            <v>Bonds Expense</v>
          </cell>
          <cell r="E400">
            <v>79.209999999999994</v>
          </cell>
          <cell r="F400">
            <v>79.209999999999994</v>
          </cell>
          <cell r="G400">
            <v>79.209999999999994</v>
          </cell>
          <cell r="H400">
            <v>129.57</v>
          </cell>
          <cell r="I400">
            <v>342.55</v>
          </cell>
          <cell r="J400">
            <v>129.55000000000001</v>
          </cell>
          <cell r="K400">
            <v>129.55000000000001</v>
          </cell>
          <cell r="L400">
            <v>129.55000000000001</v>
          </cell>
          <cell r="M400">
            <v>129.55000000000001</v>
          </cell>
          <cell r="N400">
            <v>129.55000000000001</v>
          </cell>
          <cell r="O400">
            <v>129.55000000000001</v>
          </cell>
          <cell r="P400">
            <v>39.549999999999997</v>
          </cell>
          <cell r="Q400">
            <v>1526.5999999999997</v>
          </cell>
        </row>
        <row r="401">
          <cell r="A401">
            <v>57900</v>
          </cell>
          <cell r="B401" t="str">
            <v>Capitalized Costs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</row>
        <row r="402">
          <cell r="A402">
            <v>57998</v>
          </cell>
          <cell r="B402" t="str">
            <v>Allocation Out - District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</row>
        <row r="403">
          <cell r="A403">
            <v>57999</v>
          </cell>
          <cell r="B403" t="str">
            <v>Allocation Out - Out District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</row>
        <row r="404">
          <cell r="A404">
            <v>70265</v>
          </cell>
          <cell r="B404" t="str">
            <v>Amortization of Long Term Contracts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</row>
        <row r="405">
          <cell r="A405">
            <v>80050</v>
          </cell>
          <cell r="B405" t="str">
            <v>Interest Expense Closure/Post Closure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</row>
        <row r="406">
          <cell r="A406" t="str">
            <v>Total Other Operating Expense</v>
          </cell>
          <cell r="E406">
            <v>14139.48</v>
          </cell>
          <cell r="F406">
            <v>10450.829999999998</v>
          </cell>
          <cell r="G406">
            <v>10425.549999999999</v>
          </cell>
          <cell r="H406">
            <v>9904.7899999999991</v>
          </cell>
          <cell r="I406">
            <v>11153.009999999998</v>
          </cell>
          <cell r="J406">
            <v>28261.679999999997</v>
          </cell>
          <cell r="K406">
            <v>12232.779999999999</v>
          </cell>
          <cell r="L406">
            <v>13621.359999999997</v>
          </cell>
          <cell r="M406">
            <v>-1519.2300000000007</v>
          </cell>
          <cell r="N406">
            <v>10972.439999999999</v>
          </cell>
          <cell r="O406">
            <v>11471.849999999999</v>
          </cell>
          <cell r="P406">
            <v>19274.88</v>
          </cell>
          <cell r="Q406">
            <v>150389.41999999998</v>
          </cell>
        </row>
        <row r="408">
          <cell r="A408" t="str">
            <v>Insurance</v>
          </cell>
        </row>
        <row r="409">
          <cell r="A409">
            <v>59148</v>
          </cell>
          <cell r="B409" t="str">
            <v>Allocation In - District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</row>
        <row r="410">
          <cell r="A410">
            <v>59149</v>
          </cell>
          <cell r="B410" t="str">
            <v>Allocation In - Out District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</row>
        <row r="411">
          <cell r="A411">
            <v>59271</v>
          </cell>
          <cell r="B411" t="str">
            <v>Property and Liability Insurance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</row>
        <row r="412">
          <cell r="A412">
            <v>59326</v>
          </cell>
          <cell r="B412" t="str">
            <v>Deductible - Current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</row>
        <row r="413">
          <cell r="A413">
            <v>59327</v>
          </cell>
          <cell r="B413" t="str">
            <v>Deductible - Damage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</row>
        <row r="414">
          <cell r="A414">
            <v>59328</v>
          </cell>
          <cell r="B414" t="str">
            <v>Claim Recoveries</v>
          </cell>
          <cell r="E414">
            <v>0</v>
          </cell>
          <cell r="F414">
            <v>0</v>
          </cell>
          <cell r="G414">
            <v>-2328.46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-2328.46</v>
          </cell>
        </row>
        <row r="415">
          <cell r="A415">
            <v>59330</v>
          </cell>
          <cell r="B415" t="str">
            <v>Deduct - Prior Year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</row>
        <row r="416">
          <cell r="A416">
            <v>59331</v>
          </cell>
          <cell r="B416" t="str">
            <v>RM Fixed Costs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</row>
        <row r="417">
          <cell r="A417">
            <v>59340</v>
          </cell>
          <cell r="B417" t="str">
            <v>Self Insurance Premium</v>
          </cell>
          <cell r="E417">
            <v>6884.94</v>
          </cell>
          <cell r="F417">
            <v>6884.94</v>
          </cell>
          <cell r="G417">
            <v>6884.94</v>
          </cell>
          <cell r="H417">
            <v>6884.94</v>
          </cell>
          <cell r="I417">
            <v>6884.94</v>
          </cell>
          <cell r="J417">
            <v>6884.94</v>
          </cell>
          <cell r="K417">
            <v>6884.94</v>
          </cell>
          <cell r="L417">
            <v>6884.94</v>
          </cell>
          <cell r="M417">
            <v>6884.94</v>
          </cell>
          <cell r="N417">
            <v>6884.94</v>
          </cell>
          <cell r="O417">
            <v>6884.94</v>
          </cell>
          <cell r="P417">
            <v>6884.94</v>
          </cell>
          <cell r="Q417">
            <v>82619.280000000013</v>
          </cell>
        </row>
        <row r="418">
          <cell r="A418">
            <v>59341</v>
          </cell>
          <cell r="B418" t="str">
            <v>A&amp;L - Current Year Claims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2600</v>
          </cell>
          <cell r="Q418">
            <v>2600</v>
          </cell>
        </row>
        <row r="419">
          <cell r="A419">
            <v>59342</v>
          </cell>
          <cell r="B419" t="str">
            <v>A&amp;L - Prior Year Claims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0.3</v>
          </cell>
          <cell r="J419">
            <v>-0.15</v>
          </cell>
          <cell r="K419">
            <v>1577.07</v>
          </cell>
          <cell r="L419">
            <v>0.05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1577.27</v>
          </cell>
        </row>
        <row r="420">
          <cell r="A420">
            <v>59343</v>
          </cell>
          <cell r="B420" t="str">
            <v>WC - Current Year Claims</v>
          </cell>
          <cell r="E420">
            <v>53330.6</v>
          </cell>
          <cell r="F420">
            <v>13301</v>
          </cell>
          <cell r="G420">
            <v>13532.93</v>
          </cell>
          <cell r="H420">
            <v>-35945.980000000003</v>
          </cell>
          <cell r="I420">
            <v>151.47999999999999</v>
          </cell>
          <cell r="J420">
            <v>0</v>
          </cell>
          <cell r="K420">
            <v>-5630.29</v>
          </cell>
          <cell r="L420">
            <v>19.420000000000002</v>
          </cell>
          <cell r="M420">
            <v>28.64</v>
          </cell>
          <cell r="N420">
            <v>6955.88</v>
          </cell>
          <cell r="O420">
            <v>11900</v>
          </cell>
          <cell r="P420">
            <v>2180.23</v>
          </cell>
          <cell r="Q420">
            <v>59823.909999999996</v>
          </cell>
        </row>
        <row r="421">
          <cell r="A421">
            <v>59344</v>
          </cell>
          <cell r="B421" t="str">
            <v>WC - Prior Year Claims</v>
          </cell>
          <cell r="E421">
            <v>0</v>
          </cell>
          <cell r="F421">
            <v>0</v>
          </cell>
          <cell r="G421">
            <v>0</v>
          </cell>
          <cell r="H421">
            <v>66006.16</v>
          </cell>
          <cell r="I421">
            <v>2800</v>
          </cell>
          <cell r="J421">
            <v>-3742.81</v>
          </cell>
          <cell r="K421">
            <v>36406.36</v>
          </cell>
          <cell r="L421">
            <v>0</v>
          </cell>
          <cell r="M421">
            <v>28.28</v>
          </cell>
          <cell r="N421">
            <v>4000</v>
          </cell>
          <cell r="O421">
            <v>-547</v>
          </cell>
          <cell r="P421">
            <v>12729.61</v>
          </cell>
          <cell r="Q421">
            <v>117680.6</v>
          </cell>
        </row>
        <row r="422">
          <cell r="A422">
            <v>59350</v>
          </cell>
          <cell r="B422" t="str">
            <v>Self Isurance IBNR Estimates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</row>
        <row r="423">
          <cell r="A423">
            <v>59400</v>
          </cell>
          <cell r="B423" t="str">
            <v>Damages paid by District</v>
          </cell>
          <cell r="E423">
            <v>-3539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2099.67</v>
          </cell>
          <cell r="Q423">
            <v>-1439.33</v>
          </cell>
        </row>
        <row r="424">
          <cell r="A424">
            <v>59401</v>
          </cell>
          <cell r="B424" t="str">
            <v>Insurance claim repairs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</row>
        <row r="425">
          <cell r="A425">
            <v>59500</v>
          </cell>
          <cell r="B425" t="str">
            <v>Workers Comp Prem</v>
          </cell>
          <cell r="E425">
            <v>1104</v>
          </cell>
          <cell r="F425">
            <v>4000</v>
          </cell>
          <cell r="G425">
            <v>4000</v>
          </cell>
          <cell r="H425">
            <v>2000</v>
          </cell>
          <cell r="I425">
            <v>1000</v>
          </cell>
          <cell r="J425">
            <v>2000</v>
          </cell>
          <cell r="K425">
            <v>2000</v>
          </cell>
          <cell r="L425">
            <v>2000</v>
          </cell>
          <cell r="M425">
            <v>3000</v>
          </cell>
          <cell r="N425">
            <v>3000</v>
          </cell>
          <cell r="O425">
            <v>3000</v>
          </cell>
          <cell r="P425">
            <v>0</v>
          </cell>
          <cell r="Q425">
            <v>27104</v>
          </cell>
        </row>
        <row r="426">
          <cell r="A426">
            <v>59998</v>
          </cell>
          <cell r="B426" t="str">
            <v>Allocation Out - District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</row>
        <row r="427">
          <cell r="A427">
            <v>59999</v>
          </cell>
          <cell r="B427" t="str">
            <v>Allocation Out - Out District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</row>
        <row r="428">
          <cell r="A428" t="str">
            <v>Total Insurance</v>
          </cell>
          <cell r="E428">
            <v>57780.54</v>
          </cell>
          <cell r="F428">
            <v>24185.94</v>
          </cell>
          <cell r="G428">
            <v>22089.41</v>
          </cell>
          <cell r="H428">
            <v>38945.119999999995</v>
          </cell>
          <cell r="I428">
            <v>10836.72</v>
          </cell>
          <cell r="J428">
            <v>5141.9799999999996</v>
          </cell>
          <cell r="K428">
            <v>41238.080000000002</v>
          </cell>
          <cell r="L428">
            <v>8904.41</v>
          </cell>
          <cell r="M428">
            <v>9941.86</v>
          </cell>
          <cell r="N428">
            <v>20840.82</v>
          </cell>
          <cell r="O428">
            <v>21237.94</v>
          </cell>
          <cell r="P428">
            <v>26494.449999999997</v>
          </cell>
          <cell r="Q428">
            <v>287637.27</v>
          </cell>
        </row>
        <row r="430">
          <cell r="A430" t="str">
            <v>Disposal of Assets and Operations</v>
          </cell>
        </row>
        <row r="431">
          <cell r="A431">
            <v>72000</v>
          </cell>
          <cell r="B431" t="str">
            <v>Gain/Loss on Disposal of Operations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</row>
        <row r="432">
          <cell r="A432">
            <v>91010</v>
          </cell>
          <cell r="B432" t="str">
            <v>Gain/Loss on Sale of Asset</v>
          </cell>
          <cell r="E432">
            <v>0</v>
          </cell>
          <cell r="F432">
            <v>0</v>
          </cell>
          <cell r="G432">
            <v>0</v>
          </cell>
          <cell r="H432">
            <v>145.82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145.82</v>
          </cell>
        </row>
        <row r="433">
          <cell r="A433" t="str">
            <v>Total Disposal of Assets and Operations</v>
          </cell>
          <cell r="E433">
            <v>0</v>
          </cell>
          <cell r="F433">
            <v>0</v>
          </cell>
          <cell r="G433">
            <v>0</v>
          </cell>
          <cell r="H433">
            <v>145.82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145.82</v>
          </cell>
        </row>
        <row r="435">
          <cell r="A435" t="str">
            <v>Total Operating Costs</v>
          </cell>
          <cell r="E435">
            <v>556322.18999999994</v>
          </cell>
          <cell r="F435">
            <v>483088.13</v>
          </cell>
          <cell r="G435">
            <v>533902.79</v>
          </cell>
          <cell r="H435">
            <v>564081.47</v>
          </cell>
          <cell r="I435">
            <v>483474.26</v>
          </cell>
          <cell r="J435">
            <v>500744.69999999995</v>
          </cell>
          <cell r="K435">
            <v>514379.49999999994</v>
          </cell>
          <cell r="L435">
            <v>499533.73</v>
          </cell>
          <cell r="M435">
            <v>480587.02</v>
          </cell>
          <cell r="N435">
            <v>468427.15999999992</v>
          </cell>
          <cell r="O435">
            <v>510740</v>
          </cell>
          <cell r="P435">
            <v>507649</v>
          </cell>
          <cell r="Q435">
            <v>6102929.9500000002</v>
          </cell>
        </row>
        <row r="437">
          <cell r="A437" t="str">
            <v>Gross Profit</v>
          </cell>
          <cell r="E437">
            <v>283635.74000000011</v>
          </cell>
          <cell r="F437">
            <v>397011.87</v>
          </cell>
          <cell r="G437">
            <v>293409.25999999989</v>
          </cell>
          <cell r="H437">
            <v>295183.43000000005</v>
          </cell>
          <cell r="I437">
            <v>372092.71999999974</v>
          </cell>
          <cell r="J437">
            <v>350748.59000000008</v>
          </cell>
          <cell r="K437">
            <v>347516.12000000005</v>
          </cell>
          <cell r="L437">
            <v>388020.01</v>
          </cell>
          <cell r="M437">
            <v>377828.52</v>
          </cell>
          <cell r="N437">
            <v>382225.52999999991</v>
          </cell>
          <cell r="O437">
            <v>311431.2100000002</v>
          </cell>
          <cell r="P437">
            <v>306754.91999999981</v>
          </cell>
          <cell r="Q437">
            <v>4105857.9199999953</v>
          </cell>
        </row>
        <row r="439">
          <cell r="A439" t="str">
            <v>SG&amp;A</v>
          </cell>
        </row>
        <row r="440">
          <cell r="A440" t="str">
            <v>Sales</v>
          </cell>
        </row>
        <row r="441">
          <cell r="A441">
            <v>60010</v>
          </cell>
          <cell r="B441" t="str">
            <v>Salaries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</row>
        <row r="442">
          <cell r="A442">
            <v>60020</v>
          </cell>
          <cell r="B442" t="str">
            <v>Wages Regular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</row>
        <row r="443">
          <cell r="A443">
            <v>60025</v>
          </cell>
          <cell r="B443" t="str">
            <v>Wages O.T.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</row>
        <row r="444">
          <cell r="A444">
            <v>60030</v>
          </cell>
          <cell r="B444" t="str">
            <v>Bonuses and Commissions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</row>
        <row r="445">
          <cell r="A445">
            <v>60035</v>
          </cell>
          <cell r="B445" t="str">
            <v>Safety Bonuses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</row>
        <row r="446">
          <cell r="A446">
            <v>60037</v>
          </cell>
          <cell r="B446" t="str">
            <v>Termination Pay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</row>
        <row r="447">
          <cell r="A447">
            <v>60045</v>
          </cell>
          <cell r="B447" t="str">
            <v>Contract Labor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</row>
        <row r="448">
          <cell r="A448">
            <v>60050</v>
          </cell>
          <cell r="B448" t="str">
            <v>Payroll Taxes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</row>
        <row r="449">
          <cell r="A449">
            <v>60060</v>
          </cell>
          <cell r="B449" t="str">
            <v>Group Insurance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</row>
        <row r="450">
          <cell r="A450">
            <v>60065</v>
          </cell>
          <cell r="B450" t="str">
            <v>Vacation Pay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</row>
        <row r="451">
          <cell r="A451">
            <v>60070</v>
          </cell>
          <cell r="B451" t="str">
            <v>Sick Pay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</row>
        <row r="452">
          <cell r="A452">
            <v>60086</v>
          </cell>
          <cell r="B452" t="str">
            <v>Safety and Training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</row>
        <row r="453">
          <cell r="A453">
            <v>60095</v>
          </cell>
          <cell r="B453" t="str">
            <v>Empl &amp; Commun Activ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</row>
        <row r="454">
          <cell r="A454">
            <v>60105</v>
          </cell>
          <cell r="B454" t="str">
            <v>Employee Relocation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</row>
        <row r="455">
          <cell r="A455">
            <v>60115</v>
          </cell>
          <cell r="B455" t="str">
            <v>School Tuition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</row>
        <row r="456">
          <cell r="A456">
            <v>60116</v>
          </cell>
          <cell r="B456" t="str">
            <v>Pension and Profit Sharing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</row>
        <row r="457">
          <cell r="A457">
            <v>60117</v>
          </cell>
          <cell r="B457" t="str">
            <v>Union Pension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</row>
        <row r="458">
          <cell r="A458">
            <v>60148</v>
          </cell>
          <cell r="B458" t="str">
            <v>Allocated Exp In - District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</row>
        <row r="459">
          <cell r="A459">
            <v>60149</v>
          </cell>
          <cell r="B459" t="str">
            <v>Allocated Exp In Out - District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</row>
        <row r="460">
          <cell r="A460">
            <v>60165</v>
          </cell>
          <cell r="B460" t="str">
            <v>Communications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</row>
        <row r="461">
          <cell r="A461">
            <v>60170</v>
          </cell>
          <cell r="B461" t="str">
            <v>Real Estate Rentals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</row>
        <row r="462">
          <cell r="A462">
            <v>60175</v>
          </cell>
          <cell r="B462" t="str">
            <v>Equip/Vehicle Rental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</row>
        <row r="463">
          <cell r="A463">
            <v>60185</v>
          </cell>
          <cell r="B463" t="str">
            <v>Postage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</row>
        <row r="464">
          <cell r="A464">
            <v>60195</v>
          </cell>
          <cell r="B464" t="str">
            <v>Dues and Subscriptions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</row>
        <row r="465">
          <cell r="A465">
            <v>60196</v>
          </cell>
          <cell r="B465" t="str">
            <v>Club Dues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</row>
        <row r="466">
          <cell r="A466">
            <v>60200</v>
          </cell>
          <cell r="B466" t="str">
            <v>Travel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</row>
        <row r="467">
          <cell r="A467">
            <v>60201</v>
          </cell>
          <cell r="B467" t="str">
            <v>Entertainment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</row>
        <row r="468">
          <cell r="A468">
            <v>60205</v>
          </cell>
          <cell r="B468" t="str">
            <v>Travel - Auto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</row>
        <row r="469">
          <cell r="A469">
            <v>60210</v>
          </cell>
          <cell r="B469" t="str">
            <v>Office Supplies and Equip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</row>
        <row r="470">
          <cell r="A470">
            <v>60225</v>
          </cell>
          <cell r="B470" t="str">
            <v>Advertising and Promotions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3237.6</v>
          </cell>
          <cell r="Q470">
            <v>3237.6</v>
          </cell>
        </row>
        <row r="471">
          <cell r="A471">
            <v>60234</v>
          </cell>
          <cell r="B471" t="str">
            <v>O/S Sales Exp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</row>
        <row r="472">
          <cell r="A472">
            <v>60255</v>
          </cell>
          <cell r="B472" t="str">
            <v>Other Prof Fees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</row>
        <row r="473">
          <cell r="A473">
            <v>60326</v>
          </cell>
          <cell r="B473" t="str">
            <v>Deduct - Current Yr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A474">
            <v>60327</v>
          </cell>
          <cell r="B474" t="str">
            <v>Deduct - Damage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</row>
        <row r="475">
          <cell r="A475">
            <v>60328</v>
          </cell>
          <cell r="B475" t="str">
            <v>Claim Recoveries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</row>
        <row r="476">
          <cell r="A476">
            <v>60330</v>
          </cell>
          <cell r="B476" t="str">
            <v>Deduct Prior Year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</row>
        <row r="477">
          <cell r="A477">
            <v>60335</v>
          </cell>
          <cell r="B477" t="str">
            <v>Miscellaneous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</row>
        <row r="478">
          <cell r="A478">
            <v>60998</v>
          </cell>
          <cell r="B478" t="str">
            <v>Allocation Out - District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60999</v>
          </cell>
          <cell r="B479" t="str">
            <v>Allocation Out - Out District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</row>
        <row r="480">
          <cell r="A480" t="str">
            <v>Total Sales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3237.6</v>
          </cell>
          <cell r="Q480">
            <v>3237.6</v>
          </cell>
        </row>
        <row r="482">
          <cell r="A482" t="str">
            <v>G&amp;A</v>
          </cell>
        </row>
        <row r="483">
          <cell r="A483">
            <v>70010</v>
          </cell>
          <cell r="B483" t="str">
            <v>Salaries</v>
          </cell>
          <cell r="E483">
            <v>28808.37</v>
          </cell>
          <cell r="F483">
            <v>29237.93</v>
          </cell>
          <cell r="G483">
            <v>34055.660000000003</v>
          </cell>
          <cell r="H483">
            <v>32303.54</v>
          </cell>
          <cell r="I483">
            <v>32394.99</v>
          </cell>
          <cell r="J483">
            <v>34374</v>
          </cell>
          <cell r="K483">
            <v>35547.46</v>
          </cell>
          <cell r="L483">
            <v>34794.910000000003</v>
          </cell>
          <cell r="M483">
            <v>35448.120000000003</v>
          </cell>
          <cell r="N483">
            <v>34195.99</v>
          </cell>
          <cell r="O483">
            <v>35269.089999999997</v>
          </cell>
          <cell r="P483">
            <v>37099.64</v>
          </cell>
          <cell r="Q483">
            <v>403529.69999999995</v>
          </cell>
        </row>
        <row r="484">
          <cell r="A484">
            <v>70015</v>
          </cell>
          <cell r="B484" t="str">
            <v>Deferred Comp Earnings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</row>
        <row r="485">
          <cell r="A485">
            <v>70020</v>
          </cell>
          <cell r="B485" t="str">
            <v>Wages Regular</v>
          </cell>
          <cell r="E485">
            <v>28572.240000000002</v>
          </cell>
          <cell r="F485">
            <v>30096.06</v>
          </cell>
          <cell r="G485">
            <v>32883.68</v>
          </cell>
          <cell r="H485">
            <v>33553.279999999999</v>
          </cell>
          <cell r="I485">
            <v>27323.32</v>
          </cell>
          <cell r="J485">
            <v>31281.360000000001</v>
          </cell>
          <cell r="K485">
            <v>28636.82</v>
          </cell>
          <cell r="L485">
            <v>32591.07</v>
          </cell>
          <cell r="M485">
            <v>25152.99</v>
          </cell>
          <cell r="N485">
            <v>26476.49</v>
          </cell>
          <cell r="O485">
            <v>29556.5</v>
          </cell>
          <cell r="P485">
            <v>26409.97</v>
          </cell>
          <cell r="Q485">
            <v>352533.78</v>
          </cell>
        </row>
        <row r="486">
          <cell r="A486">
            <v>70025</v>
          </cell>
          <cell r="B486" t="str">
            <v>Wages O.T.</v>
          </cell>
          <cell r="E486">
            <v>1534.05</v>
          </cell>
          <cell r="F486">
            <v>1546.14</v>
          </cell>
          <cell r="G486">
            <v>1142.1400000000001</v>
          </cell>
          <cell r="H486">
            <v>1991.39</v>
          </cell>
          <cell r="I486">
            <v>1423.14</v>
          </cell>
          <cell r="J486">
            <v>1581.5</v>
          </cell>
          <cell r="K486">
            <v>577.54</v>
          </cell>
          <cell r="L486">
            <v>3583.2</v>
          </cell>
          <cell r="M486">
            <v>1079.97</v>
          </cell>
          <cell r="N486">
            <v>1516.27</v>
          </cell>
          <cell r="O486">
            <v>2000.96</v>
          </cell>
          <cell r="P486">
            <v>1477.46</v>
          </cell>
          <cell r="Q486">
            <v>19453.760000000002</v>
          </cell>
        </row>
        <row r="487">
          <cell r="A487">
            <v>70030</v>
          </cell>
          <cell r="B487" t="str">
            <v>Corp Allocated Bonus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</row>
        <row r="488">
          <cell r="A488">
            <v>70035</v>
          </cell>
          <cell r="B488" t="str">
            <v>Safety Bonuses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</row>
        <row r="489">
          <cell r="A489">
            <v>70036</v>
          </cell>
          <cell r="B489" t="str">
            <v>Other Bonus/Commission - Non-Safety</v>
          </cell>
          <cell r="E489">
            <v>1075</v>
          </cell>
          <cell r="F489">
            <v>1675</v>
          </cell>
          <cell r="G489">
            <v>7455.5</v>
          </cell>
          <cell r="H489">
            <v>3066.38</v>
          </cell>
          <cell r="I489">
            <v>1438.95</v>
          </cell>
          <cell r="J489">
            <v>3016.36</v>
          </cell>
          <cell r="K489">
            <v>2625</v>
          </cell>
          <cell r="L489">
            <v>2678.43</v>
          </cell>
          <cell r="M489">
            <v>2913.79</v>
          </cell>
          <cell r="N489">
            <v>1746.4</v>
          </cell>
          <cell r="O489">
            <v>2652.32</v>
          </cell>
          <cell r="P489">
            <v>5362.05</v>
          </cell>
          <cell r="Q489">
            <v>35705.180000000008</v>
          </cell>
        </row>
        <row r="490">
          <cell r="A490">
            <v>70037</v>
          </cell>
          <cell r="B490" t="str">
            <v>Termination Pay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</row>
        <row r="491">
          <cell r="A491">
            <v>70045</v>
          </cell>
          <cell r="B491" t="str">
            <v>Contract Labor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</row>
        <row r="492">
          <cell r="A492">
            <v>70050</v>
          </cell>
          <cell r="B492" t="str">
            <v>Payroll Taxes</v>
          </cell>
          <cell r="E492">
            <v>7335.33</v>
          </cell>
          <cell r="F492">
            <v>5253.85</v>
          </cell>
          <cell r="G492">
            <v>6887.21</v>
          </cell>
          <cell r="H492">
            <v>5839.13</v>
          </cell>
          <cell r="I492">
            <v>4643.53</v>
          </cell>
          <cell r="J492">
            <v>5669.76</v>
          </cell>
          <cell r="K492">
            <v>4555.33</v>
          </cell>
          <cell r="L492">
            <v>5742.05</v>
          </cell>
          <cell r="M492">
            <v>4517.6899999999996</v>
          </cell>
          <cell r="N492">
            <v>4408.2</v>
          </cell>
          <cell r="O492">
            <v>4942.4399999999996</v>
          </cell>
          <cell r="P492">
            <v>5199.09</v>
          </cell>
          <cell r="Q492">
            <v>64993.61</v>
          </cell>
        </row>
        <row r="493">
          <cell r="A493">
            <v>70060</v>
          </cell>
          <cell r="B493" t="str">
            <v>Group Insurance</v>
          </cell>
          <cell r="E493">
            <v>11410.52</v>
          </cell>
          <cell r="F493">
            <v>11524.58</v>
          </cell>
          <cell r="G493">
            <v>10554.24</v>
          </cell>
          <cell r="H493">
            <v>13084.2</v>
          </cell>
          <cell r="I493">
            <v>12115.75</v>
          </cell>
          <cell r="J493">
            <v>12494.37</v>
          </cell>
          <cell r="K493">
            <v>12559.75</v>
          </cell>
          <cell r="L493">
            <v>12415.93</v>
          </cell>
          <cell r="M493">
            <v>11362.28</v>
          </cell>
          <cell r="N493">
            <v>13749.11</v>
          </cell>
          <cell r="O493">
            <v>12593.52</v>
          </cell>
          <cell r="P493">
            <v>12600.59</v>
          </cell>
          <cell r="Q493">
            <v>146464.84</v>
          </cell>
        </row>
        <row r="494">
          <cell r="A494">
            <v>70065</v>
          </cell>
          <cell r="B494" t="str">
            <v>Vacation Pay</v>
          </cell>
          <cell r="E494">
            <v>1582.88</v>
          </cell>
          <cell r="F494">
            <v>4413.99</v>
          </cell>
          <cell r="G494">
            <v>48.78</v>
          </cell>
          <cell r="H494">
            <v>2185.79</v>
          </cell>
          <cell r="I494">
            <v>4000.59</v>
          </cell>
          <cell r="J494">
            <v>-891.88</v>
          </cell>
          <cell r="K494">
            <v>4756.8500000000004</v>
          </cell>
          <cell r="L494">
            <v>2920.08</v>
          </cell>
          <cell r="M494">
            <v>4784.29</v>
          </cell>
          <cell r="N494">
            <v>3124.36</v>
          </cell>
          <cell r="O494">
            <v>2610.1999999999998</v>
          </cell>
          <cell r="P494">
            <v>4173.68</v>
          </cell>
          <cell r="Q494">
            <v>33709.61</v>
          </cell>
        </row>
        <row r="495">
          <cell r="A495">
            <v>70070</v>
          </cell>
          <cell r="B495" t="str">
            <v>Sick Pay</v>
          </cell>
          <cell r="E495">
            <v>396.68</v>
          </cell>
          <cell r="F495">
            <v>680.36</v>
          </cell>
          <cell r="G495">
            <v>1133.57</v>
          </cell>
          <cell r="H495">
            <v>674.93</v>
          </cell>
          <cell r="I495">
            <v>892.47</v>
          </cell>
          <cell r="J495">
            <v>554.58000000000004</v>
          </cell>
          <cell r="K495">
            <v>198.93</v>
          </cell>
          <cell r="L495">
            <v>122.21</v>
          </cell>
          <cell r="M495">
            <v>727.21</v>
          </cell>
          <cell r="N495">
            <v>366.82</v>
          </cell>
          <cell r="O495">
            <v>768.29</v>
          </cell>
          <cell r="P495">
            <v>121.28</v>
          </cell>
          <cell r="Q495">
            <v>6637.329999999999</v>
          </cell>
        </row>
        <row r="496">
          <cell r="A496">
            <v>70086</v>
          </cell>
          <cell r="B496" t="str">
            <v>Safety and Training</v>
          </cell>
          <cell r="E496">
            <v>14.8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35.6</v>
          </cell>
          <cell r="K496">
            <v>0</v>
          </cell>
          <cell r="L496">
            <v>70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120.4</v>
          </cell>
        </row>
        <row r="497">
          <cell r="A497">
            <v>70090</v>
          </cell>
          <cell r="B497" t="str">
            <v>WCN Training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708.81</v>
          </cell>
          <cell r="O497">
            <v>-708.81</v>
          </cell>
          <cell r="P497">
            <v>0</v>
          </cell>
          <cell r="Q497">
            <v>0</v>
          </cell>
        </row>
        <row r="498">
          <cell r="A498">
            <v>70095</v>
          </cell>
          <cell r="B498" t="str">
            <v>Empl &amp; Commun Activ</v>
          </cell>
          <cell r="E498">
            <v>16986.41</v>
          </cell>
          <cell r="F498">
            <v>158.86000000000001</v>
          </cell>
          <cell r="G498">
            <v>1019.92</v>
          </cell>
          <cell r="H498">
            <v>210.51</v>
          </cell>
          <cell r="I498">
            <v>1580.13</v>
          </cell>
          <cell r="J498">
            <v>4162.7</v>
          </cell>
          <cell r="K498">
            <v>660.39</v>
          </cell>
          <cell r="L498">
            <v>2656.19</v>
          </cell>
          <cell r="M498">
            <v>517.80999999999995</v>
          </cell>
          <cell r="N498">
            <v>54.01</v>
          </cell>
          <cell r="O498">
            <v>1519.35</v>
          </cell>
          <cell r="P498">
            <v>3351.61</v>
          </cell>
          <cell r="Q498">
            <v>32877.889999999992</v>
          </cell>
        </row>
        <row r="499">
          <cell r="A499">
            <v>70105</v>
          </cell>
          <cell r="B499" t="str">
            <v>Employee Relocation</v>
          </cell>
          <cell r="E499">
            <v>381.64</v>
          </cell>
          <cell r="F499">
            <v>381.64</v>
          </cell>
          <cell r="G499">
            <v>381.64</v>
          </cell>
          <cell r="H499">
            <v>381.64</v>
          </cell>
          <cell r="I499">
            <v>381.64</v>
          </cell>
          <cell r="J499">
            <v>381.64</v>
          </cell>
          <cell r="K499">
            <v>381.64</v>
          </cell>
          <cell r="L499">
            <v>381.64</v>
          </cell>
          <cell r="M499">
            <v>381.64</v>
          </cell>
          <cell r="N499">
            <v>381.64</v>
          </cell>
          <cell r="O499">
            <v>381.64</v>
          </cell>
          <cell r="P499">
            <v>381.64</v>
          </cell>
          <cell r="Q499">
            <v>4579.6799999999994</v>
          </cell>
        </row>
        <row r="500">
          <cell r="A500">
            <v>70107</v>
          </cell>
          <cell r="B500" t="str">
            <v>Housing Subsidy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</row>
        <row r="501">
          <cell r="A501">
            <v>70108</v>
          </cell>
          <cell r="B501" t="str">
            <v>School Tuition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</row>
        <row r="502">
          <cell r="A502">
            <v>70110</v>
          </cell>
          <cell r="B502" t="str">
            <v>Contributions</v>
          </cell>
          <cell r="E502">
            <v>312.5</v>
          </cell>
          <cell r="F502">
            <v>5000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1308.46</v>
          </cell>
          <cell r="L502">
            <v>0</v>
          </cell>
          <cell r="M502">
            <v>250</v>
          </cell>
          <cell r="N502">
            <v>0</v>
          </cell>
          <cell r="O502">
            <v>0</v>
          </cell>
          <cell r="P502">
            <v>0</v>
          </cell>
          <cell r="Q502">
            <v>6870.96</v>
          </cell>
        </row>
        <row r="503">
          <cell r="A503">
            <v>70111</v>
          </cell>
          <cell r="B503" t="str">
            <v>Non Cash Charitable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</row>
        <row r="504">
          <cell r="A504">
            <v>70112</v>
          </cell>
          <cell r="B504" t="str">
            <v>Political Contributions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</row>
        <row r="505">
          <cell r="A505">
            <v>70116</v>
          </cell>
          <cell r="B505" t="str">
            <v>Pension and Profit Sharing</v>
          </cell>
          <cell r="E505">
            <v>775.31</v>
          </cell>
          <cell r="F505">
            <v>784.92</v>
          </cell>
          <cell r="G505">
            <v>1191.3900000000001</v>
          </cell>
          <cell r="H505">
            <v>882.19</v>
          </cell>
          <cell r="I505">
            <v>848.69</v>
          </cell>
          <cell r="J505">
            <v>942.95</v>
          </cell>
          <cell r="K505">
            <v>949.67</v>
          </cell>
          <cell r="L505">
            <v>1042.08</v>
          </cell>
          <cell r="M505">
            <v>979.97</v>
          </cell>
          <cell r="N505">
            <v>1418.44</v>
          </cell>
          <cell r="O505">
            <v>969.88</v>
          </cell>
          <cell r="P505">
            <v>1066.9100000000001</v>
          </cell>
          <cell r="Q505">
            <v>11852.4</v>
          </cell>
        </row>
        <row r="506">
          <cell r="A506">
            <v>70117</v>
          </cell>
          <cell r="B506" t="str">
            <v>Union Pension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</row>
        <row r="507">
          <cell r="A507">
            <v>70142</v>
          </cell>
          <cell r="B507" t="str">
            <v>Fuel Expense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</row>
        <row r="508">
          <cell r="A508">
            <v>70145</v>
          </cell>
          <cell r="B508" t="str">
            <v>Outside Repairs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</row>
        <row r="509">
          <cell r="A509">
            <v>70147</v>
          </cell>
          <cell r="B509" t="str">
            <v>Bldg &amp; Property Maint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</row>
        <row r="510">
          <cell r="A510">
            <v>70148</v>
          </cell>
          <cell r="B510" t="str">
            <v>Allocated Exp In - District</v>
          </cell>
          <cell r="E510">
            <v>2932.61</v>
          </cell>
          <cell r="F510">
            <v>3215.3</v>
          </cell>
          <cell r="G510">
            <v>3962.99</v>
          </cell>
          <cell r="H510">
            <v>2924.73</v>
          </cell>
          <cell r="I510">
            <v>1275.23</v>
          </cell>
          <cell r="J510">
            <v>4265.58</v>
          </cell>
          <cell r="K510">
            <v>8940.42</v>
          </cell>
          <cell r="L510">
            <v>7247.4</v>
          </cell>
          <cell r="M510">
            <v>-383</v>
          </cell>
          <cell r="N510">
            <v>2709.33</v>
          </cell>
          <cell r="O510">
            <v>3459.2</v>
          </cell>
          <cell r="P510">
            <v>2793.15</v>
          </cell>
          <cell r="Q510">
            <v>43342.94</v>
          </cell>
        </row>
        <row r="511">
          <cell r="A511">
            <v>70150</v>
          </cell>
          <cell r="B511" t="str">
            <v>Utilities</v>
          </cell>
          <cell r="E511">
            <v>380.73</v>
          </cell>
          <cell r="F511">
            <v>364.13</v>
          </cell>
          <cell r="G511">
            <v>364.19</v>
          </cell>
          <cell r="H511">
            <v>352.07</v>
          </cell>
          <cell r="I511">
            <v>323.74</v>
          </cell>
          <cell r="J511">
            <v>309.05</v>
          </cell>
          <cell r="K511">
            <v>1116.01</v>
          </cell>
          <cell r="L511">
            <v>325.92</v>
          </cell>
          <cell r="M511">
            <v>289.63</v>
          </cell>
          <cell r="N511">
            <v>300.67</v>
          </cell>
          <cell r="O511">
            <v>324.64999999999998</v>
          </cell>
          <cell r="P511">
            <v>559.65</v>
          </cell>
          <cell r="Q511">
            <v>5010.4399999999996</v>
          </cell>
        </row>
        <row r="512">
          <cell r="A512">
            <v>70165</v>
          </cell>
          <cell r="B512" t="str">
            <v>Communications</v>
          </cell>
          <cell r="E512">
            <v>471.39</v>
          </cell>
          <cell r="F512">
            <v>299.95</v>
          </cell>
          <cell r="G512">
            <v>548.38</v>
          </cell>
          <cell r="H512">
            <v>403.25</v>
          </cell>
          <cell r="I512">
            <v>472.01</v>
          </cell>
          <cell r="J512">
            <v>532</v>
          </cell>
          <cell r="K512">
            <v>463.52</v>
          </cell>
          <cell r="L512">
            <v>1173.68</v>
          </cell>
          <cell r="M512">
            <v>539.39</v>
          </cell>
          <cell r="N512">
            <v>124.82</v>
          </cell>
          <cell r="O512">
            <v>370.1</v>
          </cell>
          <cell r="P512">
            <v>2409.2399999999998</v>
          </cell>
          <cell r="Q512">
            <v>7807.73</v>
          </cell>
        </row>
        <row r="513">
          <cell r="A513">
            <v>70166</v>
          </cell>
          <cell r="B513" t="str">
            <v>Office Telephone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</row>
        <row r="514">
          <cell r="A514">
            <v>70167</v>
          </cell>
          <cell r="B514" t="str">
            <v>Cellular Telephone</v>
          </cell>
          <cell r="E514">
            <v>18.989999999999998</v>
          </cell>
          <cell r="F514">
            <v>62.24</v>
          </cell>
          <cell r="G514">
            <v>118.47</v>
          </cell>
          <cell r="H514">
            <v>68.52</v>
          </cell>
          <cell r="I514">
            <v>56.02</v>
          </cell>
          <cell r="J514">
            <v>68.52</v>
          </cell>
          <cell r="K514">
            <v>118.98</v>
          </cell>
          <cell r="L514">
            <v>62.5</v>
          </cell>
          <cell r="M514">
            <v>25</v>
          </cell>
          <cell r="N514">
            <v>-73.709999999999994</v>
          </cell>
          <cell r="O514">
            <v>223.71</v>
          </cell>
          <cell r="P514">
            <v>50</v>
          </cell>
          <cell r="Q514">
            <v>799.24</v>
          </cell>
        </row>
        <row r="515">
          <cell r="A515">
            <v>70170</v>
          </cell>
          <cell r="B515" t="str">
            <v>Real Estate Rentals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3168.8</v>
          </cell>
          <cell r="Q515">
            <v>3168.8</v>
          </cell>
        </row>
        <row r="516">
          <cell r="A516">
            <v>70175</v>
          </cell>
          <cell r="B516" t="str">
            <v>Equip/Vehicle Rental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</row>
        <row r="517">
          <cell r="A517">
            <v>70185</v>
          </cell>
          <cell r="B517" t="str">
            <v>Postage</v>
          </cell>
          <cell r="E517">
            <v>554.46</v>
          </cell>
          <cell r="F517">
            <v>488.09</v>
          </cell>
          <cell r="G517">
            <v>167.53</v>
          </cell>
          <cell r="H517">
            <v>594.19000000000005</v>
          </cell>
          <cell r="I517">
            <v>578.76</v>
          </cell>
          <cell r="J517">
            <v>533.45000000000005</v>
          </cell>
          <cell r="K517">
            <v>916.47</v>
          </cell>
          <cell r="L517">
            <v>529.91</v>
          </cell>
          <cell r="M517">
            <v>533.41</v>
          </cell>
          <cell r="N517">
            <v>625</v>
          </cell>
          <cell r="O517">
            <v>547.6</v>
          </cell>
          <cell r="P517">
            <v>547.17999999999995</v>
          </cell>
          <cell r="Q517">
            <v>6616.05</v>
          </cell>
        </row>
        <row r="518">
          <cell r="A518">
            <v>70190</v>
          </cell>
          <cell r="B518" t="str">
            <v>Registration Fees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</row>
        <row r="519">
          <cell r="A519">
            <v>70195</v>
          </cell>
          <cell r="B519" t="str">
            <v>Dues and Subscriptions</v>
          </cell>
          <cell r="E519">
            <v>913</v>
          </cell>
          <cell r="F519">
            <v>1939.67</v>
          </cell>
          <cell r="G519">
            <v>663</v>
          </cell>
          <cell r="H519">
            <v>2175.4699999999998</v>
          </cell>
          <cell r="I519">
            <v>775.41</v>
          </cell>
          <cell r="J519">
            <v>1375.47</v>
          </cell>
          <cell r="K519">
            <v>833</v>
          </cell>
          <cell r="L519">
            <v>2029.58</v>
          </cell>
          <cell r="M519">
            <v>672.93</v>
          </cell>
          <cell r="N519">
            <v>1244.56</v>
          </cell>
          <cell r="O519">
            <v>2034.76</v>
          </cell>
          <cell r="P519">
            <v>974.76</v>
          </cell>
          <cell r="Q519">
            <v>15631.61</v>
          </cell>
        </row>
        <row r="520">
          <cell r="A520">
            <v>70196</v>
          </cell>
          <cell r="B520" t="str">
            <v>Club Dues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</row>
        <row r="521">
          <cell r="A521">
            <v>70200</v>
          </cell>
          <cell r="B521" t="str">
            <v>Travel</v>
          </cell>
          <cell r="E521">
            <v>284.18</v>
          </cell>
          <cell r="F521">
            <v>570.14</v>
          </cell>
          <cell r="G521">
            <v>-220.29</v>
          </cell>
          <cell r="H521">
            <v>1900</v>
          </cell>
          <cell r="I521">
            <v>-1665.7</v>
          </cell>
          <cell r="J521">
            <v>263.64999999999998</v>
          </cell>
          <cell r="K521">
            <v>203.4</v>
          </cell>
          <cell r="L521">
            <v>-15.5</v>
          </cell>
          <cell r="M521">
            <v>340.62</v>
          </cell>
          <cell r="N521">
            <v>348.94</v>
          </cell>
          <cell r="O521">
            <v>14.75</v>
          </cell>
          <cell r="P521">
            <v>68.2</v>
          </cell>
          <cell r="Q521">
            <v>2092.3899999999994</v>
          </cell>
        </row>
        <row r="522">
          <cell r="A522">
            <v>70201</v>
          </cell>
          <cell r="B522" t="str">
            <v>Entertainment</v>
          </cell>
          <cell r="E522">
            <v>0</v>
          </cell>
          <cell r="F522">
            <v>7.85</v>
          </cell>
          <cell r="G522">
            <v>137.01</v>
          </cell>
          <cell r="H522">
            <v>-29.88</v>
          </cell>
          <cell r="I522">
            <v>73.069999999999993</v>
          </cell>
          <cell r="J522">
            <v>428.59</v>
          </cell>
          <cell r="K522">
            <v>-290.98</v>
          </cell>
          <cell r="L522">
            <v>540.96</v>
          </cell>
          <cell r="M522">
            <v>-468.86</v>
          </cell>
          <cell r="N522">
            <v>13.96</v>
          </cell>
          <cell r="O522">
            <v>0</v>
          </cell>
          <cell r="P522">
            <v>0</v>
          </cell>
          <cell r="Q522">
            <v>411.71999999999997</v>
          </cell>
        </row>
        <row r="523">
          <cell r="A523">
            <v>70202</v>
          </cell>
          <cell r="B523" t="str">
            <v>Excursions Meetings</v>
          </cell>
          <cell r="E523">
            <v>0</v>
          </cell>
          <cell r="F523">
            <v>115.17</v>
          </cell>
          <cell r="G523">
            <v>0</v>
          </cell>
          <cell r="H523">
            <v>0</v>
          </cell>
          <cell r="I523">
            <v>0</v>
          </cell>
          <cell r="J523">
            <v>416.25</v>
          </cell>
          <cell r="K523">
            <v>0</v>
          </cell>
          <cell r="L523">
            <v>0</v>
          </cell>
          <cell r="M523">
            <v>0</v>
          </cell>
          <cell r="N523">
            <v>46.73</v>
          </cell>
          <cell r="O523">
            <v>-46.73</v>
          </cell>
          <cell r="P523">
            <v>0</v>
          </cell>
          <cell r="Q523">
            <v>531.41999999999996</v>
          </cell>
        </row>
        <row r="524">
          <cell r="A524">
            <v>70203</v>
          </cell>
          <cell r="B524" t="str">
            <v>Lodging</v>
          </cell>
          <cell r="E524">
            <v>-462.54</v>
          </cell>
          <cell r="F524">
            <v>0</v>
          </cell>
          <cell r="G524">
            <v>0</v>
          </cell>
          <cell r="H524">
            <v>326.7</v>
          </cell>
          <cell r="I524">
            <v>193</v>
          </cell>
          <cell r="J524">
            <v>436.86</v>
          </cell>
          <cell r="K524">
            <v>-170.97</v>
          </cell>
          <cell r="L524">
            <v>841.43</v>
          </cell>
          <cell r="M524">
            <v>127.5</v>
          </cell>
          <cell r="N524">
            <v>159.44</v>
          </cell>
          <cell r="O524">
            <v>-28.18</v>
          </cell>
          <cell r="P524">
            <v>171.48</v>
          </cell>
          <cell r="Q524">
            <v>1594.72</v>
          </cell>
        </row>
        <row r="525">
          <cell r="A525">
            <v>70204</v>
          </cell>
          <cell r="B525" t="str">
            <v>Gifts to Customers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</row>
        <row r="526">
          <cell r="A526">
            <v>70205</v>
          </cell>
          <cell r="B526" t="str">
            <v>Travel - Auto</v>
          </cell>
          <cell r="E526">
            <v>45.73</v>
          </cell>
          <cell r="F526">
            <v>-10.71</v>
          </cell>
          <cell r="G526">
            <v>526.05999999999995</v>
          </cell>
          <cell r="H526">
            <v>861.17</v>
          </cell>
          <cell r="I526">
            <v>156.44999999999999</v>
          </cell>
          <cell r="J526">
            <v>24.24</v>
          </cell>
          <cell r="K526">
            <v>2459.6</v>
          </cell>
          <cell r="L526">
            <v>-623.04</v>
          </cell>
          <cell r="M526">
            <v>1397.2</v>
          </cell>
          <cell r="N526">
            <v>-382.55</v>
          </cell>
          <cell r="O526">
            <v>-70.31</v>
          </cell>
          <cell r="P526">
            <v>-1079.19</v>
          </cell>
          <cell r="Q526">
            <v>3304.6499999999992</v>
          </cell>
        </row>
        <row r="527">
          <cell r="A527">
            <v>70206</v>
          </cell>
          <cell r="B527" t="str">
            <v>Meals</v>
          </cell>
          <cell r="E527">
            <v>-77.31</v>
          </cell>
          <cell r="F527">
            <v>17.46</v>
          </cell>
          <cell r="G527">
            <v>200.29</v>
          </cell>
          <cell r="H527">
            <v>-74.84</v>
          </cell>
          <cell r="I527">
            <v>191.59</v>
          </cell>
          <cell r="J527">
            <v>1.26</v>
          </cell>
          <cell r="K527">
            <v>-7.59</v>
          </cell>
          <cell r="L527">
            <v>350.62</v>
          </cell>
          <cell r="M527">
            <v>-21.04</v>
          </cell>
          <cell r="N527">
            <v>31.96</v>
          </cell>
          <cell r="O527">
            <v>562.61</v>
          </cell>
          <cell r="P527">
            <v>262.97000000000003</v>
          </cell>
          <cell r="Q527">
            <v>1437.9800000000002</v>
          </cell>
        </row>
        <row r="528">
          <cell r="A528">
            <v>70207</v>
          </cell>
          <cell r="B528" t="str">
            <v>Meals with Customers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</row>
        <row r="529">
          <cell r="A529">
            <v>70209</v>
          </cell>
          <cell r="B529" t="str">
            <v>Photo Supplies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</row>
        <row r="530">
          <cell r="A530">
            <v>70210</v>
          </cell>
          <cell r="B530" t="str">
            <v>Office Supplies and Equip</v>
          </cell>
          <cell r="E530">
            <v>5866.86</v>
          </cell>
          <cell r="F530">
            <v>2088.08</v>
          </cell>
          <cell r="G530">
            <v>1297.8399999999999</v>
          </cell>
          <cell r="H530">
            <v>1260.67</v>
          </cell>
          <cell r="I530">
            <v>1042.3699999999999</v>
          </cell>
          <cell r="J530">
            <v>1576.14</v>
          </cell>
          <cell r="K530">
            <v>1736.71</v>
          </cell>
          <cell r="L530">
            <v>1305.27</v>
          </cell>
          <cell r="M530">
            <v>1356.75</v>
          </cell>
          <cell r="N530">
            <v>4188.3100000000004</v>
          </cell>
          <cell r="O530">
            <v>352.32</v>
          </cell>
          <cell r="P530">
            <v>2617.98</v>
          </cell>
          <cell r="Q530">
            <v>24689.3</v>
          </cell>
        </row>
        <row r="531">
          <cell r="A531">
            <v>70213</v>
          </cell>
          <cell r="B531" t="str">
            <v>Pcard Rebate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</row>
        <row r="532">
          <cell r="A532">
            <v>70214</v>
          </cell>
          <cell r="B532" t="str">
            <v>Credit Card Fees</v>
          </cell>
          <cell r="E532">
            <v>2484.66</v>
          </cell>
          <cell r="F532">
            <v>2690.82</v>
          </cell>
          <cell r="G532">
            <v>2823.76</v>
          </cell>
          <cell r="H532">
            <v>2495.84</v>
          </cell>
          <cell r="I532">
            <v>2467.4499999999998</v>
          </cell>
          <cell r="J532">
            <v>2868.03</v>
          </cell>
          <cell r="K532">
            <v>2914.02</v>
          </cell>
          <cell r="L532">
            <v>3099.61</v>
          </cell>
          <cell r="M532">
            <v>3243.81</v>
          </cell>
          <cell r="N532">
            <v>129.69</v>
          </cell>
          <cell r="O532">
            <v>6329.67</v>
          </cell>
          <cell r="P532">
            <v>3002.76</v>
          </cell>
          <cell r="Q532">
            <v>34550.120000000003</v>
          </cell>
        </row>
        <row r="533">
          <cell r="A533">
            <v>70215</v>
          </cell>
          <cell r="B533" t="str">
            <v>Bank Charges</v>
          </cell>
          <cell r="E533">
            <v>146.88</v>
          </cell>
          <cell r="F533">
            <v>148.75</v>
          </cell>
          <cell r="G533">
            <v>150.41999999999999</v>
          </cell>
          <cell r="H533">
            <v>150.63</v>
          </cell>
          <cell r="I533">
            <v>131.56</v>
          </cell>
          <cell r="J533">
            <v>137.5</v>
          </cell>
          <cell r="K533">
            <v>0</v>
          </cell>
          <cell r="L533">
            <v>129.06</v>
          </cell>
          <cell r="M533">
            <v>133.75</v>
          </cell>
          <cell r="N533">
            <v>0</v>
          </cell>
          <cell r="O533">
            <v>264.07</v>
          </cell>
          <cell r="P533">
            <v>18.73</v>
          </cell>
          <cell r="Q533">
            <v>1411.35</v>
          </cell>
        </row>
        <row r="534">
          <cell r="A534">
            <v>70216</v>
          </cell>
          <cell r="B534" t="str">
            <v>Outside Storages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</row>
        <row r="535">
          <cell r="A535">
            <v>70217</v>
          </cell>
          <cell r="B535" t="str">
            <v>Invoice Printing Costs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</row>
        <row r="536">
          <cell r="A536">
            <v>70225</v>
          </cell>
          <cell r="B536" t="str">
            <v>Advertising and Promotions</v>
          </cell>
          <cell r="E536">
            <v>0</v>
          </cell>
          <cell r="F536">
            <v>473.41</v>
          </cell>
          <cell r="G536">
            <v>0</v>
          </cell>
          <cell r="H536">
            <v>10.55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311.8</v>
          </cell>
          <cell r="P536">
            <v>0</v>
          </cell>
          <cell r="Q536">
            <v>795.76</v>
          </cell>
        </row>
        <row r="537">
          <cell r="A537">
            <v>70230</v>
          </cell>
          <cell r="B537" t="str">
            <v>External Recruiter Fees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</row>
        <row r="538">
          <cell r="A538">
            <v>70231</v>
          </cell>
          <cell r="B538" t="str">
            <v>Recruitment Advertising &amp; Expenses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108.21</v>
          </cell>
          <cell r="N538">
            <v>0</v>
          </cell>
          <cell r="O538">
            <v>0</v>
          </cell>
          <cell r="P538">
            <v>0</v>
          </cell>
          <cell r="Q538">
            <v>108.21</v>
          </cell>
        </row>
        <row r="539">
          <cell r="A539">
            <v>70232</v>
          </cell>
          <cell r="B539" t="str">
            <v>Recruitment Travel Expenses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</row>
        <row r="540">
          <cell r="A540">
            <v>70235</v>
          </cell>
          <cell r="B540" t="str">
            <v>Legal</v>
          </cell>
          <cell r="E540">
            <v>2439.5700000000002</v>
          </cell>
          <cell r="F540">
            <v>2131.5700000000002</v>
          </cell>
          <cell r="G540">
            <v>3481.88</v>
          </cell>
          <cell r="H540">
            <v>-1738.5</v>
          </cell>
          <cell r="I540">
            <v>447.82</v>
          </cell>
          <cell r="J540">
            <v>9856.85</v>
          </cell>
          <cell r="K540">
            <v>1380.87</v>
          </cell>
          <cell r="L540">
            <v>9752.81</v>
          </cell>
          <cell r="M540">
            <v>14711.58</v>
          </cell>
          <cell r="N540">
            <v>-607.33000000000004</v>
          </cell>
          <cell r="O540">
            <v>1378.45</v>
          </cell>
          <cell r="P540">
            <v>10240.9</v>
          </cell>
          <cell r="Q540">
            <v>53476.47</v>
          </cell>
        </row>
        <row r="541">
          <cell r="A541">
            <v>70240</v>
          </cell>
          <cell r="B541" t="str">
            <v>Accounting Professional Fees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</row>
        <row r="542">
          <cell r="A542">
            <v>70245</v>
          </cell>
          <cell r="B542" t="str">
            <v>Payroll Processing Fees</v>
          </cell>
          <cell r="E542">
            <v>99.03</v>
          </cell>
          <cell r="F542">
            <v>97.9</v>
          </cell>
          <cell r="G542">
            <v>97.9</v>
          </cell>
          <cell r="H542">
            <v>97.9</v>
          </cell>
          <cell r="I542">
            <v>97.9</v>
          </cell>
          <cell r="J542">
            <v>97.9</v>
          </cell>
          <cell r="K542">
            <v>97.9</v>
          </cell>
          <cell r="L542">
            <v>80.55</v>
          </cell>
          <cell r="M542">
            <v>80.55</v>
          </cell>
          <cell r="N542">
            <v>80.55</v>
          </cell>
          <cell r="O542">
            <v>80.680000000000007</v>
          </cell>
          <cell r="P542">
            <v>80.680000000000007</v>
          </cell>
          <cell r="Q542">
            <v>1089.4399999999998</v>
          </cell>
        </row>
        <row r="543">
          <cell r="A543">
            <v>70250</v>
          </cell>
          <cell r="B543" t="str">
            <v>Acquisition Cost Write Off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</row>
        <row r="544">
          <cell r="A544">
            <v>70254</v>
          </cell>
          <cell r="B544" t="str">
            <v>Corporate Capitalized Expenses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</row>
        <row r="545">
          <cell r="A545">
            <v>70255</v>
          </cell>
          <cell r="B545" t="str">
            <v>Other Prof Fees</v>
          </cell>
          <cell r="E545">
            <v>0</v>
          </cell>
          <cell r="F545">
            <v>219.75</v>
          </cell>
          <cell r="G545">
            <v>56.21</v>
          </cell>
          <cell r="H545">
            <v>0</v>
          </cell>
          <cell r="I545">
            <v>0</v>
          </cell>
          <cell r="J545">
            <v>56.21</v>
          </cell>
          <cell r="K545">
            <v>0</v>
          </cell>
          <cell r="L545">
            <v>0</v>
          </cell>
          <cell r="M545">
            <v>56.21</v>
          </cell>
          <cell r="N545">
            <v>0</v>
          </cell>
          <cell r="O545">
            <v>-84.14</v>
          </cell>
          <cell r="P545">
            <v>482.7</v>
          </cell>
          <cell r="Q545">
            <v>786.93999999999994</v>
          </cell>
        </row>
        <row r="546">
          <cell r="A546">
            <v>70271</v>
          </cell>
          <cell r="B546" t="str">
            <v>Property and Liability Insurance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</row>
        <row r="547">
          <cell r="A547">
            <v>70272</v>
          </cell>
          <cell r="B547" t="str">
            <v>Keyman Life Insurance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</row>
        <row r="548">
          <cell r="A548">
            <v>70273</v>
          </cell>
          <cell r="B548" t="str">
            <v>Directors and Officers Insurance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</row>
        <row r="549">
          <cell r="A549">
            <v>70275</v>
          </cell>
          <cell r="B549" t="str">
            <v>Property Taxes</v>
          </cell>
          <cell r="E549">
            <v>1875</v>
          </cell>
          <cell r="F549">
            <v>1875</v>
          </cell>
          <cell r="G549">
            <v>2015.82</v>
          </cell>
          <cell r="H549">
            <v>2554.7800000000002</v>
          </cell>
          <cell r="I549">
            <v>2554.7800000000002</v>
          </cell>
          <cell r="J549">
            <v>2554.7800000000002</v>
          </cell>
          <cell r="K549">
            <v>3187.6</v>
          </cell>
          <cell r="L549">
            <v>2396.5700000000002</v>
          </cell>
          <cell r="M549">
            <v>2396.5700000000002</v>
          </cell>
          <cell r="N549">
            <v>2449.23</v>
          </cell>
          <cell r="O549">
            <v>2343.73</v>
          </cell>
          <cell r="P549">
            <v>2554.7199999999998</v>
          </cell>
          <cell r="Q549">
            <v>28758.58</v>
          </cell>
        </row>
        <row r="550">
          <cell r="A550">
            <v>70280</v>
          </cell>
          <cell r="B550" t="str">
            <v>Other Taxes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</row>
        <row r="551">
          <cell r="A551">
            <v>70300</v>
          </cell>
          <cell r="B551" t="str">
            <v>Data Processing</v>
          </cell>
          <cell r="E551">
            <v>24958.15</v>
          </cell>
          <cell r="F551">
            <v>2262.73</v>
          </cell>
          <cell r="G551">
            <v>16300.02</v>
          </cell>
          <cell r="H551">
            <v>2127.0700000000002</v>
          </cell>
          <cell r="I551">
            <v>33912.97</v>
          </cell>
          <cell r="J551">
            <v>1054.05</v>
          </cell>
          <cell r="K551">
            <v>22342.57</v>
          </cell>
          <cell r="L551">
            <v>2410.96</v>
          </cell>
          <cell r="M551">
            <v>22431</v>
          </cell>
          <cell r="N551">
            <v>1947.24</v>
          </cell>
          <cell r="O551">
            <v>21688.02</v>
          </cell>
          <cell r="P551">
            <v>-2059.87</v>
          </cell>
          <cell r="Q551">
            <v>149374.91</v>
          </cell>
        </row>
        <row r="552">
          <cell r="A552">
            <v>70301</v>
          </cell>
          <cell r="B552" t="str">
            <v>Computer Software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</row>
        <row r="553">
          <cell r="A553">
            <v>70302</v>
          </cell>
          <cell r="B553" t="str">
            <v>Computer Supplies</v>
          </cell>
          <cell r="E553">
            <v>0</v>
          </cell>
          <cell r="F553">
            <v>145.26</v>
          </cell>
          <cell r="G553">
            <v>231.28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1365.11</v>
          </cell>
          <cell r="O553">
            <v>-1365.11</v>
          </cell>
          <cell r="P553">
            <v>187.29</v>
          </cell>
          <cell r="Q553">
            <v>563.82999999999993</v>
          </cell>
        </row>
        <row r="554">
          <cell r="A554">
            <v>70310</v>
          </cell>
          <cell r="B554" t="str">
            <v>Bad Debt Provision</v>
          </cell>
          <cell r="E554">
            <v>59587.53</v>
          </cell>
          <cell r="F554">
            <v>-42181.27</v>
          </cell>
          <cell r="G554">
            <v>26327.15</v>
          </cell>
          <cell r="H554">
            <v>-23518.21</v>
          </cell>
          <cell r="I554">
            <v>45403.42</v>
          </cell>
          <cell r="J554">
            <v>-30919.22</v>
          </cell>
          <cell r="K554">
            <v>58231.48</v>
          </cell>
          <cell r="L554">
            <v>-42566.26</v>
          </cell>
          <cell r="M554">
            <v>51551.54</v>
          </cell>
          <cell r="N554">
            <v>-30438.81</v>
          </cell>
          <cell r="O554">
            <v>61503.66</v>
          </cell>
          <cell r="P554">
            <v>-32663.45</v>
          </cell>
          <cell r="Q554">
            <v>100317.56000000001</v>
          </cell>
        </row>
        <row r="555">
          <cell r="A555">
            <v>70315</v>
          </cell>
          <cell r="B555" t="str">
            <v>Bad Debt Recoveries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</row>
        <row r="556">
          <cell r="A556">
            <v>70320</v>
          </cell>
          <cell r="B556" t="str">
            <v>Credit and Collection</v>
          </cell>
          <cell r="E556">
            <v>6202.09</v>
          </cell>
          <cell r="F556">
            <v>-976.61</v>
          </cell>
          <cell r="G556">
            <v>5260.16</v>
          </cell>
          <cell r="H556">
            <v>-803.96</v>
          </cell>
          <cell r="I556">
            <v>1871.95</v>
          </cell>
          <cell r="J556">
            <v>1067.25</v>
          </cell>
          <cell r="K556">
            <v>1589.22</v>
          </cell>
          <cell r="L556">
            <v>936.71</v>
          </cell>
          <cell r="M556">
            <v>1051.27</v>
          </cell>
          <cell r="N556">
            <v>482.15</v>
          </cell>
          <cell r="O556">
            <v>1946.37</v>
          </cell>
          <cell r="P556">
            <v>5166.42</v>
          </cell>
          <cell r="Q556">
            <v>23793.020000000004</v>
          </cell>
        </row>
        <row r="557">
          <cell r="A557">
            <v>70324</v>
          </cell>
          <cell r="B557" t="str">
            <v>Penalties and Violations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</row>
        <row r="558">
          <cell r="A558">
            <v>70325</v>
          </cell>
          <cell r="B558" t="str">
            <v>Legal Settlement Payments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</row>
        <row r="559">
          <cell r="A559">
            <v>70326</v>
          </cell>
          <cell r="B559" t="str">
            <v>Deductible Current Year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</row>
        <row r="560">
          <cell r="A560">
            <v>70327</v>
          </cell>
          <cell r="B560" t="str">
            <v>Deductible Dammage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</row>
        <row r="561">
          <cell r="A561">
            <v>70328</v>
          </cell>
          <cell r="B561" t="str">
            <v>Claim Recoveries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</row>
        <row r="562">
          <cell r="A562">
            <v>70330</v>
          </cell>
          <cell r="B562" t="str">
            <v>Deductible Prior Year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</row>
        <row r="563">
          <cell r="A563">
            <v>70335</v>
          </cell>
          <cell r="B563" t="str">
            <v>Miscellaneous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</row>
        <row r="564">
          <cell r="A564">
            <v>70336</v>
          </cell>
          <cell r="B564" t="str">
            <v>Coffe Bar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</row>
        <row r="565">
          <cell r="A565">
            <v>70345</v>
          </cell>
          <cell r="B565" t="str">
            <v>Security Services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</row>
        <row r="566">
          <cell r="A566">
            <v>70357</v>
          </cell>
          <cell r="B566" t="str">
            <v>Permits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</row>
        <row r="567">
          <cell r="A567">
            <v>70370</v>
          </cell>
          <cell r="B567" t="str">
            <v>Bonds Expense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</row>
        <row r="568">
          <cell r="A568">
            <v>70371</v>
          </cell>
          <cell r="B568" t="str">
            <v>Board of Directors Fees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</row>
        <row r="569">
          <cell r="A569">
            <v>70372</v>
          </cell>
          <cell r="B569" t="str">
            <v>Board of Directors Expense Report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</row>
        <row r="570">
          <cell r="A570">
            <v>70475</v>
          </cell>
          <cell r="B570" t="str">
            <v>Trade Shows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</row>
        <row r="571">
          <cell r="A571">
            <v>70900</v>
          </cell>
          <cell r="B571" t="str">
            <v>Entitiy Formation Costs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</row>
        <row r="572">
          <cell r="A572">
            <v>70998</v>
          </cell>
          <cell r="B572" t="str">
            <v>Allocation Out - District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</row>
        <row r="573">
          <cell r="A573">
            <v>70999</v>
          </cell>
          <cell r="B573" t="str">
            <v>Allocation Out - Out District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</row>
        <row r="574">
          <cell r="A574">
            <v>71000</v>
          </cell>
          <cell r="B574" t="str">
            <v>Stock Comp Expense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</row>
        <row r="575">
          <cell r="A575" t="str">
            <v>Total G&amp;A</v>
          </cell>
          <cell r="E575">
            <v>207906.74000000002</v>
          </cell>
          <cell r="F575">
            <v>66798.010000000024</v>
          </cell>
          <cell r="G575">
            <v>161263.80000000002</v>
          </cell>
          <cell r="H575">
            <v>86311.12999999999</v>
          </cell>
          <cell r="I575">
            <v>177403</v>
          </cell>
          <cell r="J575">
            <v>90607.349999999991</v>
          </cell>
          <cell r="K575">
            <v>198820.07000000004</v>
          </cell>
          <cell r="L575">
            <v>89006.530000000013</v>
          </cell>
          <cell r="M575">
            <v>188289.78000000003</v>
          </cell>
          <cell r="N575">
            <v>72891.83</v>
          </cell>
          <cell r="O575">
            <v>194697.06000000006</v>
          </cell>
          <cell r="P575">
            <v>96799.019999999931</v>
          </cell>
          <cell r="Q575">
            <v>1630794.3199999996</v>
          </cell>
        </row>
        <row r="577">
          <cell r="A577" t="str">
            <v>Overhead</v>
          </cell>
        </row>
        <row r="578">
          <cell r="A578">
            <v>70149</v>
          </cell>
          <cell r="B578" t="str">
            <v>Corporate Overhead Allocation In</v>
          </cell>
          <cell r="E578">
            <v>55340.22</v>
          </cell>
          <cell r="F578">
            <v>54315.21</v>
          </cell>
          <cell r="G578">
            <v>54439.91</v>
          </cell>
          <cell r="H578">
            <v>55653.47</v>
          </cell>
          <cell r="I578">
            <v>54826.44</v>
          </cell>
          <cell r="J578">
            <v>55802.53</v>
          </cell>
          <cell r="K578">
            <v>55353.69</v>
          </cell>
          <cell r="L578">
            <v>57179.64</v>
          </cell>
          <cell r="M578">
            <v>55296.08</v>
          </cell>
          <cell r="N578">
            <v>55281.99</v>
          </cell>
          <cell r="O578">
            <v>54995.29</v>
          </cell>
          <cell r="P578">
            <v>55389.94</v>
          </cell>
          <cell r="Q578">
            <v>663874.41000000015</v>
          </cell>
        </row>
        <row r="579">
          <cell r="A579">
            <v>70159</v>
          </cell>
          <cell r="B579" t="str">
            <v>Region Overhead Allocation In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</row>
        <row r="580">
          <cell r="A580" t="str">
            <v>Total Overhead</v>
          </cell>
          <cell r="E580">
            <v>55340.22</v>
          </cell>
          <cell r="F580">
            <v>54315.21</v>
          </cell>
          <cell r="G580">
            <v>54439.91</v>
          </cell>
          <cell r="H580">
            <v>55653.47</v>
          </cell>
          <cell r="I580">
            <v>54826.44</v>
          </cell>
          <cell r="J580">
            <v>55802.53</v>
          </cell>
          <cell r="K580">
            <v>55353.69</v>
          </cell>
          <cell r="L580">
            <v>57179.64</v>
          </cell>
          <cell r="M580">
            <v>55296.08</v>
          </cell>
          <cell r="N580">
            <v>55281.99</v>
          </cell>
          <cell r="O580">
            <v>54995.29</v>
          </cell>
          <cell r="P580">
            <v>55389.94</v>
          </cell>
          <cell r="Q580">
            <v>663874.41000000015</v>
          </cell>
        </row>
        <row r="582">
          <cell r="A582" t="str">
            <v>Total SG&amp;A</v>
          </cell>
          <cell r="E582">
            <v>263246.96000000002</v>
          </cell>
          <cell r="F582">
            <v>121113.22000000003</v>
          </cell>
          <cell r="G582">
            <v>215703.71000000002</v>
          </cell>
          <cell r="H582">
            <v>141964.59999999998</v>
          </cell>
          <cell r="I582">
            <v>232229.44</v>
          </cell>
          <cell r="J582">
            <v>146409.88</v>
          </cell>
          <cell r="K582">
            <v>254173.76000000004</v>
          </cell>
          <cell r="L582">
            <v>146186.17000000001</v>
          </cell>
          <cell r="M582">
            <v>243585.86000000004</v>
          </cell>
          <cell r="N582">
            <v>128173.82</v>
          </cell>
          <cell r="O582">
            <v>249692.35000000006</v>
          </cell>
          <cell r="P582">
            <v>155426.55999999994</v>
          </cell>
          <cell r="Q582">
            <v>2297906.3299999996</v>
          </cell>
        </row>
        <row r="584">
          <cell r="A584" t="str">
            <v>EBITDA</v>
          </cell>
          <cell r="E584">
            <v>20388.780000000086</v>
          </cell>
          <cell r="F584">
            <v>275898.64999999997</v>
          </cell>
          <cell r="G584">
            <v>77705.549999999872</v>
          </cell>
          <cell r="H584">
            <v>153218.83000000007</v>
          </cell>
          <cell r="I584">
            <v>139863.27999999974</v>
          </cell>
          <cell r="J584">
            <v>204338.71000000008</v>
          </cell>
          <cell r="K584">
            <v>93342.360000000015</v>
          </cell>
          <cell r="L584">
            <v>241833.84</v>
          </cell>
          <cell r="M584">
            <v>134242.65999999997</v>
          </cell>
          <cell r="N584">
            <v>254051.7099999999</v>
          </cell>
          <cell r="O584">
            <v>61738.860000000132</v>
          </cell>
          <cell r="P584">
            <v>151328.35999999987</v>
          </cell>
          <cell r="Q584">
            <v>1807951.5899999957</v>
          </cell>
        </row>
        <row r="586">
          <cell r="A586" t="str">
            <v>DD&amp;A</v>
          </cell>
        </row>
        <row r="587">
          <cell r="A587" t="str">
            <v>Depreciation</v>
          </cell>
        </row>
        <row r="588">
          <cell r="A588">
            <v>51260</v>
          </cell>
          <cell r="B588" t="str">
            <v>Depreciation</v>
          </cell>
          <cell r="E588">
            <v>49490.6</v>
          </cell>
          <cell r="F588">
            <v>49625.87</v>
          </cell>
          <cell r="G588">
            <v>49625.95</v>
          </cell>
          <cell r="H588">
            <v>49620.11</v>
          </cell>
          <cell r="I588">
            <v>49620.2</v>
          </cell>
          <cell r="J588">
            <v>48737.05</v>
          </cell>
          <cell r="K588">
            <v>48736.639999999999</v>
          </cell>
          <cell r="L588">
            <v>47681.86</v>
          </cell>
          <cell r="M588">
            <v>47682.18</v>
          </cell>
          <cell r="N588">
            <v>47681.87</v>
          </cell>
          <cell r="O588">
            <v>47328.05</v>
          </cell>
          <cell r="P588">
            <v>47849.53</v>
          </cell>
          <cell r="Q588">
            <v>583679.91</v>
          </cell>
        </row>
        <row r="589">
          <cell r="A589">
            <v>54260</v>
          </cell>
          <cell r="B589" t="str">
            <v>Depreciation</v>
          </cell>
          <cell r="E589">
            <v>11933.53</v>
          </cell>
          <cell r="F589">
            <v>11933.51</v>
          </cell>
          <cell r="G589">
            <v>11933.4</v>
          </cell>
          <cell r="H589">
            <v>11933.26</v>
          </cell>
          <cell r="I589">
            <v>11933.49</v>
          </cell>
          <cell r="J589">
            <v>11933.83</v>
          </cell>
          <cell r="K589">
            <v>11932.86</v>
          </cell>
          <cell r="L589">
            <v>11933.32</v>
          </cell>
          <cell r="M589">
            <v>11933.62</v>
          </cell>
          <cell r="N589">
            <v>11933.41</v>
          </cell>
          <cell r="O589">
            <v>11933.19</v>
          </cell>
          <cell r="P589">
            <v>11933.37</v>
          </cell>
          <cell r="Q589">
            <v>143200.79</v>
          </cell>
        </row>
        <row r="590">
          <cell r="A590">
            <v>56260</v>
          </cell>
          <cell r="B590" t="str">
            <v>Depreciation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</row>
        <row r="591">
          <cell r="A591">
            <v>57260</v>
          </cell>
          <cell r="B591" t="str">
            <v>Depreciation</v>
          </cell>
          <cell r="E591">
            <v>2414.64</v>
          </cell>
          <cell r="F591">
            <v>2414.6799999999998</v>
          </cell>
          <cell r="G591">
            <v>2414.64</v>
          </cell>
          <cell r="H591">
            <v>2441.84</v>
          </cell>
          <cell r="I591">
            <v>2441.87</v>
          </cell>
          <cell r="J591">
            <v>2441.86</v>
          </cell>
          <cell r="K591">
            <v>2441.83</v>
          </cell>
          <cell r="L591">
            <v>2503.59</v>
          </cell>
          <cell r="M591">
            <v>2503.59</v>
          </cell>
          <cell r="N591">
            <v>3307.76</v>
          </cell>
          <cell r="O591">
            <v>3318.13</v>
          </cell>
          <cell r="P591">
            <v>3312.93</v>
          </cell>
          <cell r="Q591">
            <v>31957.360000000004</v>
          </cell>
        </row>
        <row r="592">
          <cell r="A592">
            <v>60260</v>
          </cell>
          <cell r="B592" t="str">
            <v>Depreciation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</row>
        <row r="593">
          <cell r="A593">
            <v>70257</v>
          </cell>
          <cell r="B593" t="str">
            <v>Depreciation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</row>
        <row r="594">
          <cell r="A594">
            <v>70260</v>
          </cell>
          <cell r="B594" t="str">
            <v>Depreciation</v>
          </cell>
          <cell r="E594">
            <v>1532.42</v>
          </cell>
          <cell r="F594">
            <v>1532.4</v>
          </cell>
          <cell r="G594">
            <v>1532.42</v>
          </cell>
          <cell r="H594">
            <v>1459.5</v>
          </cell>
          <cell r="I594">
            <v>1459.49</v>
          </cell>
          <cell r="J594">
            <v>1422.66</v>
          </cell>
          <cell r="K594">
            <v>1422.61</v>
          </cell>
          <cell r="L594">
            <v>1422.6</v>
          </cell>
          <cell r="M594">
            <v>1422.64</v>
          </cell>
          <cell r="N594">
            <v>1422.61</v>
          </cell>
          <cell r="O594">
            <v>1422.62</v>
          </cell>
          <cell r="P594">
            <v>1595.38</v>
          </cell>
          <cell r="Q594">
            <v>17647.350000000002</v>
          </cell>
        </row>
        <row r="595">
          <cell r="A595" t="str">
            <v>Total Depreciation</v>
          </cell>
          <cell r="E595">
            <v>65371.189999999995</v>
          </cell>
          <cell r="F595">
            <v>65506.460000000006</v>
          </cell>
          <cell r="G595">
            <v>65506.409999999996</v>
          </cell>
          <cell r="H595">
            <v>65454.710000000006</v>
          </cell>
          <cell r="I595">
            <v>65455.049999999996</v>
          </cell>
          <cell r="J595">
            <v>64535.400000000009</v>
          </cell>
          <cell r="K595">
            <v>64533.94</v>
          </cell>
          <cell r="L595">
            <v>63541.37</v>
          </cell>
          <cell r="M595">
            <v>63542.03</v>
          </cell>
          <cell r="N595">
            <v>64345.65</v>
          </cell>
          <cell r="O595">
            <v>64001.990000000005</v>
          </cell>
          <cell r="P595">
            <v>64691.21</v>
          </cell>
          <cell r="Q595">
            <v>776485.41</v>
          </cell>
        </row>
        <row r="597">
          <cell r="A597" t="str">
            <v>Depletion</v>
          </cell>
        </row>
        <row r="598">
          <cell r="A598">
            <v>46000</v>
          </cell>
          <cell r="B598" t="str">
            <v>Depletion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</row>
        <row r="599">
          <cell r="A599">
            <v>46010</v>
          </cell>
          <cell r="B599" t="str">
            <v>Closure Amortization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</row>
        <row r="600">
          <cell r="A600">
            <v>57261</v>
          </cell>
          <cell r="B600" t="str">
            <v>Airspace Amortization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</row>
        <row r="601">
          <cell r="A601" t="str">
            <v>Total Depletion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</row>
        <row r="603">
          <cell r="A603" t="str">
            <v>Amortization</v>
          </cell>
        </row>
        <row r="604">
          <cell r="A604">
            <v>70264</v>
          </cell>
          <cell r="B604" t="str">
            <v>Amortization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</row>
        <row r="605">
          <cell r="A605">
            <v>70266</v>
          </cell>
          <cell r="B605" t="str">
            <v>Cov. Not to Compete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</row>
        <row r="606">
          <cell r="A606">
            <v>70267</v>
          </cell>
          <cell r="B606" t="str">
            <v>Amortization of Goodwill - Taxable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</row>
        <row r="607">
          <cell r="A607">
            <v>70268</v>
          </cell>
          <cell r="B607" t="str">
            <v>Amortization of Goodwill - Non-Taxable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</row>
        <row r="608">
          <cell r="A608">
            <v>70269</v>
          </cell>
          <cell r="B608" t="str">
            <v>Long Term Contract Amort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</row>
        <row r="609">
          <cell r="A609" t="str">
            <v>Total Amortization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</row>
        <row r="611">
          <cell r="A611" t="str">
            <v>Total DDA</v>
          </cell>
          <cell r="E611">
            <v>65371.189999999995</v>
          </cell>
          <cell r="F611">
            <v>65506.460000000006</v>
          </cell>
          <cell r="G611">
            <v>65506.409999999996</v>
          </cell>
          <cell r="H611">
            <v>65454.710000000006</v>
          </cell>
          <cell r="I611">
            <v>65455.049999999996</v>
          </cell>
          <cell r="J611">
            <v>64535.400000000009</v>
          </cell>
          <cell r="K611">
            <v>64533.94</v>
          </cell>
          <cell r="L611">
            <v>63541.37</v>
          </cell>
          <cell r="M611">
            <v>63542.03</v>
          </cell>
          <cell r="N611">
            <v>64345.65</v>
          </cell>
          <cell r="O611">
            <v>64001.990000000005</v>
          </cell>
          <cell r="P611">
            <v>64691.21</v>
          </cell>
          <cell r="Q611">
            <v>776485.41</v>
          </cell>
        </row>
        <row r="613">
          <cell r="A613" t="str">
            <v>EBIT</v>
          </cell>
          <cell r="E613">
            <v>-44982.409999999909</v>
          </cell>
          <cell r="F613">
            <v>210392.18999999994</v>
          </cell>
          <cell r="G613">
            <v>12199.139999999876</v>
          </cell>
          <cell r="H613">
            <v>87764.120000000068</v>
          </cell>
          <cell r="I613">
            <v>74408.229999999749</v>
          </cell>
          <cell r="J613">
            <v>139803.31000000006</v>
          </cell>
          <cell r="K613">
            <v>28808.420000000013</v>
          </cell>
          <cell r="L613">
            <v>178292.47</v>
          </cell>
          <cell r="M613">
            <v>70700.629999999976</v>
          </cell>
          <cell r="N613">
            <v>189706.05999999991</v>
          </cell>
          <cell r="O613">
            <v>-2263.1299999998737</v>
          </cell>
          <cell r="P613">
            <v>86637.149999999878</v>
          </cell>
          <cell r="Q613">
            <v>1031466.1799999956</v>
          </cell>
        </row>
        <row r="615">
          <cell r="A615" t="str">
            <v>Interest Expense</v>
          </cell>
        </row>
        <row r="616">
          <cell r="A616">
            <v>80000</v>
          </cell>
          <cell r="B616" t="str">
            <v>Interest Expense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</row>
        <row r="617">
          <cell r="A617">
            <v>80001</v>
          </cell>
          <cell r="B617" t="str">
            <v>Debt Accretion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</row>
        <row r="618">
          <cell r="A618">
            <v>80009</v>
          </cell>
          <cell r="B618" t="str">
            <v>Capitalized Interest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</row>
        <row r="619">
          <cell r="A619">
            <v>80099</v>
          </cell>
          <cell r="B619" t="str">
            <v>Interest Allocation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</row>
        <row r="620">
          <cell r="A620" t="str">
            <v>Total Interest Expense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</row>
        <row r="622">
          <cell r="A622" t="str">
            <v>Interest Income</v>
          </cell>
        </row>
        <row r="623">
          <cell r="A623">
            <v>80010</v>
          </cell>
          <cell r="B623" t="str">
            <v>Interest Income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</row>
        <row r="624">
          <cell r="A624" t="str">
            <v>Total Interest Income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</row>
        <row r="626">
          <cell r="A626" t="str">
            <v>Other (Income) and Expense</v>
          </cell>
        </row>
        <row r="627">
          <cell r="A627">
            <v>70901</v>
          </cell>
          <cell r="B627" t="str">
            <v>Pooling Costs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</row>
        <row r="628">
          <cell r="A628">
            <v>91000</v>
          </cell>
          <cell r="B628" t="str">
            <v>Unusual Gain/Loss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</row>
        <row r="629">
          <cell r="A629">
            <v>91001</v>
          </cell>
          <cell r="B629" t="str">
            <v>Investment Distribution Income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</row>
        <row r="630">
          <cell r="A630">
            <v>91002</v>
          </cell>
          <cell r="B630" t="str">
            <v>NSF Fees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</row>
        <row r="631">
          <cell r="A631" t="str">
            <v>Total Other (Income) and Expense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</row>
        <row r="633">
          <cell r="A633" t="str">
            <v>Income Before Taxes and Extraordinary Items</v>
          </cell>
          <cell r="E633">
            <v>-44982.409999999909</v>
          </cell>
          <cell r="F633">
            <v>210392.18999999994</v>
          </cell>
          <cell r="G633">
            <v>12199.139999999876</v>
          </cell>
          <cell r="H633">
            <v>87764.120000000068</v>
          </cell>
          <cell r="I633">
            <v>74408.229999999749</v>
          </cell>
          <cell r="J633">
            <v>139803.31000000006</v>
          </cell>
          <cell r="K633">
            <v>28808.420000000013</v>
          </cell>
          <cell r="L633">
            <v>178292.47</v>
          </cell>
          <cell r="M633">
            <v>70700.629999999976</v>
          </cell>
          <cell r="N633">
            <v>189706.05999999991</v>
          </cell>
          <cell r="O633">
            <v>-2263.1299999998737</v>
          </cell>
          <cell r="P633">
            <v>86637.149999999878</v>
          </cell>
          <cell r="Q633">
            <v>1031466.1799999956</v>
          </cell>
        </row>
        <row r="635">
          <cell r="A635" t="str">
            <v>Extraordinary Income and Expense</v>
          </cell>
        </row>
        <row r="636">
          <cell r="A636">
            <v>92999</v>
          </cell>
          <cell r="B636" t="str">
            <v>Extraordinary Gain/Loss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</row>
        <row r="637">
          <cell r="A637" t="str">
            <v>Total Extraordinary Income and Expense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</row>
        <row r="639">
          <cell r="A639" t="str">
            <v>Net Income Before Taxes</v>
          </cell>
          <cell r="E639">
            <v>-44982.409999999909</v>
          </cell>
          <cell r="F639">
            <v>210392.18999999994</v>
          </cell>
          <cell r="G639">
            <v>12199.139999999876</v>
          </cell>
          <cell r="H639">
            <v>87764.120000000068</v>
          </cell>
          <cell r="I639">
            <v>74408.229999999749</v>
          </cell>
          <cell r="J639">
            <v>139803.31000000006</v>
          </cell>
          <cell r="K639">
            <v>28808.420000000013</v>
          </cell>
          <cell r="L639">
            <v>178292.47</v>
          </cell>
          <cell r="M639">
            <v>70700.629999999976</v>
          </cell>
          <cell r="N639">
            <v>189706.05999999991</v>
          </cell>
          <cell r="O639">
            <v>-2263.1299999998737</v>
          </cell>
          <cell r="P639">
            <v>86637.149999999878</v>
          </cell>
          <cell r="Q639">
            <v>1031466.1799999956</v>
          </cell>
        </row>
        <row r="641">
          <cell r="A641" t="str">
            <v>Income Taxes</v>
          </cell>
        </row>
        <row r="642">
          <cell r="A642">
            <v>90000</v>
          </cell>
          <cell r="B642" t="str">
            <v>Taxes -Federal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</row>
        <row r="643">
          <cell r="A643">
            <v>90010</v>
          </cell>
          <cell r="B643" t="str">
            <v>Taxes - State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</row>
        <row r="644">
          <cell r="A644" t="str">
            <v>Total Income Taxes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</row>
        <row r="646">
          <cell r="A646" t="str">
            <v>Net Income</v>
          </cell>
          <cell r="E646">
            <v>-44982.409999999909</v>
          </cell>
          <cell r="F646">
            <v>210392.18999999994</v>
          </cell>
          <cell r="G646">
            <v>12199.139999999876</v>
          </cell>
          <cell r="H646">
            <v>87764.120000000068</v>
          </cell>
          <cell r="I646">
            <v>74408.229999999749</v>
          </cell>
          <cell r="J646">
            <v>139803.31000000006</v>
          </cell>
          <cell r="K646">
            <v>28808.420000000013</v>
          </cell>
          <cell r="L646">
            <v>178292.47</v>
          </cell>
          <cell r="M646">
            <v>70700.629999999976</v>
          </cell>
          <cell r="N646">
            <v>189706.05999999991</v>
          </cell>
          <cell r="O646">
            <v>-2263.1299999998737</v>
          </cell>
          <cell r="P646">
            <v>86637.149999999878</v>
          </cell>
          <cell r="Q646">
            <v>1031466.1799999956</v>
          </cell>
        </row>
        <row r="648">
          <cell r="A648" t="str">
            <v>Noncontrolling Interests Expense</v>
          </cell>
        </row>
        <row r="649">
          <cell r="A649">
            <v>92000</v>
          </cell>
          <cell r="B649" t="str">
            <v>Noncontrolling interests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</row>
        <row r="650">
          <cell r="A650" t="str">
            <v>Total Noncontrolling Interests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</row>
        <row r="652">
          <cell r="A652" t="str">
            <v>Net Income Attributable to Waste Connections</v>
          </cell>
          <cell r="E652">
            <v>-44982.409999999909</v>
          </cell>
          <cell r="F652">
            <v>210392.18999999994</v>
          </cell>
          <cell r="G652">
            <v>12199.139999999876</v>
          </cell>
          <cell r="H652">
            <v>87764.120000000068</v>
          </cell>
          <cell r="I652">
            <v>74408.229999999749</v>
          </cell>
          <cell r="J652">
            <v>139803.31000000006</v>
          </cell>
          <cell r="K652">
            <v>28808.420000000013</v>
          </cell>
          <cell r="L652">
            <v>178292.47</v>
          </cell>
          <cell r="M652">
            <v>70700.629999999976</v>
          </cell>
          <cell r="N652">
            <v>189706.05999999991</v>
          </cell>
          <cell r="O652">
            <v>-2263.1299999998737</v>
          </cell>
          <cell r="P652">
            <v>86637.149999999878</v>
          </cell>
          <cell r="Q652">
            <v>1031466.1799999956</v>
          </cell>
        </row>
        <row r="654">
          <cell r="A654" t="str">
            <v>Net Income Attributable to Waste Connections per categories</v>
          </cell>
          <cell r="E654">
            <v>-44982.41</v>
          </cell>
          <cell r="F654">
            <v>210392.19</v>
          </cell>
          <cell r="G654">
            <v>12199.14</v>
          </cell>
          <cell r="H654">
            <v>87764.12</v>
          </cell>
          <cell r="I654">
            <v>74408.23</v>
          </cell>
          <cell r="J654">
            <v>139803.31</v>
          </cell>
          <cell r="K654">
            <v>28808.42</v>
          </cell>
          <cell r="L654">
            <v>178292.47</v>
          </cell>
          <cell r="M654">
            <v>70700.63</v>
          </cell>
          <cell r="N654">
            <v>189706.06</v>
          </cell>
          <cell r="O654">
            <v>-2263.13</v>
          </cell>
          <cell r="P654">
            <v>86637.15</v>
          </cell>
        </row>
      </sheetData>
      <sheetData sheetId="5" refreshError="1">
        <row r="12">
          <cell r="A12" t="str">
            <v>Revenue</v>
          </cell>
        </row>
        <row r="13">
          <cell r="A13" t="str">
            <v>Hauling</v>
          </cell>
        </row>
        <row r="14">
          <cell r="A14">
            <v>31000</v>
          </cell>
          <cell r="B14" t="str">
            <v>Hauling Revenue - Roll Off Permanent</v>
          </cell>
          <cell r="E14">
            <v>102444.08</v>
          </cell>
          <cell r="F14">
            <v>106574.9</v>
          </cell>
          <cell r="G14">
            <v>117486.29</v>
          </cell>
          <cell r="H14">
            <v>113663.22</v>
          </cell>
          <cell r="I14">
            <v>107537.52</v>
          </cell>
          <cell r="J14">
            <v>118709.91</v>
          </cell>
          <cell r="K14">
            <v>120424.95</v>
          </cell>
          <cell r="L14">
            <v>126593.49</v>
          </cell>
          <cell r="M14">
            <v>117849.49</v>
          </cell>
          <cell r="N14">
            <v>117031.26</v>
          </cell>
          <cell r="O14">
            <v>112018.5</v>
          </cell>
          <cell r="P14">
            <v>117369.28</v>
          </cell>
          <cell r="Q14">
            <v>1377702.89</v>
          </cell>
        </row>
        <row r="15">
          <cell r="A15">
            <v>31001</v>
          </cell>
          <cell r="B15" t="str">
            <v>Hauling Revenue - Roll Off Temporary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A16">
            <v>31002</v>
          </cell>
          <cell r="B16" t="str">
            <v>Hauling Revenue - Roll Off Rental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A17">
            <v>31003</v>
          </cell>
          <cell r="B17" t="str">
            <v>Hauling Revenue - Roll Off Compactor Ren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A18">
            <v>31004</v>
          </cell>
          <cell r="B18" t="str">
            <v>Hauling Revenue - Roll Off Recycling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A19">
            <v>31005</v>
          </cell>
          <cell r="B19" t="str">
            <v>Corporate Roll Off Disposal Charge</v>
          </cell>
          <cell r="E19">
            <v>210983.37</v>
          </cell>
          <cell r="F19">
            <v>189715.35</v>
          </cell>
          <cell r="G19">
            <v>221645.6</v>
          </cell>
          <cell r="H19">
            <v>218362.54</v>
          </cell>
          <cell r="I19">
            <v>210236.77</v>
          </cell>
          <cell r="J19">
            <v>240624.92</v>
          </cell>
          <cell r="K19">
            <v>227991.29</v>
          </cell>
          <cell r="L19">
            <v>234898.35</v>
          </cell>
          <cell r="M19">
            <v>229778.1</v>
          </cell>
          <cell r="N19">
            <v>229912.49</v>
          </cell>
          <cell r="O19">
            <v>225521.76</v>
          </cell>
          <cell r="P19">
            <v>242379.21</v>
          </cell>
          <cell r="Q19">
            <v>2682049.75</v>
          </cell>
        </row>
        <row r="20">
          <cell r="A20">
            <v>31008</v>
          </cell>
          <cell r="B20" t="str">
            <v>Hauling Revenue - Roll Off Adjustments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A21">
            <v>31009</v>
          </cell>
          <cell r="B21" t="str">
            <v>Hauling Revenue - Roll Off Intercompany</v>
          </cell>
          <cell r="E21">
            <v>2048.52</v>
          </cell>
          <cell r="F21">
            <v>2727.36</v>
          </cell>
          <cell r="G21">
            <v>2727.36</v>
          </cell>
          <cell r="H21">
            <v>3409.2</v>
          </cell>
          <cell r="I21">
            <v>2727.36</v>
          </cell>
          <cell r="J21">
            <v>2727.36</v>
          </cell>
          <cell r="K21">
            <v>5009.2</v>
          </cell>
          <cell r="L21">
            <v>3527.36</v>
          </cell>
          <cell r="M21">
            <v>3327.36</v>
          </cell>
          <cell r="N21">
            <v>3409.2</v>
          </cell>
          <cell r="O21">
            <v>2727.36</v>
          </cell>
          <cell r="P21">
            <v>3409.2</v>
          </cell>
          <cell r="Q21">
            <v>37776.839999999997</v>
          </cell>
        </row>
        <row r="22">
          <cell r="A22">
            <v>31010</v>
          </cell>
          <cell r="B22" t="str">
            <v>Hauling Revenue - Roll Off Extras</v>
          </cell>
          <cell r="E22">
            <v>27177.39</v>
          </cell>
          <cell r="F22">
            <v>26583.03</v>
          </cell>
          <cell r="G22">
            <v>26586.07</v>
          </cell>
          <cell r="H22">
            <v>27681.49</v>
          </cell>
          <cell r="I22">
            <v>28895.1</v>
          </cell>
          <cell r="J22">
            <v>30218.400000000001</v>
          </cell>
          <cell r="K22">
            <v>29088.41</v>
          </cell>
          <cell r="L22">
            <v>30882.48</v>
          </cell>
          <cell r="M22">
            <v>30023.54</v>
          </cell>
          <cell r="N22">
            <v>28675.83</v>
          </cell>
          <cell r="O22">
            <v>27741.67</v>
          </cell>
          <cell r="P22">
            <v>26907</v>
          </cell>
          <cell r="Q22">
            <v>340460.41</v>
          </cell>
        </row>
        <row r="23">
          <cell r="A23">
            <v>31020</v>
          </cell>
          <cell r="B23" t="str">
            <v>Hauling Revenue - Roll Off Special Waste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A24">
            <v>31021</v>
          </cell>
          <cell r="B24" t="str">
            <v>Hauling Revenue - Roll Off Special Waste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A25">
            <v>31029</v>
          </cell>
          <cell r="B25" t="str">
            <v>Hauling Revenue - Roll Off Special Waste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A26">
            <v>32000</v>
          </cell>
          <cell r="B26" t="str">
            <v>Hauling Revenue - Residential MSW</v>
          </cell>
          <cell r="E26">
            <v>1215495.77</v>
          </cell>
          <cell r="F26">
            <v>1200770.8</v>
          </cell>
          <cell r="G26">
            <v>1215802.44</v>
          </cell>
          <cell r="H26">
            <v>1220176.8500000001</v>
          </cell>
          <cell r="I26">
            <v>1224050.48</v>
          </cell>
          <cell r="J26">
            <v>1230237.8799999999</v>
          </cell>
          <cell r="K26">
            <v>1235768.5</v>
          </cell>
          <cell r="L26">
            <v>1230565.3500000001</v>
          </cell>
          <cell r="M26">
            <v>1233092.93</v>
          </cell>
          <cell r="N26">
            <v>1227440.83</v>
          </cell>
          <cell r="O26">
            <v>1230545.96</v>
          </cell>
          <cell r="P26">
            <v>1228126.99</v>
          </cell>
          <cell r="Q26">
            <v>14692074.779999999</v>
          </cell>
        </row>
        <row r="27">
          <cell r="A27">
            <v>32001</v>
          </cell>
          <cell r="B27" t="str">
            <v>Hauling Revenue - Residential MSW Extras</v>
          </cell>
          <cell r="E27">
            <v>29897.43</v>
          </cell>
          <cell r="F27">
            <v>23606.09</v>
          </cell>
          <cell r="G27">
            <v>37252.050000000003</v>
          </cell>
          <cell r="H27">
            <v>36299.58</v>
          </cell>
          <cell r="I27">
            <v>42698.61</v>
          </cell>
          <cell r="J27">
            <v>50366.1</v>
          </cell>
          <cell r="K27">
            <v>50649.79</v>
          </cell>
          <cell r="L27">
            <v>43300.24</v>
          </cell>
          <cell r="M27">
            <v>44830.46</v>
          </cell>
          <cell r="N27">
            <v>36083.339999999997</v>
          </cell>
          <cell r="O27">
            <v>44102.97</v>
          </cell>
          <cell r="P27">
            <v>42927.11</v>
          </cell>
          <cell r="Q27">
            <v>482013.77</v>
          </cell>
        </row>
        <row r="28">
          <cell r="A28">
            <v>32002</v>
          </cell>
          <cell r="B28" t="str">
            <v>Hauling Revenue - Residential MSW Adjust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A29">
            <v>32003</v>
          </cell>
          <cell r="B29" t="str">
            <v>Hauling Revenue - Residential MSW Specia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A30">
            <v>32009</v>
          </cell>
          <cell r="B30" t="str">
            <v>Hauling Revenue - Residential MSW Interc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A31">
            <v>32100</v>
          </cell>
          <cell r="B31" t="str">
            <v>Hauling Revenue - Residential Recycling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A32">
            <v>32101</v>
          </cell>
          <cell r="B32" t="str">
            <v>Hauling Revenue - Residential Recycling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A33">
            <v>32102</v>
          </cell>
          <cell r="B33" t="str">
            <v>Hauling Revenue - Residential Recycling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A34">
            <v>32103</v>
          </cell>
          <cell r="B34" t="str">
            <v>Hauling Revenue - Residential Recycling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A35">
            <v>32109</v>
          </cell>
          <cell r="B35" t="str">
            <v>Hauling Revenue - Residential Recycling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A36">
            <v>32110</v>
          </cell>
          <cell r="B36" t="str">
            <v>Hauling Revenue - Residential Composting</v>
          </cell>
          <cell r="E36">
            <v>232014.97</v>
          </cell>
          <cell r="F36">
            <v>232365.45</v>
          </cell>
          <cell r="G36">
            <v>257766.36</v>
          </cell>
          <cell r="H36">
            <v>270150.08</v>
          </cell>
          <cell r="I36">
            <v>281923.53999999998</v>
          </cell>
          <cell r="J36">
            <v>287780.03999999998</v>
          </cell>
          <cell r="K36">
            <v>291816.17</v>
          </cell>
          <cell r="L36">
            <v>292493.43</v>
          </cell>
          <cell r="M36">
            <v>290035.87</v>
          </cell>
          <cell r="N36">
            <v>289167.18</v>
          </cell>
          <cell r="O36">
            <v>283845.96999999997</v>
          </cell>
          <cell r="P36">
            <v>275560.67</v>
          </cell>
          <cell r="Q36">
            <v>3284919.7300000004</v>
          </cell>
        </row>
        <row r="37">
          <cell r="A37">
            <v>32111</v>
          </cell>
          <cell r="B37" t="str">
            <v>Hauling Revenue - Residential Composting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A38">
            <v>32112</v>
          </cell>
          <cell r="B38" t="str">
            <v>Hauling Revenue - Residential Composting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A39">
            <v>32113</v>
          </cell>
          <cell r="B39" t="str">
            <v>Hauling Revenue - Residential Composting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A40">
            <v>32119</v>
          </cell>
          <cell r="B40" t="str">
            <v>Hauling Revenue - Residential Composting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A41">
            <v>33000</v>
          </cell>
          <cell r="B41" t="str">
            <v>Hauling Revenue - Commercial FEL</v>
          </cell>
          <cell r="E41">
            <v>785575.03</v>
          </cell>
          <cell r="F41">
            <v>787034.21</v>
          </cell>
          <cell r="G41">
            <v>790933.58</v>
          </cell>
          <cell r="H41">
            <v>778610.72</v>
          </cell>
          <cell r="I41">
            <v>780041.46</v>
          </cell>
          <cell r="J41">
            <v>778320.61</v>
          </cell>
          <cell r="K41">
            <v>768305.23</v>
          </cell>
          <cell r="L41">
            <v>774319.69</v>
          </cell>
          <cell r="M41">
            <v>801901.87</v>
          </cell>
          <cell r="N41">
            <v>774557.42</v>
          </cell>
          <cell r="O41">
            <v>791933.57</v>
          </cell>
          <cell r="P41">
            <v>766346.74</v>
          </cell>
          <cell r="Q41">
            <v>9377880.129999999</v>
          </cell>
        </row>
        <row r="42">
          <cell r="A42">
            <v>33001</v>
          </cell>
          <cell r="B42" t="str">
            <v>Hauling Revenue - Commercial FEL Extras</v>
          </cell>
          <cell r="E42">
            <v>39516.839999999997</v>
          </cell>
          <cell r="F42">
            <v>40932.36</v>
          </cell>
          <cell r="G42">
            <v>42606.080000000002</v>
          </cell>
          <cell r="H42">
            <v>42197.16</v>
          </cell>
          <cell r="I42">
            <v>43036.11</v>
          </cell>
          <cell r="J42">
            <v>44513.7</v>
          </cell>
          <cell r="K42">
            <v>47317.760000000002</v>
          </cell>
          <cell r="L42">
            <v>46590.51</v>
          </cell>
          <cell r="M42">
            <v>43401.91</v>
          </cell>
          <cell r="N42">
            <v>44637.59</v>
          </cell>
          <cell r="O42">
            <v>43797.96</v>
          </cell>
          <cell r="P42">
            <v>45382.02</v>
          </cell>
          <cell r="Q42">
            <v>523930.00000000006</v>
          </cell>
        </row>
        <row r="43">
          <cell r="A43">
            <v>33002</v>
          </cell>
          <cell r="B43" t="str">
            <v>Hauling Revenue - Commercial FEL Adjustm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A44">
            <v>33009</v>
          </cell>
          <cell r="B44" t="str">
            <v>Hauling Revenue - Commercial FEL Interco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A45">
            <v>33010</v>
          </cell>
          <cell r="B45" t="str">
            <v>Hauling Revenue - Commercial REL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A46">
            <v>33011</v>
          </cell>
          <cell r="B46" t="str">
            <v>Hauling Revenue - Commercial REL Extras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A47">
            <v>33012</v>
          </cell>
          <cell r="B47" t="str">
            <v>Hauling Revenue - Commercial REL Adjustm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A48">
            <v>33019</v>
          </cell>
          <cell r="B48" t="str">
            <v>Hauling Revenue - Commercial REL Interco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A49">
            <v>33020</v>
          </cell>
          <cell r="B49" t="str">
            <v>Hauling Revenue - Commercial Recycling F</v>
          </cell>
          <cell r="E49">
            <v>119520.55</v>
          </cell>
          <cell r="F49">
            <v>122687.61</v>
          </cell>
          <cell r="G49">
            <v>123043.3</v>
          </cell>
          <cell r="H49">
            <v>123772.17</v>
          </cell>
          <cell r="I49">
            <v>125625.36</v>
          </cell>
          <cell r="J49">
            <v>127061.96</v>
          </cell>
          <cell r="K49">
            <v>116074.3</v>
          </cell>
          <cell r="L49">
            <v>111337.44</v>
          </cell>
          <cell r="M49">
            <v>128400.61</v>
          </cell>
          <cell r="N49">
            <v>133541.20000000001</v>
          </cell>
          <cell r="O49">
            <v>129324.87</v>
          </cell>
          <cell r="P49">
            <v>130696.08</v>
          </cell>
          <cell r="Q49">
            <v>1491085.4500000002</v>
          </cell>
        </row>
        <row r="50">
          <cell r="A50">
            <v>33021</v>
          </cell>
          <cell r="B50" t="str">
            <v>Hauling Revenue - Commercial Recycling F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A51">
            <v>33022</v>
          </cell>
          <cell r="B51" t="str">
            <v>Hauling Revenue - Commercial Recycling F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A52">
            <v>33029</v>
          </cell>
          <cell r="B52" t="str">
            <v>Hauling Revenue - Commercial Recycling F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A53">
            <v>33030</v>
          </cell>
          <cell r="B53" t="str">
            <v>Hauling Revenue - Commercial Recycling R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A54">
            <v>33031</v>
          </cell>
          <cell r="B54" t="str">
            <v>Hauling Revenue - Commercial Recycling R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A55">
            <v>33032</v>
          </cell>
          <cell r="B55" t="str">
            <v>Hauling Revenue - Commercial Recycling R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A56">
            <v>33039</v>
          </cell>
          <cell r="B56" t="str">
            <v>Hauling Revenue - Commercial Recycling R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A57">
            <v>33500</v>
          </cell>
          <cell r="B57" t="str">
            <v>Portable Toilet Revenue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A58">
            <v>33501</v>
          </cell>
          <cell r="B58" t="str">
            <v>Portable Toilet Extras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</row>
        <row r="59">
          <cell r="A59">
            <v>33502</v>
          </cell>
          <cell r="B59" t="str">
            <v>Portable Toilet Adjustments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</row>
        <row r="60">
          <cell r="A60">
            <v>33509</v>
          </cell>
          <cell r="B60" t="str">
            <v>Portable Toilet Intercompany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</row>
        <row r="61">
          <cell r="A61" t="str">
            <v>Total Hauling</v>
          </cell>
          <cell r="E61">
            <v>2764673.9499999997</v>
          </cell>
          <cell r="F61">
            <v>2732997.1599999997</v>
          </cell>
          <cell r="G61">
            <v>2835849.13</v>
          </cell>
          <cell r="H61">
            <v>2834323.0100000002</v>
          </cell>
          <cell r="I61">
            <v>2846772.3099999996</v>
          </cell>
          <cell r="J61">
            <v>2910560.8800000004</v>
          </cell>
          <cell r="K61">
            <v>2892445.5999999996</v>
          </cell>
          <cell r="L61">
            <v>2894508.3399999994</v>
          </cell>
          <cell r="M61">
            <v>2922642.14</v>
          </cell>
          <cell r="N61">
            <v>2884456.3400000003</v>
          </cell>
          <cell r="O61">
            <v>2891560.59</v>
          </cell>
          <cell r="P61">
            <v>2879104.3000000003</v>
          </cell>
          <cell r="Q61">
            <v>34289893.75</v>
          </cell>
        </row>
        <row r="63">
          <cell r="A63" t="str">
            <v>Transfer</v>
          </cell>
        </row>
        <row r="64">
          <cell r="A64">
            <v>35000</v>
          </cell>
          <cell r="B64" t="str">
            <v>Transfer Station - Third Party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A65">
            <v>35001</v>
          </cell>
          <cell r="B65" t="str">
            <v>Transfer Station - Third Party Adjustmen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A66">
            <v>35009</v>
          </cell>
          <cell r="B66" t="str">
            <v>Transfer Station - Intercompany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A67">
            <v>35500</v>
          </cell>
          <cell r="B67" t="str">
            <v>MRF Processing Charge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A68">
            <v>35501</v>
          </cell>
          <cell r="B68" t="str">
            <v>MRF Processing Charge Adjustments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A69">
            <v>35509</v>
          </cell>
          <cell r="B69" t="str">
            <v>MRF Processing Charge Intercompany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A70" t="str">
            <v>Total Transfer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2">
          <cell r="A72" t="str">
            <v>MRF</v>
          </cell>
        </row>
        <row r="73">
          <cell r="A73">
            <v>35510</v>
          </cell>
          <cell r="B73" t="str">
            <v>Proceeds - OCC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A74">
            <v>35511</v>
          </cell>
          <cell r="B74" t="str">
            <v>Proceeds - ONP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A75">
            <v>35512</v>
          </cell>
          <cell r="B75" t="str">
            <v>Proceeds - Other Paper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A76">
            <v>35513</v>
          </cell>
          <cell r="B76" t="str">
            <v>Proceeds - Aluminum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A77">
            <v>35514</v>
          </cell>
          <cell r="B77" t="str">
            <v>Proceeds - Metal</v>
          </cell>
          <cell r="E77">
            <v>745.55</v>
          </cell>
          <cell r="F77">
            <v>533.20000000000005</v>
          </cell>
          <cell r="G77">
            <v>3342.9</v>
          </cell>
          <cell r="H77">
            <v>13178.15</v>
          </cell>
          <cell r="I77">
            <v>5247</v>
          </cell>
          <cell r="J77">
            <v>16966.05</v>
          </cell>
          <cell r="K77">
            <v>7984.5</v>
          </cell>
          <cell r="L77">
            <v>1463.55</v>
          </cell>
          <cell r="M77">
            <v>-1454.1</v>
          </cell>
          <cell r="N77">
            <v>1425.6</v>
          </cell>
          <cell r="O77">
            <v>1051.75</v>
          </cell>
          <cell r="P77">
            <v>1088</v>
          </cell>
          <cell r="Q77">
            <v>51572.15</v>
          </cell>
        </row>
        <row r="78">
          <cell r="A78">
            <v>35515</v>
          </cell>
          <cell r="B78" t="str">
            <v>Proceeds - Glass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A79">
            <v>35516</v>
          </cell>
          <cell r="B79" t="str">
            <v>Proceeds - Plastic</v>
          </cell>
          <cell r="E79">
            <v>387</v>
          </cell>
          <cell r="F79">
            <v>318.60000000000002</v>
          </cell>
          <cell r="G79">
            <v>0</v>
          </cell>
          <cell r="H79">
            <v>331.2</v>
          </cell>
          <cell r="I79">
            <v>0</v>
          </cell>
          <cell r="J79">
            <v>412.2</v>
          </cell>
          <cell r="K79">
            <v>644.4</v>
          </cell>
          <cell r="L79">
            <v>0</v>
          </cell>
          <cell r="M79">
            <v>0</v>
          </cell>
          <cell r="N79">
            <v>-644.4</v>
          </cell>
          <cell r="O79">
            <v>652</v>
          </cell>
          <cell r="P79">
            <v>0</v>
          </cell>
          <cell r="Q79">
            <v>2101</v>
          </cell>
        </row>
        <row r="80">
          <cell r="A80">
            <v>35517</v>
          </cell>
          <cell r="B80" t="str">
            <v>Proceeds - Other Recyclables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A81">
            <v>35518</v>
          </cell>
          <cell r="B81" t="str">
            <v>Proceeds - Commingled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A82">
            <v>35519</v>
          </cell>
          <cell r="B82" t="str">
            <v>Proceeds - Intercompany Material Sales</v>
          </cell>
          <cell r="E82">
            <v>65030.879999999997</v>
          </cell>
          <cell r="F82">
            <v>76173.81</v>
          </cell>
          <cell r="G82">
            <v>70361.429999999993</v>
          </cell>
          <cell r="H82">
            <v>74831.539999999994</v>
          </cell>
          <cell r="I82">
            <v>73578.62</v>
          </cell>
          <cell r="J82">
            <v>75531.38</v>
          </cell>
          <cell r="K82">
            <v>73771.45</v>
          </cell>
          <cell r="L82">
            <v>57407.56</v>
          </cell>
          <cell r="M82">
            <v>68624.86</v>
          </cell>
          <cell r="N82">
            <v>71603.88</v>
          </cell>
          <cell r="O82">
            <v>84200.36</v>
          </cell>
          <cell r="P82">
            <v>95665.68</v>
          </cell>
          <cell r="Q82">
            <v>886781.45</v>
          </cell>
        </row>
        <row r="83">
          <cell r="A83">
            <v>35520</v>
          </cell>
          <cell r="B83" t="str">
            <v>Support - OCC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A84">
            <v>35521</v>
          </cell>
          <cell r="B84" t="str">
            <v>Support - ONP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A85">
            <v>35522</v>
          </cell>
          <cell r="B85" t="str">
            <v>Support - Other Paper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A86">
            <v>35523</v>
          </cell>
          <cell r="B86" t="str">
            <v>Support - Aluminum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A87">
            <v>35524</v>
          </cell>
          <cell r="B87" t="str">
            <v>Support - Metal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A88">
            <v>35525</v>
          </cell>
          <cell r="B88" t="str">
            <v>Support - Glass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A89">
            <v>35526</v>
          </cell>
          <cell r="B89" t="str">
            <v>Support - Plastic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A90">
            <v>35527</v>
          </cell>
          <cell r="B90" t="str">
            <v>Support - Other Recyclables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</row>
        <row r="91">
          <cell r="A91">
            <v>35529</v>
          </cell>
          <cell r="B91" t="str">
            <v>Support - Intercompany Material Sales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A92">
            <v>35551</v>
          </cell>
          <cell r="B92" t="str">
            <v>Proceeds - Compost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A93">
            <v>35552</v>
          </cell>
          <cell r="B93" t="str">
            <v>Proceeds - Fuel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A94">
            <v>35553</v>
          </cell>
          <cell r="B94" t="str">
            <v>Proceeds - Landscape Materials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A95" t="str">
            <v>Total MRF</v>
          </cell>
          <cell r="E95">
            <v>66163.429999999993</v>
          </cell>
          <cell r="F95">
            <v>77025.61</v>
          </cell>
          <cell r="G95">
            <v>73704.329999999987</v>
          </cell>
          <cell r="H95">
            <v>88340.89</v>
          </cell>
          <cell r="I95">
            <v>78825.62</v>
          </cell>
          <cell r="J95">
            <v>92909.63</v>
          </cell>
          <cell r="K95">
            <v>82400.349999999991</v>
          </cell>
          <cell r="L95">
            <v>58871.11</v>
          </cell>
          <cell r="M95">
            <v>67170.759999999995</v>
          </cell>
          <cell r="N95">
            <v>72385.08</v>
          </cell>
          <cell r="O95">
            <v>85904.11</v>
          </cell>
          <cell r="P95">
            <v>96753.68</v>
          </cell>
          <cell r="Q95">
            <v>940454.6</v>
          </cell>
        </row>
        <row r="97">
          <cell r="A97" t="str">
            <v>Landfill</v>
          </cell>
        </row>
        <row r="98">
          <cell r="A98">
            <v>36000</v>
          </cell>
          <cell r="B98" t="str">
            <v>Landfill Revenue - MSW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A99">
            <v>36001</v>
          </cell>
          <cell r="B99" t="str">
            <v>Landfill Revenue - MSW Adjustments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A100">
            <v>36002</v>
          </cell>
          <cell r="B100" t="str">
            <v>Landfill Revenue - Extras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</row>
        <row r="101">
          <cell r="A101">
            <v>36009</v>
          </cell>
          <cell r="B101" t="str">
            <v>Landfill Revenue - MSW Intercompany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</row>
        <row r="102">
          <cell r="A102">
            <v>36010</v>
          </cell>
          <cell r="B102" t="str">
            <v>Landfill Revenue - C&amp;D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A103">
            <v>36011</v>
          </cell>
          <cell r="B103" t="str">
            <v>Landfill Revenue - C&amp;D Adjustments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A104">
            <v>36019</v>
          </cell>
          <cell r="B104" t="str">
            <v>Landfill Revenue - C&amp;D Intercompany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A105">
            <v>36020</v>
          </cell>
          <cell r="B105" t="str">
            <v>Landfill Revenue - Special Waste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A106">
            <v>36021</v>
          </cell>
          <cell r="B106" t="str">
            <v>Landfill Revenue - Special Waste Adjustm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</row>
        <row r="107">
          <cell r="A107">
            <v>36029</v>
          </cell>
          <cell r="B107" t="str">
            <v>Landfill Revenue - Special Waste Interco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</row>
        <row r="108">
          <cell r="A108">
            <v>36030</v>
          </cell>
          <cell r="B108" t="str">
            <v>Landfill Revenue - Asbestos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A109">
            <v>36031</v>
          </cell>
          <cell r="B109" t="str">
            <v>Landfill Revenue - Asbestos Adjustments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</row>
        <row r="110">
          <cell r="A110">
            <v>36039</v>
          </cell>
          <cell r="B110" t="str">
            <v>Landfill Revenue - Asbestos Intercompany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</row>
        <row r="111">
          <cell r="A111">
            <v>36040</v>
          </cell>
          <cell r="B111" t="str">
            <v>Landfill Revenue - Contaminated Soil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A112">
            <v>36041</v>
          </cell>
          <cell r="B112" t="str">
            <v>Landfill Revenue - Contaminated Soil Adj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</row>
        <row r="113">
          <cell r="A113">
            <v>36049</v>
          </cell>
          <cell r="B113" t="str">
            <v>Landfill Revenue - Contaminated Soil Int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A114">
            <v>36050</v>
          </cell>
          <cell r="B114" t="str">
            <v>Landfill Revenue - Yard Waste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</row>
        <row r="115">
          <cell r="A115">
            <v>36051</v>
          </cell>
          <cell r="B115" t="str">
            <v>Landfill Revenue - Yard Waste Adjustment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A116">
            <v>36059</v>
          </cell>
          <cell r="B116" t="str">
            <v>Landfill Revenue - Yard Waste Intercompa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</row>
        <row r="117">
          <cell r="A117">
            <v>36090</v>
          </cell>
          <cell r="B117" t="str">
            <v>Landfill Pass Through Revenue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A118">
            <v>36099</v>
          </cell>
          <cell r="B118" t="str">
            <v>Landfill Pass Through Revenue Intercompany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</row>
        <row r="119">
          <cell r="A119">
            <v>36301</v>
          </cell>
          <cell r="B119" t="str">
            <v>E&amp;P Liquids - Non Count Waste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A120">
            <v>36309</v>
          </cell>
          <cell r="B120" t="str">
            <v>E&amp;P Liquids - Non Count Waste Intercompany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A121">
            <v>36311</v>
          </cell>
          <cell r="B121" t="str">
            <v>E&amp;P Liquids - Count Waste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</row>
        <row r="122">
          <cell r="A122">
            <v>36319</v>
          </cell>
          <cell r="B122" t="str">
            <v>E&amp;P Liquids - Count Waste Intercompany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</row>
        <row r="123">
          <cell r="A123">
            <v>36321</v>
          </cell>
          <cell r="B123" t="str">
            <v>Other Liquids - Non E&amp;P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</row>
        <row r="124">
          <cell r="A124">
            <v>36329</v>
          </cell>
          <cell r="B124" t="str">
            <v>Other Liquids - Non E&amp;P Intercompany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</row>
        <row r="125">
          <cell r="A125">
            <v>36331</v>
          </cell>
          <cell r="B125" t="str">
            <v>E&amp;P Solids - Count Waste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</row>
        <row r="126">
          <cell r="A126">
            <v>36339</v>
          </cell>
          <cell r="B126" t="str">
            <v>E&amp;P Solids - Count Waste Intercompany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</row>
        <row r="127">
          <cell r="A127" t="str">
            <v>Total Landfill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</row>
        <row r="129">
          <cell r="A129" t="str">
            <v>Intermodal</v>
          </cell>
        </row>
        <row r="130">
          <cell r="A130">
            <v>36101</v>
          </cell>
          <cell r="B130" t="str">
            <v>Rail Drayage Revenue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</row>
        <row r="131">
          <cell r="A131">
            <v>36109</v>
          </cell>
          <cell r="B131" t="str">
            <v>Rail Drayage Revenue - Intercompany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A132">
            <v>36111</v>
          </cell>
          <cell r="B132" t="str">
            <v>Truck Drayage Revenue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</row>
        <row r="133">
          <cell r="A133">
            <v>36119</v>
          </cell>
          <cell r="B133" t="str">
            <v>Truck Drayage Revenue - Intercompany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</row>
        <row r="134">
          <cell r="A134">
            <v>36121</v>
          </cell>
          <cell r="B134" t="str">
            <v>Barge Drayage Revenue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</row>
        <row r="135">
          <cell r="A135">
            <v>36131</v>
          </cell>
          <cell r="B135" t="str">
            <v>Service Labor Revenue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</row>
        <row r="136">
          <cell r="A136">
            <v>36141</v>
          </cell>
          <cell r="B136" t="str">
            <v>Refrigeration Labor Revenue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</row>
        <row r="137">
          <cell r="A137">
            <v>36145</v>
          </cell>
          <cell r="B137" t="str">
            <v>Parts Revenue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</row>
        <row r="138">
          <cell r="A138">
            <v>36151</v>
          </cell>
          <cell r="B138" t="str">
            <v>Container Sales Revenue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</row>
        <row r="139">
          <cell r="A139">
            <v>36161</v>
          </cell>
          <cell r="B139" t="str">
            <v>Container Rental Revenue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</row>
        <row r="140">
          <cell r="A140">
            <v>36171</v>
          </cell>
          <cell r="B140" t="str">
            <v>Intermodal Revenue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</row>
        <row r="141">
          <cell r="A141">
            <v>36181</v>
          </cell>
          <cell r="B141" t="str">
            <v>Chassis Lease Revenue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</row>
        <row r="142">
          <cell r="A142">
            <v>36191</v>
          </cell>
          <cell r="B142" t="str">
            <v>Interchanges Revenue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</row>
        <row r="143">
          <cell r="A143">
            <v>36201</v>
          </cell>
          <cell r="B143" t="str">
            <v>Storage Revenue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</row>
        <row r="144">
          <cell r="A144">
            <v>36211</v>
          </cell>
          <cell r="B144" t="str">
            <v>Empty Lifts Revenue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</row>
        <row r="145">
          <cell r="A145">
            <v>36221</v>
          </cell>
          <cell r="B145" t="str">
            <v>Load Lifts Revenue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</row>
        <row r="146">
          <cell r="A146" t="str">
            <v>Total Intermodal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</row>
        <row r="148">
          <cell r="A148" t="str">
            <v>Other Revenue</v>
          </cell>
        </row>
        <row r="149">
          <cell r="A149">
            <v>37001</v>
          </cell>
          <cell r="B149" t="str">
            <v>Sale of Equipment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</row>
        <row r="150">
          <cell r="A150">
            <v>37010</v>
          </cell>
          <cell r="B150" t="str">
            <v>Tire Processing Revenue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</row>
        <row r="151">
          <cell r="A151">
            <v>37019</v>
          </cell>
          <cell r="B151" t="str">
            <v>Tire Processing Revenue - Intercompany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</row>
        <row r="152">
          <cell r="A152">
            <v>38000</v>
          </cell>
          <cell r="B152" t="str">
            <v>Corporate Other Revenue</v>
          </cell>
          <cell r="E152">
            <v>8589.2099999999991</v>
          </cell>
          <cell r="F152">
            <v>1694.09</v>
          </cell>
          <cell r="G152">
            <v>4218.3599999999997</v>
          </cell>
          <cell r="H152">
            <v>1373.97</v>
          </cell>
          <cell r="I152">
            <v>5262.72</v>
          </cell>
          <cell r="J152">
            <v>1769.91</v>
          </cell>
          <cell r="K152">
            <v>5502.45</v>
          </cell>
          <cell r="L152">
            <v>1702.72</v>
          </cell>
          <cell r="M152">
            <v>5805.85</v>
          </cell>
          <cell r="N152">
            <v>2208.19</v>
          </cell>
          <cell r="O152">
            <v>5752.25</v>
          </cell>
          <cell r="P152">
            <v>3433.24</v>
          </cell>
          <cell r="Q152">
            <v>47312.959999999999</v>
          </cell>
        </row>
        <row r="153">
          <cell r="A153">
            <v>38001</v>
          </cell>
          <cell r="B153" t="str">
            <v>P-Card Rebate Revenue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</row>
        <row r="154">
          <cell r="A154" t="str">
            <v>Total Other Revenue</v>
          </cell>
          <cell r="E154">
            <v>8589.2099999999991</v>
          </cell>
          <cell r="F154">
            <v>1694.09</v>
          </cell>
          <cell r="G154">
            <v>4218.3599999999997</v>
          </cell>
          <cell r="H154">
            <v>1373.97</v>
          </cell>
          <cell r="I154">
            <v>5262.72</v>
          </cell>
          <cell r="J154">
            <v>1769.91</v>
          </cell>
          <cell r="K154">
            <v>5502.45</v>
          </cell>
          <cell r="L154">
            <v>1702.72</v>
          </cell>
          <cell r="M154">
            <v>5805.85</v>
          </cell>
          <cell r="N154">
            <v>2208.19</v>
          </cell>
          <cell r="O154">
            <v>5752.25</v>
          </cell>
          <cell r="P154">
            <v>3433.24</v>
          </cell>
          <cell r="Q154">
            <v>47312.959999999999</v>
          </cell>
        </row>
        <row r="156">
          <cell r="A156" t="str">
            <v>Total Revenue</v>
          </cell>
          <cell r="E156">
            <v>2839426.59</v>
          </cell>
          <cell r="F156">
            <v>2811716.86</v>
          </cell>
          <cell r="G156">
            <v>2913771.82</v>
          </cell>
          <cell r="H156">
            <v>2924037.87</v>
          </cell>
          <cell r="I156">
            <v>2930860.6499999994</v>
          </cell>
          <cell r="J156">
            <v>3005240.4200000004</v>
          </cell>
          <cell r="K156">
            <v>2980348.3999999994</v>
          </cell>
          <cell r="L156">
            <v>2955082.1699999995</v>
          </cell>
          <cell r="M156">
            <v>2995618.75</v>
          </cell>
          <cell r="N156">
            <v>2959049.6100000003</v>
          </cell>
          <cell r="O156">
            <v>2983216.9499999997</v>
          </cell>
          <cell r="P156">
            <v>2979291.22</v>
          </cell>
          <cell r="Q156">
            <v>35277661.310000002</v>
          </cell>
        </row>
        <row r="158">
          <cell r="A158" t="str">
            <v>Revenue Reductions</v>
          </cell>
        </row>
        <row r="159">
          <cell r="A159" t="str">
            <v>Disposal</v>
          </cell>
        </row>
        <row r="160">
          <cell r="A160">
            <v>40101</v>
          </cell>
          <cell r="B160" t="str">
            <v>Disposal Landfill</v>
          </cell>
          <cell r="E160">
            <v>23350.03</v>
          </cell>
          <cell r="F160">
            <v>26834.720000000001</v>
          </cell>
          <cell r="G160">
            <v>42381.84</v>
          </cell>
          <cell r="H160">
            <v>36707.01</v>
          </cell>
          <cell r="I160">
            <v>39327.86</v>
          </cell>
          <cell r="J160">
            <v>44813.91</v>
          </cell>
          <cell r="K160">
            <v>45601.91</v>
          </cell>
          <cell r="L160">
            <v>42594.05</v>
          </cell>
          <cell r="M160">
            <v>39719.949999999997</v>
          </cell>
          <cell r="N160">
            <v>37160.81</v>
          </cell>
          <cell r="O160">
            <v>33518.03</v>
          </cell>
          <cell r="P160">
            <v>28405.79</v>
          </cell>
          <cell r="Q160">
            <v>440415.91</v>
          </cell>
        </row>
        <row r="161">
          <cell r="A161">
            <v>40109</v>
          </cell>
          <cell r="B161" t="str">
            <v>Disposal Landfill Intercompany</v>
          </cell>
          <cell r="E161">
            <v>194.6</v>
          </cell>
          <cell r="F161">
            <v>327.96</v>
          </cell>
          <cell r="G161">
            <v>99.4</v>
          </cell>
          <cell r="H161">
            <v>8930.7999999999993</v>
          </cell>
          <cell r="I161">
            <v>8418</v>
          </cell>
          <cell r="J161">
            <v>10225</v>
          </cell>
          <cell r="K161">
            <v>9550</v>
          </cell>
          <cell r="L161">
            <v>8953</v>
          </cell>
          <cell r="M161">
            <v>8660</v>
          </cell>
          <cell r="N161">
            <v>8485</v>
          </cell>
          <cell r="O161">
            <v>8205</v>
          </cell>
          <cell r="P161">
            <v>8111.2</v>
          </cell>
          <cell r="Q161">
            <v>80159.959999999992</v>
          </cell>
        </row>
        <row r="162">
          <cell r="A162">
            <v>40121</v>
          </cell>
          <cell r="B162" t="str">
            <v>Disposal Incineration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</row>
        <row r="163">
          <cell r="A163">
            <v>40122</v>
          </cell>
          <cell r="B163" t="str">
            <v>Disposal Other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</row>
        <row r="164">
          <cell r="A164">
            <v>40129</v>
          </cell>
          <cell r="B164" t="str">
            <v>Disposal Other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</row>
        <row r="165">
          <cell r="A165">
            <v>40131</v>
          </cell>
          <cell r="B165" t="str">
            <v>Disposal Transfer</v>
          </cell>
          <cell r="E165">
            <v>4652.22</v>
          </cell>
          <cell r="F165">
            <v>5422.23</v>
          </cell>
          <cell r="G165">
            <v>6556.26</v>
          </cell>
          <cell r="H165">
            <v>5248.01</v>
          </cell>
          <cell r="I165">
            <v>6285.68</v>
          </cell>
          <cell r="J165">
            <v>5271.25</v>
          </cell>
          <cell r="K165">
            <v>2375.48</v>
          </cell>
          <cell r="L165">
            <v>2345.9499999999998</v>
          </cell>
          <cell r="M165">
            <v>4253.9399999999996</v>
          </cell>
          <cell r="N165">
            <v>5654.19</v>
          </cell>
          <cell r="O165">
            <v>5131.53</v>
          </cell>
          <cell r="P165">
            <v>5010.78</v>
          </cell>
          <cell r="Q165">
            <v>58207.520000000004</v>
          </cell>
        </row>
        <row r="166">
          <cell r="A166">
            <v>40139</v>
          </cell>
          <cell r="B166" t="str">
            <v>Disposal Transfer Intercompany</v>
          </cell>
          <cell r="E166">
            <v>593825.03</v>
          </cell>
          <cell r="F166">
            <v>547142.99</v>
          </cell>
          <cell r="G166">
            <v>630810.36</v>
          </cell>
          <cell r="H166">
            <v>605643.42000000004</v>
          </cell>
          <cell r="I166">
            <v>594549.89</v>
          </cell>
          <cell r="J166">
            <v>658860.29</v>
          </cell>
          <cell r="K166">
            <v>621190.5</v>
          </cell>
          <cell r="L166">
            <v>619548.27</v>
          </cell>
          <cell r="M166">
            <v>634021.85</v>
          </cell>
          <cell r="N166">
            <v>591478.38</v>
          </cell>
          <cell r="O166">
            <v>635582.61</v>
          </cell>
          <cell r="P166">
            <v>652795.86</v>
          </cell>
          <cell r="Q166">
            <v>7385449.4500000002</v>
          </cell>
        </row>
        <row r="167">
          <cell r="A167" t="str">
            <v>Total Disposal</v>
          </cell>
          <cell r="E167">
            <v>622021.88</v>
          </cell>
          <cell r="F167">
            <v>579727.9</v>
          </cell>
          <cell r="G167">
            <v>679847.86</v>
          </cell>
          <cell r="H167">
            <v>656529.24</v>
          </cell>
          <cell r="I167">
            <v>648581.43000000005</v>
          </cell>
          <cell r="J167">
            <v>719170.45000000007</v>
          </cell>
          <cell r="K167">
            <v>678717.89</v>
          </cell>
          <cell r="L167">
            <v>673441.27</v>
          </cell>
          <cell r="M167">
            <v>686655.74</v>
          </cell>
          <cell r="N167">
            <v>642778.38</v>
          </cell>
          <cell r="O167">
            <v>682437.16999999993</v>
          </cell>
          <cell r="P167">
            <v>694323.63</v>
          </cell>
          <cell r="Q167">
            <v>7964232.8399999999</v>
          </cell>
        </row>
        <row r="169">
          <cell r="A169" t="str">
            <v>MRF Processing</v>
          </cell>
        </row>
        <row r="170">
          <cell r="A170">
            <v>40861</v>
          </cell>
          <cell r="B170" t="str">
            <v>Processing Fees MRF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</row>
        <row r="171">
          <cell r="A171">
            <v>40869</v>
          </cell>
          <cell r="B171" t="str">
            <v>Processing Fees MRF Intercompany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</row>
        <row r="172">
          <cell r="A172" t="str">
            <v>Total MRF Processing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</row>
        <row r="174">
          <cell r="A174" t="str">
            <v>Brokerage, Rebates and Taxes</v>
          </cell>
        </row>
        <row r="175">
          <cell r="A175">
            <v>41121</v>
          </cell>
          <cell r="B175" t="str">
            <v>Brokerage Cost</v>
          </cell>
          <cell r="E175">
            <v>0</v>
          </cell>
          <cell r="F175">
            <v>0</v>
          </cell>
          <cell r="G175">
            <v>0</v>
          </cell>
          <cell r="H175">
            <v>178.39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178.39</v>
          </cell>
        </row>
        <row r="176">
          <cell r="A176">
            <v>41129</v>
          </cell>
          <cell r="B176" t="str">
            <v>Brokerage Cost Intercompany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</row>
        <row r="177">
          <cell r="A177">
            <v>41131</v>
          </cell>
          <cell r="B177" t="str">
            <v>Rail Drayage Expenses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</row>
        <row r="178">
          <cell r="A178">
            <v>41135</v>
          </cell>
          <cell r="B178" t="str">
            <v>Resale Parts - Cost of Goods Sold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</row>
        <row r="179">
          <cell r="A179">
            <v>41139</v>
          </cell>
          <cell r="B179" t="str">
            <v>Rail Drayage Expenses - Intercompany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</row>
        <row r="180">
          <cell r="A180">
            <v>41141</v>
          </cell>
          <cell r="B180" t="str">
            <v>Truck Drayage Expenses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</row>
        <row r="181">
          <cell r="A181">
            <v>41149</v>
          </cell>
          <cell r="B181" t="str">
            <v>Truck Drayage Expenses - Intercompany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</row>
        <row r="182">
          <cell r="A182">
            <v>41151</v>
          </cell>
          <cell r="B182" t="str">
            <v>Intermodal Expenses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</row>
        <row r="183">
          <cell r="A183">
            <v>41201</v>
          </cell>
          <cell r="B183" t="str">
            <v>Rebates and Revenue Sharing</v>
          </cell>
          <cell r="E183">
            <v>521936.87</v>
          </cell>
          <cell r="F183">
            <v>516837.5</v>
          </cell>
          <cell r="G183">
            <v>526589.43999999994</v>
          </cell>
          <cell r="H183">
            <v>507133.7</v>
          </cell>
          <cell r="I183">
            <v>514778.73</v>
          </cell>
          <cell r="J183">
            <v>520529.95</v>
          </cell>
          <cell r="K183">
            <v>523325.23</v>
          </cell>
          <cell r="L183">
            <v>525169.91</v>
          </cell>
          <cell r="M183">
            <v>526242.24</v>
          </cell>
          <cell r="N183">
            <v>522492.7</v>
          </cell>
          <cell r="O183">
            <v>519798.37</v>
          </cell>
          <cell r="P183">
            <v>519523.19</v>
          </cell>
          <cell r="Q183">
            <v>6244357.830000001</v>
          </cell>
        </row>
        <row r="184">
          <cell r="A184">
            <v>43001</v>
          </cell>
          <cell r="B184" t="str">
            <v>Taxes and Pass Thru Fees</v>
          </cell>
          <cell r="E184">
            <v>41543.1</v>
          </cell>
          <cell r="F184">
            <v>40952.97</v>
          </cell>
          <cell r="G184">
            <v>42462.54</v>
          </cell>
          <cell r="H184">
            <v>45489.33</v>
          </cell>
          <cell r="I184">
            <v>48581.71</v>
          </cell>
          <cell r="J184">
            <v>53321.59</v>
          </cell>
          <cell r="K184">
            <v>51875.89</v>
          </cell>
          <cell r="L184">
            <v>52096.88</v>
          </cell>
          <cell r="M184">
            <v>52109.83</v>
          </cell>
          <cell r="N184">
            <v>51665.29</v>
          </cell>
          <cell r="O184">
            <v>51559.19</v>
          </cell>
          <cell r="P184">
            <v>51703.040000000001</v>
          </cell>
          <cell r="Q184">
            <v>583361.3600000001</v>
          </cell>
        </row>
        <row r="185">
          <cell r="A185">
            <v>43002</v>
          </cell>
          <cell r="B185" t="str">
            <v>WUTC Taxes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</row>
        <row r="186">
          <cell r="A186">
            <v>43090</v>
          </cell>
          <cell r="B186" t="str">
            <v>Pass Through Expenses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</row>
        <row r="187">
          <cell r="A187">
            <v>43099</v>
          </cell>
          <cell r="B187" t="str">
            <v>Pass Through Expenses Intercompany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</row>
        <row r="188">
          <cell r="A188" t="str">
            <v>Total Brokerage, Rebates and Taxes</v>
          </cell>
          <cell r="E188">
            <v>563479.97</v>
          </cell>
          <cell r="F188">
            <v>557790.47</v>
          </cell>
          <cell r="G188">
            <v>569051.98</v>
          </cell>
          <cell r="H188">
            <v>552801.42000000004</v>
          </cell>
          <cell r="I188">
            <v>563360.43999999994</v>
          </cell>
          <cell r="J188">
            <v>573851.54</v>
          </cell>
          <cell r="K188">
            <v>575201.12</v>
          </cell>
          <cell r="L188">
            <v>577266.79</v>
          </cell>
          <cell r="M188">
            <v>578352.06999999995</v>
          </cell>
          <cell r="N188">
            <v>574157.99</v>
          </cell>
          <cell r="O188">
            <v>571357.56000000006</v>
          </cell>
          <cell r="P188">
            <v>571226.23</v>
          </cell>
          <cell r="Q188">
            <v>6827897.580000001</v>
          </cell>
        </row>
        <row r="190">
          <cell r="A190" t="str">
            <v>Recycling Materials Expense</v>
          </cell>
        </row>
        <row r="191">
          <cell r="A191">
            <v>44161</v>
          </cell>
          <cell r="B191" t="str">
            <v>Cost of Materials - OCC</v>
          </cell>
          <cell r="E191">
            <v>2426.64</v>
          </cell>
          <cell r="F191">
            <v>2389.0700000000002</v>
          </cell>
          <cell r="G191">
            <v>2400.6</v>
          </cell>
          <cell r="H191">
            <v>2445.6799999999998</v>
          </cell>
          <cell r="I191">
            <v>2403.29</v>
          </cell>
          <cell r="J191">
            <v>2402.11</v>
          </cell>
          <cell r="K191">
            <v>437.67</v>
          </cell>
          <cell r="L191">
            <v>1356.93</v>
          </cell>
          <cell r="M191">
            <v>2409.56</v>
          </cell>
          <cell r="N191">
            <v>2530.52</v>
          </cell>
          <cell r="O191">
            <v>2633.11</v>
          </cell>
          <cell r="P191">
            <v>2651.26</v>
          </cell>
          <cell r="Q191">
            <v>26486.440000000002</v>
          </cell>
        </row>
        <row r="192">
          <cell r="A192">
            <v>44162</v>
          </cell>
          <cell r="B192" t="str">
            <v>Cost of Materials - ONP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</row>
        <row r="193">
          <cell r="A193">
            <v>44163</v>
          </cell>
          <cell r="B193" t="str">
            <v>Cost of Materials - Other Paper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</row>
        <row r="194">
          <cell r="A194">
            <v>44164</v>
          </cell>
          <cell r="B194" t="str">
            <v>Cost of Materials - Aluminum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</row>
        <row r="195">
          <cell r="A195">
            <v>44165</v>
          </cell>
          <cell r="B195" t="str">
            <v>Cost of Materials - Metal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</row>
        <row r="196">
          <cell r="A196">
            <v>44166</v>
          </cell>
          <cell r="B196" t="str">
            <v>Cost of Materials - Glass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</row>
        <row r="197">
          <cell r="A197">
            <v>44167</v>
          </cell>
          <cell r="B197" t="str">
            <v>Cost of Materials - Plastic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</row>
        <row r="198">
          <cell r="A198">
            <v>44168</v>
          </cell>
          <cell r="B198" t="str">
            <v>Cost of Materials - Other Recyclables</v>
          </cell>
          <cell r="E198">
            <v>0</v>
          </cell>
          <cell r="F198">
            <v>8</v>
          </cell>
          <cell r="G198">
            <v>8</v>
          </cell>
          <cell r="H198">
            <v>0</v>
          </cell>
          <cell r="I198">
            <v>8</v>
          </cell>
          <cell r="J198">
            <v>0</v>
          </cell>
          <cell r="K198">
            <v>8</v>
          </cell>
          <cell r="L198">
            <v>7</v>
          </cell>
          <cell r="M198">
            <v>0</v>
          </cell>
          <cell r="N198">
            <v>7</v>
          </cell>
          <cell r="O198">
            <v>15</v>
          </cell>
          <cell r="P198">
            <v>8</v>
          </cell>
          <cell r="Q198">
            <v>69</v>
          </cell>
        </row>
        <row r="199">
          <cell r="A199">
            <v>44169</v>
          </cell>
          <cell r="B199" t="str">
            <v>Cost of Materials - Intercompany</v>
          </cell>
          <cell r="E199">
            <v>1793.25</v>
          </cell>
          <cell r="F199">
            <v>1711</v>
          </cell>
          <cell r="G199">
            <v>2209.37</v>
          </cell>
          <cell r="H199">
            <v>2644.25</v>
          </cell>
          <cell r="I199">
            <v>3170</v>
          </cell>
          <cell r="J199">
            <v>2275.25</v>
          </cell>
          <cell r="K199">
            <v>1660.5</v>
          </cell>
          <cell r="L199">
            <v>2033.7</v>
          </cell>
          <cell r="M199">
            <v>1648</v>
          </cell>
          <cell r="N199">
            <v>2091.5500000000002</v>
          </cell>
          <cell r="O199">
            <v>2223.8000000000002</v>
          </cell>
          <cell r="P199">
            <v>2182.25</v>
          </cell>
          <cell r="Q199">
            <v>25642.92</v>
          </cell>
        </row>
        <row r="200">
          <cell r="A200">
            <v>44261</v>
          </cell>
          <cell r="B200" t="str">
            <v>Cost of Materials - Organics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</row>
        <row r="201">
          <cell r="A201">
            <v>44262</v>
          </cell>
          <cell r="B201" t="str">
            <v>Cost of Materials - Clean Wood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</row>
        <row r="202">
          <cell r="A202">
            <v>44263</v>
          </cell>
          <cell r="B202" t="str">
            <v>Cost of Materials - Landscaping Materials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</row>
        <row r="203">
          <cell r="A203" t="str">
            <v>Total Recycling Materials Expense</v>
          </cell>
          <cell r="E203">
            <v>4219.8899999999994</v>
          </cell>
          <cell r="F203">
            <v>4108.07</v>
          </cell>
          <cell r="G203">
            <v>4617.9699999999993</v>
          </cell>
          <cell r="H203">
            <v>5089.93</v>
          </cell>
          <cell r="I203">
            <v>5581.29</v>
          </cell>
          <cell r="J203">
            <v>4677.3600000000006</v>
          </cell>
          <cell r="K203">
            <v>2106.17</v>
          </cell>
          <cell r="L203">
            <v>3397.63</v>
          </cell>
          <cell r="M203">
            <v>4057.56</v>
          </cell>
          <cell r="N203">
            <v>4629.07</v>
          </cell>
          <cell r="O203">
            <v>4871.91</v>
          </cell>
          <cell r="P203">
            <v>4841.51</v>
          </cell>
          <cell r="Q203">
            <v>52198.36</v>
          </cell>
        </row>
        <row r="205">
          <cell r="A205" t="str">
            <v>Other Expense</v>
          </cell>
        </row>
        <row r="206">
          <cell r="A206">
            <v>47000</v>
          </cell>
          <cell r="B206" t="str">
            <v>Cost of Containers Sold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</row>
        <row r="207">
          <cell r="A207">
            <v>47001</v>
          </cell>
          <cell r="B207" t="str">
            <v>Cost of Equipment Sold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</row>
        <row r="208">
          <cell r="A208">
            <v>47010</v>
          </cell>
          <cell r="B208" t="str">
            <v>Tire Processing Expenses</v>
          </cell>
          <cell r="E208">
            <v>0</v>
          </cell>
          <cell r="F208">
            <v>0</v>
          </cell>
          <cell r="G208">
            <v>0</v>
          </cell>
          <cell r="H208">
            <v>205.8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205.8</v>
          </cell>
        </row>
        <row r="209">
          <cell r="A209">
            <v>47019</v>
          </cell>
          <cell r="B209" t="str">
            <v>Tire Processing Expenses - Intercompany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</row>
        <row r="210">
          <cell r="A210" t="str">
            <v>Total Other Expense</v>
          </cell>
          <cell r="E210">
            <v>0</v>
          </cell>
          <cell r="F210">
            <v>0</v>
          </cell>
          <cell r="G210">
            <v>0</v>
          </cell>
          <cell r="H210">
            <v>205.8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205.8</v>
          </cell>
        </row>
        <row r="212">
          <cell r="A212" t="str">
            <v>Total Revenue Reductions</v>
          </cell>
          <cell r="E212">
            <v>1189721.74</v>
          </cell>
          <cell r="F212">
            <v>1141626.44</v>
          </cell>
          <cell r="G212">
            <v>1253517.81</v>
          </cell>
          <cell r="H212">
            <v>1214626.3900000001</v>
          </cell>
          <cell r="I212">
            <v>1217523.1600000001</v>
          </cell>
          <cell r="J212">
            <v>1297699.3500000001</v>
          </cell>
          <cell r="K212">
            <v>1256025.1800000002</v>
          </cell>
          <cell r="L212">
            <v>1254105.69</v>
          </cell>
          <cell r="M212">
            <v>1269065.3700000001</v>
          </cell>
          <cell r="N212">
            <v>1221565.4399999999</v>
          </cell>
          <cell r="O212">
            <v>1258666.6400000001</v>
          </cell>
          <cell r="P212">
            <v>1270391.3700000001</v>
          </cell>
          <cell r="Q212">
            <v>14844534.580000002</v>
          </cell>
        </row>
        <row r="214">
          <cell r="A214" t="str">
            <v>Net Revenue</v>
          </cell>
          <cell r="E214">
            <v>1649704.8499999999</v>
          </cell>
          <cell r="F214">
            <v>1670090.42</v>
          </cell>
          <cell r="G214">
            <v>1660254.0099999998</v>
          </cell>
          <cell r="H214">
            <v>1709411.48</v>
          </cell>
          <cell r="I214">
            <v>1713337.4899999993</v>
          </cell>
          <cell r="J214">
            <v>1707541.0700000003</v>
          </cell>
          <cell r="K214">
            <v>1724323.2199999993</v>
          </cell>
          <cell r="L214">
            <v>1700976.4799999995</v>
          </cell>
          <cell r="M214">
            <v>1726553.38</v>
          </cell>
          <cell r="N214">
            <v>1737484.1700000004</v>
          </cell>
          <cell r="O214">
            <v>1724550.3099999996</v>
          </cell>
          <cell r="P214">
            <v>1708899.85</v>
          </cell>
          <cell r="Q214">
            <v>20433126.73</v>
          </cell>
        </row>
        <row r="216">
          <cell r="A216" t="str">
            <v>Cost of Operations</v>
          </cell>
        </row>
        <row r="217">
          <cell r="A217" t="str">
            <v>Labor</v>
          </cell>
        </row>
        <row r="218">
          <cell r="A218">
            <v>50010</v>
          </cell>
          <cell r="B218" t="str">
            <v>Salaries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</row>
        <row r="219">
          <cell r="A219">
            <v>50020</v>
          </cell>
          <cell r="B219" t="str">
            <v>Wages Regular</v>
          </cell>
          <cell r="E219">
            <v>164883.42000000001</v>
          </cell>
          <cell r="F219">
            <v>163593.57</v>
          </cell>
          <cell r="G219">
            <v>188109.33</v>
          </cell>
          <cell r="H219">
            <v>179849.71</v>
          </cell>
          <cell r="I219">
            <v>172347.9</v>
          </cell>
          <cell r="J219">
            <v>187859.47</v>
          </cell>
          <cell r="K219">
            <v>178348.24</v>
          </cell>
          <cell r="L219">
            <v>182091.36</v>
          </cell>
          <cell r="M219">
            <v>176392.37000000002</v>
          </cell>
          <cell r="N219">
            <v>178231.65999999997</v>
          </cell>
          <cell r="O219">
            <v>171402.89</v>
          </cell>
          <cell r="P219">
            <v>200565.78999999998</v>
          </cell>
          <cell r="Q219">
            <v>2143675.71</v>
          </cell>
        </row>
        <row r="220">
          <cell r="A220">
            <v>50025</v>
          </cell>
          <cell r="B220" t="str">
            <v>Wages O.T.</v>
          </cell>
          <cell r="E220">
            <v>32984.839999999997</v>
          </cell>
          <cell r="F220">
            <v>9544.4</v>
          </cell>
          <cell r="G220">
            <v>22471.78</v>
          </cell>
          <cell r="H220">
            <v>31363.030000000002</v>
          </cell>
          <cell r="I220">
            <v>49805.09</v>
          </cell>
          <cell r="J220">
            <v>35207.21</v>
          </cell>
          <cell r="K220">
            <v>36825.21</v>
          </cell>
          <cell r="L220">
            <v>33200.26</v>
          </cell>
          <cell r="M220">
            <v>40758.67</v>
          </cell>
          <cell r="N220">
            <v>31022.81</v>
          </cell>
          <cell r="O220">
            <v>51285.26</v>
          </cell>
          <cell r="P220">
            <v>33854.409999999996</v>
          </cell>
          <cell r="Q220">
            <v>408322.97</v>
          </cell>
        </row>
        <row r="221">
          <cell r="A221">
            <v>50035</v>
          </cell>
          <cell r="B221" t="str">
            <v>Safety Bonuses</v>
          </cell>
          <cell r="E221">
            <v>4800</v>
          </cell>
          <cell r="F221">
            <v>4800</v>
          </cell>
          <cell r="G221">
            <v>4800</v>
          </cell>
          <cell r="H221">
            <v>4800</v>
          </cell>
          <cell r="I221">
            <v>5550</v>
          </cell>
          <cell r="J221">
            <v>5550</v>
          </cell>
          <cell r="K221">
            <v>5550</v>
          </cell>
          <cell r="L221">
            <v>5550</v>
          </cell>
          <cell r="M221">
            <v>3500</v>
          </cell>
          <cell r="N221">
            <v>3500</v>
          </cell>
          <cell r="O221">
            <v>4800</v>
          </cell>
          <cell r="P221">
            <v>-8000</v>
          </cell>
          <cell r="Q221">
            <v>45200</v>
          </cell>
        </row>
        <row r="222">
          <cell r="A222">
            <v>50036</v>
          </cell>
          <cell r="B222" t="str">
            <v>Other Bonus/Commission - Non-Safety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</row>
        <row r="223">
          <cell r="A223">
            <v>50045</v>
          </cell>
          <cell r="B223" t="str">
            <v>Contract Labor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4788.33</v>
          </cell>
          <cell r="L223">
            <v>3663.38</v>
          </cell>
          <cell r="M223">
            <v>2786.12</v>
          </cell>
          <cell r="N223">
            <v>7835.02</v>
          </cell>
          <cell r="O223">
            <v>2360.66</v>
          </cell>
          <cell r="P223">
            <v>120.48</v>
          </cell>
          <cell r="Q223">
            <v>21553.989999999998</v>
          </cell>
        </row>
        <row r="224">
          <cell r="A224">
            <v>50050</v>
          </cell>
          <cell r="B224" t="str">
            <v>Payroll Taxes</v>
          </cell>
          <cell r="E224">
            <v>25189.960000000003</v>
          </cell>
          <cell r="F224">
            <v>18251.73</v>
          </cell>
          <cell r="G224">
            <v>20679.02</v>
          </cell>
          <cell r="H224">
            <v>21039.350000000002</v>
          </cell>
          <cell r="I224">
            <v>21060.63</v>
          </cell>
          <cell r="J224">
            <v>22770.019999999997</v>
          </cell>
          <cell r="K224">
            <v>23082.989999999998</v>
          </cell>
          <cell r="L224">
            <v>21413.860000000004</v>
          </cell>
          <cell r="M224">
            <v>22297.15</v>
          </cell>
          <cell r="N224">
            <v>19721.989999999998</v>
          </cell>
          <cell r="O224">
            <v>24041.16</v>
          </cell>
          <cell r="P224">
            <v>17044.59</v>
          </cell>
          <cell r="Q224">
            <v>256592.45</v>
          </cell>
        </row>
        <row r="225">
          <cell r="A225">
            <v>50060</v>
          </cell>
          <cell r="B225" t="str">
            <v>Group Insurance</v>
          </cell>
          <cell r="E225">
            <v>-52</v>
          </cell>
          <cell r="F225">
            <v>52</v>
          </cell>
          <cell r="G225">
            <v>400</v>
          </cell>
          <cell r="H225">
            <v>400</v>
          </cell>
          <cell r="I225">
            <v>400</v>
          </cell>
          <cell r="J225">
            <v>400</v>
          </cell>
          <cell r="K225">
            <v>400.77</v>
          </cell>
          <cell r="L225">
            <v>348</v>
          </cell>
          <cell r="M225">
            <v>400</v>
          </cell>
          <cell r="N225">
            <v>400</v>
          </cell>
          <cell r="O225">
            <v>1.54</v>
          </cell>
          <cell r="P225">
            <v>-913.13</v>
          </cell>
          <cell r="Q225">
            <v>2237.1799999999998</v>
          </cell>
        </row>
        <row r="226">
          <cell r="A226">
            <v>50065</v>
          </cell>
          <cell r="B226" t="str">
            <v>Vacation Pay</v>
          </cell>
          <cell r="E226">
            <v>19746.13</v>
          </cell>
          <cell r="F226">
            <v>10715.919999999998</v>
          </cell>
          <cell r="G226">
            <v>10164.220000000001</v>
          </cell>
          <cell r="H226">
            <v>13775.17</v>
          </cell>
          <cell r="I226">
            <v>12214.41</v>
          </cell>
          <cell r="J226">
            <v>9839.7799999999988</v>
          </cell>
          <cell r="K226">
            <v>16829.84</v>
          </cell>
          <cell r="L226">
            <v>10619.08</v>
          </cell>
          <cell r="M226">
            <v>20174.8</v>
          </cell>
          <cell r="N226">
            <v>7964.8900000000012</v>
          </cell>
          <cell r="O226">
            <v>28346.93</v>
          </cell>
          <cell r="P226">
            <v>21322.129999999997</v>
          </cell>
          <cell r="Q226">
            <v>181713.30000000002</v>
          </cell>
        </row>
        <row r="227">
          <cell r="A227">
            <v>50070</v>
          </cell>
          <cell r="B227" t="str">
            <v>Sick Pay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</row>
        <row r="228">
          <cell r="A228">
            <v>50086</v>
          </cell>
          <cell r="B228" t="str">
            <v>Safety and Training</v>
          </cell>
          <cell r="E228">
            <v>157.5</v>
          </cell>
          <cell r="F228">
            <v>172.5</v>
          </cell>
          <cell r="G228">
            <v>808.28</v>
          </cell>
          <cell r="H228">
            <v>-442.5</v>
          </cell>
          <cell r="I228">
            <v>965.32</v>
          </cell>
          <cell r="J228">
            <v>0</v>
          </cell>
          <cell r="K228">
            <v>0</v>
          </cell>
          <cell r="L228">
            <v>0</v>
          </cell>
          <cell r="M228">
            <v>25</v>
          </cell>
          <cell r="N228">
            <v>675</v>
          </cell>
          <cell r="O228">
            <v>0</v>
          </cell>
          <cell r="P228">
            <v>0</v>
          </cell>
          <cell r="Q228">
            <v>2361.1</v>
          </cell>
        </row>
        <row r="229">
          <cell r="A229">
            <v>50087</v>
          </cell>
          <cell r="B229" t="str">
            <v>Drug Testing</v>
          </cell>
          <cell r="E229">
            <v>60</v>
          </cell>
          <cell r="F229">
            <v>294</v>
          </cell>
          <cell r="G229">
            <v>180</v>
          </cell>
          <cell r="H229">
            <v>60</v>
          </cell>
          <cell r="I229">
            <v>180</v>
          </cell>
          <cell r="J229">
            <v>0</v>
          </cell>
          <cell r="K229">
            <v>660</v>
          </cell>
          <cell r="L229">
            <v>180</v>
          </cell>
          <cell r="M229">
            <v>480</v>
          </cell>
          <cell r="N229">
            <v>360</v>
          </cell>
          <cell r="O229">
            <v>180</v>
          </cell>
          <cell r="P229">
            <v>120</v>
          </cell>
          <cell r="Q229">
            <v>2754</v>
          </cell>
        </row>
        <row r="230">
          <cell r="A230">
            <v>50090</v>
          </cell>
          <cell r="B230" t="str">
            <v>Uniforms</v>
          </cell>
          <cell r="E230">
            <v>4074.6600000000003</v>
          </cell>
          <cell r="F230">
            <v>3623.04</v>
          </cell>
          <cell r="G230">
            <v>5198.9500000000007</v>
          </cell>
          <cell r="H230">
            <v>3689.49</v>
          </cell>
          <cell r="I230">
            <v>10448.56</v>
          </cell>
          <cell r="J230">
            <v>4504.9699999999993</v>
          </cell>
          <cell r="K230">
            <v>4758.2000000000007</v>
          </cell>
          <cell r="L230">
            <v>10818.759999999998</v>
          </cell>
          <cell r="M230">
            <v>4750.04</v>
          </cell>
          <cell r="N230">
            <v>7936.8100000000013</v>
          </cell>
          <cell r="O230">
            <v>4016.29</v>
          </cell>
          <cell r="P230">
            <v>3616.1000000000004</v>
          </cell>
          <cell r="Q230">
            <v>67435.87</v>
          </cell>
        </row>
        <row r="231">
          <cell r="A231">
            <v>50115</v>
          </cell>
          <cell r="B231" t="str">
            <v>Pension and Profit Sharing</v>
          </cell>
          <cell r="E231">
            <v>28983.06</v>
          </cell>
          <cell r="F231">
            <v>25738.78</v>
          </cell>
          <cell r="G231">
            <v>27512.51</v>
          </cell>
          <cell r="H231">
            <v>29149.510000000002</v>
          </cell>
          <cell r="I231">
            <v>28747.71</v>
          </cell>
          <cell r="J231">
            <v>30320.410000000003</v>
          </cell>
          <cell r="K231">
            <v>30592.95</v>
          </cell>
          <cell r="L231">
            <v>30361.019999999997</v>
          </cell>
          <cell r="M231">
            <v>30798.07</v>
          </cell>
          <cell r="N231">
            <v>28965.410000000003</v>
          </cell>
          <cell r="O231">
            <v>29195.13</v>
          </cell>
          <cell r="P231">
            <v>27681.32</v>
          </cell>
          <cell r="Q231">
            <v>348045.87999999995</v>
          </cell>
        </row>
        <row r="232">
          <cell r="A232">
            <v>50116</v>
          </cell>
          <cell r="B232" t="str">
            <v>Union Benefit Expense</v>
          </cell>
          <cell r="E232">
            <v>75002.37000000001</v>
          </cell>
          <cell r="F232">
            <v>76004.59</v>
          </cell>
          <cell r="G232">
            <v>72736.17</v>
          </cell>
          <cell r="H232">
            <v>70560.600000000006</v>
          </cell>
          <cell r="I232">
            <v>73715.539999999994</v>
          </cell>
          <cell r="J232">
            <v>76036.11</v>
          </cell>
          <cell r="K232">
            <v>76033.8</v>
          </cell>
          <cell r="L232">
            <v>76047.17</v>
          </cell>
          <cell r="M232">
            <v>75995.589999999982</v>
          </cell>
          <cell r="N232">
            <v>77106.5</v>
          </cell>
          <cell r="O232">
            <v>74405.170000000013</v>
          </cell>
          <cell r="P232">
            <v>74519.92</v>
          </cell>
          <cell r="Q232">
            <v>898163.53</v>
          </cell>
        </row>
        <row r="233">
          <cell r="A233">
            <v>50117</v>
          </cell>
          <cell r="B233" t="str">
            <v>Union Pension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</row>
        <row r="234">
          <cell r="A234">
            <v>50148</v>
          </cell>
          <cell r="B234" t="str">
            <v>Allocated Exp In - District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</row>
        <row r="235">
          <cell r="A235">
            <v>50149</v>
          </cell>
          <cell r="B235" t="str">
            <v>Allocated Exp In Out - District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</row>
        <row r="236">
          <cell r="A236">
            <v>50335</v>
          </cell>
          <cell r="B236" t="str">
            <v>Miscellaneous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</row>
        <row r="237">
          <cell r="A237">
            <v>50900</v>
          </cell>
          <cell r="B237" t="str">
            <v>Capitalized Costs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</row>
        <row r="238">
          <cell r="A238">
            <v>50998</v>
          </cell>
          <cell r="B238" t="str">
            <v>Allocation Out - District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</row>
        <row r="239">
          <cell r="A239">
            <v>50999</v>
          </cell>
          <cell r="B239" t="str">
            <v>Allocation Out - Out District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</row>
        <row r="240">
          <cell r="A240" t="str">
            <v>Total Labor</v>
          </cell>
          <cell r="E240">
            <v>355829.94</v>
          </cell>
          <cell r="F240">
            <v>312790.53000000003</v>
          </cell>
          <cell r="G240">
            <v>353060.25999999995</v>
          </cell>
          <cell r="H240">
            <v>354244.36</v>
          </cell>
          <cell r="I240">
            <v>375435.16</v>
          </cell>
          <cell r="J240">
            <v>372487.97</v>
          </cell>
          <cell r="K240">
            <v>377870.32999999996</v>
          </cell>
          <cell r="L240">
            <v>374292.89</v>
          </cell>
          <cell r="M240">
            <v>378357.81</v>
          </cell>
          <cell r="N240">
            <v>363720.08999999997</v>
          </cell>
          <cell r="O240">
            <v>390035.03</v>
          </cell>
          <cell r="P240">
            <v>369931.60999999993</v>
          </cell>
          <cell r="Q240">
            <v>4378055.9800000004</v>
          </cell>
        </row>
        <row r="242">
          <cell r="A242" t="str">
            <v>Truck Fixed Expenses</v>
          </cell>
        </row>
        <row r="243">
          <cell r="A243">
            <v>51148</v>
          </cell>
          <cell r="B243" t="str">
            <v>Allocation In - District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</row>
        <row r="244">
          <cell r="A244">
            <v>51149</v>
          </cell>
          <cell r="B244" t="str">
            <v>Allocation In - Out District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</row>
        <row r="245">
          <cell r="A245">
            <v>51175</v>
          </cell>
          <cell r="B245" t="str">
            <v>Equipment/Vehicle Rental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</row>
        <row r="246">
          <cell r="A246">
            <v>51275</v>
          </cell>
          <cell r="B246" t="str">
            <v>Property Taxes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</row>
        <row r="247">
          <cell r="A247">
            <v>51295</v>
          </cell>
          <cell r="B247" t="str">
            <v>Licenses</v>
          </cell>
          <cell r="E247">
            <v>7094.03</v>
          </cell>
          <cell r="F247">
            <v>5283.39</v>
          </cell>
          <cell r="G247">
            <v>6038.79</v>
          </cell>
          <cell r="H247">
            <v>6260.76</v>
          </cell>
          <cell r="I247">
            <v>7130.37</v>
          </cell>
          <cell r="J247">
            <v>6495.12</v>
          </cell>
          <cell r="K247">
            <v>7155.12</v>
          </cell>
          <cell r="L247">
            <v>8517.26</v>
          </cell>
          <cell r="M247">
            <v>6025.42</v>
          </cell>
          <cell r="N247">
            <v>6730.71</v>
          </cell>
          <cell r="O247">
            <v>6040.84</v>
          </cell>
          <cell r="P247">
            <v>7017.82</v>
          </cell>
          <cell r="Q247">
            <v>79789.63</v>
          </cell>
        </row>
        <row r="248">
          <cell r="A248">
            <v>51335</v>
          </cell>
          <cell r="B248" t="str">
            <v>Miscellaneous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</row>
        <row r="249">
          <cell r="A249">
            <v>51998</v>
          </cell>
          <cell r="B249" t="str">
            <v>Allocation Out - District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</row>
        <row r="250">
          <cell r="A250">
            <v>51999</v>
          </cell>
          <cell r="B250" t="str">
            <v>Allocation Out - Out District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</row>
        <row r="251">
          <cell r="A251" t="str">
            <v>Total Truck Fixed Expenses</v>
          </cell>
          <cell r="E251">
            <v>7094.03</v>
          </cell>
          <cell r="F251">
            <v>5283.39</v>
          </cell>
          <cell r="G251">
            <v>6038.79</v>
          </cell>
          <cell r="H251">
            <v>6260.76</v>
          </cell>
          <cell r="I251">
            <v>7130.37</v>
          </cell>
          <cell r="J251">
            <v>6495.12</v>
          </cell>
          <cell r="K251">
            <v>7155.12</v>
          </cell>
          <cell r="L251">
            <v>8517.26</v>
          </cell>
          <cell r="M251">
            <v>6025.42</v>
          </cell>
          <cell r="N251">
            <v>6730.71</v>
          </cell>
          <cell r="O251">
            <v>6040.84</v>
          </cell>
          <cell r="P251">
            <v>7017.82</v>
          </cell>
          <cell r="Q251">
            <v>79789.63</v>
          </cell>
        </row>
        <row r="253">
          <cell r="A253" t="str">
            <v>Truck Variable Expenses</v>
          </cell>
        </row>
        <row r="254">
          <cell r="A254">
            <v>52010</v>
          </cell>
          <cell r="B254" t="str">
            <v>Salaries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</row>
        <row r="255">
          <cell r="A255">
            <v>52020</v>
          </cell>
          <cell r="B255" t="str">
            <v>Wages Regular</v>
          </cell>
          <cell r="E255">
            <v>41831.43</v>
          </cell>
          <cell r="F255">
            <v>31547.360000000001</v>
          </cell>
          <cell r="G255">
            <v>41785.230000000003</v>
          </cell>
          <cell r="H255">
            <v>41270.26</v>
          </cell>
          <cell r="I255">
            <v>32339.71</v>
          </cell>
          <cell r="J255">
            <v>31241.200000000001</v>
          </cell>
          <cell r="K255">
            <v>37276.75</v>
          </cell>
          <cell r="L255">
            <v>38079.120000000003</v>
          </cell>
          <cell r="M255">
            <v>35899.410000000003</v>
          </cell>
          <cell r="N255">
            <v>39332.589999999997</v>
          </cell>
          <cell r="O255">
            <v>37890.239999999998</v>
          </cell>
          <cell r="P255">
            <v>44055.94</v>
          </cell>
          <cell r="Q255">
            <v>452549.24000000005</v>
          </cell>
        </row>
        <row r="256">
          <cell r="A256">
            <v>52025</v>
          </cell>
          <cell r="B256" t="str">
            <v>Wages O.T.</v>
          </cell>
          <cell r="E256">
            <v>7524.35</v>
          </cell>
          <cell r="F256">
            <v>4047.27</v>
          </cell>
          <cell r="G256">
            <v>4760.2299999999996</v>
          </cell>
          <cell r="H256">
            <v>4152.5200000000004</v>
          </cell>
          <cell r="I256">
            <v>5808.01</v>
          </cell>
          <cell r="J256">
            <v>4035.92</v>
          </cell>
          <cell r="K256">
            <v>11119.38</v>
          </cell>
          <cell r="L256">
            <v>2971.58</v>
          </cell>
          <cell r="M256">
            <v>6964.42</v>
          </cell>
          <cell r="N256">
            <v>4824.8500000000004</v>
          </cell>
          <cell r="O256">
            <v>7793.34</v>
          </cell>
          <cell r="P256">
            <v>5555.18</v>
          </cell>
          <cell r="Q256">
            <v>69557.049999999988</v>
          </cell>
        </row>
        <row r="257">
          <cell r="A257">
            <v>52035</v>
          </cell>
          <cell r="B257" t="str">
            <v>Safety Bonuses</v>
          </cell>
          <cell r="E257">
            <v>1250</v>
          </cell>
          <cell r="F257">
            <v>1250</v>
          </cell>
          <cell r="G257">
            <v>1250</v>
          </cell>
          <cell r="H257">
            <v>1250</v>
          </cell>
          <cell r="I257">
            <v>2000</v>
          </cell>
          <cell r="J257">
            <v>2000</v>
          </cell>
          <cell r="K257">
            <v>2000</v>
          </cell>
          <cell r="L257">
            <v>2000</v>
          </cell>
          <cell r="M257">
            <v>1000</v>
          </cell>
          <cell r="N257">
            <v>1000</v>
          </cell>
          <cell r="O257">
            <v>1200</v>
          </cell>
          <cell r="P257">
            <v>-2000</v>
          </cell>
          <cell r="Q257">
            <v>14200</v>
          </cell>
        </row>
        <row r="258">
          <cell r="A258">
            <v>52036</v>
          </cell>
          <cell r="B258" t="str">
            <v>Other Bonus/Commission - Non-Safety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</row>
        <row r="259">
          <cell r="A259">
            <v>52045</v>
          </cell>
          <cell r="B259" t="str">
            <v>Contract Labor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</row>
        <row r="260">
          <cell r="A260">
            <v>52050</v>
          </cell>
          <cell r="B260" t="str">
            <v>Payroll Taxes</v>
          </cell>
          <cell r="E260">
            <v>5936.87</v>
          </cell>
          <cell r="F260">
            <v>3515.19</v>
          </cell>
          <cell r="G260">
            <v>4535.6499999999996</v>
          </cell>
          <cell r="H260">
            <v>4653.75</v>
          </cell>
          <cell r="I260">
            <v>4561.24</v>
          </cell>
          <cell r="J260">
            <v>5119.2299999999996</v>
          </cell>
          <cell r="K260">
            <v>5503.32</v>
          </cell>
          <cell r="L260">
            <v>4465.1099999999997</v>
          </cell>
          <cell r="M260">
            <v>4260.3100000000004</v>
          </cell>
          <cell r="N260">
            <v>4002.25</v>
          </cell>
          <cell r="O260">
            <v>5640.4</v>
          </cell>
          <cell r="P260">
            <v>3070</v>
          </cell>
          <cell r="Q260">
            <v>55263.32</v>
          </cell>
        </row>
        <row r="261">
          <cell r="A261">
            <v>52060</v>
          </cell>
          <cell r="B261" t="str">
            <v>Group Insurance</v>
          </cell>
          <cell r="E261">
            <v>-159</v>
          </cell>
          <cell r="F261">
            <v>-159</v>
          </cell>
          <cell r="G261">
            <v>561.5</v>
          </cell>
          <cell r="H261">
            <v>720.5</v>
          </cell>
          <cell r="I261">
            <v>641</v>
          </cell>
          <cell r="J261">
            <v>641</v>
          </cell>
          <cell r="K261">
            <v>641</v>
          </cell>
          <cell r="L261">
            <v>641</v>
          </cell>
          <cell r="M261">
            <v>561.5</v>
          </cell>
          <cell r="N261">
            <v>720.5</v>
          </cell>
          <cell r="O261">
            <v>641</v>
          </cell>
          <cell r="P261">
            <v>511.58</v>
          </cell>
          <cell r="Q261">
            <v>5962.58</v>
          </cell>
        </row>
        <row r="262">
          <cell r="A262">
            <v>52065</v>
          </cell>
          <cell r="B262" t="str">
            <v>Vacation Pay</v>
          </cell>
          <cell r="E262">
            <v>5737.5</v>
          </cell>
          <cell r="F262">
            <v>2090.71</v>
          </cell>
          <cell r="G262">
            <v>1979.73</v>
          </cell>
          <cell r="H262">
            <v>3044.17</v>
          </cell>
          <cell r="I262">
            <v>1571.02</v>
          </cell>
          <cell r="J262">
            <v>4642.26</v>
          </cell>
          <cell r="K262">
            <v>3319.05</v>
          </cell>
          <cell r="L262">
            <v>1557.75</v>
          </cell>
          <cell r="M262">
            <v>5888.63</v>
          </cell>
          <cell r="N262">
            <v>2065.0500000000002</v>
          </cell>
          <cell r="O262">
            <v>3190.34</v>
          </cell>
          <cell r="P262">
            <v>2387</v>
          </cell>
          <cell r="Q262">
            <v>37473.21</v>
          </cell>
        </row>
        <row r="263">
          <cell r="A263">
            <v>52070</v>
          </cell>
          <cell r="B263" t="str">
            <v>Sick Pay</v>
          </cell>
          <cell r="E263">
            <v>0</v>
          </cell>
          <cell r="F263">
            <v>0</v>
          </cell>
          <cell r="G263">
            <v>111.2</v>
          </cell>
          <cell r="H263">
            <v>903.6</v>
          </cell>
          <cell r="I263">
            <v>-301.2</v>
          </cell>
          <cell r="J263">
            <v>114.8</v>
          </cell>
          <cell r="K263">
            <v>229.6</v>
          </cell>
          <cell r="L263">
            <v>-114.8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943.2</v>
          </cell>
        </row>
        <row r="264">
          <cell r="A264">
            <v>52086</v>
          </cell>
          <cell r="B264" t="str">
            <v>Safety and Training</v>
          </cell>
          <cell r="E264">
            <v>313.67</v>
          </cell>
          <cell r="F264">
            <v>337.9</v>
          </cell>
          <cell r="G264">
            <v>464.12</v>
          </cell>
          <cell r="H264">
            <v>898.81</v>
          </cell>
          <cell r="I264">
            <v>1000.19</v>
          </cell>
          <cell r="J264">
            <v>951.13</v>
          </cell>
          <cell r="K264">
            <v>348.03</v>
          </cell>
          <cell r="L264">
            <v>1085.5</v>
          </cell>
          <cell r="M264">
            <v>0</v>
          </cell>
          <cell r="N264">
            <v>252.45</v>
          </cell>
          <cell r="O264">
            <v>0</v>
          </cell>
          <cell r="P264">
            <v>1352.06</v>
          </cell>
          <cell r="Q264">
            <v>7003.8600000000006</v>
          </cell>
        </row>
        <row r="265">
          <cell r="A265">
            <v>52087</v>
          </cell>
          <cell r="B265" t="str">
            <v>Drug Screening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</row>
        <row r="266">
          <cell r="A266">
            <v>52090</v>
          </cell>
          <cell r="B266" t="str">
            <v>Uniforms</v>
          </cell>
          <cell r="E266">
            <v>300.83</v>
          </cell>
          <cell r="F266">
            <v>353.71</v>
          </cell>
          <cell r="G266">
            <v>389.7</v>
          </cell>
          <cell r="H266">
            <v>320.22000000000003</v>
          </cell>
          <cell r="I266">
            <v>296.99</v>
          </cell>
          <cell r="J266">
            <v>450.43</v>
          </cell>
          <cell r="K266">
            <v>428.66</v>
          </cell>
          <cell r="L266">
            <v>1034.03</v>
          </cell>
          <cell r="M266">
            <v>250.15</v>
          </cell>
          <cell r="N266">
            <v>3123.18</v>
          </cell>
          <cell r="O266">
            <v>276.32</v>
          </cell>
          <cell r="P266">
            <v>308.07</v>
          </cell>
          <cell r="Q266">
            <v>7532.2899999999991</v>
          </cell>
        </row>
        <row r="267">
          <cell r="A267">
            <v>52115</v>
          </cell>
          <cell r="B267" t="str">
            <v>Pension and Profit Sharing</v>
          </cell>
          <cell r="E267">
            <v>4010.46</v>
          </cell>
          <cell r="F267">
            <v>3565.56</v>
          </cell>
          <cell r="G267">
            <v>3834.74</v>
          </cell>
          <cell r="H267">
            <v>3873.02</v>
          </cell>
          <cell r="I267">
            <v>3977.37</v>
          </cell>
          <cell r="J267">
            <v>4220.3500000000004</v>
          </cell>
          <cell r="K267">
            <v>4228.8599999999997</v>
          </cell>
          <cell r="L267">
            <v>4197.5600000000004</v>
          </cell>
          <cell r="M267">
            <v>4257.6400000000003</v>
          </cell>
          <cell r="N267">
            <v>4035.58</v>
          </cell>
          <cell r="O267">
            <v>4052.24</v>
          </cell>
          <cell r="P267">
            <v>3832.52</v>
          </cell>
          <cell r="Q267">
            <v>48085.9</v>
          </cell>
        </row>
        <row r="268">
          <cell r="A268">
            <v>52116</v>
          </cell>
          <cell r="B268" t="str">
            <v>Union Benefit Expense</v>
          </cell>
          <cell r="E268">
            <v>11221.99</v>
          </cell>
          <cell r="F268">
            <v>11221.61</v>
          </cell>
          <cell r="G268">
            <v>8963.65</v>
          </cell>
          <cell r="H268">
            <v>10117.1</v>
          </cell>
          <cell r="I268">
            <v>10108.799999999999</v>
          </cell>
          <cell r="J268">
            <v>10108.799999999999</v>
          </cell>
          <cell r="K268">
            <v>10108.799999999999</v>
          </cell>
          <cell r="L268">
            <v>10108.799999999999</v>
          </cell>
          <cell r="M268">
            <v>10102.129999999999</v>
          </cell>
          <cell r="N268">
            <v>10118.73</v>
          </cell>
          <cell r="O268">
            <v>8978.93</v>
          </cell>
          <cell r="P268">
            <v>9916.0499999999993</v>
          </cell>
          <cell r="Q268">
            <v>121075.39</v>
          </cell>
        </row>
        <row r="269">
          <cell r="A269">
            <v>52117</v>
          </cell>
          <cell r="B269" t="str">
            <v>Union Pension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</row>
        <row r="270">
          <cell r="A270">
            <v>52120</v>
          </cell>
          <cell r="B270" t="str">
            <v>Parts and Materials</v>
          </cell>
          <cell r="E270">
            <v>41193.56</v>
          </cell>
          <cell r="F270">
            <v>42024.94</v>
          </cell>
          <cell r="G270">
            <v>38734.660000000003</v>
          </cell>
          <cell r="H270">
            <v>21757.73</v>
          </cell>
          <cell r="I270">
            <v>38676.519999999997</v>
          </cell>
          <cell r="J270">
            <v>21919.95</v>
          </cell>
          <cell r="K270">
            <v>34237.410000000003</v>
          </cell>
          <cell r="L270">
            <v>36723.200000000004</v>
          </cell>
          <cell r="M270">
            <v>30874.03</v>
          </cell>
          <cell r="N270">
            <v>23554.1</v>
          </cell>
          <cell r="O270">
            <v>38660.959999999999</v>
          </cell>
          <cell r="P270">
            <v>71007.829999999987</v>
          </cell>
          <cell r="Q270">
            <v>439364.89</v>
          </cell>
        </row>
        <row r="271">
          <cell r="A271">
            <v>52125</v>
          </cell>
          <cell r="B271" t="str">
            <v>Operating Supplies</v>
          </cell>
          <cell r="E271">
            <v>450.54</v>
          </cell>
          <cell r="F271">
            <v>864.08</v>
          </cell>
          <cell r="G271">
            <v>1556.99</v>
          </cell>
          <cell r="H271">
            <v>537.54</v>
          </cell>
          <cell r="I271">
            <v>1099.93</v>
          </cell>
          <cell r="J271">
            <v>712.27</v>
          </cell>
          <cell r="K271">
            <v>5197.97</v>
          </cell>
          <cell r="L271">
            <v>-137.46</v>
          </cell>
          <cell r="M271">
            <v>1851.48</v>
          </cell>
          <cell r="N271">
            <v>2157.91</v>
          </cell>
          <cell r="O271">
            <v>2427.54</v>
          </cell>
          <cell r="P271">
            <v>1259.3</v>
          </cell>
          <cell r="Q271">
            <v>17978.09</v>
          </cell>
        </row>
        <row r="272">
          <cell r="A272">
            <v>52135</v>
          </cell>
          <cell r="B272" t="str">
            <v>Equipment and Maint Repair</v>
          </cell>
          <cell r="E272">
            <v>1311.54</v>
          </cell>
          <cell r="F272">
            <v>0</v>
          </cell>
          <cell r="G272">
            <v>1331.95</v>
          </cell>
          <cell r="H272">
            <v>2045.95</v>
          </cell>
          <cell r="I272">
            <v>0</v>
          </cell>
          <cell r="J272">
            <v>829.81</v>
          </cell>
          <cell r="K272">
            <v>0</v>
          </cell>
          <cell r="L272">
            <v>606.65</v>
          </cell>
          <cell r="M272">
            <v>0</v>
          </cell>
          <cell r="N272">
            <v>19.89</v>
          </cell>
          <cell r="O272">
            <v>0</v>
          </cell>
          <cell r="P272">
            <v>4997.33</v>
          </cell>
          <cell r="Q272">
            <v>11143.119999999999</v>
          </cell>
        </row>
        <row r="273">
          <cell r="A273">
            <v>52140</v>
          </cell>
          <cell r="B273" t="str">
            <v>Tires</v>
          </cell>
          <cell r="E273">
            <v>10747.01</v>
          </cell>
          <cell r="F273">
            <v>20260.900000000001</v>
          </cell>
          <cell r="G273">
            <v>12967.76</v>
          </cell>
          <cell r="H273">
            <v>15725.04</v>
          </cell>
          <cell r="I273">
            <v>18198.22</v>
          </cell>
          <cell r="J273">
            <v>22108.07</v>
          </cell>
          <cell r="K273">
            <v>15799.4</v>
          </cell>
          <cell r="L273">
            <v>23775.3</v>
          </cell>
          <cell r="M273">
            <v>38329.33</v>
          </cell>
          <cell r="N273">
            <v>6596.26</v>
          </cell>
          <cell r="O273">
            <v>14714.42</v>
          </cell>
          <cell r="P273">
            <v>23906.22</v>
          </cell>
          <cell r="Q273">
            <v>223127.93</v>
          </cell>
        </row>
        <row r="274">
          <cell r="A274">
            <v>52142</v>
          </cell>
          <cell r="B274" t="str">
            <v>Fuel Expense</v>
          </cell>
          <cell r="E274">
            <v>90672.87</v>
          </cell>
          <cell r="F274">
            <v>84188.88</v>
          </cell>
          <cell r="G274">
            <v>96017.58</v>
          </cell>
          <cell r="H274">
            <v>104369.3</v>
          </cell>
          <cell r="I274">
            <v>97844</v>
          </cell>
          <cell r="J274">
            <v>100692.82</v>
          </cell>
          <cell r="K274">
            <v>101529.68</v>
          </cell>
          <cell r="L274">
            <v>100169.49</v>
          </cell>
          <cell r="M274">
            <v>104198.62999999999</v>
          </cell>
          <cell r="N274">
            <v>102536.13</v>
          </cell>
          <cell r="O274">
            <v>101351.78</v>
          </cell>
          <cell r="P274">
            <v>108470.82</v>
          </cell>
          <cell r="Q274">
            <v>1192041.98</v>
          </cell>
        </row>
        <row r="275">
          <cell r="A275">
            <v>52143</v>
          </cell>
          <cell r="B275" t="str">
            <v>Transmontagne Fuel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</row>
        <row r="276">
          <cell r="A276">
            <v>52144</v>
          </cell>
          <cell r="B276" t="str">
            <v>Urea Expense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</row>
        <row r="277">
          <cell r="A277">
            <v>52146</v>
          </cell>
          <cell r="B277" t="str">
            <v>Oil and Grease</v>
          </cell>
          <cell r="E277">
            <v>1875.42</v>
          </cell>
          <cell r="F277">
            <v>3140.6</v>
          </cell>
          <cell r="G277">
            <v>5599.47</v>
          </cell>
          <cell r="H277">
            <v>2698.4</v>
          </cell>
          <cell r="I277">
            <v>3948.29</v>
          </cell>
          <cell r="J277">
            <v>2749.6</v>
          </cell>
          <cell r="K277">
            <v>7146.81</v>
          </cell>
          <cell r="L277">
            <v>2889.82</v>
          </cell>
          <cell r="M277">
            <v>9639.18</v>
          </cell>
          <cell r="N277">
            <v>6672.23</v>
          </cell>
          <cell r="O277">
            <v>11463.27</v>
          </cell>
          <cell r="P277">
            <v>-1288.0899999999999</v>
          </cell>
          <cell r="Q277">
            <v>56535</v>
          </cell>
        </row>
        <row r="278">
          <cell r="A278">
            <v>52147</v>
          </cell>
          <cell r="B278" t="str">
            <v>Outside Repairs</v>
          </cell>
          <cell r="E278">
            <v>8076.3899999999994</v>
          </cell>
          <cell r="F278">
            <v>4057.67</v>
          </cell>
          <cell r="G278">
            <v>2887.37</v>
          </cell>
          <cell r="H278">
            <v>4718.95</v>
          </cell>
          <cell r="I278">
            <v>7256.5</v>
          </cell>
          <cell r="J278">
            <v>4191.84</v>
          </cell>
          <cell r="K278">
            <v>8112.14</v>
          </cell>
          <cell r="L278">
            <v>5106.9299999999994</v>
          </cell>
          <cell r="M278">
            <v>11697.4</v>
          </cell>
          <cell r="N278">
            <v>2871.95</v>
          </cell>
          <cell r="O278">
            <v>2463.9499999999998</v>
          </cell>
          <cell r="P278">
            <v>2818.3500000000004</v>
          </cell>
          <cell r="Q278">
            <v>64259.439999999995</v>
          </cell>
        </row>
        <row r="279">
          <cell r="A279">
            <v>52148</v>
          </cell>
          <cell r="B279" t="str">
            <v>Allocated Exp In - District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</row>
        <row r="280">
          <cell r="A280">
            <v>52149</v>
          </cell>
          <cell r="B280" t="str">
            <v>Allocated Exp In Out - District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</row>
        <row r="281">
          <cell r="A281">
            <v>52150</v>
          </cell>
          <cell r="B281" t="str">
            <v>Utilities</v>
          </cell>
          <cell r="E281">
            <v>3181.16</v>
          </cell>
          <cell r="F281">
            <v>2292.6799999999998</v>
          </cell>
          <cell r="G281">
            <v>2139.2399999999998</v>
          </cell>
          <cell r="H281">
            <v>1852.79</v>
          </cell>
          <cell r="I281">
            <v>1236.6600000000001</v>
          </cell>
          <cell r="J281">
            <v>1066.23</v>
          </cell>
          <cell r="K281">
            <v>890.6</v>
          </cell>
          <cell r="L281">
            <v>864.21</v>
          </cell>
          <cell r="M281">
            <v>875.77</v>
          </cell>
          <cell r="N281">
            <v>889.61</v>
          </cell>
          <cell r="O281">
            <v>1635.02</v>
          </cell>
          <cell r="P281">
            <v>2991.91</v>
          </cell>
          <cell r="Q281">
            <v>19915.88</v>
          </cell>
        </row>
        <row r="282">
          <cell r="A282">
            <v>52165</v>
          </cell>
          <cell r="B282" t="str">
            <v>Communications</v>
          </cell>
          <cell r="E282">
            <v>1324.81</v>
          </cell>
          <cell r="F282">
            <v>1312.75</v>
          </cell>
          <cell r="G282">
            <v>1300.6099999999999</v>
          </cell>
          <cell r="H282">
            <v>1324.91</v>
          </cell>
          <cell r="I282">
            <v>1652.06</v>
          </cell>
          <cell r="J282">
            <v>1336.3</v>
          </cell>
          <cell r="K282">
            <v>1291.19</v>
          </cell>
          <cell r="L282">
            <v>1252.44</v>
          </cell>
          <cell r="M282">
            <v>1871.82</v>
          </cell>
          <cell r="N282">
            <v>1105.6099999999999</v>
          </cell>
          <cell r="O282">
            <v>1351.41</v>
          </cell>
          <cell r="P282">
            <v>1424.14</v>
          </cell>
          <cell r="Q282">
            <v>16548.05</v>
          </cell>
        </row>
        <row r="283">
          <cell r="A283">
            <v>52170</v>
          </cell>
          <cell r="B283" t="str">
            <v>Real Estate Rentals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</row>
        <row r="284">
          <cell r="A284">
            <v>52172</v>
          </cell>
          <cell r="B284" t="str">
            <v>Chassis Lease Expense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</row>
        <row r="285">
          <cell r="A285">
            <v>52175</v>
          </cell>
          <cell r="B285" t="str">
            <v>Equip/Vehicle Rental</v>
          </cell>
          <cell r="E285">
            <v>230.74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230.74</v>
          </cell>
        </row>
        <row r="286">
          <cell r="A286">
            <v>52181</v>
          </cell>
          <cell r="B286" t="str">
            <v>Freight</v>
          </cell>
          <cell r="E286">
            <v>0</v>
          </cell>
          <cell r="F286">
            <v>0</v>
          </cell>
          <cell r="G286">
            <v>0</v>
          </cell>
          <cell r="H286">
            <v>16.23</v>
          </cell>
          <cell r="I286">
            <v>369.59000000000003</v>
          </cell>
          <cell r="J286">
            <v>0</v>
          </cell>
          <cell r="K286">
            <v>0</v>
          </cell>
          <cell r="L286">
            <v>95.38</v>
          </cell>
          <cell r="M286">
            <v>0</v>
          </cell>
          <cell r="N286">
            <v>0</v>
          </cell>
          <cell r="O286">
            <v>0</v>
          </cell>
          <cell r="P286">
            <v>103.97</v>
          </cell>
          <cell r="Q286">
            <v>585.17000000000007</v>
          </cell>
        </row>
        <row r="287">
          <cell r="A287">
            <v>52182</v>
          </cell>
          <cell r="B287" t="str">
            <v>Towing Expense</v>
          </cell>
          <cell r="E287">
            <v>455.28</v>
          </cell>
          <cell r="F287">
            <v>428.18</v>
          </cell>
          <cell r="G287">
            <v>195.12</v>
          </cell>
          <cell r="H287">
            <v>627.72</v>
          </cell>
          <cell r="I287">
            <v>1626</v>
          </cell>
          <cell r="J287">
            <v>0</v>
          </cell>
          <cell r="K287">
            <v>569.1</v>
          </cell>
          <cell r="L287">
            <v>0</v>
          </cell>
          <cell r="M287">
            <v>238.48</v>
          </cell>
          <cell r="N287">
            <v>0</v>
          </cell>
          <cell r="O287">
            <v>661.24</v>
          </cell>
          <cell r="P287">
            <v>514.9</v>
          </cell>
          <cell r="Q287">
            <v>5316.0199999999995</v>
          </cell>
        </row>
        <row r="288">
          <cell r="A288">
            <v>52185</v>
          </cell>
          <cell r="B288" t="str">
            <v>Travel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</row>
        <row r="289">
          <cell r="A289">
            <v>52200</v>
          </cell>
          <cell r="B289" t="str">
            <v>Office Supply and Equip</v>
          </cell>
          <cell r="E289">
            <v>302.27999999999997</v>
          </cell>
          <cell r="F289">
            <v>504.92</v>
          </cell>
          <cell r="G289">
            <v>245.31</v>
          </cell>
          <cell r="H289">
            <v>1615.6</v>
          </cell>
          <cell r="I289">
            <v>152.86000000000001</v>
          </cell>
          <cell r="J289">
            <v>155.44</v>
          </cell>
          <cell r="K289">
            <v>66.27</v>
          </cell>
          <cell r="L289">
            <v>678.01</v>
          </cell>
          <cell r="M289">
            <v>154.47999999999999</v>
          </cell>
          <cell r="N289">
            <v>1193.94</v>
          </cell>
          <cell r="O289">
            <v>147.13</v>
          </cell>
          <cell r="P289">
            <v>809.46</v>
          </cell>
          <cell r="Q289">
            <v>6025.7</v>
          </cell>
        </row>
        <row r="290">
          <cell r="A290">
            <v>52275</v>
          </cell>
          <cell r="B290" t="str">
            <v>Property Taxes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</row>
        <row r="291">
          <cell r="A291">
            <v>52335</v>
          </cell>
          <cell r="B291" t="str">
            <v>Miscellaneous</v>
          </cell>
          <cell r="E291">
            <v>27</v>
          </cell>
          <cell r="F291">
            <v>0</v>
          </cell>
          <cell r="G291">
            <v>13.5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40.5</v>
          </cell>
        </row>
        <row r="292">
          <cell r="A292">
            <v>52900</v>
          </cell>
          <cell r="B292" t="str">
            <v>Capitalized Costs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</row>
        <row r="293">
          <cell r="A293">
            <v>52901</v>
          </cell>
          <cell r="B293" t="str">
            <v>Costs Awaiting Capitilization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</row>
        <row r="294">
          <cell r="A294">
            <v>52998</v>
          </cell>
          <cell r="B294" t="str">
            <v>Allocation Out - District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</row>
        <row r="295">
          <cell r="A295">
            <v>52999</v>
          </cell>
          <cell r="B295" t="str">
            <v>Allocation Out - Out District</v>
          </cell>
          <cell r="E295">
            <v>-8839.42</v>
          </cell>
          <cell r="F295">
            <v>-11223.85</v>
          </cell>
          <cell r="G295">
            <v>-12345.57</v>
          </cell>
          <cell r="H295">
            <v>-17818.71</v>
          </cell>
          <cell r="I295">
            <v>-8260.7000000000007</v>
          </cell>
          <cell r="J295">
            <v>-18104.939999999999</v>
          </cell>
          <cell r="K295">
            <v>-8429.56</v>
          </cell>
          <cell r="L295">
            <v>-12829.3</v>
          </cell>
          <cell r="M295">
            <v>-6149.56</v>
          </cell>
          <cell r="N295">
            <v>-5808.26</v>
          </cell>
          <cell r="O295">
            <v>-5947.92</v>
          </cell>
          <cell r="P295">
            <v>-45343.87</v>
          </cell>
          <cell r="Q295">
            <v>-161101.66</v>
          </cell>
        </row>
        <row r="296">
          <cell r="A296" t="str">
            <v>Total Truck Variable</v>
          </cell>
          <cell r="E296">
            <v>228977.27999999997</v>
          </cell>
          <cell r="F296">
            <v>205622.06000000003</v>
          </cell>
          <cell r="G296">
            <v>219279.73999999996</v>
          </cell>
          <cell r="H296">
            <v>210675.40000000005</v>
          </cell>
          <cell r="I296">
            <v>225803.05999999997</v>
          </cell>
          <cell r="J296">
            <v>201182.51</v>
          </cell>
          <cell r="K296">
            <v>241614.46</v>
          </cell>
          <cell r="L296">
            <v>225220.32000000004</v>
          </cell>
          <cell r="M296">
            <v>262765.23</v>
          </cell>
          <cell r="N296">
            <v>211264.55</v>
          </cell>
          <cell r="O296">
            <v>238591.60999999996</v>
          </cell>
          <cell r="P296">
            <v>240660.66999999993</v>
          </cell>
          <cell r="Q296">
            <v>2711656.8899999997</v>
          </cell>
        </row>
        <row r="298">
          <cell r="A298" t="str">
            <v>Container</v>
          </cell>
        </row>
        <row r="299">
          <cell r="A299">
            <v>54148</v>
          </cell>
          <cell r="B299" t="str">
            <v>Allocation In - District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</row>
        <row r="300">
          <cell r="A300">
            <v>54149</v>
          </cell>
          <cell r="B300" t="str">
            <v>Allocation In - Out District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</row>
        <row r="301">
          <cell r="A301">
            <v>54175</v>
          </cell>
          <cell r="B301" t="str">
            <v>Equipment/Vehicle Rental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</row>
        <row r="302">
          <cell r="A302">
            <v>54275</v>
          </cell>
          <cell r="B302" t="str">
            <v>Property Taxes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</row>
        <row r="303">
          <cell r="A303">
            <v>54335</v>
          </cell>
          <cell r="B303" t="str">
            <v>Miscellaneous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</row>
        <row r="304">
          <cell r="A304">
            <v>54998</v>
          </cell>
          <cell r="B304" t="str">
            <v>Allocation Out - District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</row>
        <row r="305">
          <cell r="A305">
            <v>54999</v>
          </cell>
          <cell r="B305" t="str">
            <v>Allocation Out - Out District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</row>
        <row r="306">
          <cell r="A306">
            <v>55010</v>
          </cell>
          <cell r="B306" t="str">
            <v>Salaries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</row>
        <row r="307">
          <cell r="A307">
            <v>55020</v>
          </cell>
          <cell r="B307" t="str">
            <v>Wages Regular</v>
          </cell>
          <cell r="E307">
            <v>4237.87</v>
          </cell>
          <cell r="F307">
            <v>3645.1</v>
          </cell>
          <cell r="G307">
            <v>5053.71</v>
          </cell>
          <cell r="H307">
            <v>3782.98</v>
          </cell>
          <cell r="I307">
            <v>4116.55</v>
          </cell>
          <cell r="J307">
            <v>4866.5600000000004</v>
          </cell>
          <cell r="K307">
            <v>3450.41</v>
          </cell>
          <cell r="L307">
            <v>-895.79</v>
          </cell>
          <cell r="M307">
            <v>2790.36</v>
          </cell>
          <cell r="N307">
            <v>2211.17</v>
          </cell>
          <cell r="O307">
            <v>1382.48</v>
          </cell>
          <cell r="P307">
            <v>2606.41</v>
          </cell>
          <cell r="Q307">
            <v>37247.81</v>
          </cell>
        </row>
        <row r="308">
          <cell r="A308">
            <v>55025</v>
          </cell>
          <cell r="B308" t="str">
            <v>Wages O.T.</v>
          </cell>
          <cell r="E308">
            <v>207.52</v>
          </cell>
          <cell r="F308">
            <v>12.82</v>
          </cell>
          <cell r="G308">
            <v>38.619999999999997</v>
          </cell>
          <cell r="H308">
            <v>37.99</v>
          </cell>
          <cell r="I308">
            <v>485</v>
          </cell>
          <cell r="J308">
            <v>319.70999999999998</v>
          </cell>
          <cell r="K308">
            <v>215.61</v>
          </cell>
          <cell r="L308">
            <v>-99.64</v>
          </cell>
          <cell r="M308">
            <v>16.27</v>
          </cell>
          <cell r="N308">
            <v>59.9</v>
          </cell>
          <cell r="O308">
            <v>192.29</v>
          </cell>
          <cell r="P308">
            <v>-41.94</v>
          </cell>
          <cell r="Q308">
            <v>1444.1499999999999</v>
          </cell>
        </row>
        <row r="309">
          <cell r="A309">
            <v>55035</v>
          </cell>
          <cell r="B309" t="str">
            <v>Safety Bonuses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</row>
        <row r="310">
          <cell r="A310">
            <v>55036</v>
          </cell>
          <cell r="B310" t="str">
            <v>Other Bonus/Commission - Non-Safety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</row>
        <row r="311">
          <cell r="A311">
            <v>55045</v>
          </cell>
          <cell r="B311" t="str">
            <v>Contract Labor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</row>
        <row r="312">
          <cell r="A312">
            <v>55050</v>
          </cell>
          <cell r="B312" t="str">
            <v>Payroll Taxes</v>
          </cell>
          <cell r="E312">
            <v>526.11</v>
          </cell>
          <cell r="F312">
            <v>376.89</v>
          </cell>
          <cell r="G312">
            <v>487.16</v>
          </cell>
          <cell r="H312">
            <v>433.36</v>
          </cell>
          <cell r="I312">
            <v>441.95</v>
          </cell>
          <cell r="J312">
            <v>479.57</v>
          </cell>
          <cell r="K312">
            <v>386.21</v>
          </cell>
          <cell r="L312">
            <v>296.14999999999998</v>
          </cell>
          <cell r="M312">
            <v>200.44</v>
          </cell>
          <cell r="N312">
            <v>209.02</v>
          </cell>
          <cell r="O312">
            <v>287.25</v>
          </cell>
          <cell r="P312">
            <v>160.52000000000001</v>
          </cell>
          <cell r="Q312">
            <v>4284.630000000001</v>
          </cell>
        </row>
        <row r="313">
          <cell r="A313">
            <v>55060</v>
          </cell>
          <cell r="B313" t="str">
            <v>Group Insurance</v>
          </cell>
          <cell r="E313">
            <v>592</v>
          </cell>
          <cell r="F313">
            <v>592</v>
          </cell>
          <cell r="G313">
            <v>488</v>
          </cell>
          <cell r="H313">
            <v>696</v>
          </cell>
          <cell r="I313">
            <v>592</v>
          </cell>
          <cell r="J313">
            <v>592</v>
          </cell>
          <cell r="K313">
            <v>592</v>
          </cell>
          <cell r="L313">
            <v>592</v>
          </cell>
          <cell r="M313">
            <v>589</v>
          </cell>
          <cell r="N313">
            <v>693</v>
          </cell>
          <cell r="O313">
            <v>641</v>
          </cell>
          <cell r="P313">
            <v>641</v>
          </cell>
          <cell r="Q313">
            <v>7300</v>
          </cell>
        </row>
        <row r="314">
          <cell r="A314">
            <v>55065</v>
          </cell>
          <cell r="B314" t="str">
            <v>Vacation Pay</v>
          </cell>
          <cell r="E314">
            <v>1530.51</v>
          </cell>
          <cell r="F314">
            <v>299.68</v>
          </cell>
          <cell r="G314">
            <v>-333.52</v>
          </cell>
          <cell r="H314">
            <v>791.16</v>
          </cell>
          <cell r="I314">
            <v>342.62</v>
          </cell>
          <cell r="J314">
            <v>95.96</v>
          </cell>
          <cell r="K314">
            <v>412.42</v>
          </cell>
          <cell r="L314">
            <v>663.21</v>
          </cell>
          <cell r="M314">
            <v>-476.38</v>
          </cell>
          <cell r="N314">
            <v>100.96</v>
          </cell>
          <cell r="O314">
            <v>-21.16</v>
          </cell>
          <cell r="P314">
            <v>202.89</v>
          </cell>
          <cell r="Q314">
            <v>3608.35</v>
          </cell>
        </row>
        <row r="315">
          <cell r="A315">
            <v>55070</v>
          </cell>
          <cell r="B315" t="str">
            <v>Sick Pay</v>
          </cell>
          <cell r="E315">
            <v>0</v>
          </cell>
          <cell r="F315">
            <v>106.8</v>
          </cell>
          <cell r="G315">
            <v>0</v>
          </cell>
          <cell r="H315">
            <v>207</v>
          </cell>
          <cell r="I315">
            <v>107.64</v>
          </cell>
          <cell r="J315">
            <v>-66.239999999999995</v>
          </cell>
          <cell r="K315">
            <v>386.4</v>
          </cell>
          <cell r="L315">
            <v>0</v>
          </cell>
          <cell r="M315">
            <v>0</v>
          </cell>
          <cell r="N315">
            <v>0</v>
          </cell>
          <cell r="O315">
            <v>1048.8</v>
          </cell>
          <cell r="P315">
            <v>-386.4</v>
          </cell>
          <cell r="Q315">
            <v>1404</v>
          </cell>
        </row>
        <row r="316">
          <cell r="A316">
            <v>55086</v>
          </cell>
          <cell r="B316" t="str">
            <v>Safety and Training</v>
          </cell>
          <cell r="E316">
            <v>0</v>
          </cell>
          <cell r="F316">
            <v>0</v>
          </cell>
          <cell r="G316">
            <v>0</v>
          </cell>
          <cell r="H316">
            <v>102.92</v>
          </cell>
          <cell r="I316">
            <v>87.01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25</v>
          </cell>
          <cell r="O316">
            <v>0</v>
          </cell>
          <cell r="P316">
            <v>0</v>
          </cell>
          <cell r="Q316">
            <v>214.93</v>
          </cell>
        </row>
        <row r="317">
          <cell r="A317">
            <v>55090</v>
          </cell>
          <cell r="B317" t="str">
            <v>Uniforms</v>
          </cell>
          <cell r="E317">
            <v>150.38</v>
          </cell>
          <cell r="F317">
            <v>176.83</v>
          </cell>
          <cell r="G317">
            <v>194.81</v>
          </cell>
          <cell r="H317">
            <v>160.08000000000001</v>
          </cell>
          <cell r="I317">
            <v>148.47</v>
          </cell>
          <cell r="J317">
            <v>225.16</v>
          </cell>
          <cell r="K317">
            <v>214.31</v>
          </cell>
          <cell r="L317">
            <v>616.44000000000005</v>
          </cell>
          <cell r="M317">
            <v>125.04</v>
          </cell>
          <cell r="N317">
            <v>178.98</v>
          </cell>
          <cell r="O317">
            <v>138.13999999999999</v>
          </cell>
          <cell r="P317">
            <v>154.04</v>
          </cell>
          <cell r="Q317">
            <v>2482.6799999999998</v>
          </cell>
        </row>
        <row r="318">
          <cell r="A318">
            <v>55115</v>
          </cell>
          <cell r="B318" t="str">
            <v>Pension and Profit Sharing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</row>
        <row r="319">
          <cell r="A319">
            <v>55116</v>
          </cell>
          <cell r="B319" t="str">
            <v>Union Benefit Expense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</row>
        <row r="320">
          <cell r="A320">
            <v>55117</v>
          </cell>
          <cell r="B320" t="str">
            <v>Union Pension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</row>
        <row r="321">
          <cell r="A321">
            <v>55120</v>
          </cell>
          <cell r="B321" t="str">
            <v>Parts and Materials</v>
          </cell>
          <cell r="E321">
            <v>8487.7999999999993</v>
          </cell>
          <cell r="F321">
            <v>7446.84</v>
          </cell>
          <cell r="G321">
            <v>15850.27</v>
          </cell>
          <cell r="H321">
            <v>18201.75</v>
          </cell>
          <cell r="I321">
            <v>9184.14</v>
          </cell>
          <cell r="J321">
            <v>13165.81</v>
          </cell>
          <cell r="K321">
            <v>11588.02</v>
          </cell>
          <cell r="L321">
            <v>15366.43</v>
          </cell>
          <cell r="M321">
            <v>-29929.23</v>
          </cell>
          <cell r="N321">
            <v>8572.4699999999993</v>
          </cell>
          <cell r="O321">
            <v>2939.21</v>
          </cell>
          <cell r="P321">
            <v>7744.74</v>
          </cell>
          <cell r="Q321">
            <v>88618.250000000015</v>
          </cell>
        </row>
        <row r="322">
          <cell r="A322">
            <v>55125</v>
          </cell>
          <cell r="B322" t="str">
            <v>Operating Supplies</v>
          </cell>
          <cell r="E322">
            <v>625.29999999999995</v>
          </cell>
          <cell r="F322">
            <v>287.99</v>
          </cell>
          <cell r="G322">
            <v>0</v>
          </cell>
          <cell r="H322">
            <v>809.74</v>
          </cell>
          <cell r="I322">
            <v>404.7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64.819999999999993</v>
          </cell>
          <cell r="P322">
            <v>0</v>
          </cell>
          <cell r="Q322">
            <v>2192.5500000000002</v>
          </cell>
        </row>
        <row r="323">
          <cell r="A323">
            <v>55135</v>
          </cell>
          <cell r="B323" t="str">
            <v>Equipment and Maint Repair</v>
          </cell>
          <cell r="E323">
            <v>0</v>
          </cell>
          <cell r="F323">
            <v>321.35000000000002</v>
          </cell>
          <cell r="G323">
            <v>309.18</v>
          </cell>
          <cell r="H323">
            <v>826.48</v>
          </cell>
          <cell r="I323">
            <v>87.89</v>
          </cell>
          <cell r="J323">
            <v>0</v>
          </cell>
          <cell r="K323">
            <v>0</v>
          </cell>
          <cell r="L323">
            <v>0</v>
          </cell>
          <cell r="M323">
            <v>531.54999999999995</v>
          </cell>
          <cell r="N323">
            <v>172.24</v>
          </cell>
          <cell r="O323">
            <v>0</v>
          </cell>
          <cell r="P323">
            <v>250.34</v>
          </cell>
          <cell r="Q323">
            <v>2499.0299999999997</v>
          </cell>
        </row>
        <row r="324">
          <cell r="A324">
            <v>55140</v>
          </cell>
          <cell r="B324" t="str">
            <v>Tires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</row>
        <row r="325">
          <cell r="A325">
            <v>55142</v>
          </cell>
          <cell r="B325" t="str">
            <v>Fuel Expense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</row>
        <row r="326">
          <cell r="A326">
            <v>55143</v>
          </cell>
          <cell r="B326" t="str">
            <v>Corporate Medical Waste Supplies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</row>
        <row r="327">
          <cell r="A327">
            <v>55146</v>
          </cell>
          <cell r="B327" t="str">
            <v>Oil and Grease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</row>
        <row r="328">
          <cell r="A328">
            <v>55147</v>
          </cell>
          <cell r="B328" t="str">
            <v>Outside Repairs</v>
          </cell>
          <cell r="E328">
            <v>0</v>
          </cell>
          <cell r="F328">
            <v>292.57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292.57</v>
          </cell>
        </row>
        <row r="329">
          <cell r="A329">
            <v>55148</v>
          </cell>
          <cell r="B329" t="str">
            <v>Allocated Exp In - District</v>
          </cell>
          <cell r="E329">
            <v>0</v>
          </cell>
          <cell r="F329">
            <v>116.52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116.52</v>
          </cell>
        </row>
        <row r="330">
          <cell r="A330">
            <v>55149</v>
          </cell>
          <cell r="B330" t="str">
            <v>Allocated Exp In Out - District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</row>
        <row r="331">
          <cell r="A331">
            <v>55150</v>
          </cell>
          <cell r="B331" t="str">
            <v>Utilities</v>
          </cell>
          <cell r="E331">
            <v>437.73</v>
          </cell>
          <cell r="F331">
            <v>510</v>
          </cell>
          <cell r="G331">
            <v>480.44</v>
          </cell>
          <cell r="H331">
            <v>460.73</v>
          </cell>
          <cell r="I331">
            <v>398.31</v>
          </cell>
          <cell r="J331">
            <v>372.03</v>
          </cell>
          <cell r="K331">
            <v>329.33</v>
          </cell>
          <cell r="L331">
            <v>0</v>
          </cell>
          <cell r="M331">
            <v>370.51</v>
          </cell>
          <cell r="N331">
            <v>344.08</v>
          </cell>
          <cell r="O331">
            <v>368.05</v>
          </cell>
          <cell r="P331">
            <v>368.05</v>
          </cell>
          <cell r="Q331">
            <v>4439.26</v>
          </cell>
        </row>
        <row r="332">
          <cell r="A332">
            <v>55181</v>
          </cell>
          <cell r="B332" t="str">
            <v>Freight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</row>
        <row r="333">
          <cell r="A333">
            <v>55335</v>
          </cell>
          <cell r="B333" t="str">
            <v>Miscellaneous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</row>
        <row r="334">
          <cell r="A334">
            <v>55900</v>
          </cell>
          <cell r="B334" t="str">
            <v>Capitalized Costs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</row>
        <row r="335">
          <cell r="A335">
            <v>55998</v>
          </cell>
          <cell r="B335" t="str">
            <v>Allocation Out - District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</row>
        <row r="336">
          <cell r="A336">
            <v>55999</v>
          </cell>
          <cell r="B336" t="str">
            <v>Allocation Out - Out District</v>
          </cell>
          <cell r="E336">
            <v>-3211.72</v>
          </cell>
          <cell r="F336">
            <v>-1377.44</v>
          </cell>
          <cell r="G336">
            <v>-15514.36</v>
          </cell>
          <cell r="H336">
            <v>-20245.62</v>
          </cell>
          <cell r="I336">
            <v>-8044.68</v>
          </cell>
          <cell r="J336">
            <v>-1309.6400000000001</v>
          </cell>
          <cell r="K336">
            <v>-416.83</v>
          </cell>
          <cell r="L336">
            <v>-3864.87</v>
          </cell>
          <cell r="M336">
            <v>-3105</v>
          </cell>
          <cell r="N336">
            <v>-3070</v>
          </cell>
          <cell r="O336">
            <v>-7561.32</v>
          </cell>
          <cell r="P336">
            <v>-4472.33</v>
          </cell>
          <cell r="Q336">
            <v>-72193.810000000012</v>
          </cell>
        </row>
        <row r="337">
          <cell r="A337" t="str">
            <v>Total Container</v>
          </cell>
          <cell r="E337">
            <v>13583.499999999998</v>
          </cell>
          <cell r="F337">
            <v>12807.949999999999</v>
          </cell>
          <cell r="G337">
            <v>7054.3099999999977</v>
          </cell>
          <cell r="H337">
            <v>6264.57</v>
          </cell>
          <cell r="I337">
            <v>8351.6000000000022</v>
          </cell>
          <cell r="J337">
            <v>18740.919999999998</v>
          </cell>
          <cell r="K337">
            <v>17157.88</v>
          </cell>
          <cell r="L337">
            <v>12673.93</v>
          </cell>
          <cell r="M337">
            <v>-28887.440000000002</v>
          </cell>
          <cell r="N337">
            <v>9496.82</v>
          </cell>
          <cell r="O337">
            <v>-520.4399999999996</v>
          </cell>
          <cell r="P337">
            <v>7227.3199999999979</v>
          </cell>
          <cell r="Q337">
            <v>83950.92</v>
          </cell>
        </row>
        <row r="339">
          <cell r="A339" t="str">
            <v>Supervisor</v>
          </cell>
        </row>
        <row r="340">
          <cell r="A340">
            <v>56010</v>
          </cell>
          <cell r="B340" t="str">
            <v>Salaries</v>
          </cell>
          <cell r="E340">
            <v>8076.93</v>
          </cell>
          <cell r="F340">
            <v>7692.32</v>
          </cell>
          <cell r="G340">
            <v>8846.17</v>
          </cell>
          <cell r="H340">
            <v>8461.56</v>
          </cell>
          <cell r="I340">
            <v>8176.05</v>
          </cell>
          <cell r="J340">
            <v>8565.3799999999992</v>
          </cell>
          <cell r="K340">
            <v>8565.39</v>
          </cell>
          <cell r="L340">
            <v>8565.39</v>
          </cell>
          <cell r="M340">
            <v>8565.39</v>
          </cell>
          <cell r="N340">
            <v>8176.07</v>
          </cell>
          <cell r="O340">
            <v>8565.39</v>
          </cell>
          <cell r="P340">
            <v>8954.7199999999993</v>
          </cell>
          <cell r="Q340">
            <v>101210.76</v>
          </cell>
        </row>
        <row r="341">
          <cell r="A341">
            <v>56020</v>
          </cell>
          <cell r="B341" t="str">
            <v>Wages Regular</v>
          </cell>
          <cell r="E341">
            <v>2832.84</v>
          </cell>
          <cell r="F341">
            <v>5053.68</v>
          </cell>
          <cell r="G341">
            <v>4774.8999999999996</v>
          </cell>
          <cell r="H341">
            <v>4762.42</v>
          </cell>
          <cell r="I341">
            <v>2680.17</v>
          </cell>
          <cell r="J341">
            <v>3378.56</v>
          </cell>
          <cell r="K341">
            <v>5325.53</v>
          </cell>
          <cell r="L341">
            <v>3835.06</v>
          </cell>
          <cell r="M341">
            <v>4435.92</v>
          </cell>
          <cell r="N341">
            <v>4522.72</v>
          </cell>
          <cell r="O341">
            <v>4731.6499999999996</v>
          </cell>
          <cell r="P341">
            <v>4844.54</v>
          </cell>
          <cell r="Q341">
            <v>51177.990000000005</v>
          </cell>
        </row>
        <row r="342">
          <cell r="A342">
            <v>56025</v>
          </cell>
          <cell r="B342" t="str">
            <v>Wages O.T.</v>
          </cell>
          <cell r="E342">
            <v>274.88</v>
          </cell>
          <cell r="F342">
            <v>259.24</v>
          </cell>
          <cell r="G342">
            <v>649.44000000000005</v>
          </cell>
          <cell r="H342">
            <v>504.21</v>
          </cell>
          <cell r="I342">
            <v>341.07</v>
          </cell>
          <cell r="J342">
            <v>196.68</v>
          </cell>
          <cell r="K342">
            <v>716.35</v>
          </cell>
          <cell r="L342">
            <v>71.97</v>
          </cell>
          <cell r="M342">
            <v>716.15</v>
          </cell>
          <cell r="N342">
            <v>388.74</v>
          </cell>
          <cell r="O342">
            <v>560.69000000000005</v>
          </cell>
          <cell r="P342">
            <v>692.62</v>
          </cell>
          <cell r="Q342">
            <v>5372.04</v>
          </cell>
        </row>
        <row r="343">
          <cell r="A343">
            <v>56035</v>
          </cell>
          <cell r="B343" t="str">
            <v>Safety Bonuses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</row>
        <row r="344">
          <cell r="A344">
            <v>56036</v>
          </cell>
          <cell r="B344" t="str">
            <v>Other Bonus/Commission - Non-Safety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</row>
        <row r="345">
          <cell r="A345">
            <v>56037</v>
          </cell>
          <cell r="B345" t="str">
            <v>Termination Pay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</row>
        <row r="346">
          <cell r="A346">
            <v>56045</v>
          </cell>
          <cell r="B346" t="str">
            <v>Contract Labor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2127.6</v>
          </cell>
          <cell r="J346">
            <v>283.68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2411.2799999999997</v>
          </cell>
        </row>
        <row r="347">
          <cell r="A347">
            <v>56050</v>
          </cell>
          <cell r="B347" t="str">
            <v>Payroll Taxes</v>
          </cell>
          <cell r="E347">
            <v>1457.13</v>
          </cell>
          <cell r="F347">
            <v>1086.04</v>
          </cell>
          <cell r="G347">
            <v>1432.76</v>
          </cell>
          <cell r="H347">
            <v>1237.58</v>
          </cell>
          <cell r="I347">
            <v>1015.69</v>
          </cell>
          <cell r="J347">
            <v>1252.47</v>
          </cell>
          <cell r="K347">
            <v>1534.22</v>
          </cell>
          <cell r="L347">
            <v>1138.26</v>
          </cell>
          <cell r="M347">
            <v>1122.4100000000001</v>
          </cell>
          <cell r="N347">
            <v>1083.83</v>
          </cell>
          <cell r="O347">
            <v>1262.81</v>
          </cell>
          <cell r="P347">
            <v>1237.03</v>
          </cell>
          <cell r="Q347">
            <v>14860.230000000001</v>
          </cell>
        </row>
        <row r="348">
          <cell r="A348">
            <v>56060</v>
          </cell>
          <cell r="B348" t="str">
            <v>Group Insurance</v>
          </cell>
          <cell r="E348">
            <v>2260</v>
          </cell>
          <cell r="F348">
            <v>2260</v>
          </cell>
          <cell r="G348">
            <v>2015</v>
          </cell>
          <cell r="H348">
            <v>2505</v>
          </cell>
          <cell r="I348">
            <v>2286.75</v>
          </cell>
          <cell r="J348">
            <v>2260</v>
          </cell>
          <cell r="K348">
            <v>2233.2399999999998</v>
          </cell>
          <cell r="L348">
            <v>2260</v>
          </cell>
          <cell r="M348">
            <v>2015</v>
          </cell>
          <cell r="N348">
            <v>2505</v>
          </cell>
          <cell r="O348">
            <v>2260</v>
          </cell>
          <cell r="P348">
            <v>2260</v>
          </cell>
          <cell r="Q348">
            <v>27119.989999999998</v>
          </cell>
        </row>
        <row r="349">
          <cell r="A349">
            <v>56065</v>
          </cell>
          <cell r="B349" t="str">
            <v>Vacation Pay</v>
          </cell>
          <cell r="E349">
            <v>1525.21</v>
          </cell>
          <cell r="F349">
            <v>-107.25</v>
          </cell>
          <cell r="G349">
            <v>686</v>
          </cell>
          <cell r="H349">
            <v>651.78</v>
          </cell>
          <cell r="I349">
            <v>5006.99</v>
          </cell>
          <cell r="J349">
            <v>-77.53</v>
          </cell>
          <cell r="K349">
            <v>1031.8800000000001</v>
          </cell>
          <cell r="L349">
            <v>1229.18</v>
          </cell>
          <cell r="M349">
            <v>-193.57</v>
          </cell>
          <cell r="N349">
            <v>1097.0899999999999</v>
          </cell>
          <cell r="O349">
            <v>647.59</v>
          </cell>
          <cell r="P349">
            <v>92.16</v>
          </cell>
          <cell r="Q349">
            <v>11589.53</v>
          </cell>
        </row>
        <row r="350">
          <cell r="A350">
            <v>56070</v>
          </cell>
          <cell r="B350" t="str">
            <v>Sick Pay</v>
          </cell>
          <cell r="E350">
            <v>197.6</v>
          </cell>
          <cell r="F350">
            <v>-54.84</v>
          </cell>
          <cell r="G350">
            <v>58.3</v>
          </cell>
          <cell r="H350">
            <v>30.87</v>
          </cell>
          <cell r="I350">
            <v>0</v>
          </cell>
          <cell r="J350">
            <v>421.35</v>
          </cell>
          <cell r="K350">
            <v>0</v>
          </cell>
          <cell r="L350">
            <v>0</v>
          </cell>
          <cell r="M350">
            <v>371.67</v>
          </cell>
          <cell r="N350">
            <v>-106.19</v>
          </cell>
          <cell r="O350">
            <v>333.34</v>
          </cell>
          <cell r="P350">
            <v>-137.26</v>
          </cell>
          <cell r="Q350">
            <v>1114.8399999999999</v>
          </cell>
        </row>
        <row r="351">
          <cell r="A351">
            <v>56086</v>
          </cell>
          <cell r="B351" t="str">
            <v>Safety and Training</v>
          </cell>
          <cell r="E351">
            <v>259.02</v>
          </cell>
          <cell r="F351">
            <v>48.7</v>
          </cell>
          <cell r="G351">
            <v>93.68</v>
          </cell>
          <cell r="H351">
            <v>64.45</v>
          </cell>
          <cell r="I351">
            <v>0</v>
          </cell>
          <cell r="J351">
            <v>194.76</v>
          </cell>
          <cell r="K351">
            <v>1077.77</v>
          </cell>
          <cell r="L351">
            <v>241.93</v>
          </cell>
          <cell r="M351">
            <v>798.35</v>
          </cell>
          <cell r="N351">
            <v>821.91</v>
          </cell>
          <cell r="O351">
            <v>200.16</v>
          </cell>
          <cell r="P351">
            <v>135.97999999999999</v>
          </cell>
          <cell r="Q351">
            <v>3936.7099999999996</v>
          </cell>
        </row>
        <row r="352">
          <cell r="A352">
            <v>56090</v>
          </cell>
          <cell r="B352" t="str">
            <v>Uniforms</v>
          </cell>
          <cell r="E352">
            <v>1795.66</v>
          </cell>
          <cell r="F352">
            <v>143.75</v>
          </cell>
          <cell r="G352">
            <v>1117.68</v>
          </cell>
          <cell r="H352">
            <v>663</v>
          </cell>
          <cell r="I352">
            <v>503.29</v>
          </cell>
          <cell r="J352">
            <v>889.18</v>
          </cell>
          <cell r="K352">
            <v>1081.28</v>
          </cell>
          <cell r="L352">
            <v>680.36</v>
          </cell>
          <cell r="M352">
            <v>906.86</v>
          </cell>
          <cell r="N352">
            <v>144.98000000000002</v>
          </cell>
          <cell r="O352">
            <v>1093.78</v>
          </cell>
          <cell r="P352">
            <v>477.8</v>
          </cell>
          <cell r="Q352">
            <v>9497.619999999999</v>
          </cell>
        </row>
        <row r="353">
          <cell r="A353">
            <v>56095</v>
          </cell>
          <cell r="B353" t="str">
            <v>Empl &amp; Commun Activ</v>
          </cell>
          <cell r="E353">
            <v>727.54</v>
          </cell>
          <cell r="F353">
            <v>-266.95</v>
          </cell>
          <cell r="G353">
            <v>0</v>
          </cell>
          <cell r="H353">
            <v>92.48</v>
          </cell>
          <cell r="I353">
            <v>485.76</v>
          </cell>
          <cell r="J353">
            <v>463.36</v>
          </cell>
          <cell r="K353">
            <v>0</v>
          </cell>
          <cell r="L353">
            <v>0</v>
          </cell>
          <cell r="M353">
            <v>293.06</v>
          </cell>
          <cell r="N353">
            <v>28.73</v>
          </cell>
          <cell r="O353">
            <v>-181.04</v>
          </cell>
          <cell r="P353">
            <v>0</v>
          </cell>
          <cell r="Q353">
            <v>1642.94</v>
          </cell>
        </row>
        <row r="354">
          <cell r="A354">
            <v>56105</v>
          </cell>
          <cell r="B354" t="str">
            <v>Employee Relocation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</row>
        <row r="355">
          <cell r="A355">
            <v>56108</v>
          </cell>
          <cell r="B355" t="str">
            <v>School Tuition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</row>
        <row r="356">
          <cell r="A356">
            <v>56115</v>
          </cell>
          <cell r="B356" t="str">
            <v>Pension and Profit Sharing</v>
          </cell>
          <cell r="E356">
            <v>226.28</v>
          </cell>
          <cell r="F356">
            <v>217.62</v>
          </cell>
          <cell r="G356">
            <v>333.09</v>
          </cell>
          <cell r="H356">
            <v>220.44</v>
          </cell>
          <cell r="I356">
            <v>189.47</v>
          </cell>
          <cell r="J356">
            <v>211.84</v>
          </cell>
          <cell r="K356">
            <v>270.73</v>
          </cell>
          <cell r="L356">
            <v>224.38</v>
          </cell>
          <cell r="M356">
            <v>228.09</v>
          </cell>
          <cell r="N356">
            <v>329.68</v>
          </cell>
          <cell r="O356">
            <v>224.86</v>
          </cell>
          <cell r="P356">
            <v>246.21</v>
          </cell>
          <cell r="Q356">
            <v>2922.69</v>
          </cell>
        </row>
        <row r="357">
          <cell r="A357">
            <v>56116</v>
          </cell>
          <cell r="B357" t="str">
            <v>Union Benefit Expense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</row>
        <row r="358">
          <cell r="A358">
            <v>56117</v>
          </cell>
          <cell r="B358" t="str">
            <v>Union Pension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</row>
        <row r="359">
          <cell r="A359">
            <v>56125</v>
          </cell>
          <cell r="B359" t="str">
            <v>Operating Supplies</v>
          </cell>
          <cell r="E359">
            <v>1415.21</v>
          </cell>
          <cell r="F359">
            <v>1483.02</v>
          </cell>
          <cell r="G359">
            <v>1740.94</v>
          </cell>
          <cell r="H359">
            <v>445.37</v>
          </cell>
          <cell r="I359">
            <v>804.72</v>
          </cell>
          <cell r="J359">
            <v>164.82</v>
          </cell>
          <cell r="K359">
            <v>658.52</v>
          </cell>
          <cell r="L359">
            <v>1100.71</v>
          </cell>
          <cell r="M359">
            <v>1250.03</v>
          </cell>
          <cell r="N359">
            <v>1674.36</v>
          </cell>
          <cell r="O359">
            <v>765.8</v>
          </cell>
          <cell r="P359">
            <v>382.82</v>
          </cell>
          <cell r="Q359">
            <v>11886.32</v>
          </cell>
        </row>
        <row r="360">
          <cell r="A360">
            <v>56140</v>
          </cell>
          <cell r="B360" t="str">
            <v>Tires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</row>
        <row r="361">
          <cell r="A361">
            <v>56142</v>
          </cell>
          <cell r="B361" t="str">
            <v>Fuel Expense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20</v>
          </cell>
          <cell r="Q361">
            <v>20</v>
          </cell>
        </row>
        <row r="362">
          <cell r="A362">
            <v>56148</v>
          </cell>
          <cell r="B362" t="str">
            <v>Allocated Exp In - District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</row>
        <row r="363">
          <cell r="A363">
            <v>56149</v>
          </cell>
          <cell r="B363" t="str">
            <v>Allocated Exp In Out - District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</row>
        <row r="364">
          <cell r="A364">
            <v>56165</v>
          </cell>
          <cell r="B364" t="str">
            <v>Communications</v>
          </cell>
          <cell r="E364">
            <v>4606.6000000000004</v>
          </cell>
          <cell r="F364">
            <v>4350.2299999999996</v>
          </cell>
          <cell r="G364">
            <v>4615.41</v>
          </cell>
          <cell r="H364">
            <v>1003.34</v>
          </cell>
          <cell r="I364">
            <v>7555.03</v>
          </cell>
          <cell r="J364">
            <v>4491</v>
          </cell>
          <cell r="K364">
            <v>4590.99</v>
          </cell>
          <cell r="L364">
            <v>470.11</v>
          </cell>
          <cell r="M364">
            <v>4254.96</v>
          </cell>
          <cell r="N364">
            <v>4208.18</v>
          </cell>
          <cell r="O364">
            <v>512.84</v>
          </cell>
          <cell r="P364">
            <v>4070.45</v>
          </cell>
          <cell r="Q364">
            <v>44729.139999999992</v>
          </cell>
        </row>
        <row r="365">
          <cell r="A365">
            <v>56200</v>
          </cell>
          <cell r="B365" t="str">
            <v>Travel</v>
          </cell>
          <cell r="E365">
            <v>0</v>
          </cell>
          <cell r="F365">
            <v>69</v>
          </cell>
          <cell r="G365">
            <v>98.25</v>
          </cell>
          <cell r="H365">
            <v>52.88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5.62</v>
          </cell>
          <cell r="O365">
            <v>0</v>
          </cell>
          <cell r="P365">
            <v>0</v>
          </cell>
          <cell r="Q365">
            <v>225.75</v>
          </cell>
        </row>
        <row r="366">
          <cell r="A366">
            <v>56201</v>
          </cell>
          <cell r="B366" t="str">
            <v>Meal and Entertainment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103.1</v>
          </cell>
          <cell r="K366">
            <v>0</v>
          </cell>
          <cell r="L366">
            <v>0</v>
          </cell>
          <cell r="M366">
            <v>0</v>
          </cell>
          <cell r="N366">
            <v>44.52</v>
          </cell>
          <cell r="O366">
            <v>90.55</v>
          </cell>
          <cell r="P366">
            <v>110.62</v>
          </cell>
          <cell r="Q366">
            <v>348.79</v>
          </cell>
        </row>
        <row r="367">
          <cell r="A367">
            <v>56210</v>
          </cell>
          <cell r="B367" t="str">
            <v>Office Supply and Equip</v>
          </cell>
          <cell r="E367">
            <v>907.9</v>
          </cell>
          <cell r="F367">
            <v>1266.8599999999999</v>
          </cell>
          <cell r="G367">
            <v>1175.05</v>
          </cell>
          <cell r="H367">
            <v>2018.74</v>
          </cell>
          <cell r="I367">
            <v>1340.75</v>
          </cell>
          <cell r="J367">
            <v>1056.72</v>
          </cell>
          <cell r="K367">
            <v>1348.09</v>
          </cell>
          <cell r="L367">
            <v>2224.39</v>
          </cell>
          <cell r="M367">
            <v>1094.46</v>
          </cell>
          <cell r="N367">
            <v>1045.8699999999999</v>
          </cell>
          <cell r="O367">
            <v>1613.32</v>
          </cell>
          <cell r="P367">
            <v>1365.17</v>
          </cell>
          <cell r="Q367">
            <v>16457.32</v>
          </cell>
        </row>
        <row r="368">
          <cell r="A368">
            <v>56335</v>
          </cell>
          <cell r="B368" t="str">
            <v>Miscellaneous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</row>
        <row r="369">
          <cell r="A369">
            <v>56998</v>
          </cell>
          <cell r="B369" t="str">
            <v>Allocation Out - District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</row>
        <row r="370">
          <cell r="A370">
            <v>56999</v>
          </cell>
          <cell r="B370" t="str">
            <v>Allocation Out - Out District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</row>
        <row r="371">
          <cell r="A371" t="str">
            <v>Total Supervisor</v>
          </cell>
          <cell r="E371">
            <v>26562.799999999996</v>
          </cell>
          <cell r="F371">
            <v>23501.42</v>
          </cell>
          <cell r="G371">
            <v>27636.67</v>
          </cell>
          <cell r="H371">
            <v>22714.119999999995</v>
          </cell>
          <cell r="I371">
            <v>32513.34</v>
          </cell>
          <cell r="J371">
            <v>23855.37</v>
          </cell>
          <cell r="K371">
            <v>28433.989999999994</v>
          </cell>
          <cell r="L371">
            <v>22041.739999999998</v>
          </cell>
          <cell r="M371">
            <v>25858.779999999995</v>
          </cell>
          <cell r="N371">
            <v>25971.11</v>
          </cell>
          <cell r="O371">
            <v>22681.739999999998</v>
          </cell>
          <cell r="P371">
            <v>24752.86</v>
          </cell>
          <cell r="Q371">
            <v>306523.94</v>
          </cell>
        </row>
        <row r="373">
          <cell r="A373" t="str">
            <v>Other Operating Expense</v>
          </cell>
        </row>
        <row r="374">
          <cell r="A374">
            <v>46020</v>
          </cell>
          <cell r="B374" t="str">
            <v>Post Closure Amortization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</row>
        <row r="375">
          <cell r="A375">
            <v>57051</v>
          </cell>
          <cell r="B375" t="str">
            <v>AA Premiums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</row>
        <row r="376">
          <cell r="A376">
            <v>57125</v>
          </cell>
          <cell r="B376" t="str">
            <v>Operating Supplies</v>
          </cell>
          <cell r="E376">
            <v>0</v>
          </cell>
          <cell r="F376">
            <v>0</v>
          </cell>
          <cell r="G376">
            <v>0</v>
          </cell>
          <cell r="H376">
            <v>427.66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224.45</v>
          </cell>
          <cell r="O376">
            <v>3002.92</v>
          </cell>
          <cell r="P376">
            <v>0</v>
          </cell>
          <cell r="Q376">
            <v>3655.03</v>
          </cell>
        </row>
        <row r="377">
          <cell r="A377">
            <v>57147</v>
          </cell>
          <cell r="B377" t="str">
            <v>Bldg &amp; Property</v>
          </cell>
          <cell r="E377">
            <v>8063.84</v>
          </cell>
          <cell r="F377">
            <v>8169.88</v>
          </cell>
          <cell r="G377">
            <v>6041.82</v>
          </cell>
          <cell r="H377">
            <v>6588.54</v>
          </cell>
          <cell r="I377">
            <v>4365.71</v>
          </cell>
          <cell r="J377">
            <v>4713.99</v>
          </cell>
          <cell r="K377">
            <v>10806.84</v>
          </cell>
          <cell r="L377">
            <v>9251.0400000000009</v>
          </cell>
          <cell r="M377">
            <v>6193.48</v>
          </cell>
          <cell r="N377">
            <v>8759.64</v>
          </cell>
          <cell r="O377">
            <v>5195.24</v>
          </cell>
          <cell r="P377">
            <v>16632.82</v>
          </cell>
          <cell r="Q377">
            <v>94782.84</v>
          </cell>
        </row>
        <row r="378">
          <cell r="A378">
            <v>57148</v>
          </cell>
          <cell r="B378" t="str">
            <v>Allocated In - District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</row>
        <row r="379">
          <cell r="A379">
            <v>57149</v>
          </cell>
          <cell r="B379" t="str">
            <v>Allocated In - Out District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</row>
        <row r="380">
          <cell r="A380">
            <v>57150</v>
          </cell>
          <cell r="B380" t="str">
            <v>Utilities</v>
          </cell>
          <cell r="E380">
            <v>1384.3</v>
          </cell>
          <cell r="F380">
            <v>289.72000000000003</v>
          </cell>
          <cell r="G380">
            <v>352.8</v>
          </cell>
          <cell r="H380">
            <v>250.3</v>
          </cell>
          <cell r="I380">
            <v>272.69</v>
          </cell>
          <cell r="J380">
            <v>171.46</v>
          </cell>
          <cell r="K380">
            <v>268.27</v>
          </cell>
          <cell r="L380">
            <v>157.77000000000001</v>
          </cell>
          <cell r="M380">
            <v>921.26</v>
          </cell>
          <cell r="N380">
            <v>178.68</v>
          </cell>
          <cell r="O380">
            <v>1625.08</v>
          </cell>
          <cell r="P380">
            <v>312.62</v>
          </cell>
          <cell r="Q380">
            <v>6184.95</v>
          </cell>
        </row>
        <row r="381">
          <cell r="A381">
            <v>57165</v>
          </cell>
          <cell r="B381" t="str">
            <v>Communications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</row>
        <row r="382">
          <cell r="A382">
            <v>57166</v>
          </cell>
          <cell r="B382" t="str">
            <v>Leachate Treatment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</row>
        <row r="383">
          <cell r="A383">
            <v>57170</v>
          </cell>
          <cell r="B383" t="str">
            <v>Real Estate Rentals</v>
          </cell>
          <cell r="E383">
            <v>17643.07</v>
          </cell>
          <cell r="F383">
            <v>17035.48</v>
          </cell>
          <cell r="G383">
            <v>17673.07</v>
          </cell>
          <cell r="H383">
            <v>17402.849999999999</v>
          </cell>
          <cell r="I383">
            <v>17402.849999999999</v>
          </cell>
          <cell r="J383">
            <v>17402.849999999999</v>
          </cell>
          <cell r="K383">
            <v>17402.849999999999</v>
          </cell>
          <cell r="L383">
            <v>17402.849999999999</v>
          </cell>
          <cell r="M383">
            <v>18791.8</v>
          </cell>
          <cell r="N383">
            <v>17402.849999999999</v>
          </cell>
          <cell r="O383">
            <v>18791.8</v>
          </cell>
          <cell r="P383">
            <v>2852.62</v>
          </cell>
          <cell r="Q383">
            <v>197204.94</v>
          </cell>
        </row>
        <row r="384">
          <cell r="A384">
            <v>57175</v>
          </cell>
          <cell r="B384" t="str">
            <v>Equipment Vehicle Rental</v>
          </cell>
          <cell r="E384">
            <v>328.66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2091.2399999999998</v>
          </cell>
          <cell r="P384">
            <v>397.36</v>
          </cell>
          <cell r="Q384">
            <v>2817.2599999999998</v>
          </cell>
        </row>
        <row r="385">
          <cell r="A385">
            <v>57185</v>
          </cell>
          <cell r="B385" t="str">
            <v>Postage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</row>
        <row r="386">
          <cell r="A386">
            <v>57252</v>
          </cell>
          <cell r="B386" t="str">
            <v>Subcontract Expense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</row>
        <row r="387">
          <cell r="A387">
            <v>57254</v>
          </cell>
          <cell r="B387" t="str">
            <v>Drive Cam Fees</v>
          </cell>
          <cell r="E387">
            <v>5737.5</v>
          </cell>
          <cell r="F387">
            <v>5737.5</v>
          </cell>
          <cell r="G387">
            <v>5737.5</v>
          </cell>
          <cell r="H387">
            <v>5737.5</v>
          </cell>
          <cell r="I387">
            <v>3780</v>
          </cell>
          <cell r="J387">
            <v>3780</v>
          </cell>
          <cell r="K387">
            <v>3780</v>
          </cell>
          <cell r="L387">
            <v>3780</v>
          </cell>
          <cell r="M387">
            <v>3780</v>
          </cell>
          <cell r="N387">
            <v>3780</v>
          </cell>
          <cell r="O387">
            <v>3780</v>
          </cell>
          <cell r="P387">
            <v>3780</v>
          </cell>
          <cell r="Q387">
            <v>53190</v>
          </cell>
        </row>
        <row r="388">
          <cell r="A388">
            <v>57255</v>
          </cell>
          <cell r="B388" t="str">
            <v>Other Prof Fees</v>
          </cell>
          <cell r="E388">
            <v>0</v>
          </cell>
          <cell r="F388">
            <v>0</v>
          </cell>
          <cell r="G388">
            <v>13.5</v>
          </cell>
          <cell r="H388">
            <v>13.5</v>
          </cell>
          <cell r="I388">
            <v>13.5</v>
          </cell>
          <cell r="J388">
            <v>13.5</v>
          </cell>
          <cell r="K388">
            <v>0</v>
          </cell>
          <cell r="L388">
            <v>13.5</v>
          </cell>
          <cell r="M388">
            <v>13.5</v>
          </cell>
          <cell r="N388">
            <v>13.5</v>
          </cell>
          <cell r="O388">
            <v>13.5</v>
          </cell>
          <cell r="P388">
            <v>0</v>
          </cell>
          <cell r="Q388">
            <v>108</v>
          </cell>
        </row>
        <row r="389">
          <cell r="A389">
            <v>57256</v>
          </cell>
          <cell r="B389" t="str">
            <v>Laboratory Fees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</row>
        <row r="390">
          <cell r="A390">
            <v>57257</v>
          </cell>
          <cell r="B390" t="str">
            <v>Engineering Fees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54300.08</v>
          </cell>
          <cell r="K390">
            <v>3763.13</v>
          </cell>
          <cell r="L390">
            <v>4344.38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62407.59</v>
          </cell>
        </row>
        <row r="391">
          <cell r="A391">
            <v>57275</v>
          </cell>
          <cell r="B391" t="str">
            <v>Property Taxes</v>
          </cell>
          <cell r="E391">
            <v>648.66999999999996</v>
          </cell>
          <cell r="F391">
            <v>748.26</v>
          </cell>
          <cell r="G391">
            <v>748.26</v>
          </cell>
          <cell r="H391">
            <v>931.59</v>
          </cell>
          <cell r="I391">
            <v>931.59</v>
          </cell>
          <cell r="J391">
            <v>931.61</v>
          </cell>
          <cell r="K391">
            <v>676.33</v>
          </cell>
          <cell r="L391">
            <v>676.33</v>
          </cell>
          <cell r="M391">
            <v>676.33</v>
          </cell>
          <cell r="N391">
            <v>676.33</v>
          </cell>
          <cell r="O391">
            <v>676.33</v>
          </cell>
          <cell r="P391">
            <v>676.33</v>
          </cell>
          <cell r="Q391">
            <v>8997.9599999999991</v>
          </cell>
        </row>
        <row r="392">
          <cell r="A392">
            <v>57280</v>
          </cell>
          <cell r="B392" t="str">
            <v>Other Taxes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</row>
        <row r="393">
          <cell r="A393">
            <v>57324</v>
          </cell>
          <cell r="B393" t="str">
            <v>Penalties and Violations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266.95</v>
          </cell>
          <cell r="O393">
            <v>266.95</v>
          </cell>
          <cell r="P393">
            <v>0</v>
          </cell>
          <cell r="Q393">
            <v>533.9</v>
          </cell>
        </row>
        <row r="394">
          <cell r="A394">
            <v>57335</v>
          </cell>
          <cell r="B394" t="str">
            <v>Miscellaneous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-33322.47</v>
          </cell>
          <cell r="K394">
            <v>33322.47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</row>
        <row r="395">
          <cell r="A395">
            <v>57345</v>
          </cell>
          <cell r="B395" t="str">
            <v>Secruity Services</v>
          </cell>
          <cell r="E395">
            <v>187.5</v>
          </cell>
          <cell r="F395">
            <v>187.5</v>
          </cell>
          <cell r="G395">
            <v>187.5</v>
          </cell>
          <cell r="H395">
            <v>187.5</v>
          </cell>
          <cell r="I395">
            <v>187.5</v>
          </cell>
          <cell r="J395">
            <v>187.5</v>
          </cell>
          <cell r="K395">
            <v>187.5</v>
          </cell>
          <cell r="L395">
            <v>187.5</v>
          </cell>
          <cell r="M395">
            <v>187.5</v>
          </cell>
          <cell r="N395">
            <v>187.5</v>
          </cell>
          <cell r="O395">
            <v>187.5</v>
          </cell>
          <cell r="P395">
            <v>250</v>
          </cell>
          <cell r="Q395">
            <v>2312.5</v>
          </cell>
        </row>
        <row r="396">
          <cell r="A396">
            <v>57353</v>
          </cell>
          <cell r="B396" t="str">
            <v>Monitoring and Maint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</row>
        <row r="397">
          <cell r="A397">
            <v>57356</v>
          </cell>
          <cell r="B397" t="str">
            <v>Cover Cost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</row>
        <row r="398">
          <cell r="A398">
            <v>57357</v>
          </cell>
          <cell r="B398" t="str">
            <v>Permits</v>
          </cell>
          <cell r="E398">
            <v>65</v>
          </cell>
          <cell r="F398">
            <v>0</v>
          </cell>
          <cell r="G398">
            <v>132.5</v>
          </cell>
          <cell r="H398">
            <v>0</v>
          </cell>
          <cell r="I398">
            <v>0</v>
          </cell>
          <cell r="J398">
            <v>132.5</v>
          </cell>
          <cell r="K398">
            <v>0</v>
          </cell>
          <cell r="L398">
            <v>0</v>
          </cell>
          <cell r="M398">
            <v>132.5</v>
          </cell>
          <cell r="N398">
            <v>1975</v>
          </cell>
          <cell r="O398">
            <v>0</v>
          </cell>
          <cell r="P398">
            <v>132.5</v>
          </cell>
          <cell r="Q398">
            <v>2570</v>
          </cell>
        </row>
        <row r="399">
          <cell r="A399">
            <v>57360</v>
          </cell>
          <cell r="B399" t="str">
            <v>Royalties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</row>
        <row r="400">
          <cell r="A400">
            <v>57370</v>
          </cell>
          <cell r="B400" t="str">
            <v>Bonds Expense</v>
          </cell>
          <cell r="E400">
            <v>4619.28</v>
          </cell>
          <cell r="F400">
            <v>6292.28</v>
          </cell>
          <cell r="G400">
            <v>6547.28</v>
          </cell>
          <cell r="H400">
            <v>5761.53</v>
          </cell>
          <cell r="I400">
            <v>5761.53</v>
          </cell>
          <cell r="J400">
            <v>5761.53</v>
          </cell>
          <cell r="K400">
            <v>5761.49</v>
          </cell>
          <cell r="L400">
            <v>5761.53</v>
          </cell>
          <cell r="M400">
            <v>5761.53</v>
          </cell>
          <cell r="N400">
            <v>5761.53</v>
          </cell>
          <cell r="O400">
            <v>6186.53</v>
          </cell>
          <cell r="P400">
            <v>4741.53</v>
          </cell>
          <cell r="Q400">
            <v>68717.569999999992</v>
          </cell>
        </row>
        <row r="401">
          <cell r="A401">
            <v>57900</v>
          </cell>
          <cell r="B401" t="str">
            <v>Capitalized Costs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</row>
        <row r="402">
          <cell r="A402">
            <v>57998</v>
          </cell>
          <cell r="B402" t="str">
            <v>Allocation Out - District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</row>
        <row r="403">
          <cell r="A403">
            <v>57999</v>
          </cell>
          <cell r="B403" t="str">
            <v>Allocation Out - Out District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</row>
        <row r="404">
          <cell r="A404">
            <v>70265</v>
          </cell>
          <cell r="B404" t="str">
            <v>Amortization of Long Term Contracts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</row>
        <row r="405">
          <cell r="A405">
            <v>80050</v>
          </cell>
          <cell r="B405" t="str">
            <v>Interest Expense Closure/Post Closure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</row>
        <row r="406">
          <cell r="A406" t="str">
            <v>Total Other Operating Expense</v>
          </cell>
          <cell r="E406">
            <v>38677.819999999992</v>
          </cell>
          <cell r="F406">
            <v>38460.620000000003</v>
          </cell>
          <cell r="G406">
            <v>37434.229999999996</v>
          </cell>
          <cell r="H406">
            <v>37300.97</v>
          </cell>
          <cell r="I406">
            <v>32715.37</v>
          </cell>
          <cell r="J406">
            <v>54072.55</v>
          </cell>
          <cell r="K406">
            <v>75968.88</v>
          </cell>
          <cell r="L406">
            <v>41574.9</v>
          </cell>
          <cell r="M406">
            <v>36457.9</v>
          </cell>
          <cell r="N406">
            <v>39226.43</v>
          </cell>
          <cell r="O406">
            <v>41817.089999999997</v>
          </cell>
          <cell r="P406">
            <v>29775.78</v>
          </cell>
          <cell r="Q406">
            <v>503482.54000000004</v>
          </cell>
        </row>
        <row r="408">
          <cell r="A408" t="str">
            <v>Insurance</v>
          </cell>
        </row>
        <row r="409">
          <cell r="A409">
            <v>59148</v>
          </cell>
          <cell r="B409" t="str">
            <v>Allocation In - District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</row>
        <row r="410">
          <cell r="A410">
            <v>59149</v>
          </cell>
          <cell r="B410" t="str">
            <v>Allocation In - Out District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</row>
        <row r="411">
          <cell r="A411">
            <v>59271</v>
          </cell>
          <cell r="B411" t="str">
            <v>Property and Liability Insurance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</row>
        <row r="412">
          <cell r="A412">
            <v>59326</v>
          </cell>
          <cell r="B412" t="str">
            <v>Deductible - Current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</row>
        <row r="413">
          <cell r="A413">
            <v>59327</v>
          </cell>
          <cell r="B413" t="str">
            <v>Deductible - Damage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</row>
        <row r="414">
          <cell r="A414">
            <v>59328</v>
          </cell>
          <cell r="B414" t="str">
            <v>Claim Recoveries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</row>
        <row r="415">
          <cell r="A415">
            <v>59330</v>
          </cell>
          <cell r="B415" t="str">
            <v>Deduct - Prior Year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</row>
        <row r="416">
          <cell r="A416">
            <v>59331</v>
          </cell>
          <cell r="B416" t="str">
            <v>RM Fixed Costs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</row>
        <row r="417">
          <cell r="A417">
            <v>59340</v>
          </cell>
          <cell r="B417" t="str">
            <v>Self Insurance Premium</v>
          </cell>
          <cell r="E417">
            <v>10091.379999999999</v>
          </cell>
          <cell r="F417">
            <v>10091.379999999999</v>
          </cell>
          <cell r="G417">
            <v>10091.379999999999</v>
          </cell>
          <cell r="H417">
            <v>10091.379999999999</v>
          </cell>
          <cell r="I417">
            <v>10091.379999999999</v>
          </cell>
          <cell r="J417">
            <v>10091.379999999999</v>
          </cell>
          <cell r="K417">
            <v>10091.379999999999</v>
          </cell>
          <cell r="L417">
            <v>10091.379999999999</v>
          </cell>
          <cell r="M417">
            <v>10091.379999999999</v>
          </cell>
          <cell r="N417">
            <v>10091.379999999999</v>
          </cell>
          <cell r="O417">
            <v>10091.379999999999</v>
          </cell>
          <cell r="P417">
            <v>10091.379999999999</v>
          </cell>
          <cell r="Q417">
            <v>121096.56000000001</v>
          </cell>
        </row>
        <row r="418">
          <cell r="A418">
            <v>59341</v>
          </cell>
          <cell r="B418" t="str">
            <v>A&amp;L - Current Year Claims</v>
          </cell>
          <cell r="E418">
            <v>-6142.07</v>
          </cell>
          <cell r="F418">
            <v>-2400</v>
          </cell>
          <cell r="G418">
            <v>400</v>
          </cell>
          <cell r="H418">
            <v>9853.9</v>
          </cell>
          <cell r="I418">
            <v>0</v>
          </cell>
          <cell r="J418">
            <v>0</v>
          </cell>
          <cell r="K418">
            <v>0</v>
          </cell>
          <cell r="L418">
            <v>4250</v>
          </cell>
          <cell r="M418">
            <v>8924.2000000000007</v>
          </cell>
          <cell r="N418">
            <v>751</v>
          </cell>
          <cell r="O418">
            <v>2071.27</v>
          </cell>
          <cell r="P418">
            <v>24430</v>
          </cell>
          <cell r="Q418">
            <v>42138.3</v>
          </cell>
        </row>
        <row r="419">
          <cell r="A419">
            <v>59342</v>
          </cell>
          <cell r="B419" t="str">
            <v>A&amp;L - Prior Year Claims</v>
          </cell>
          <cell r="E419">
            <v>0</v>
          </cell>
          <cell r="F419">
            <v>0</v>
          </cell>
          <cell r="G419">
            <v>0</v>
          </cell>
          <cell r="H419">
            <v>-10802.07</v>
          </cell>
          <cell r="I419">
            <v>-2004.25</v>
          </cell>
          <cell r="J419">
            <v>1249.05</v>
          </cell>
          <cell r="K419">
            <v>6999.75</v>
          </cell>
          <cell r="L419">
            <v>0</v>
          </cell>
          <cell r="M419">
            <v>0</v>
          </cell>
          <cell r="N419">
            <v>2499.5</v>
          </cell>
          <cell r="O419">
            <v>0</v>
          </cell>
          <cell r="P419">
            <v>0</v>
          </cell>
          <cell r="Q419">
            <v>-2058.0200000000004</v>
          </cell>
        </row>
        <row r="420">
          <cell r="A420">
            <v>59343</v>
          </cell>
          <cell r="B420" t="str">
            <v>WC - Current Year Claims</v>
          </cell>
          <cell r="E420">
            <v>7290.88</v>
          </cell>
          <cell r="F420">
            <v>-17465.98</v>
          </cell>
          <cell r="G420">
            <v>13819.28</v>
          </cell>
          <cell r="H420">
            <v>8553.6</v>
          </cell>
          <cell r="I420">
            <v>5696</v>
          </cell>
          <cell r="J420">
            <v>3275.7</v>
          </cell>
          <cell r="K420">
            <v>6448.16</v>
          </cell>
          <cell r="L420">
            <v>2722</v>
          </cell>
          <cell r="M420">
            <v>820</v>
          </cell>
          <cell r="N420">
            <v>-18388.02</v>
          </cell>
          <cell r="O420">
            <v>-1818.92</v>
          </cell>
          <cell r="P420">
            <v>2266.29</v>
          </cell>
          <cell r="Q420">
            <v>13218.990000000002</v>
          </cell>
        </row>
        <row r="421">
          <cell r="A421">
            <v>59344</v>
          </cell>
          <cell r="B421" t="str">
            <v>WC - Prior Year Claims</v>
          </cell>
          <cell r="E421">
            <v>0</v>
          </cell>
          <cell r="F421">
            <v>0</v>
          </cell>
          <cell r="G421">
            <v>0</v>
          </cell>
          <cell r="H421">
            <v>-9078.02</v>
          </cell>
          <cell r="I421">
            <v>16579.04</v>
          </cell>
          <cell r="J421">
            <v>98644.06</v>
          </cell>
          <cell r="K421">
            <v>-15344.09</v>
          </cell>
          <cell r="L421">
            <v>-28729.19</v>
          </cell>
          <cell r="M421">
            <v>17918.650000000001</v>
          </cell>
          <cell r="N421">
            <v>-103.64</v>
          </cell>
          <cell r="O421">
            <v>1197.08</v>
          </cell>
          <cell r="P421">
            <v>-19684.740000000002</v>
          </cell>
          <cell r="Q421">
            <v>61399.150000000009</v>
          </cell>
        </row>
        <row r="422">
          <cell r="A422">
            <v>59350</v>
          </cell>
          <cell r="B422" t="str">
            <v>Self Isurance IBNR Estimates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</row>
        <row r="423">
          <cell r="A423">
            <v>59400</v>
          </cell>
          <cell r="B423" t="str">
            <v>Damages paid by District</v>
          </cell>
          <cell r="E423">
            <v>5142.99</v>
          </cell>
          <cell r="F423">
            <v>1000</v>
          </cell>
          <cell r="G423">
            <v>2757.56</v>
          </cell>
          <cell r="H423">
            <v>0</v>
          </cell>
          <cell r="I423">
            <v>1701.74</v>
          </cell>
          <cell r="J423">
            <v>6490.95</v>
          </cell>
          <cell r="K423">
            <v>104.97</v>
          </cell>
          <cell r="L423">
            <v>48.7</v>
          </cell>
          <cell r="M423">
            <v>0</v>
          </cell>
          <cell r="N423">
            <v>11054.22</v>
          </cell>
          <cell r="O423">
            <v>655.83</v>
          </cell>
          <cell r="P423">
            <v>11383.6</v>
          </cell>
          <cell r="Q423">
            <v>40340.559999999998</v>
          </cell>
        </row>
        <row r="424">
          <cell r="A424">
            <v>59401</v>
          </cell>
          <cell r="B424" t="str">
            <v>Insurance claim repairs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10000</v>
          </cell>
          <cell r="O424">
            <v>31.43</v>
          </cell>
          <cell r="P424">
            <v>-10904.79</v>
          </cell>
          <cell r="Q424">
            <v>-873.36000000000058</v>
          </cell>
        </row>
        <row r="425">
          <cell r="A425">
            <v>59500</v>
          </cell>
          <cell r="B425" t="str">
            <v>Workers Comp Prem</v>
          </cell>
          <cell r="E425">
            <v>4000</v>
          </cell>
          <cell r="F425">
            <v>2000</v>
          </cell>
          <cell r="G425">
            <v>2000</v>
          </cell>
          <cell r="H425">
            <v>2000</v>
          </cell>
          <cell r="I425">
            <v>1000</v>
          </cell>
          <cell r="J425">
            <v>2000</v>
          </cell>
          <cell r="K425">
            <v>2000</v>
          </cell>
          <cell r="L425">
            <v>2000</v>
          </cell>
          <cell r="M425">
            <v>3000</v>
          </cell>
          <cell r="N425">
            <v>3000</v>
          </cell>
          <cell r="O425">
            <v>3000</v>
          </cell>
          <cell r="P425">
            <v>0</v>
          </cell>
          <cell r="Q425">
            <v>26000</v>
          </cell>
        </row>
        <row r="426">
          <cell r="A426">
            <v>59998</v>
          </cell>
          <cell r="B426" t="str">
            <v>Allocation Out - District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</row>
        <row r="427">
          <cell r="A427">
            <v>59999</v>
          </cell>
          <cell r="B427" t="str">
            <v>Allocation Out - Out District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</row>
        <row r="428">
          <cell r="A428" t="str">
            <v>Total Insurance</v>
          </cell>
          <cell r="E428">
            <v>20383.18</v>
          </cell>
          <cell r="F428">
            <v>-6774.6</v>
          </cell>
          <cell r="G428">
            <v>29068.22</v>
          </cell>
          <cell r="H428">
            <v>10618.789999999997</v>
          </cell>
          <cell r="I428">
            <v>33063.910000000003</v>
          </cell>
          <cell r="J428">
            <v>121751.14</v>
          </cell>
          <cell r="K428">
            <v>10300.169999999996</v>
          </cell>
          <cell r="L428">
            <v>-9617.11</v>
          </cell>
          <cell r="M428">
            <v>40754.230000000003</v>
          </cell>
          <cell r="N428">
            <v>18904.439999999999</v>
          </cell>
          <cell r="O428">
            <v>15228.07</v>
          </cell>
          <cell r="P428">
            <v>17581.739999999998</v>
          </cell>
          <cell r="Q428">
            <v>301262.18000000005</v>
          </cell>
        </row>
        <row r="430">
          <cell r="A430" t="str">
            <v>Disposal of Assets and Operations</v>
          </cell>
        </row>
        <row r="431">
          <cell r="A431">
            <v>72000</v>
          </cell>
          <cell r="B431" t="str">
            <v>Gain/Loss on Disposal of Operations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</row>
        <row r="432">
          <cell r="A432">
            <v>91010</v>
          </cell>
          <cell r="B432" t="str">
            <v>Gain/Loss on Sale of Asset</v>
          </cell>
          <cell r="E432">
            <v>0</v>
          </cell>
          <cell r="F432">
            <v>0</v>
          </cell>
          <cell r="G432">
            <v>0</v>
          </cell>
          <cell r="H432">
            <v>1319.45</v>
          </cell>
          <cell r="I432">
            <v>0</v>
          </cell>
          <cell r="J432">
            <v>24949.35</v>
          </cell>
          <cell r="K432">
            <v>-33354.22</v>
          </cell>
          <cell r="L432">
            <v>-3080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-10165.420000000002</v>
          </cell>
        </row>
        <row r="433">
          <cell r="A433" t="str">
            <v>Total Disposal of Assets and Operations</v>
          </cell>
          <cell r="E433">
            <v>0</v>
          </cell>
          <cell r="F433">
            <v>0</v>
          </cell>
          <cell r="G433">
            <v>0</v>
          </cell>
          <cell r="H433">
            <v>1319.45</v>
          </cell>
          <cell r="I433">
            <v>0</v>
          </cell>
          <cell r="J433">
            <v>24949.35</v>
          </cell>
          <cell r="K433">
            <v>-33354.22</v>
          </cell>
          <cell r="L433">
            <v>-3080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-10165.420000000002</v>
          </cell>
        </row>
        <row r="435">
          <cell r="A435" t="str">
            <v>Total Operating Costs</v>
          </cell>
          <cell r="E435">
            <v>691108.55</v>
          </cell>
          <cell r="F435">
            <v>591691.37000000011</v>
          </cell>
          <cell r="G435">
            <v>679572.21999999986</v>
          </cell>
          <cell r="H435">
            <v>649398.42000000004</v>
          </cell>
          <cell r="I435">
            <v>715012.80999999994</v>
          </cell>
          <cell r="J435">
            <v>823534.92999999993</v>
          </cell>
          <cell r="K435">
            <v>725146.60999999987</v>
          </cell>
          <cell r="L435">
            <v>671623.93</v>
          </cell>
          <cell r="M435">
            <v>721331.92999999993</v>
          </cell>
          <cell r="N435">
            <v>675314.14999999991</v>
          </cell>
          <cell r="O435">
            <v>713873.94</v>
          </cell>
          <cell r="P435">
            <v>696947.79999999981</v>
          </cell>
          <cell r="Q435">
            <v>8354556.6600000001</v>
          </cell>
        </row>
        <row r="437">
          <cell r="A437" t="str">
            <v>Gross Profit</v>
          </cell>
          <cell r="E437">
            <v>958596.29999999981</v>
          </cell>
          <cell r="F437">
            <v>1078399.0499999998</v>
          </cell>
          <cell r="G437">
            <v>980681.78999999992</v>
          </cell>
          <cell r="H437">
            <v>1060013.06</v>
          </cell>
          <cell r="I437">
            <v>998324.67999999935</v>
          </cell>
          <cell r="J437">
            <v>884006.14000000036</v>
          </cell>
          <cell r="K437">
            <v>999176.6099999994</v>
          </cell>
          <cell r="L437">
            <v>1029352.5499999995</v>
          </cell>
          <cell r="M437">
            <v>1005221.45</v>
          </cell>
          <cell r="N437">
            <v>1062170.0200000005</v>
          </cell>
          <cell r="O437">
            <v>1010676.3699999996</v>
          </cell>
          <cell r="P437">
            <v>1011952.0500000003</v>
          </cell>
          <cell r="Q437">
            <v>12078570.07</v>
          </cell>
        </row>
        <row r="439">
          <cell r="A439" t="str">
            <v>SG&amp;A</v>
          </cell>
        </row>
        <row r="440">
          <cell r="A440" t="str">
            <v>Sales</v>
          </cell>
        </row>
        <row r="441">
          <cell r="A441">
            <v>60010</v>
          </cell>
          <cell r="B441" t="str">
            <v>Salaries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</row>
        <row r="442">
          <cell r="A442">
            <v>60020</v>
          </cell>
          <cell r="B442" t="str">
            <v>Wages Regular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</row>
        <row r="443">
          <cell r="A443">
            <v>60025</v>
          </cell>
          <cell r="B443" t="str">
            <v>Wages O.T.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</row>
        <row r="444">
          <cell r="A444">
            <v>60030</v>
          </cell>
          <cell r="B444" t="str">
            <v>Bonuses and Commissions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</row>
        <row r="445">
          <cell r="A445">
            <v>60035</v>
          </cell>
          <cell r="B445" t="str">
            <v>Safety Bonuses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</row>
        <row r="446">
          <cell r="A446">
            <v>60037</v>
          </cell>
          <cell r="B446" t="str">
            <v>Termination Pay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</row>
        <row r="447">
          <cell r="A447">
            <v>60045</v>
          </cell>
          <cell r="B447" t="str">
            <v>Contract Labor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</row>
        <row r="448">
          <cell r="A448">
            <v>60050</v>
          </cell>
          <cell r="B448" t="str">
            <v>Payroll Taxes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</row>
        <row r="449">
          <cell r="A449">
            <v>60060</v>
          </cell>
          <cell r="B449" t="str">
            <v>Group Insurance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</row>
        <row r="450">
          <cell r="A450">
            <v>60065</v>
          </cell>
          <cell r="B450" t="str">
            <v>Vacation Pay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8.23</v>
          </cell>
          <cell r="M450">
            <v>-8.23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</row>
        <row r="451">
          <cell r="A451">
            <v>60070</v>
          </cell>
          <cell r="B451" t="str">
            <v>Sick Pay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</row>
        <row r="452">
          <cell r="A452">
            <v>60086</v>
          </cell>
          <cell r="B452" t="str">
            <v>Safety and Training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</row>
        <row r="453">
          <cell r="A453">
            <v>60095</v>
          </cell>
          <cell r="B453" t="str">
            <v>Empl &amp; Commun Activ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</row>
        <row r="454">
          <cell r="A454">
            <v>60105</v>
          </cell>
          <cell r="B454" t="str">
            <v>Employee Relocation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</row>
        <row r="455">
          <cell r="A455">
            <v>60115</v>
          </cell>
          <cell r="B455" t="str">
            <v>School Tuition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</row>
        <row r="456">
          <cell r="A456">
            <v>60116</v>
          </cell>
          <cell r="B456" t="str">
            <v>Pension and Profit Sharing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</row>
        <row r="457">
          <cell r="A457">
            <v>60117</v>
          </cell>
          <cell r="B457" t="str">
            <v>Union Pension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</row>
        <row r="458">
          <cell r="A458">
            <v>60148</v>
          </cell>
          <cell r="B458" t="str">
            <v>Allocated Exp In - District</v>
          </cell>
          <cell r="E458">
            <v>2300</v>
          </cell>
          <cell r="F458">
            <v>2448</v>
          </cell>
          <cell r="G458">
            <v>2391</v>
          </cell>
          <cell r="H458">
            <v>2584.5</v>
          </cell>
          <cell r="I458">
            <v>2565</v>
          </cell>
          <cell r="J458">
            <v>3535</v>
          </cell>
          <cell r="K458">
            <v>2899</v>
          </cell>
          <cell r="L458">
            <v>2443</v>
          </cell>
          <cell r="M458">
            <v>1800</v>
          </cell>
          <cell r="N458">
            <v>2326</v>
          </cell>
          <cell r="O458">
            <v>2339</v>
          </cell>
          <cell r="P458">
            <v>0</v>
          </cell>
          <cell r="Q458">
            <v>27630.5</v>
          </cell>
        </row>
        <row r="459">
          <cell r="A459">
            <v>60149</v>
          </cell>
          <cell r="B459" t="str">
            <v>Allocated Exp In Out - District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</row>
        <row r="460">
          <cell r="A460">
            <v>60165</v>
          </cell>
          <cell r="B460" t="str">
            <v>Communications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</row>
        <row r="461">
          <cell r="A461">
            <v>60170</v>
          </cell>
          <cell r="B461" t="str">
            <v>Real Estate Rentals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</row>
        <row r="462">
          <cell r="A462">
            <v>60175</v>
          </cell>
          <cell r="B462" t="str">
            <v>Equip/Vehicle Rental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</row>
        <row r="463">
          <cell r="A463">
            <v>60185</v>
          </cell>
          <cell r="B463" t="str">
            <v>Postage</v>
          </cell>
          <cell r="E463">
            <v>198.54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198.54</v>
          </cell>
        </row>
        <row r="464">
          <cell r="A464">
            <v>60195</v>
          </cell>
          <cell r="B464" t="str">
            <v>Dues and Subscriptions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</row>
        <row r="465">
          <cell r="A465">
            <v>60196</v>
          </cell>
          <cell r="B465" t="str">
            <v>Club Dues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</row>
        <row r="466">
          <cell r="A466">
            <v>60200</v>
          </cell>
          <cell r="B466" t="str">
            <v>Travel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</row>
        <row r="467">
          <cell r="A467">
            <v>60201</v>
          </cell>
          <cell r="B467" t="str">
            <v>Entertainment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</row>
        <row r="468">
          <cell r="A468">
            <v>60205</v>
          </cell>
          <cell r="B468" t="str">
            <v>Travel - Auto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58.5</v>
          </cell>
          <cell r="L468">
            <v>177.74</v>
          </cell>
          <cell r="M468">
            <v>-77.739999999999995</v>
          </cell>
          <cell r="N468">
            <v>0</v>
          </cell>
          <cell r="O468">
            <v>75.52</v>
          </cell>
          <cell r="P468">
            <v>23.74</v>
          </cell>
          <cell r="Q468">
            <v>257.76</v>
          </cell>
        </row>
        <row r="469">
          <cell r="A469">
            <v>60210</v>
          </cell>
          <cell r="B469" t="str">
            <v>Office Supplies and Equip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</row>
        <row r="470">
          <cell r="A470">
            <v>60225</v>
          </cell>
          <cell r="B470" t="str">
            <v>Advertising and Promotions</v>
          </cell>
          <cell r="E470">
            <v>12977.33</v>
          </cell>
          <cell r="F470">
            <v>949.64</v>
          </cell>
          <cell r="G470">
            <v>5900.84</v>
          </cell>
          <cell r="H470">
            <v>4161.1099999999997</v>
          </cell>
          <cell r="I470">
            <v>3165.78</v>
          </cell>
          <cell r="J470">
            <v>4520.0600000000004</v>
          </cell>
          <cell r="K470">
            <v>1806.35</v>
          </cell>
          <cell r="L470">
            <v>955.59</v>
          </cell>
          <cell r="M470">
            <v>28827.18</v>
          </cell>
          <cell r="N470">
            <v>25999.119999999999</v>
          </cell>
          <cell r="O470">
            <v>1245.2</v>
          </cell>
          <cell r="P470">
            <v>38523.21</v>
          </cell>
          <cell r="Q470">
            <v>129031.41</v>
          </cell>
        </row>
        <row r="471">
          <cell r="A471">
            <v>60234</v>
          </cell>
          <cell r="B471" t="str">
            <v>O/S Sales Exp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</row>
        <row r="472">
          <cell r="A472">
            <v>60255</v>
          </cell>
          <cell r="B472" t="str">
            <v>Other Prof Fees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</row>
        <row r="473">
          <cell r="A473">
            <v>60326</v>
          </cell>
          <cell r="B473" t="str">
            <v>Deduct - Current Yr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A474">
            <v>60327</v>
          </cell>
          <cell r="B474" t="str">
            <v>Deduct - Damage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</row>
        <row r="475">
          <cell r="A475">
            <v>60328</v>
          </cell>
          <cell r="B475" t="str">
            <v>Claim Recoveries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</row>
        <row r="476">
          <cell r="A476">
            <v>60330</v>
          </cell>
          <cell r="B476" t="str">
            <v>Deduct Prior Year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</row>
        <row r="477">
          <cell r="A477">
            <v>60335</v>
          </cell>
          <cell r="B477" t="str">
            <v>Miscellaneous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</row>
        <row r="478">
          <cell r="A478">
            <v>60998</v>
          </cell>
          <cell r="B478" t="str">
            <v>Allocation Out - District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60999</v>
          </cell>
          <cell r="B479" t="str">
            <v>Allocation Out - Out District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</row>
        <row r="480">
          <cell r="A480" t="str">
            <v>Total Sales</v>
          </cell>
          <cell r="E480">
            <v>15475.869999999999</v>
          </cell>
          <cell r="F480">
            <v>3397.64</v>
          </cell>
          <cell r="G480">
            <v>8291.84</v>
          </cell>
          <cell r="H480">
            <v>6745.61</v>
          </cell>
          <cell r="I480">
            <v>5730.7800000000007</v>
          </cell>
          <cell r="J480">
            <v>8055.06</v>
          </cell>
          <cell r="K480">
            <v>4763.8500000000004</v>
          </cell>
          <cell r="L480">
            <v>3584.5600000000004</v>
          </cell>
          <cell r="M480">
            <v>30541.21</v>
          </cell>
          <cell r="N480">
            <v>28325.119999999999</v>
          </cell>
          <cell r="O480">
            <v>3659.7200000000003</v>
          </cell>
          <cell r="P480">
            <v>38546.949999999997</v>
          </cell>
          <cell r="Q480">
            <v>157118.21</v>
          </cell>
        </row>
        <row r="482">
          <cell r="A482" t="str">
            <v>G&amp;A</v>
          </cell>
        </row>
        <row r="483">
          <cell r="A483">
            <v>70010</v>
          </cell>
          <cell r="B483" t="str">
            <v>Salaries</v>
          </cell>
          <cell r="E483">
            <v>31950.25</v>
          </cell>
          <cell r="F483">
            <v>29217.37</v>
          </cell>
          <cell r="G483">
            <v>34993.21</v>
          </cell>
          <cell r="H483">
            <v>32805.65</v>
          </cell>
          <cell r="I483">
            <v>33117.839999999997</v>
          </cell>
          <cell r="J483">
            <v>36102.11</v>
          </cell>
          <cell r="K483">
            <v>36862.230000000003</v>
          </cell>
          <cell r="L483">
            <v>32246.880000000001</v>
          </cell>
          <cell r="M483">
            <v>35474.660000000003</v>
          </cell>
          <cell r="N483">
            <v>34757.17</v>
          </cell>
          <cell r="O483">
            <v>34601.15</v>
          </cell>
          <cell r="P483">
            <v>36751.879999999997</v>
          </cell>
          <cell r="Q483">
            <v>408880.39999999997</v>
          </cell>
        </row>
        <row r="484">
          <cell r="A484">
            <v>70015</v>
          </cell>
          <cell r="B484" t="str">
            <v>Deferred Comp Earnings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</row>
        <row r="485">
          <cell r="A485">
            <v>70020</v>
          </cell>
          <cell r="B485" t="str">
            <v>Wages Regular</v>
          </cell>
          <cell r="E485">
            <v>39238.25</v>
          </cell>
          <cell r="F485">
            <v>41055.800000000003</v>
          </cell>
          <cell r="G485">
            <v>43441.67</v>
          </cell>
          <cell r="H485">
            <v>43159.68</v>
          </cell>
          <cell r="I485">
            <v>40707.99</v>
          </cell>
          <cell r="J485">
            <v>44340.75</v>
          </cell>
          <cell r="K485">
            <v>44034.15</v>
          </cell>
          <cell r="L485">
            <v>37123.65</v>
          </cell>
          <cell r="M485">
            <v>40606.129999999997</v>
          </cell>
          <cell r="N485">
            <v>42194.06</v>
          </cell>
          <cell r="O485">
            <v>45471.69</v>
          </cell>
          <cell r="P485">
            <v>48949.11</v>
          </cell>
          <cell r="Q485">
            <v>510322.93</v>
          </cell>
        </row>
        <row r="486">
          <cell r="A486">
            <v>70025</v>
          </cell>
          <cell r="B486" t="str">
            <v>Wages O.T.</v>
          </cell>
          <cell r="E486">
            <v>2096.58</v>
          </cell>
          <cell r="F486">
            <v>2256.92</v>
          </cell>
          <cell r="G486">
            <v>520.88</v>
          </cell>
          <cell r="H486">
            <v>1862.34</v>
          </cell>
          <cell r="I486">
            <v>3126.98</v>
          </cell>
          <cell r="J486">
            <v>1540.45</v>
          </cell>
          <cell r="K486">
            <v>2442.46</v>
          </cell>
          <cell r="L486">
            <v>2985.84</v>
          </cell>
          <cell r="M486">
            <v>1455.97</v>
          </cell>
          <cell r="N486">
            <v>1845.98</v>
          </cell>
          <cell r="O486">
            <v>2373.81</v>
          </cell>
          <cell r="P486">
            <v>1626.79</v>
          </cell>
          <cell r="Q486">
            <v>24135.000000000004</v>
          </cell>
        </row>
        <row r="487">
          <cell r="A487">
            <v>70030</v>
          </cell>
          <cell r="B487" t="str">
            <v>Corp Allocated Bonus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</row>
        <row r="488">
          <cell r="A488">
            <v>70035</v>
          </cell>
          <cell r="B488" t="str">
            <v>Safety Bonuses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</row>
        <row r="489">
          <cell r="A489">
            <v>70036</v>
          </cell>
          <cell r="B489" t="str">
            <v>Other Bonus/Commission - Non-Safety</v>
          </cell>
          <cell r="E489">
            <v>4809.7700000000004</v>
          </cell>
          <cell r="F489">
            <v>2140.23</v>
          </cell>
          <cell r="G489">
            <v>5107.6499999999996</v>
          </cell>
          <cell r="H489">
            <v>4226.5600000000004</v>
          </cell>
          <cell r="I489">
            <v>1425.85</v>
          </cell>
          <cell r="J489">
            <v>387.84</v>
          </cell>
          <cell r="K489">
            <v>100</v>
          </cell>
          <cell r="L489">
            <v>3426.61</v>
          </cell>
          <cell r="M489">
            <v>665.4</v>
          </cell>
          <cell r="N489">
            <v>-1015.84</v>
          </cell>
          <cell r="O489">
            <v>581.19000000000005</v>
          </cell>
          <cell r="P489">
            <v>5025.8500000000004</v>
          </cell>
          <cell r="Q489">
            <v>26881.11</v>
          </cell>
        </row>
        <row r="490">
          <cell r="A490">
            <v>70037</v>
          </cell>
          <cell r="B490" t="str">
            <v>Termination Pay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</row>
        <row r="491">
          <cell r="A491">
            <v>70045</v>
          </cell>
          <cell r="B491" t="str">
            <v>Contract Labor</v>
          </cell>
          <cell r="E491">
            <v>6680.67</v>
          </cell>
          <cell r="F491">
            <v>232.03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10440.92</v>
          </cell>
          <cell r="M491">
            <v>7401.37</v>
          </cell>
          <cell r="N491">
            <v>14152.75</v>
          </cell>
          <cell r="O491">
            <v>1820.49</v>
          </cell>
          <cell r="P491">
            <v>6453.68</v>
          </cell>
          <cell r="Q491">
            <v>47181.909999999996</v>
          </cell>
        </row>
        <row r="492">
          <cell r="A492">
            <v>70050</v>
          </cell>
          <cell r="B492" t="str">
            <v>Payroll Taxes</v>
          </cell>
          <cell r="E492">
            <v>9179.65</v>
          </cell>
          <cell r="F492">
            <v>6291.4</v>
          </cell>
          <cell r="G492">
            <v>7661.43</v>
          </cell>
          <cell r="H492">
            <v>6697.51</v>
          </cell>
          <cell r="I492">
            <v>6629.71</v>
          </cell>
          <cell r="J492">
            <v>7324.51</v>
          </cell>
          <cell r="K492">
            <v>5887.85</v>
          </cell>
          <cell r="L492">
            <v>5608.72</v>
          </cell>
          <cell r="M492">
            <v>5768.98</v>
          </cell>
          <cell r="N492">
            <v>5999.27</v>
          </cell>
          <cell r="O492">
            <v>6190.7</v>
          </cell>
          <cell r="P492">
            <v>6776.28</v>
          </cell>
          <cell r="Q492">
            <v>80016.009999999995</v>
          </cell>
        </row>
        <row r="493">
          <cell r="A493">
            <v>70060</v>
          </cell>
          <cell r="B493" t="str">
            <v>Group Insurance</v>
          </cell>
          <cell r="E493">
            <v>10365.61</v>
          </cell>
          <cell r="F493">
            <v>10230.65</v>
          </cell>
          <cell r="G493">
            <v>8851.43</v>
          </cell>
          <cell r="H493">
            <v>12049.32</v>
          </cell>
          <cell r="I493">
            <v>9943.51</v>
          </cell>
          <cell r="J493">
            <v>9742.43</v>
          </cell>
          <cell r="K493">
            <v>9734.74</v>
          </cell>
          <cell r="L493">
            <v>9561.06</v>
          </cell>
          <cell r="M493">
            <v>8494.4699999999993</v>
          </cell>
          <cell r="N493">
            <v>11177.83</v>
          </cell>
          <cell r="O493">
            <v>11411.65</v>
          </cell>
          <cell r="P493">
            <v>11731.69</v>
          </cell>
          <cell r="Q493">
            <v>123294.39</v>
          </cell>
        </row>
        <row r="494">
          <cell r="A494">
            <v>70065</v>
          </cell>
          <cell r="B494" t="str">
            <v>Vacation Pay</v>
          </cell>
          <cell r="E494">
            <v>5445.15</v>
          </cell>
          <cell r="F494">
            <v>2867.53</v>
          </cell>
          <cell r="G494">
            <v>2000.31</v>
          </cell>
          <cell r="H494">
            <v>3981.39</v>
          </cell>
          <cell r="I494">
            <v>4870.18</v>
          </cell>
          <cell r="J494">
            <v>3114.5</v>
          </cell>
          <cell r="K494">
            <v>4765.6099999999997</v>
          </cell>
          <cell r="L494">
            <v>2058.0100000000002</v>
          </cell>
          <cell r="M494">
            <v>3147.12</v>
          </cell>
          <cell r="N494">
            <v>4048.56</v>
          </cell>
          <cell r="O494">
            <v>2256.75</v>
          </cell>
          <cell r="P494">
            <v>3468.68</v>
          </cell>
          <cell r="Q494">
            <v>42023.79</v>
          </cell>
        </row>
        <row r="495">
          <cell r="A495">
            <v>70070</v>
          </cell>
          <cell r="B495" t="str">
            <v>Sick Pay</v>
          </cell>
          <cell r="E495">
            <v>334.55</v>
          </cell>
          <cell r="F495">
            <v>550.89</v>
          </cell>
          <cell r="G495">
            <v>1270.23</v>
          </cell>
          <cell r="H495">
            <v>745.77</v>
          </cell>
          <cell r="I495">
            <v>1246.57</v>
          </cell>
          <cell r="J495">
            <v>334.08</v>
          </cell>
          <cell r="K495">
            <v>365.29</v>
          </cell>
          <cell r="L495">
            <v>1258.6099999999999</v>
          </cell>
          <cell r="M495">
            <v>594.48</v>
          </cell>
          <cell r="N495">
            <v>799.28</v>
          </cell>
          <cell r="O495">
            <v>359.64</v>
          </cell>
          <cell r="P495">
            <v>428.72</v>
          </cell>
          <cell r="Q495">
            <v>8288.1099999999988</v>
          </cell>
        </row>
        <row r="496">
          <cell r="A496">
            <v>70086</v>
          </cell>
          <cell r="B496" t="str">
            <v>Safety and Training</v>
          </cell>
          <cell r="E496">
            <v>307.08999999999997</v>
          </cell>
          <cell r="F496">
            <v>-262.68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146.11000000000001</v>
          </cell>
          <cell r="N496">
            <v>550</v>
          </cell>
          <cell r="O496">
            <v>70</v>
          </cell>
          <cell r="P496">
            <v>2091.2399999999998</v>
          </cell>
          <cell r="Q496">
            <v>2901.7599999999998</v>
          </cell>
        </row>
        <row r="497">
          <cell r="A497">
            <v>70090</v>
          </cell>
          <cell r="B497" t="str">
            <v>WCN Training</v>
          </cell>
          <cell r="E497">
            <v>0</v>
          </cell>
          <cell r="F497">
            <v>912.78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912.78</v>
          </cell>
        </row>
        <row r="498">
          <cell r="A498">
            <v>70095</v>
          </cell>
          <cell r="B498" t="str">
            <v>Empl &amp; Commun Activ</v>
          </cell>
          <cell r="E498">
            <v>14055.36</v>
          </cell>
          <cell r="F498">
            <v>3129.49</v>
          </cell>
          <cell r="G498">
            <v>-8366.42</v>
          </cell>
          <cell r="H498">
            <v>1482.03</v>
          </cell>
          <cell r="I498">
            <v>4740.3999999999996</v>
          </cell>
          <cell r="J498">
            <v>5688.11</v>
          </cell>
          <cell r="K498">
            <v>11283.12</v>
          </cell>
          <cell r="L498">
            <v>21266.09</v>
          </cell>
          <cell r="M498">
            <v>1553.42</v>
          </cell>
          <cell r="N498">
            <v>3453.38</v>
          </cell>
          <cell r="O498">
            <v>4558.05</v>
          </cell>
          <cell r="P498">
            <v>3947.63</v>
          </cell>
          <cell r="Q498">
            <v>66790.659999999989</v>
          </cell>
        </row>
        <row r="499">
          <cell r="A499">
            <v>70105</v>
          </cell>
          <cell r="B499" t="str">
            <v>Employee Relocation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</row>
        <row r="500">
          <cell r="A500">
            <v>70107</v>
          </cell>
          <cell r="B500" t="str">
            <v>Housing Subsidy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</row>
        <row r="501">
          <cell r="A501">
            <v>70108</v>
          </cell>
          <cell r="B501" t="str">
            <v>School Tuition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</row>
        <row r="502">
          <cell r="A502">
            <v>70110</v>
          </cell>
          <cell r="B502" t="str">
            <v>Contributions</v>
          </cell>
          <cell r="E502">
            <v>937.5</v>
          </cell>
          <cell r="F502">
            <v>-1250</v>
          </cell>
          <cell r="G502">
            <v>500</v>
          </cell>
          <cell r="H502">
            <v>2250</v>
          </cell>
          <cell r="I502">
            <v>250</v>
          </cell>
          <cell r="J502">
            <v>500</v>
          </cell>
          <cell r="K502">
            <v>1191.54</v>
          </cell>
          <cell r="L502">
            <v>500</v>
          </cell>
          <cell r="M502">
            <v>0</v>
          </cell>
          <cell r="N502">
            <v>0</v>
          </cell>
          <cell r="O502">
            <v>500</v>
          </cell>
          <cell r="P502">
            <v>0</v>
          </cell>
          <cell r="Q502">
            <v>5379.04</v>
          </cell>
        </row>
        <row r="503">
          <cell r="A503">
            <v>70111</v>
          </cell>
          <cell r="B503" t="str">
            <v>Non Cash Charitable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</row>
        <row r="504">
          <cell r="A504">
            <v>70112</v>
          </cell>
          <cell r="B504" t="str">
            <v>Political Contributions</v>
          </cell>
          <cell r="E504">
            <v>0</v>
          </cell>
          <cell r="F504">
            <v>0</v>
          </cell>
          <cell r="G504">
            <v>0</v>
          </cell>
          <cell r="H504">
            <v>1250</v>
          </cell>
          <cell r="I504">
            <v>0</v>
          </cell>
          <cell r="J504">
            <v>0</v>
          </cell>
          <cell r="K504">
            <v>1250</v>
          </cell>
          <cell r="L504">
            <v>0</v>
          </cell>
          <cell r="M504">
            <v>500</v>
          </cell>
          <cell r="N504">
            <v>250</v>
          </cell>
          <cell r="O504">
            <v>0</v>
          </cell>
          <cell r="P504">
            <v>0</v>
          </cell>
          <cell r="Q504">
            <v>3250</v>
          </cell>
        </row>
        <row r="505">
          <cell r="A505">
            <v>70116</v>
          </cell>
          <cell r="B505" t="str">
            <v>Pension and Profit Sharing</v>
          </cell>
          <cell r="E505">
            <v>991.8</v>
          </cell>
          <cell r="F505">
            <v>1061.8</v>
          </cell>
          <cell r="G505">
            <v>1561.6</v>
          </cell>
          <cell r="H505">
            <v>1001.55</v>
          </cell>
          <cell r="I505">
            <v>1064.48</v>
          </cell>
          <cell r="J505">
            <v>880.04</v>
          </cell>
          <cell r="K505">
            <v>837.46</v>
          </cell>
          <cell r="L505">
            <v>818.44</v>
          </cell>
          <cell r="M505">
            <v>814.08</v>
          </cell>
          <cell r="N505">
            <v>1291.5999999999999</v>
          </cell>
          <cell r="O505">
            <v>832.75</v>
          </cell>
          <cell r="P505">
            <v>978.78</v>
          </cell>
          <cell r="Q505">
            <v>12134.380000000001</v>
          </cell>
        </row>
        <row r="506">
          <cell r="A506">
            <v>70117</v>
          </cell>
          <cell r="B506" t="str">
            <v>Union Pension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</row>
        <row r="507">
          <cell r="A507">
            <v>70142</v>
          </cell>
          <cell r="B507" t="str">
            <v>Fuel Expense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</row>
        <row r="508">
          <cell r="A508">
            <v>70145</v>
          </cell>
          <cell r="B508" t="str">
            <v>Outside Repairs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</row>
        <row r="509">
          <cell r="A509">
            <v>70147</v>
          </cell>
          <cell r="B509" t="str">
            <v>Bldg &amp; Property Maint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</row>
        <row r="510">
          <cell r="A510">
            <v>70148</v>
          </cell>
          <cell r="B510" t="str">
            <v>Allocated Exp In - District</v>
          </cell>
          <cell r="E510">
            <v>9455.33</v>
          </cell>
          <cell r="F510">
            <v>10366.76</v>
          </cell>
          <cell r="G510">
            <v>12777.28</v>
          </cell>
          <cell r="H510">
            <v>9429.9599999999991</v>
          </cell>
          <cell r="I510">
            <v>4111.67</v>
          </cell>
          <cell r="J510">
            <v>13752.97</v>
          </cell>
          <cell r="K510">
            <v>28825.42</v>
          </cell>
          <cell r="L510">
            <v>23366.78</v>
          </cell>
          <cell r="M510">
            <v>-1234.82</v>
          </cell>
          <cell r="N510">
            <v>8735.3799999999992</v>
          </cell>
          <cell r="O510">
            <v>11153.09</v>
          </cell>
          <cell r="P510">
            <v>9005.61</v>
          </cell>
          <cell r="Q510">
            <v>139745.43</v>
          </cell>
        </row>
        <row r="511">
          <cell r="A511">
            <v>70150</v>
          </cell>
          <cell r="B511" t="str">
            <v>Utilities</v>
          </cell>
          <cell r="E511">
            <v>1142.2</v>
          </cell>
          <cell r="F511">
            <v>1092.4000000000001</v>
          </cell>
          <cell r="G511">
            <v>1092.57</v>
          </cell>
          <cell r="H511">
            <v>1056.2</v>
          </cell>
          <cell r="I511">
            <v>971.23</v>
          </cell>
          <cell r="J511">
            <v>927.16</v>
          </cell>
          <cell r="K511">
            <v>0</v>
          </cell>
          <cell r="L511">
            <v>869.77</v>
          </cell>
          <cell r="M511">
            <v>868.91</v>
          </cell>
          <cell r="N511">
            <v>878.75</v>
          </cell>
          <cell r="O511">
            <v>973.97</v>
          </cell>
          <cell r="P511">
            <v>1678.97</v>
          </cell>
          <cell r="Q511">
            <v>11552.13</v>
          </cell>
        </row>
        <row r="512">
          <cell r="A512">
            <v>70165</v>
          </cell>
          <cell r="B512" t="str">
            <v>Communications</v>
          </cell>
          <cell r="E512">
            <v>1837.34</v>
          </cell>
          <cell r="F512">
            <v>1811.33</v>
          </cell>
          <cell r="G512">
            <v>2247.1</v>
          </cell>
          <cell r="H512">
            <v>1908.93</v>
          </cell>
          <cell r="I512">
            <v>2066.65</v>
          </cell>
          <cell r="J512">
            <v>2198.11</v>
          </cell>
          <cell r="K512">
            <v>2042.44</v>
          </cell>
          <cell r="L512">
            <v>2129.4</v>
          </cell>
          <cell r="M512">
            <v>2270.06</v>
          </cell>
          <cell r="N512">
            <v>2682.39</v>
          </cell>
          <cell r="O512">
            <v>1762.11</v>
          </cell>
          <cell r="P512">
            <v>2834.19</v>
          </cell>
          <cell r="Q512">
            <v>25790.05</v>
          </cell>
        </row>
        <row r="513">
          <cell r="A513">
            <v>70166</v>
          </cell>
          <cell r="B513" t="str">
            <v>Office Telephone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</row>
        <row r="514">
          <cell r="A514">
            <v>70167</v>
          </cell>
          <cell r="B514" t="str">
            <v>Cellular Telephone</v>
          </cell>
          <cell r="E514">
            <v>156.94999999999999</v>
          </cell>
          <cell r="F514">
            <v>186.7</v>
          </cell>
          <cell r="G514">
            <v>355.41</v>
          </cell>
          <cell r="H514">
            <v>205.54</v>
          </cell>
          <cell r="I514">
            <v>168.04</v>
          </cell>
          <cell r="J514">
            <v>205.54</v>
          </cell>
          <cell r="K514">
            <v>356.92</v>
          </cell>
          <cell r="L514">
            <v>187.5</v>
          </cell>
          <cell r="M514">
            <v>75</v>
          </cell>
          <cell r="N514">
            <v>223.5</v>
          </cell>
          <cell r="O514">
            <v>226.5</v>
          </cell>
          <cell r="P514">
            <v>150</v>
          </cell>
          <cell r="Q514">
            <v>2497.6</v>
          </cell>
        </row>
        <row r="515">
          <cell r="A515">
            <v>70170</v>
          </cell>
          <cell r="B515" t="str">
            <v>Real Estate Rentals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</row>
        <row r="516">
          <cell r="A516">
            <v>70175</v>
          </cell>
          <cell r="B516" t="str">
            <v>Equip/Vehicle Rental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</row>
        <row r="517">
          <cell r="A517">
            <v>70185</v>
          </cell>
          <cell r="B517" t="str">
            <v>Postage</v>
          </cell>
          <cell r="E517">
            <v>1663.37</v>
          </cell>
          <cell r="F517">
            <v>1464.26</v>
          </cell>
          <cell r="G517">
            <v>492.87</v>
          </cell>
          <cell r="H517">
            <v>1792.31</v>
          </cell>
          <cell r="I517">
            <v>1736.3</v>
          </cell>
          <cell r="J517">
            <v>1600.37</v>
          </cell>
          <cell r="K517">
            <v>417.65</v>
          </cell>
          <cell r="L517">
            <v>1589.73</v>
          </cell>
          <cell r="M517">
            <v>1686.05</v>
          </cell>
          <cell r="N517">
            <v>1653.87</v>
          </cell>
          <cell r="O517">
            <v>1642.82</v>
          </cell>
          <cell r="P517">
            <v>1641.55</v>
          </cell>
          <cell r="Q517">
            <v>17381.149999999998</v>
          </cell>
        </row>
        <row r="518">
          <cell r="A518">
            <v>70190</v>
          </cell>
          <cell r="B518" t="str">
            <v>Registration Fees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244</v>
          </cell>
          <cell r="K518">
            <v>-244</v>
          </cell>
          <cell r="L518">
            <v>0</v>
          </cell>
          <cell r="M518">
            <v>0</v>
          </cell>
          <cell r="N518">
            <v>450</v>
          </cell>
          <cell r="O518">
            <v>80</v>
          </cell>
          <cell r="P518">
            <v>5</v>
          </cell>
          <cell r="Q518">
            <v>535</v>
          </cell>
        </row>
        <row r="519">
          <cell r="A519">
            <v>70195</v>
          </cell>
          <cell r="B519" t="str">
            <v>Dues and Subscriptions</v>
          </cell>
          <cell r="E519">
            <v>734.67</v>
          </cell>
          <cell r="F519">
            <v>3500</v>
          </cell>
          <cell r="G519">
            <v>654.66999999999996</v>
          </cell>
          <cell r="H519">
            <v>3788.33</v>
          </cell>
          <cell r="I519">
            <v>831.17</v>
          </cell>
          <cell r="J519">
            <v>2522.33</v>
          </cell>
          <cell r="K519">
            <v>3255.67</v>
          </cell>
          <cell r="L519">
            <v>3419.03</v>
          </cell>
          <cell r="M519">
            <v>1208.23</v>
          </cell>
          <cell r="N519">
            <v>2099.1799999999998</v>
          </cell>
          <cell r="O519">
            <v>3420.89</v>
          </cell>
          <cell r="P519">
            <v>1716.89</v>
          </cell>
          <cell r="Q519">
            <v>27151.059999999998</v>
          </cell>
        </row>
        <row r="520">
          <cell r="A520">
            <v>70196</v>
          </cell>
          <cell r="B520" t="str">
            <v>Club Dues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</row>
        <row r="521">
          <cell r="A521">
            <v>70200</v>
          </cell>
          <cell r="B521" t="str">
            <v>Travel</v>
          </cell>
          <cell r="E521">
            <v>225.54</v>
          </cell>
          <cell r="F521">
            <v>769.5</v>
          </cell>
          <cell r="G521">
            <v>907.05</v>
          </cell>
          <cell r="H521">
            <v>0</v>
          </cell>
          <cell r="I521">
            <v>627.9</v>
          </cell>
          <cell r="J521">
            <v>18.75</v>
          </cell>
          <cell r="K521">
            <v>51</v>
          </cell>
          <cell r="L521">
            <v>-46.5</v>
          </cell>
          <cell r="M521">
            <v>1021.88</v>
          </cell>
          <cell r="N521">
            <v>876</v>
          </cell>
          <cell r="O521">
            <v>92.25</v>
          </cell>
          <cell r="P521">
            <v>339.6</v>
          </cell>
          <cell r="Q521">
            <v>4882.97</v>
          </cell>
        </row>
        <row r="522">
          <cell r="A522">
            <v>70201</v>
          </cell>
          <cell r="B522" t="str">
            <v>Entertainment</v>
          </cell>
          <cell r="E522">
            <v>0</v>
          </cell>
          <cell r="F522">
            <v>23.53</v>
          </cell>
          <cell r="G522">
            <v>0</v>
          </cell>
          <cell r="H522">
            <v>321.41000000000003</v>
          </cell>
          <cell r="I522">
            <v>0</v>
          </cell>
          <cell r="J522">
            <v>341.1</v>
          </cell>
          <cell r="K522">
            <v>728.42</v>
          </cell>
          <cell r="L522">
            <v>-72.099999999999994</v>
          </cell>
          <cell r="M522">
            <v>0</v>
          </cell>
          <cell r="N522">
            <v>41.89</v>
          </cell>
          <cell r="O522">
            <v>0</v>
          </cell>
          <cell r="P522">
            <v>0</v>
          </cell>
          <cell r="Q522">
            <v>1384.2500000000002</v>
          </cell>
        </row>
        <row r="523">
          <cell r="A523">
            <v>70202</v>
          </cell>
          <cell r="B523" t="str">
            <v>Excursions Meetings</v>
          </cell>
          <cell r="E523">
            <v>300</v>
          </cell>
          <cell r="F523">
            <v>345.51</v>
          </cell>
          <cell r="G523">
            <v>0</v>
          </cell>
          <cell r="H523">
            <v>0</v>
          </cell>
          <cell r="I523">
            <v>485</v>
          </cell>
          <cell r="J523">
            <v>1248.75</v>
          </cell>
          <cell r="K523">
            <v>0</v>
          </cell>
          <cell r="L523">
            <v>288.39999999999998</v>
          </cell>
          <cell r="M523">
            <v>0</v>
          </cell>
          <cell r="N523">
            <v>0</v>
          </cell>
          <cell r="O523">
            <v>279</v>
          </cell>
          <cell r="P523">
            <v>0</v>
          </cell>
          <cell r="Q523">
            <v>2946.6600000000003</v>
          </cell>
        </row>
        <row r="524">
          <cell r="A524">
            <v>70203</v>
          </cell>
          <cell r="B524" t="str">
            <v>Lodging</v>
          </cell>
          <cell r="E524">
            <v>462.54</v>
          </cell>
          <cell r="F524">
            <v>0</v>
          </cell>
          <cell r="G524">
            <v>0</v>
          </cell>
          <cell r="H524">
            <v>653.4</v>
          </cell>
          <cell r="I524">
            <v>579</v>
          </cell>
          <cell r="J524">
            <v>0</v>
          </cell>
          <cell r="K524">
            <v>797.67</v>
          </cell>
          <cell r="L524">
            <v>618.57000000000005</v>
          </cell>
          <cell r="M524">
            <v>382.5</v>
          </cell>
          <cell r="N524">
            <v>140.19999999999999</v>
          </cell>
          <cell r="O524">
            <v>457.4</v>
          </cell>
          <cell r="P524">
            <v>1133.44</v>
          </cell>
          <cell r="Q524">
            <v>5224.72</v>
          </cell>
        </row>
        <row r="525">
          <cell r="A525">
            <v>70204</v>
          </cell>
          <cell r="B525" t="str">
            <v>Gifts to Customers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</row>
        <row r="526">
          <cell r="A526">
            <v>70205</v>
          </cell>
          <cell r="B526" t="str">
            <v>Travel - Auto</v>
          </cell>
          <cell r="E526">
            <v>592.16</v>
          </cell>
          <cell r="F526">
            <v>812.81</v>
          </cell>
          <cell r="G526">
            <v>372.79</v>
          </cell>
          <cell r="H526">
            <v>924.67</v>
          </cell>
          <cell r="I526">
            <v>591.26</v>
          </cell>
          <cell r="J526">
            <v>614.52</v>
          </cell>
          <cell r="K526">
            <v>370.59</v>
          </cell>
          <cell r="L526">
            <v>811.62</v>
          </cell>
          <cell r="M526">
            <v>291.60000000000002</v>
          </cell>
          <cell r="N526">
            <v>789.52</v>
          </cell>
          <cell r="O526">
            <v>730.2</v>
          </cell>
          <cell r="P526">
            <v>523.23</v>
          </cell>
          <cell r="Q526">
            <v>7424.9699999999993</v>
          </cell>
        </row>
        <row r="527">
          <cell r="A527">
            <v>70206</v>
          </cell>
          <cell r="B527" t="str">
            <v>Meals</v>
          </cell>
          <cell r="E527">
            <v>155.22</v>
          </cell>
          <cell r="F527">
            <v>199.8</v>
          </cell>
          <cell r="G527">
            <v>112.98</v>
          </cell>
          <cell r="H527">
            <v>115.92</v>
          </cell>
          <cell r="I527">
            <v>277.83</v>
          </cell>
          <cell r="J527">
            <v>270.38</v>
          </cell>
          <cell r="K527">
            <v>579.17999999999995</v>
          </cell>
          <cell r="L527">
            <v>-136.55000000000001</v>
          </cell>
          <cell r="M527">
            <v>50</v>
          </cell>
          <cell r="N527">
            <v>287</v>
          </cell>
          <cell r="O527">
            <v>150.02000000000001</v>
          </cell>
          <cell r="P527">
            <v>59.7</v>
          </cell>
          <cell r="Q527">
            <v>2121.48</v>
          </cell>
        </row>
        <row r="528">
          <cell r="A528">
            <v>70207</v>
          </cell>
          <cell r="B528" t="str">
            <v>Meals with Customers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3.75</v>
          </cell>
          <cell r="O528">
            <v>0</v>
          </cell>
          <cell r="P528">
            <v>0</v>
          </cell>
          <cell r="Q528">
            <v>3.75</v>
          </cell>
        </row>
        <row r="529">
          <cell r="A529">
            <v>70209</v>
          </cell>
          <cell r="B529" t="str">
            <v>Photo Supplies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</row>
        <row r="530">
          <cell r="A530">
            <v>70210</v>
          </cell>
          <cell r="B530" t="str">
            <v>Office Supplies and Equip</v>
          </cell>
          <cell r="E530">
            <v>7068.1</v>
          </cell>
          <cell r="F530">
            <v>6155.01</v>
          </cell>
          <cell r="G530">
            <v>3868.92</v>
          </cell>
          <cell r="H530">
            <v>3782.02</v>
          </cell>
          <cell r="I530">
            <v>2862.22</v>
          </cell>
          <cell r="J530">
            <v>4721.92</v>
          </cell>
          <cell r="K530">
            <v>5210.1099999999997</v>
          </cell>
          <cell r="L530">
            <v>4854.1400000000003</v>
          </cell>
          <cell r="M530">
            <v>4059.64</v>
          </cell>
          <cell r="N530">
            <v>7017.47</v>
          </cell>
          <cell r="O530">
            <v>1056.94</v>
          </cell>
          <cell r="P530">
            <v>7841.63</v>
          </cell>
          <cell r="Q530">
            <v>58498.12</v>
          </cell>
        </row>
        <row r="531">
          <cell r="A531">
            <v>70213</v>
          </cell>
          <cell r="B531" t="str">
            <v>P-Card Rebate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</row>
        <row r="532">
          <cell r="A532">
            <v>70214</v>
          </cell>
          <cell r="B532" t="str">
            <v>Credit Card Fees</v>
          </cell>
          <cell r="E532">
            <v>7453.96</v>
          </cell>
          <cell r="F532">
            <v>8072.47</v>
          </cell>
          <cell r="G532">
            <v>8471.26</v>
          </cell>
          <cell r="H532">
            <v>7487.53</v>
          </cell>
          <cell r="I532">
            <v>7402.35</v>
          </cell>
          <cell r="J532">
            <v>8604.07</v>
          </cell>
          <cell r="K532">
            <v>8742.07</v>
          </cell>
          <cell r="L532">
            <v>9298.84</v>
          </cell>
          <cell r="M532">
            <v>9731.43</v>
          </cell>
          <cell r="N532">
            <v>9257.65</v>
          </cell>
          <cell r="O532">
            <v>10120.43</v>
          </cell>
          <cell r="P532">
            <v>9008.27</v>
          </cell>
          <cell r="Q532">
            <v>103650.33</v>
          </cell>
        </row>
        <row r="533">
          <cell r="A533">
            <v>70215</v>
          </cell>
          <cell r="B533" t="str">
            <v>Bank Charges</v>
          </cell>
          <cell r="E533">
            <v>520.58000000000004</v>
          </cell>
          <cell r="F533">
            <v>527.17999999999995</v>
          </cell>
          <cell r="G533">
            <v>539.19000000000005</v>
          </cell>
          <cell r="H533">
            <v>530.33000000000004</v>
          </cell>
          <cell r="I533">
            <v>471.57</v>
          </cell>
          <cell r="J533">
            <v>491.42</v>
          </cell>
          <cell r="K533">
            <v>465.31</v>
          </cell>
          <cell r="L533">
            <v>559.30999999999995</v>
          </cell>
          <cell r="M533">
            <v>476.99</v>
          </cell>
          <cell r="N533">
            <v>385.37</v>
          </cell>
          <cell r="O533">
            <v>367.56</v>
          </cell>
          <cell r="P533">
            <v>638.20000000000005</v>
          </cell>
          <cell r="Q533">
            <v>5973.01</v>
          </cell>
        </row>
        <row r="534">
          <cell r="A534">
            <v>70216</v>
          </cell>
          <cell r="B534" t="str">
            <v>Outside Storages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</row>
        <row r="535">
          <cell r="A535">
            <v>70217</v>
          </cell>
          <cell r="B535" t="str">
            <v>Invoice Printing Costs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</row>
        <row r="536">
          <cell r="A536">
            <v>70225</v>
          </cell>
          <cell r="B536" t="str">
            <v>Advertising and Promotions</v>
          </cell>
          <cell r="E536">
            <v>2100</v>
          </cell>
          <cell r="F536">
            <v>-679.79</v>
          </cell>
          <cell r="G536">
            <v>0</v>
          </cell>
          <cell r="H536">
            <v>31.64</v>
          </cell>
          <cell r="I536">
            <v>0</v>
          </cell>
          <cell r="J536">
            <v>0</v>
          </cell>
          <cell r="K536">
            <v>500</v>
          </cell>
          <cell r="L536">
            <v>710.94</v>
          </cell>
          <cell r="M536">
            <v>0</v>
          </cell>
          <cell r="N536">
            <v>3049.29</v>
          </cell>
          <cell r="O536">
            <v>5336.83</v>
          </cell>
          <cell r="P536">
            <v>0</v>
          </cell>
          <cell r="Q536">
            <v>11048.91</v>
          </cell>
        </row>
        <row r="537">
          <cell r="A537">
            <v>70230</v>
          </cell>
          <cell r="B537" t="str">
            <v>External Recruiter Fees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</row>
        <row r="538">
          <cell r="A538">
            <v>70231</v>
          </cell>
          <cell r="B538" t="str">
            <v>Recruitment Advertising &amp; Expenses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25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25</v>
          </cell>
        </row>
        <row r="539">
          <cell r="A539">
            <v>70232</v>
          </cell>
          <cell r="B539" t="str">
            <v>Recruitment Travel Expenses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</row>
        <row r="540">
          <cell r="A540">
            <v>70235</v>
          </cell>
          <cell r="B540" t="str">
            <v>Legal</v>
          </cell>
          <cell r="E540">
            <v>134.16</v>
          </cell>
          <cell r="F540">
            <v>0</v>
          </cell>
          <cell r="G540">
            <v>198.36</v>
          </cell>
          <cell r="H540">
            <v>3699.71</v>
          </cell>
          <cell r="I540">
            <v>1056.02</v>
          </cell>
          <cell r="J540">
            <v>682.19</v>
          </cell>
          <cell r="K540">
            <v>3008.78</v>
          </cell>
          <cell r="L540">
            <v>-2300.2800000000002</v>
          </cell>
          <cell r="M540">
            <v>3301.28</v>
          </cell>
          <cell r="N540">
            <v>0.2</v>
          </cell>
          <cell r="O540">
            <v>-0.2</v>
          </cell>
          <cell r="P540">
            <v>1207.32</v>
          </cell>
          <cell r="Q540">
            <v>10987.54</v>
          </cell>
        </row>
        <row r="541">
          <cell r="A541">
            <v>70240</v>
          </cell>
          <cell r="B541" t="str">
            <v>Accounting Professional Fees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</row>
        <row r="542">
          <cell r="A542">
            <v>70245</v>
          </cell>
          <cell r="B542" t="str">
            <v>Payroll Processing Fees</v>
          </cell>
          <cell r="E542">
            <v>324.20999999999998</v>
          </cell>
          <cell r="F542">
            <v>333.23</v>
          </cell>
          <cell r="G542">
            <v>333.23</v>
          </cell>
          <cell r="H542">
            <v>333.23</v>
          </cell>
          <cell r="I542">
            <v>333.23</v>
          </cell>
          <cell r="J542">
            <v>333.23</v>
          </cell>
          <cell r="K542">
            <v>333.23</v>
          </cell>
          <cell r="L542">
            <v>300.73</v>
          </cell>
          <cell r="M542">
            <v>300.73</v>
          </cell>
          <cell r="N542">
            <v>300.73</v>
          </cell>
          <cell r="O542">
            <v>300.86</v>
          </cell>
          <cell r="P542">
            <v>300.86</v>
          </cell>
          <cell r="Q542">
            <v>3827.5000000000005</v>
          </cell>
        </row>
        <row r="543">
          <cell r="A543">
            <v>70250</v>
          </cell>
          <cell r="B543" t="str">
            <v>Acquisition Cost Write Off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</row>
        <row r="544">
          <cell r="A544">
            <v>70254</v>
          </cell>
          <cell r="B544" t="str">
            <v>Corporate Capitalized Expenses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</row>
        <row r="545">
          <cell r="A545">
            <v>70255</v>
          </cell>
          <cell r="B545" t="str">
            <v>Other Prof Fees</v>
          </cell>
          <cell r="E545">
            <v>0</v>
          </cell>
          <cell r="F545">
            <v>659.25</v>
          </cell>
          <cell r="G545">
            <v>168.64</v>
          </cell>
          <cell r="H545">
            <v>0</v>
          </cell>
          <cell r="I545">
            <v>900</v>
          </cell>
          <cell r="J545">
            <v>168.64</v>
          </cell>
          <cell r="K545">
            <v>-900</v>
          </cell>
          <cell r="L545">
            <v>0</v>
          </cell>
          <cell r="M545">
            <v>168.64</v>
          </cell>
          <cell r="N545">
            <v>0</v>
          </cell>
          <cell r="O545">
            <v>548.44000000000005</v>
          </cell>
          <cell r="P545">
            <v>243.29</v>
          </cell>
          <cell r="Q545">
            <v>1956.8999999999996</v>
          </cell>
        </row>
        <row r="546">
          <cell r="A546">
            <v>70271</v>
          </cell>
          <cell r="B546" t="str">
            <v>Property and Liability Insurance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</row>
        <row r="547">
          <cell r="A547">
            <v>70272</v>
          </cell>
          <cell r="B547" t="str">
            <v>Keyman Life Insurance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</row>
        <row r="548">
          <cell r="A548">
            <v>70273</v>
          </cell>
          <cell r="B548" t="str">
            <v>Directors and Officers Insurance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</row>
        <row r="549">
          <cell r="A549">
            <v>70275</v>
          </cell>
          <cell r="B549" t="str">
            <v>Property Taxes</v>
          </cell>
          <cell r="E549">
            <v>3633</v>
          </cell>
          <cell r="F549">
            <v>3633</v>
          </cell>
          <cell r="G549">
            <v>4280.66</v>
          </cell>
          <cell r="H549">
            <v>5100.2</v>
          </cell>
          <cell r="I549">
            <v>5100.2</v>
          </cell>
          <cell r="J549">
            <v>5100.2</v>
          </cell>
          <cell r="K549">
            <v>6353.54</v>
          </cell>
          <cell r="L549">
            <v>4787.74</v>
          </cell>
          <cell r="M549">
            <v>4507.07</v>
          </cell>
          <cell r="N549">
            <v>4985.55</v>
          </cell>
          <cell r="O549">
            <v>5021.75</v>
          </cell>
          <cell r="P549">
            <v>4949.34</v>
          </cell>
          <cell r="Q549">
            <v>57452.25</v>
          </cell>
        </row>
        <row r="550">
          <cell r="A550">
            <v>70280</v>
          </cell>
          <cell r="B550" t="str">
            <v>Other Taxes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</row>
        <row r="551">
          <cell r="A551">
            <v>70300</v>
          </cell>
          <cell r="B551" t="str">
            <v>Data Processing</v>
          </cell>
          <cell r="E551">
            <v>3053.24</v>
          </cell>
          <cell r="F551">
            <v>27123.4</v>
          </cell>
          <cell r="G551">
            <v>1994.05</v>
          </cell>
          <cell r="H551">
            <v>25497.25</v>
          </cell>
          <cell r="I551">
            <v>4148.7299999999996</v>
          </cell>
          <cell r="J551">
            <v>12634.95</v>
          </cell>
          <cell r="K551">
            <v>2733.27</v>
          </cell>
          <cell r="L551">
            <v>28900.27</v>
          </cell>
          <cell r="M551">
            <v>2744.08</v>
          </cell>
          <cell r="N551">
            <v>23341.62</v>
          </cell>
          <cell r="O551">
            <v>2653.19</v>
          </cell>
          <cell r="P551">
            <v>25630.6</v>
          </cell>
          <cell r="Q551">
            <v>160454.65000000002</v>
          </cell>
        </row>
        <row r="552">
          <cell r="A552">
            <v>70301</v>
          </cell>
          <cell r="B552" t="str">
            <v>Computer Software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</row>
        <row r="553">
          <cell r="A553">
            <v>70302</v>
          </cell>
          <cell r="B553" t="str">
            <v>Computer Supplies</v>
          </cell>
          <cell r="E553">
            <v>0</v>
          </cell>
          <cell r="F553">
            <v>435.77</v>
          </cell>
          <cell r="G553">
            <v>693.82</v>
          </cell>
          <cell r="H553">
            <v>0</v>
          </cell>
          <cell r="I553">
            <v>0</v>
          </cell>
          <cell r="J553">
            <v>0</v>
          </cell>
          <cell r="K553">
            <v>71.819999999999993</v>
          </cell>
          <cell r="L553">
            <v>73.77</v>
          </cell>
          <cell r="M553">
            <v>0</v>
          </cell>
          <cell r="N553">
            <v>0</v>
          </cell>
          <cell r="O553">
            <v>0</v>
          </cell>
          <cell r="P553">
            <v>561.86</v>
          </cell>
          <cell r="Q553">
            <v>1837.04</v>
          </cell>
        </row>
        <row r="554">
          <cell r="A554">
            <v>70310</v>
          </cell>
          <cell r="B554" t="str">
            <v>Bad Debt Provision</v>
          </cell>
          <cell r="E554">
            <v>-38144.620000000003</v>
          </cell>
          <cell r="F554">
            <v>34133.97</v>
          </cell>
          <cell r="G554">
            <v>-43595.040000000001</v>
          </cell>
          <cell r="H554">
            <v>39178.03</v>
          </cell>
          <cell r="I554">
            <v>-23435.439999999999</v>
          </cell>
          <cell r="J554">
            <v>54303.69</v>
          </cell>
          <cell r="K554">
            <v>-33171.480000000003</v>
          </cell>
          <cell r="L554">
            <v>54213.2</v>
          </cell>
          <cell r="M554">
            <v>-34096.239999999998</v>
          </cell>
          <cell r="N554">
            <v>57772.45</v>
          </cell>
          <cell r="O554">
            <v>-39518.949999999997</v>
          </cell>
          <cell r="P554">
            <v>53267.67</v>
          </cell>
          <cell r="Q554">
            <v>80907.239999999991</v>
          </cell>
        </row>
        <row r="555">
          <cell r="A555">
            <v>70315</v>
          </cell>
          <cell r="B555" t="str">
            <v>Bad Debt Recoveries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</row>
        <row r="556">
          <cell r="A556">
            <v>70320</v>
          </cell>
          <cell r="B556" t="str">
            <v>Credit and Collection</v>
          </cell>
          <cell r="E556">
            <v>6198.28</v>
          </cell>
          <cell r="F556">
            <v>9319.4599999999991</v>
          </cell>
          <cell r="G556">
            <v>5273.3</v>
          </cell>
          <cell r="H556">
            <v>8215.32</v>
          </cell>
          <cell r="I556">
            <v>5615.84</v>
          </cell>
          <cell r="J556">
            <v>3201.73</v>
          </cell>
          <cell r="K556">
            <v>4767.67</v>
          </cell>
          <cell r="L556">
            <v>2810.14</v>
          </cell>
          <cell r="M556">
            <v>5490.95</v>
          </cell>
          <cell r="N556">
            <v>4968.87</v>
          </cell>
          <cell r="O556">
            <v>5918.1</v>
          </cell>
          <cell r="P556">
            <v>0</v>
          </cell>
          <cell r="Q556">
            <v>61779.659999999996</v>
          </cell>
        </row>
        <row r="557">
          <cell r="A557">
            <v>70324</v>
          </cell>
          <cell r="B557" t="str">
            <v>Penalties and Violations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</row>
        <row r="558">
          <cell r="A558">
            <v>70325</v>
          </cell>
          <cell r="B558" t="str">
            <v>Legal Settlement Payments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</row>
        <row r="559">
          <cell r="A559">
            <v>70326</v>
          </cell>
          <cell r="B559" t="str">
            <v>Deductible Current Year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</row>
        <row r="560">
          <cell r="A560">
            <v>70327</v>
          </cell>
          <cell r="B560" t="str">
            <v>Deductible Dammage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</row>
        <row r="561">
          <cell r="A561">
            <v>70328</v>
          </cell>
          <cell r="B561" t="str">
            <v>Claim Recoveries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</row>
        <row r="562">
          <cell r="A562">
            <v>70330</v>
          </cell>
          <cell r="B562" t="str">
            <v>Deductible Prior Year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</row>
        <row r="563">
          <cell r="A563">
            <v>70335</v>
          </cell>
          <cell r="B563" t="str">
            <v>Miscellaneous</v>
          </cell>
          <cell r="E563">
            <v>0</v>
          </cell>
          <cell r="F563">
            <v>-78.28</v>
          </cell>
          <cell r="G563">
            <v>0</v>
          </cell>
          <cell r="H563">
            <v>-123.75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-202.03</v>
          </cell>
        </row>
        <row r="564">
          <cell r="A564">
            <v>70336</v>
          </cell>
          <cell r="B564" t="str">
            <v>Coffe Bar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38.020000000000003</v>
          </cell>
          <cell r="M564">
            <v>0</v>
          </cell>
          <cell r="N564">
            <v>-38.020000000000003</v>
          </cell>
          <cell r="O564">
            <v>0</v>
          </cell>
          <cell r="P564">
            <v>0</v>
          </cell>
          <cell r="Q564">
            <v>0</v>
          </cell>
        </row>
        <row r="565">
          <cell r="A565">
            <v>70345</v>
          </cell>
          <cell r="B565" t="str">
            <v>Security Services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</row>
        <row r="566">
          <cell r="A566">
            <v>70357</v>
          </cell>
          <cell r="B566" t="str">
            <v>Permits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</row>
        <row r="567">
          <cell r="A567">
            <v>70370</v>
          </cell>
          <cell r="B567" t="str">
            <v>Bonds Expense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</row>
        <row r="568">
          <cell r="A568">
            <v>70371</v>
          </cell>
          <cell r="B568" t="str">
            <v>Board of Directors Fees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</row>
        <row r="569">
          <cell r="A569">
            <v>70372</v>
          </cell>
          <cell r="B569" t="str">
            <v>Board of Directors Expense Report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</row>
        <row r="570">
          <cell r="A570">
            <v>70475</v>
          </cell>
          <cell r="B570" t="str">
            <v>Trade Shows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</row>
        <row r="571">
          <cell r="A571">
            <v>70900</v>
          </cell>
          <cell r="B571" t="str">
            <v>Entitiy Formation Costs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</row>
        <row r="572">
          <cell r="A572">
            <v>70998</v>
          </cell>
          <cell r="B572" t="str">
            <v>Allocation Out - District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</row>
        <row r="573">
          <cell r="A573">
            <v>70999</v>
          </cell>
          <cell r="B573" t="str">
            <v>Allocation Out - Out District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</row>
        <row r="574">
          <cell r="A574">
            <v>71000</v>
          </cell>
          <cell r="B574" t="str">
            <v>Stock Comp Expense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</row>
        <row r="575">
          <cell r="A575" t="str">
            <v>Total G&amp;A</v>
          </cell>
          <cell r="E575">
            <v>135458.46000000002</v>
          </cell>
          <cell r="F575">
            <v>208641.47999999992</v>
          </cell>
          <cell r="G575">
            <v>98781.099999999962</v>
          </cell>
          <cell r="H575">
            <v>225439.98</v>
          </cell>
          <cell r="I575">
            <v>124024.28</v>
          </cell>
          <cell r="J575">
            <v>224140.84000000008</v>
          </cell>
          <cell r="K575">
            <v>154049.73000000004</v>
          </cell>
          <cell r="L575">
            <v>264592.3</v>
          </cell>
          <cell r="M575">
            <v>109926.17</v>
          </cell>
          <cell r="N575">
            <v>249406.65000000005</v>
          </cell>
          <cell r="O575">
            <v>123801.06999999996</v>
          </cell>
          <cell r="P575">
            <v>250967.55000000005</v>
          </cell>
          <cell r="Q575">
            <v>2169229.61</v>
          </cell>
        </row>
        <row r="577">
          <cell r="A577" t="str">
            <v>Overhead</v>
          </cell>
        </row>
        <row r="578">
          <cell r="A578">
            <v>70149</v>
          </cell>
          <cell r="B578" t="str">
            <v>Corporate Overhead Allocation In</v>
          </cell>
          <cell r="E578">
            <v>95576.95</v>
          </cell>
          <cell r="F578">
            <v>93754.57</v>
          </cell>
          <cell r="G578">
            <v>96892.32</v>
          </cell>
          <cell r="H578">
            <v>96287.7</v>
          </cell>
          <cell r="I578">
            <v>98950.95</v>
          </cell>
          <cell r="J578">
            <v>99254.64</v>
          </cell>
          <cell r="K578">
            <v>97352.26</v>
          </cell>
          <cell r="L578">
            <v>97777.96</v>
          </cell>
          <cell r="M578">
            <v>98592.93</v>
          </cell>
          <cell r="N578">
            <v>101400.48</v>
          </cell>
          <cell r="O578">
            <v>100544.01</v>
          </cell>
          <cell r="P578">
            <v>100617.72</v>
          </cell>
          <cell r="Q578">
            <v>1177002.49</v>
          </cell>
        </row>
        <row r="579">
          <cell r="A579">
            <v>70159</v>
          </cell>
          <cell r="B579" t="str">
            <v>Region Overhead Allocation In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</row>
        <row r="580">
          <cell r="A580" t="str">
            <v>Total Overhead</v>
          </cell>
          <cell r="E580">
            <v>95576.95</v>
          </cell>
          <cell r="F580">
            <v>93754.57</v>
          </cell>
          <cell r="G580">
            <v>96892.32</v>
          </cell>
          <cell r="H580">
            <v>96287.7</v>
          </cell>
          <cell r="I580">
            <v>98950.95</v>
          </cell>
          <cell r="J580">
            <v>99254.64</v>
          </cell>
          <cell r="K580">
            <v>97352.26</v>
          </cell>
          <cell r="L580">
            <v>97777.96</v>
          </cell>
          <cell r="M580">
            <v>98592.93</v>
          </cell>
          <cell r="N580">
            <v>101400.48</v>
          </cell>
          <cell r="O580">
            <v>100544.01</v>
          </cell>
          <cell r="P580">
            <v>100617.72</v>
          </cell>
          <cell r="Q580">
            <v>1177002.49</v>
          </cell>
        </row>
        <row r="582">
          <cell r="A582" t="str">
            <v>Total SG&amp;A</v>
          </cell>
          <cell r="E582">
            <v>246511.28000000003</v>
          </cell>
          <cell r="F582">
            <v>305793.68999999994</v>
          </cell>
          <cell r="G582">
            <v>203965.25999999998</v>
          </cell>
          <cell r="H582">
            <v>328473.28999999998</v>
          </cell>
          <cell r="I582">
            <v>228706.00999999998</v>
          </cell>
          <cell r="J582">
            <v>331450.5400000001</v>
          </cell>
          <cell r="K582">
            <v>256165.84000000005</v>
          </cell>
          <cell r="L582">
            <v>365954.82</v>
          </cell>
          <cell r="M582">
            <v>239060.30999999997</v>
          </cell>
          <cell r="N582">
            <v>379132.25000000006</v>
          </cell>
          <cell r="O582">
            <v>228004.79999999996</v>
          </cell>
          <cell r="P582">
            <v>390132.22000000003</v>
          </cell>
          <cell r="Q582">
            <v>3503350.3099999996</v>
          </cell>
        </row>
        <row r="584">
          <cell r="A584" t="str">
            <v>EBITDA</v>
          </cell>
          <cell r="E584">
            <v>712085.01999999979</v>
          </cell>
          <cell r="F584">
            <v>772605.35999999987</v>
          </cell>
          <cell r="G584">
            <v>776716.52999999991</v>
          </cell>
          <cell r="H584">
            <v>731539.77</v>
          </cell>
          <cell r="I584">
            <v>769618.66999999934</v>
          </cell>
          <cell r="J584">
            <v>552555.60000000033</v>
          </cell>
          <cell r="K584">
            <v>743010.76999999932</v>
          </cell>
          <cell r="L584">
            <v>663397.72999999952</v>
          </cell>
          <cell r="M584">
            <v>766161.14</v>
          </cell>
          <cell r="N584">
            <v>683037.77000000048</v>
          </cell>
          <cell r="O584">
            <v>782671.56999999972</v>
          </cell>
          <cell r="P584">
            <v>621819.83000000031</v>
          </cell>
          <cell r="Q584">
            <v>8575219.7600000016</v>
          </cell>
        </row>
        <row r="586">
          <cell r="A586" t="str">
            <v>DD&amp;A</v>
          </cell>
        </row>
        <row r="587">
          <cell r="A587" t="str">
            <v>Depreciation</v>
          </cell>
        </row>
        <row r="588">
          <cell r="A588">
            <v>51260</v>
          </cell>
          <cell r="B588" t="str">
            <v>Depreciation</v>
          </cell>
          <cell r="E588">
            <v>128653.02</v>
          </cell>
          <cell r="F588">
            <v>131370.81</v>
          </cell>
          <cell r="G588">
            <v>131344.75</v>
          </cell>
          <cell r="H588">
            <v>130833.62</v>
          </cell>
          <cell r="I588">
            <v>128898.54</v>
          </cell>
          <cell r="J588">
            <v>124756.98</v>
          </cell>
          <cell r="K588">
            <v>129780.01</v>
          </cell>
          <cell r="L588">
            <v>124499.33</v>
          </cell>
          <cell r="M588">
            <v>116250.86</v>
          </cell>
          <cell r="N588">
            <v>116469.34</v>
          </cell>
          <cell r="O588">
            <v>115552.67</v>
          </cell>
          <cell r="P588">
            <v>115400.84</v>
          </cell>
          <cell r="Q588">
            <v>1493810.77</v>
          </cell>
        </row>
        <row r="589">
          <cell r="A589">
            <v>54260</v>
          </cell>
          <cell r="B589" t="str">
            <v>Depreciation</v>
          </cell>
          <cell r="E589">
            <v>44644.21</v>
          </cell>
          <cell r="F589">
            <v>45130.14</v>
          </cell>
          <cell r="G589">
            <v>45176.2</v>
          </cell>
          <cell r="H589">
            <v>45736.24</v>
          </cell>
          <cell r="I589">
            <v>45872.49</v>
          </cell>
          <cell r="J589">
            <v>46097.22</v>
          </cell>
          <cell r="K589">
            <v>46974.19</v>
          </cell>
          <cell r="L589">
            <v>47668</v>
          </cell>
          <cell r="M589">
            <v>47777.17</v>
          </cell>
          <cell r="N589">
            <v>47529.919999999998</v>
          </cell>
          <cell r="O589">
            <v>47583.6</v>
          </cell>
          <cell r="P589">
            <v>47682.03</v>
          </cell>
          <cell r="Q589">
            <v>557871.40999999992</v>
          </cell>
        </row>
        <row r="590">
          <cell r="A590">
            <v>56260</v>
          </cell>
          <cell r="B590" t="str">
            <v>Depreciation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</row>
        <row r="591">
          <cell r="A591">
            <v>57260</v>
          </cell>
          <cell r="B591" t="str">
            <v>Depreciation</v>
          </cell>
          <cell r="E591">
            <v>5579.13</v>
          </cell>
          <cell r="F591">
            <v>5579.15</v>
          </cell>
          <cell r="G591">
            <v>5579.14</v>
          </cell>
          <cell r="H591">
            <v>5579.12</v>
          </cell>
          <cell r="I591">
            <v>5579.14</v>
          </cell>
          <cell r="J591">
            <v>5579.19</v>
          </cell>
          <cell r="K591">
            <v>5579.09</v>
          </cell>
          <cell r="L591">
            <v>5579.1</v>
          </cell>
          <cell r="M591">
            <v>5521.44</v>
          </cell>
          <cell r="N591">
            <v>5521.33</v>
          </cell>
          <cell r="O591">
            <v>5521.37</v>
          </cell>
          <cell r="P591">
            <v>5521.3</v>
          </cell>
          <cell r="Q591">
            <v>66718.5</v>
          </cell>
        </row>
        <row r="592">
          <cell r="A592">
            <v>60260</v>
          </cell>
          <cell r="B592" t="str">
            <v>Depreciation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</row>
        <row r="593">
          <cell r="A593">
            <v>70257</v>
          </cell>
          <cell r="B593" t="str">
            <v>Depreciation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</row>
        <row r="594">
          <cell r="A594">
            <v>70260</v>
          </cell>
          <cell r="B594" t="str">
            <v>Depreciation</v>
          </cell>
          <cell r="E594">
            <v>819.53</v>
          </cell>
          <cell r="F594">
            <v>819.52</v>
          </cell>
          <cell r="G594">
            <v>819.52</v>
          </cell>
          <cell r="H594">
            <v>819.45</v>
          </cell>
          <cell r="I594">
            <v>622.97</v>
          </cell>
          <cell r="J594">
            <v>622.99</v>
          </cell>
          <cell r="K594">
            <v>622.98</v>
          </cell>
          <cell r="L594">
            <v>622.91</v>
          </cell>
          <cell r="M594">
            <v>451.09</v>
          </cell>
          <cell r="N594">
            <v>451.1</v>
          </cell>
          <cell r="O594">
            <v>430.18</v>
          </cell>
          <cell r="P594">
            <v>386.57</v>
          </cell>
          <cell r="Q594">
            <v>7488.8099999999995</v>
          </cell>
        </row>
        <row r="595">
          <cell r="A595" t="str">
            <v>Total Depreciation</v>
          </cell>
          <cell r="E595">
            <v>179695.89</v>
          </cell>
          <cell r="F595">
            <v>182899.62</v>
          </cell>
          <cell r="G595">
            <v>182919.61000000002</v>
          </cell>
          <cell r="H595">
            <v>182968.43</v>
          </cell>
          <cell r="I595">
            <v>180973.14</v>
          </cell>
          <cell r="J595">
            <v>177056.38</v>
          </cell>
          <cell r="K595">
            <v>182956.27000000002</v>
          </cell>
          <cell r="L595">
            <v>178369.34000000003</v>
          </cell>
          <cell r="M595">
            <v>170000.56</v>
          </cell>
          <cell r="N595">
            <v>169971.69</v>
          </cell>
          <cell r="O595">
            <v>169087.81999999998</v>
          </cell>
          <cell r="P595">
            <v>168990.74</v>
          </cell>
          <cell r="Q595">
            <v>2125889.4899999998</v>
          </cell>
        </row>
        <row r="597">
          <cell r="A597" t="str">
            <v>Depletion</v>
          </cell>
        </row>
        <row r="598">
          <cell r="A598">
            <v>46000</v>
          </cell>
          <cell r="B598" t="str">
            <v>Depletion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</row>
        <row r="599">
          <cell r="A599">
            <v>46010</v>
          </cell>
          <cell r="B599" t="str">
            <v>Closure Amortization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</row>
        <row r="600">
          <cell r="A600">
            <v>57261</v>
          </cell>
          <cell r="B600" t="str">
            <v>Airspace Amortization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</row>
        <row r="601">
          <cell r="A601" t="str">
            <v>Total Depletion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</row>
        <row r="603">
          <cell r="A603" t="str">
            <v>Amortization</v>
          </cell>
        </row>
        <row r="604">
          <cell r="A604">
            <v>70264</v>
          </cell>
          <cell r="B604" t="str">
            <v>Amortization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</row>
        <row r="605">
          <cell r="A605">
            <v>70266</v>
          </cell>
          <cell r="B605" t="str">
            <v>Cov. Not to Compete</v>
          </cell>
          <cell r="E605">
            <v>1987.84</v>
          </cell>
          <cell r="F605">
            <v>1987.84</v>
          </cell>
          <cell r="G605">
            <v>1987.83</v>
          </cell>
          <cell r="H605">
            <v>1987.84</v>
          </cell>
          <cell r="I605">
            <v>1987.83</v>
          </cell>
          <cell r="J605">
            <v>1987.83</v>
          </cell>
          <cell r="K605">
            <v>1987.84</v>
          </cell>
          <cell r="L605">
            <v>1987.8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15902.65</v>
          </cell>
        </row>
        <row r="606">
          <cell r="A606">
            <v>70267</v>
          </cell>
          <cell r="B606" t="str">
            <v>Amortization of Goodwill - Taxable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</row>
        <row r="607">
          <cell r="A607">
            <v>70268</v>
          </cell>
          <cell r="B607" t="str">
            <v>Amortization of Goodwill - Non-Taxable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</row>
        <row r="608">
          <cell r="A608">
            <v>70269</v>
          </cell>
          <cell r="B608" t="str">
            <v>Long Term Contract Amort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</row>
        <row r="609">
          <cell r="A609" t="str">
            <v>Total Amortization</v>
          </cell>
          <cell r="E609">
            <v>1987.84</v>
          </cell>
          <cell r="F609">
            <v>1987.84</v>
          </cell>
          <cell r="G609">
            <v>1987.83</v>
          </cell>
          <cell r="H609">
            <v>1987.84</v>
          </cell>
          <cell r="I609">
            <v>1987.83</v>
          </cell>
          <cell r="J609">
            <v>1987.83</v>
          </cell>
          <cell r="K609">
            <v>1987.84</v>
          </cell>
          <cell r="L609">
            <v>1987.8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15902.65</v>
          </cell>
        </row>
        <row r="611">
          <cell r="A611" t="str">
            <v>Total DDA</v>
          </cell>
          <cell r="E611">
            <v>181683.73</v>
          </cell>
          <cell r="F611">
            <v>184887.46</v>
          </cell>
          <cell r="G611">
            <v>184907.44</v>
          </cell>
          <cell r="H611">
            <v>184956.27</v>
          </cell>
          <cell r="I611">
            <v>182960.97</v>
          </cell>
          <cell r="J611">
            <v>179044.21</v>
          </cell>
          <cell r="K611">
            <v>184944.11000000002</v>
          </cell>
          <cell r="L611">
            <v>180357.14</v>
          </cell>
          <cell r="M611">
            <v>170000.56</v>
          </cell>
          <cell r="N611">
            <v>169971.69</v>
          </cell>
          <cell r="O611">
            <v>169087.81999999998</v>
          </cell>
          <cell r="P611">
            <v>168990.74</v>
          </cell>
          <cell r="Q611">
            <v>2141792.1399999997</v>
          </cell>
        </row>
        <row r="613">
          <cell r="A613" t="str">
            <v>EBIT</v>
          </cell>
          <cell r="E613">
            <v>530401.2899999998</v>
          </cell>
          <cell r="F613">
            <v>587717.89999999991</v>
          </cell>
          <cell r="G613">
            <v>591809.08999999985</v>
          </cell>
          <cell r="H613">
            <v>546583.5</v>
          </cell>
          <cell r="I613">
            <v>586657.69999999937</v>
          </cell>
          <cell r="J613">
            <v>373511.39000000036</v>
          </cell>
          <cell r="K613">
            <v>558066.65999999933</v>
          </cell>
          <cell r="L613">
            <v>483040.5899999995</v>
          </cell>
          <cell r="M613">
            <v>596160.58000000007</v>
          </cell>
          <cell r="N613">
            <v>513066.08000000048</v>
          </cell>
          <cell r="O613">
            <v>613583.74999999977</v>
          </cell>
          <cell r="P613">
            <v>452829.09000000032</v>
          </cell>
          <cell r="Q613">
            <v>6433427.620000002</v>
          </cell>
        </row>
        <row r="615">
          <cell r="A615" t="str">
            <v>Interest Expense</v>
          </cell>
        </row>
        <row r="616">
          <cell r="A616">
            <v>80000</v>
          </cell>
          <cell r="B616" t="str">
            <v>Interest Expense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</row>
        <row r="617">
          <cell r="A617">
            <v>80001</v>
          </cell>
          <cell r="B617" t="str">
            <v>Debt Accretion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</row>
        <row r="618">
          <cell r="A618">
            <v>80009</v>
          </cell>
          <cell r="B618" t="str">
            <v>Capitalized Interest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</row>
        <row r="619">
          <cell r="A619">
            <v>80099</v>
          </cell>
          <cell r="B619" t="str">
            <v>Interest Allocation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</row>
        <row r="620">
          <cell r="A620" t="str">
            <v>Total Interest Expense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</row>
        <row r="622">
          <cell r="A622" t="str">
            <v>Interest Income</v>
          </cell>
        </row>
        <row r="623">
          <cell r="A623">
            <v>80010</v>
          </cell>
          <cell r="B623" t="str">
            <v>Interest Income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</row>
        <row r="624">
          <cell r="A624" t="str">
            <v>Total Interest Income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</row>
        <row r="626">
          <cell r="A626" t="str">
            <v>Other (Income) and Expense</v>
          </cell>
        </row>
        <row r="627">
          <cell r="A627">
            <v>70901</v>
          </cell>
          <cell r="B627" t="str">
            <v>Pooling Costs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</row>
        <row r="628">
          <cell r="A628">
            <v>91000</v>
          </cell>
          <cell r="B628" t="str">
            <v>Unusual Gain/Loss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</row>
        <row r="629">
          <cell r="A629">
            <v>91001</v>
          </cell>
          <cell r="B629" t="str">
            <v>Investment Distribution Income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</row>
        <row r="630">
          <cell r="A630">
            <v>91002</v>
          </cell>
          <cell r="B630" t="str">
            <v>NSF Fees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</row>
        <row r="631">
          <cell r="A631" t="str">
            <v>Total Other (Income) and Expense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</row>
        <row r="633">
          <cell r="A633" t="str">
            <v>Income Before Taxes and Extraordinary Items</v>
          </cell>
          <cell r="E633">
            <v>530401.2899999998</v>
          </cell>
          <cell r="F633">
            <v>587717.89999999991</v>
          </cell>
          <cell r="G633">
            <v>591809.08999999985</v>
          </cell>
          <cell r="H633">
            <v>546583.5</v>
          </cell>
          <cell r="I633">
            <v>586657.69999999937</v>
          </cell>
          <cell r="J633">
            <v>373511.39000000036</v>
          </cell>
          <cell r="K633">
            <v>558066.65999999933</v>
          </cell>
          <cell r="L633">
            <v>483040.5899999995</v>
          </cell>
          <cell r="M633">
            <v>596160.58000000007</v>
          </cell>
          <cell r="N633">
            <v>513066.08000000048</v>
          </cell>
          <cell r="O633">
            <v>613583.74999999977</v>
          </cell>
          <cell r="P633">
            <v>452829.09000000032</v>
          </cell>
          <cell r="Q633">
            <v>6433427.620000002</v>
          </cell>
        </row>
        <row r="635">
          <cell r="A635" t="str">
            <v>Extraordinary Income and Expense</v>
          </cell>
        </row>
        <row r="636">
          <cell r="A636">
            <v>92999</v>
          </cell>
          <cell r="B636" t="str">
            <v>Extraordinary Gain/Loss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</row>
        <row r="637">
          <cell r="A637" t="str">
            <v>Total Extraordinary Income and Expense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</row>
        <row r="639">
          <cell r="A639" t="str">
            <v>Net Income Before Taxes</v>
          </cell>
          <cell r="E639">
            <v>530401.2899999998</v>
          </cell>
          <cell r="F639">
            <v>587717.89999999991</v>
          </cell>
          <cell r="G639">
            <v>591809.08999999985</v>
          </cell>
          <cell r="H639">
            <v>546583.5</v>
          </cell>
          <cell r="I639">
            <v>586657.69999999937</v>
          </cell>
          <cell r="J639">
            <v>373511.39000000036</v>
          </cell>
          <cell r="K639">
            <v>558066.65999999933</v>
          </cell>
          <cell r="L639">
            <v>483040.5899999995</v>
          </cell>
          <cell r="M639">
            <v>596160.58000000007</v>
          </cell>
          <cell r="N639">
            <v>513066.08000000048</v>
          </cell>
          <cell r="O639">
            <v>613583.74999999977</v>
          </cell>
          <cell r="P639">
            <v>452829.09000000032</v>
          </cell>
          <cell r="Q639">
            <v>6433427.620000002</v>
          </cell>
        </row>
        <row r="641">
          <cell r="A641" t="str">
            <v>Income Taxes</v>
          </cell>
        </row>
        <row r="642">
          <cell r="A642">
            <v>90000</v>
          </cell>
          <cell r="B642" t="str">
            <v>Taxes -Federal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</row>
        <row r="643">
          <cell r="A643">
            <v>90010</v>
          </cell>
          <cell r="B643" t="str">
            <v>Taxes - State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</row>
        <row r="644">
          <cell r="A644" t="str">
            <v>Total Income Taxes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</row>
        <row r="646">
          <cell r="A646" t="str">
            <v>Net Income</v>
          </cell>
          <cell r="E646">
            <v>530401.2899999998</v>
          </cell>
          <cell r="F646">
            <v>587717.89999999991</v>
          </cell>
          <cell r="G646">
            <v>591809.08999999985</v>
          </cell>
          <cell r="H646">
            <v>546583.5</v>
          </cell>
          <cell r="I646">
            <v>586657.69999999937</v>
          </cell>
          <cell r="J646">
            <v>373511.39000000036</v>
          </cell>
          <cell r="K646">
            <v>558066.65999999933</v>
          </cell>
          <cell r="L646">
            <v>483040.5899999995</v>
          </cell>
          <cell r="M646">
            <v>596160.58000000007</v>
          </cell>
          <cell r="N646">
            <v>513066.08000000048</v>
          </cell>
          <cell r="O646">
            <v>613583.74999999977</v>
          </cell>
          <cell r="P646">
            <v>452829.09000000032</v>
          </cell>
          <cell r="Q646">
            <v>6433427.620000002</v>
          </cell>
        </row>
        <row r="648">
          <cell r="A648" t="str">
            <v>Noncontrolling Interests Expense</v>
          </cell>
        </row>
        <row r="649">
          <cell r="A649">
            <v>92000</v>
          </cell>
          <cell r="B649" t="str">
            <v>Noncontrolling interests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</row>
        <row r="650">
          <cell r="A650" t="str">
            <v>Total Noncontrolling Interests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</row>
        <row r="652">
          <cell r="A652" t="str">
            <v>Net Income Attributable to Waste Connections</v>
          </cell>
          <cell r="E652">
            <v>530401.2899999998</v>
          </cell>
          <cell r="F652">
            <v>587717.89999999991</v>
          </cell>
          <cell r="G652">
            <v>591809.08999999985</v>
          </cell>
          <cell r="H652">
            <v>546583.5</v>
          </cell>
          <cell r="I652">
            <v>586657.69999999937</v>
          </cell>
          <cell r="J652">
            <v>373511.39000000036</v>
          </cell>
          <cell r="K652">
            <v>558066.65999999933</v>
          </cell>
          <cell r="L652">
            <v>483040.5899999995</v>
          </cell>
          <cell r="M652">
            <v>596160.58000000007</v>
          </cell>
          <cell r="N652">
            <v>513066.08000000048</v>
          </cell>
          <cell r="O652">
            <v>613583.74999999977</v>
          </cell>
          <cell r="P652">
            <v>452829.09000000032</v>
          </cell>
          <cell r="Q652">
            <v>6433427.620000002</v>
          </cell>
        </row>
        <row r="654">
          <cell r="A654" t="str">
            <v>Net Income Attributable to Waste Connections per categories</v>
          </cell>
          <cell r="E654">
            <v>530401.29</v>
          </cell>
          <cell r="F654">
            <v>587717.9</v>
          </cell>
          <cell r="G654">
            <v>591809.09</v>
          </cell>
          <cell r="H654">
            <v>546583.5</v>
          </cell>
          <cell r="I654">
            <v>586657.69999999995</v>
          </cell>
          <cell r="J654">
            <v>373511.39</v>
          </cell>
          <cell r="K654">
            <v>558066.66</v>
          </cell>
          <cell r="L654">
            <v>483040.59</v>
          </cell>
          <cell r="M654">
            <v>596160.57999999996</v>
          </cell>
          <cell r="N654">
            <v>513066.08</v>
          </cell>
          <cell r="O654">
            <v>613583.75</v>
          </cell>
          <cell r="P654">
            <v>452829.09</v>
          </cell>
        </row>
      </sheetData>
      <sheetData sheetId="6" refreshError="1"/>
      <sheetData sheetId="7" refreshError="1">
        <row r="18">
          <cell r="Z18">
            <v>0.33073677436726834</v>
          </cell>
        </row>
        <row r="20">
          <cell r="AC20">
            <v>0.2095860832011289</v>
          </cell>
          <cell r="AK20">
            <v>0.43549015768657823</v>
          </cell>
        </row>
        <row r="39">
          <cell r="AC39">
            <v>0.37964780853584096</v>
          </cell>
        </row>
        <row r="40">
          <cell r="AC40">
            <v>0.36547527560558957</v>
          </cell>
        </row>
        <row r="120">
          <cell r="AE120">
            <v>0.43886061148837213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 IS"/>
      <sheetName val="2009 BS"/>
      <sheetName val="2010 BS"/>
      <sheetName val="Combined BS"/>
      <sheetName val="2009 IS"/>
      <sheetName val="2010 IS"/>
      <sheetName val="Combined 12 mo IS"/>
      <sheetName val="Consolidated IS 2009 2010"/>
      <sheetName val="Consolidated IS - IRMGARD"/>
      <sheetName val="Pro forma "/>
      <sheetName val="Pro forma-Line of Service"/>
      <sheetName val="Restatements"/>
      <sheetName val="Proforma Adjusts"/>
      <sheetName val="2009 Price Out (REG)"/>
      <sheetName val="GL Recon"/>
      <sheetName val="Customer Count Summary"/>
      <sheetName val="2009 Payroll"/>
      <sheetName val="2010 Payroll"/>
      <sheetName val="2009,2010 Depr Summary"/>
      <sheetName val="Time Study"/>
      <sheetName val="2009 Insurance"/>
      <sheetName val="2010 Insurance"/>
      <sheetName val="2009 Disposal"/>
      <sheetName val="2010 Disposal"/>
      <sheetName val="2009 Fuel"/>
      <sheetName val="2009 Depr Summary"/>
      <sheetName val="2009 Trks"/>
      <sheetName val="2009 Cont, DB"/>
      <sheetName val="2009 Serv, Shop"/>
      <sheetName val="2009 Office"/>
      <sheetName val="2009 Leasehold"/>
      <sheetName val="2010 Fuel"/>
      <sheetName val="2010 Deprec Summary"/>
      <sheetName val="2010 Trks"/>
      <sheetName val="2010 Cont, DB"/>
      <sheetName val="2010 Serv, Shop"/>
      <sheetName val="2010 Office"/>
      <sheetName val="2010 Leasehold"/>
      <sheetName val="Region Allocation (2)"/>
      <sheetName val="LG-Total Company before DF"/>
      <sheetName val="LG-Packer Rts before DF"/>
      <sheetName val="LG-RO Rts before DF"/>
      <sheetName val="LG-Total Company"/>
      <sheetName val="LG-Packer Rts"/>
      <sheetName val="LG-RO Rts"/>
      <sheetName val="LG-Recycl"/>
      <sheetName val="Scenarios"/>
      <sheetName val="Scenarios (2)"/>
      <sheetName val="No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2">
          <cell r="A12" t="str">
            <v>Revenue</v>
          </cell>
        </row>
        <row r="13">
          <cell r="A13" t="str">
            <v>Hauling</v>
          </cell>
        </row>
        <row r="14">
          <cell r="A14">
            <v>31000</v>
          </cell>
          <cell r="B14" t="str">
            <v>Hauling Revenue - Roll Off Permanent</v>
          </cell>
          <cell r="E14">
            <v>41429.11</v>
          </cell>
          <cell r="F14">
            <v>39826.22</v>
          </cell>
          <cell r="G14">
            <v>49022.75</v>
          </cell>
          <cell r="H14">
            <v>45137.86</v>
          </cell>
          <cell r="I14">
            <v>48263.81</v>
          </cell>
          <cell r="J14">
            <v>55314.5</v>
          </cell>
          <cell r="K14">
            <v>60046.02</v>
          </cell>
          <cell r="L14">
            <v>64582.7</v>
          </cell>
          <cell r="M14">
            <v>55932.07</v>
          </cell>
          <cell r="N14">
            <v>50932.34</v>
          </cell>
          <cell r="O14">
            <v>38587.67</v>
          </cell>
          <cell r="P14">
            <v>43420.76</v>
          </cell>
          <cell r="Q14">
            <v>592495.81000000006</v>
          </cell>
        </row>
        <row r="15">
          <cell r="A15">
            <v>31001</v>
          </cell>
          <cell r="B15" t="str">
            <v>Hauling Revenue - Roll Off Temporary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A16">
            <v>31002</v>
          </cell>
          <cell r="B16" t="str">
            <v>Hauling Revenue - Roll Off Rental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A17">
            <v>31003</v>
          </cell>
          <cell r="B17" t="str">
            <v>Hauling Revenue - Roll Off Compactor Ren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A18">
            <v>31004</v>
          </cell>
          <cell r="B18" t="str">
            <v>Hauling Revenue - Roll Off Recycling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A19">
            <v>31005</v>
          </cell>
          <cell r="B19" t="str">
            <v>Corporate Roll Off Disposal Charge</v>
          </cell>
          <cell r="E19">
            <v>93946.63</v>
          </cell>
          <cell r="F19">
            <v>91101.8</v>
          </cell>
          <cell r="G19">
            <v>108743.12</v>
          </cell>
          <cell r="H19">
            <v>100411.54</v>
          </cell>
          <cell r="I19">
            <v>109421.85</v>
          </cell>
          <cell r="J19">
            <v>119111.11</v>
          </cell>
          <cell r="K19">
            <v>114939.05</v>
          </cell>
          <cell r="L19">
            <v>123201.29</v>
          </cell>
          <cell r="M19">
            <v>128616.56</v>
          </cell>
          <cell r="N19">
            <v>103849.76</v>
          </cell>
          <cell r="O19">
            <v>87162.7</v>
          </cell>
          <cell r="P19">
            <v>101585.44</v>
          </cell>
          <cell r="Q19">
            <v>1282090.8499999999</v>
          </cell>
        </row>
        <row r="20">
          <cell r="A20">
            <v>31008</v>
          </cell>
          <cell r="B20" t="str">
            <v>Hauling Revenue - Roll Off Adjustments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A21">
            <v>31009</v>
          </cell>
          <cell r="B21" t="str">
            <v>Hauling Revenue - Roll Off Intercompany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A22">
            <v>31010</v>
          </cell>
          <cell r="B22" t="str">
            <v>Hauling Revenue - Roll Off Extras</v>
          </cell>
          <cell r="E22">
            <v>16354.41</v>
          </cell>
          <cell r="F22">
            <v>16430.849999999999</v>
          </cell>
          <cell r="G22">
            <v>18226.63</v>
          </cell>
          <cell r="H22">
            <v>17972.400000000001</v>
          </cell>
          <cell r="I22">
            <v>18790.919999999998</v>
          </cell>
          <cell r="J22">
            <v>19705.3</v>
          </cell>
          <cell r="K22">
            <v>21354.080000000002</v>
          </cell>
          <cell r="L22">
            <v>22365.29</v>
          </cell>
          <cell r="M22">
            <v>20804.36</v>
          </cell>
          <cell r="N22">
            <v>18374.21</v>
          </cell>
          <cell r="O22">
            <v>17346.11</v>
          </cell>
          <cell r="P22">
            <v>15627.2</v>
          </cell>
          <cell r="Q22">
            <v>223351.76</v>
          </cell>
        </row>
        <row r="23">
          <cell r="A23">
            <v>31020</v>
          </cell>
          <cell r="B23" t="str">
            <v>Hauling Revenue - Roll Off Special Waste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A24">
            <v>31021</v>
          </cell>
          <cell r="B24" t="str">
            <v>Hauling Revenue - Roll Off Special Waste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A25">
            <v>31029</v>
          </cell>
          <cell r="B25" t="str">
            <v>Hauling Revenue - Roll Off Special Waste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A26">
            <v>32000</v>
          </cell>
          <cell r="B26" t="str">
            <v>Hauling Revenue - Residential MSW</v>
          </cell>
          <cell r="E26">
            <v>754535.74</v>
          </cell>
          <cell r="F26">
            <v>750848.79</v>
          </cell>
          <cell r="G26">
            <v>751484.07</v>
          </cell>
          <cell r="H26">
            <v>759461.88</v>
          </cell>
          <cell r="I26">
            <v>756344.84</v>
          </cell>
          <cell r="J26">
            <v>762351.19</v>
          </cell>
          <cell r="K26">
            <v>763571.04</v>
          </cell>
          <cell r="L26">
            <v>762014.08</v>
          </cell>
          <cell r="M26">
            <v>763381.19</v>
          </cell>
          <cell r="N26">
            <v>760410.82</v>
          </cell>
          <cell r="O26">
            <v>760222.53</v>
          </cell>
          <cell r="P26">
            <v>757663.07</v>
          </cell>
          <cell r="Q26">
            <v>9102289.2400000002</v>
          </cell>
        </row>
        <row r="27">
          <cell r="A27">
            <v>32001</v>
          </cell>
          <cell r="B27" t="str">
            <v>Hauling Revenue - Residential MSW Extras</v>
          </cell>
          <cell r="E27">
            <v>48676.93</v>
          </cell>
          <cell r="F27">
            <v>46005.81</v>
          </cell>
          <cell r="G27">
            <v>44057.39</v>
          </cell>
          <cell r="H27">
            <v>54145.79</v>
          </cell>
          <cell r="I27">
            <v>47089.22</v>
          </cell>
          <cell r="J27">
            <v>62711.39</v>
          </cell>
          <cell r="K27">
            <v>60222.84</v>
          </cell>
          <cell r="L27">
            <v>63321.38</v>
          </cell>
          <cell r="M27">
            <v>48663.92</v>
          </cell>
          <cell r="N27">
            <v>45750.71</v>
          </cell>
          <cell r="O27">
            <v>44578.41</v>
          </cell>
          <cell r="P27">
            <v>66011.64</v>
          </cell>
          <cell r="Q27">
            <v>631235.43000000005</v>
          </cell>
        </row>
        <row r="28">
          <cell r="A28">
            <v>32002</v>
          </cell>
          <cell r="B28" t="str">
            <v>Hauling Revenue - Residential MSW Adjust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A29">
            <v>32003</v>
          </cell>
          <cell r="B29" t="str">
            <v>Hauling Revenue - Residential MSW Specia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A30">
            <v>32009</v>
          </cell>
          <cell r="B30" t="str">
            <v>Hauling Revenue - Residential MSW Interc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A31">
            <v>32100</v>
          </cell>
          <cell r="B31" t="str">
            <v>Hauling Revenue - Residential Recycling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A32">
            <v>32101</v>
          </cell>
          <cell r="B32" t="str">
            <v>Hauling Revenue - Residential Recycling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A33">
            <v>32102</v>
          </cell>
          <cell r="B33" t="str">
            <v>Hauling Revenue - Residential Recycling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A34">
            <v>32103</v>
          </cell>
          <cell r="B34" t="str">
            <v>Hauling Revenue - Residential Recycling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A35">
            <v>32109</v>
          </cell>
          <cell r="B35" t="str">
            <v>Hauling Revenue - Residential Recycling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A36">
            <v>32110</v>
          </cell>
          <cell r="B36" t="str">
            <v>Hauling Revenue - Residential Composting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A37">
            <v>32111</v>
          </cell>
          <cell r="B37" t="str">
            <v>Hauling Revenue - Residential Composting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A38">
            <v>32112</v>
          </cell>
          <cell r="B38" t="str">
            <v>Hauling Revenue - Residential Composting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A39">
            <v>32113</v>
          </cell>
          <cell r="B39" t="str">
            <v>Hauling Revenue - Residential Composting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A40">
            <v>32119</v>
          </cell>
          <cell r="B40" t="str">
            <v>Hauling Revenue - Residential Composting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A41">
            <v>33000</v>
          </cell>
          <cell r="B41" t="str">
            <v>Hauling Revenue - Commercial FEL</v>
          </cell>
          <cell r="E41">
            <v>414760.73</v>
          </cell>
          <cell r="F41">
            <v>412841.01</v>
          </cell>
          <cell r="G41">
            <v>416757.93</v>
          </cell>
          <cell r="H41">
            <v>417298.76</v>
          </cell>
          <cell r="I41">
            <v>417121.97</v>
          </cell>
          <cell r="J41">
            <v>421939.51</v>
          </cell>
          <cell r="K41">
            <v>420917.49</v>
          </cell>
          <cell r="L41">
            <v>425821.47</v>
          </cell>
          <cell r="M41">
            <v>424192</v>
          </cell>
          <cell r="N41">
            <v>415412.9</v>
          </cell>
          <cell r="O41">
            <v>413023.47</v>
          </cell>
          <cell r="P41">
            <v>411406.25</v>
          </cell>
          <cell r="Q41">
            <v>5011493.49</v>
          </cell>
        </row>
        <row r="42">
          <cell r="A42">
            <v>33001</v>
          </cell>
          <cell r="B42" t="str">
            <v>Hauling Revenue - Commercial FEL Extras</v>
          </cell>
          <cell r="E42">
            <v>16369.94</v>
          </cell>
          <cell r="F42">
            <v>15223.46</v>
          </cell>
          <cell r="G42">
            <v>18054.59</v>
          </cell>
          <cell r="H42">
            <v>17483.330000000002</v>
          </cell>
          <cell r="I42">
            <v>19168.46</v>
          </cell>
          <cell r="J42">
            <v>18357.68</v>
          </cell>
          <cell r="K42">
            <v>21453.19</v>
          </cell>
          <cell r="L42">
            <v>22591.22</v>
          </cell>
          <cell r="M42">
            <v>16352.74</v>
          </cell>
          <cell r="N42">
            <v>17430.650000000001</v>
          </cell>
          <cell r="O42">
            <v>16278.67</v>
          </cell>
          <cell r="P42">
            <v>16972.88</v>
          </cell>
          <cell r="Q42">
            <v>215736.81</v>
          </cell>
        </row>
        <row r="43">
          <cell r="A43">
            <v>33002</v>
          </cell>
          <cell r="B43" t="str">
            <v>Hauling Revenue - Commercial FEL Adjustm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A44">
            <v>33009</v>
          </cell>
          <cell r="B44" t="str">
            <v>Hauling Revenue - Commercial FEL Interco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A45">
            <v>33010</v>
          </cell>
          <cell r="B45" t="str">
            <v>Hauling Revenue - Commercial REL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A46">
            <v>33011</v>
          </cell>
          <cell r="B46" t="str">
            <v>Hauling Revenue - Commercial REL Extras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A47">
            <v>33012</v>
          </cell>
          <cell r="B47" t="str">
            <v>Hauling Revenue - Commercial REL Adjustm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A48">
            <v>33019</v>
          </cell>
          <cell r="B48" t="str">
            <v>Hauling Revenue - Commercial REL Interco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A49">
            <v>33020</v>
          </cell>
          <cell r="B49" t="str">
            <v>Hauling Revenue - Commercial Recycling F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A50">
            <v>33021</v>
          </cell>
          <cell r="B50" t="str">
            <v>Hauling Revenue - Commercial Recycling F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A51">
            <v>33022</v>
          </cell>
          <cell r="B51" t="str">
            <v>Hauling Revenue - Commercial Recycling F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A52">
            <v>33029</v>
          </cell>
          <cell r="B52" t="str">
            <v>Hauling Revenue - Commercial Recycling F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A53">
            <v>33030</v>
          </cell>
          <cell r="B53" t="str">
            <v>Hauling Revenue - Commercial Recycling R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A54">
            <v>33031</v>
          </cell>
          <cell r="B54" t="str">
            <v>Hauling Revenue - Commercial Recycling R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A55">
            <v>33032</v>
          </cell>
          <cell r="B55" t="str">
            <v>Hauling Revenue - Commercial Recycling R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A56">
            <v>33039</v>
          </cell>
          <cell r="B56" t="str">
            <v>Hauling Revenue - Commercial Recycling R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A57">
            <v>33500</v>
          </cell>
          <cell r="B57" t="str">
            <v>Portable Toilet Revenue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A58">
            <v>33501</v>
          </cell>
          <cell r="B58" t="str">
            <v>Portable Toilet Extras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</row>
        <row r="59">
          <cell r="A59">
            <v>33502</v>
          </cell>
          <cell r="B59" t="str">
            <v>Portable Toilet Adjustments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</row>
        <row r="60">
          <cell r="A60">
            <v>33509</v>
          </cell>
          <cell r="B60" t="str">
            <v>Portable Toilet Intercompany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</row>
        <row r="61">
          <cell r="A61" t="str">
            <v>Total Hauling</v>
          </cell>
          <cell r="E61">
            <v>1386073.49</v>
          </cell>
          <cell r="F61">
            <v>1372277.94</v>
          </cell>
          <cell r="G61">
            <v>1406346.48</v>
          </cell>
          <cell r="H61">
            <v>1411911.56</v>
          </cell>
          <cell r="I61">
            <v>1416201.0699999998</v>
          </cell>
          <cell r="J61">
            <v>1459490.68</v>
          </cell>
          <cell r="K61">
            <v>1462503.71</v>
          </cell>
          <cell r="L61">
            <v>1483897.43</v>
          </cell>
          <cell r="M61">
            <v>1457942.84</v>
          </cell>
          <cell r="N61">
            <v>1412161.3899999997</v>
          </cell>
          <cell r="O61">
            <v>1377199.56</v>
          </cell>
          <cell r="P61">
            <v>1412687.2399999998</v>
          </cell>
          <cell r="Q61">
            <v>17058693.389999997</v>
          </cell>
        </row>
        <row r="63">
          <cell r="A63" t="str">
            <v>Transfer</v>
          </cell>
        </row>
        <row r="64">
          <cell r="A64">
            <v>35000</v>
          </cell>
          <cell r="B64" t="str">
            <v>Transfer Station - Third Party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A65">
            <v>35001</v>
          </cell>
          <cell r="B65" t="str">
            <v>Transfer Station - Third Party Adjustmen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A66">
            <v>35009</v>
          </cell>
          <cell r="B66" t="str">
            <v>Transfer Station - Intercompany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A67">
            <v>35500</v>
          </cell>
          <cell r="B67" t="str">
            <v>MRF Processing Charge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A68">
            <v>35501</v>
          </cell>
          <cell r="B68" t="str">
            <v>MRF Processing Charge Adjustments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A69">
            <v>35509</v>
          </cell>
          <cell r="B69" t="str">
            <v>MRF Processing Charge Intercompany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A70" t="str">
            <v>Total Transfer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2">
          <cell r="A72" t="str">
            <v>MRF</v>
          </cell>
        </row>
        <row r="73">
          <cell r="A73">
            <v>35510</v>
          </cell>
          <cell r="B73" t="str">
            <v>Proceeds - OCC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A74">
            <v>35511</v>
          </cell>
          <cell r="B74" t="str">
            <v>Proceeds - ONP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A75">
            <v>35512</v>
          </cell>
          <cell r="B75" t="str">
            <v>Proceeds - Other Paper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A76">
            <v>35513</v>
          </cell>
          <cell r="B76" t="str">
            <v>Proceeds - Aluminum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A77">
            <v>35514</v>
          </cell>
          <cell r="B77" t="str">
            <v>Proceeds - Metal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</row>
        <row r="78">
          <cell r="A78">
            <v>35515</v>
          </cell>
          <cell r="B78" t="str">
            <v>Proceeds - Glass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A79">
            <v>35516</v>
          </cell>
          <cell r="B79" t="str">
            <v>Proceeds - Plastic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</row>
        <row r="80">
          <cell r="A80">
            <v>35517</v>
          </cell>
          <cell r="B80" t="str">
            <v>Proceeds - Other Recyclables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A81">
            <v>35518</v>
          </cell>
          <cell r="B81" t="str">
            <v>Proceeds - Commingled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A82">
            <v>35519</v>
          </cell>
          <cell r="B82" t="str">
            <v>Proceeds - Intercompany Material Sales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</row>
        <row r="83">
          <cell r="A83">
            <v>35520</v>
          </cell>
          <cell r="B83" t="str">
            <v>Support - OCC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A84">
            <v>35521</v>
          </cell>
          <cell r="B84" t="str">
            <v>Support - ONP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A85">
            <v>35522</v>
          </cell>
          <cell r="B85" t="str">
            <v>Support - Other Paper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A86">
            <v>35523</v>
          </cell>
          <cell r="B86" t="str">
            <v>Support - Aluminum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A87">
            <v>35524</v>
          </cell>
          <cell r="B87" t="str">
            <v>Support - Metal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A88">
            <v>35525</v>
          </cell>
          <cell r="B88" t="str">
            <v>Support - Glass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A89">
            <v>35526</v>
          </cell>
          <cell r="B89" t="str">
            <v>Support - Plastic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A90">
            <v>35527</v>
          </cell>
          <cell r="B90" t="str">
            <v>Support - Other Recyclables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</row>
        <row r="91">
          <cell r="A91">
            <v>35529</v>
          </cell>
          <cell r="B91" t="str">
            <v>Support - Intercompany Material Sales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A92">
            <v>35551</v>
          </cell>
          <cell r="B92" t="str">
            <v>Proceeds - Compost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A93">
            <v>35552</v>
          </cell>
          <cell r="B93" t="str">
            <v>Proceeds - Fuel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A94">
            <v>35553</v>
          </cell>
          <cell r="B94" t="str">
            <v>Proceeds - Landscape Materials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A95" t="str">
            <v>Total MRF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</row>
        <row r="97">
          <cell r="A97" t="str">
            <v>Landfill</v>
          </cell>
        </row>
        <row r="98">
          <cell r="A98">
            <v>36000</v>
          </cell>
          <cell r="B98" t="str">
            <v>Landfill Revenue - MSW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A99">
            <v>36001</v>
          </cell>
          <cell r="B99" t="str">
            <v>Landfill Revenue - MSW Adjustments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A100">
            <v>36002</v>
          </cell>
          <cell r="B100" t="str">
            <v>Landfill Revenue - Extras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</row>
        <row r="101">
          <cell r="A101">
            <v>36009</v>
          </cell>
          <cell r="B101" t="str">
            <v>Landfill Revenue - MSW Intercompany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</row>
        <row r="102">
          <cell r="A102">
            <v>36010</v>
          </cell>
          <cell r="B102" t="str">
            <v>Landfill Revenue - C&amp;D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A103">
            <v>36011</v>
          </cell>
          <cell r="B103" t="str">
            <v>Landfill Revenue - C&amp;D Adjustments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A104">
            <v>36019</v>
          </cell>
          <cell r="B104" t="str">
            <v>Landfill Revenue - C&amp;D Intercompany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A105">
            <v>36020</v>
          </cell>
          <cell r="B105" t="str">
            <v>Landfill Revenue - Special Waste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A106">
            <v>36021</v>
          </cell>
          <cell r="B106" t="str">
            <v>Landfill Revenue - Special Waste Adjustm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</row>
        <row r="107">
          <cell r="A107">
            <v>36029</v>
          </cell>
          <cell r="B107" t="str">
            <v>Landfill Revenue - Special Waste Interco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</row>
        <row r="108">
          <cell r="A108">
            <v>36030</v>
          </cell>
          <cell r="B108" t="str">
            <v>Landfill Revenue - Asbestos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A109">
            <v>36031</v>
          </cell>
          <cell r="B109" t="str">
            <v>Landfill Revenue - Asbestos Adjustments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</row>
        <row r="110">
          <cell r="A110">
            <v>36039</v>
          </cell>
          <cell r="B110" t="str">
            <v>Landfill Revenue - Asbestos Intercompany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</row>
        <row r="111">
          <cell r="A111">
            <v>36040</v>
          </cell>
          <cell r="B111" t="str">
            <v>Landfill Revenue - Contaminated Soil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A112">
            <v>36041</v>
          </cell>
          <cell r="B112" t="str">
            <v>Landfill Revenue - Contaminated Soil Adj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</row>
        <row r="113">
          <cell r="A113">
            <v>36049</v>
          </cell>
          <cell r="B113" t="str">
            <v>Landfill Revenue - Contaminated Soil Int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A114">
            <v>36050</v>
          </cell>
          <cell r="B114" t="str">
            <v>Landfill Revenue - Yard Waste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</row>
        <row r="115">
          <cell r="A115">
            <v>36051</v>
          </cell>
          <cell r="B115" t="str">
            <v>Landfill Revenue - Yard Waste Adjustment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A116">
            <v>36059</v>
          </cell>
          <cell r="B116" t="str">
            <v>Landfill Revenue - Yard Waste Intercompa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</row>
        <row r="117">
          <cell r="A117">
            <v>36090</v>
          </cell>
          <cell r="B117" t="str">
            <v>Landfill Pass Through Revenue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A118">
            <v>36099</v>
          </cell>
          <cell r="B118" t="str">
            <v>Landfill Pass Through Revenue Intercompany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</row>
        <row r="119">
          <cell r="A119">
            <v>36301</v>
          </cell>
          <cell r="B119" t="str">
            <v>E&amp;P Liquids - Non Count Waste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A120">
            <v>36309</v>
          </cell>
          <cell r="B120" t="str">
            <v>E&amp;P Liquids - Non Count Waste Intercompany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A121">
            <v>36311</v>
          </cell>
          <cell r="B121" t="str">
            <v>E&amp;P Liquids - Count Waste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</row>
        <row r="122">
          <cell r="A122">
            <v>36319</v>
          </cell>
          <cell r="B122" t="str">
            <v>E&amp;P Liquids - Count Waste Intercompany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</row>
        <row r="123">
          <cell r="A123">
            <v>36321</v>
          </cell>
          <cell r="B123" t="str">
            <v>Other Liquids - Non E&amp;P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</row>
        <row r="124">
          <cell r="A124">
            <v>36329</v>
          </cell>
          <cell r="B124" t="str">
            <v>Other Liquids - Non E&amp;P Intercompany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</row>
        <row r="125">
          <cell r="A125">
            <v>36331</v>
          </cell>
          <cell r="B125" t="str">
            <v>E&amp;P Solids - Count Waste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</row>
        <row r="126">
          <cell r="A126">
            <v>36339</v>
          </cell>
          <cell r="B126" t="str">
            <v>E&amp;P Solids - Count Waste Intercompany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</row>
        <row r="127">
          <cell r="A127" t="str">
            <v>Total Landfill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</row>
        <row r="129">
          <cell r="A129" t="str">
            <v>Intermodal</v>
          </cell>
        </row>
        <row r="130">
          <cell r="A130">
            <v>36101</v>
          </cell>
          <cell r="B130" t="str">
            <v>Rail Drayage Revenue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</row>
        <row r="131">
          <cell r="A131">
            <v>36109</v>
          </cell>
          <cell r="B131" t="str">
            <v>Rail Drayage Revenue - Intercompany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A132">
            <v>36111</v>
          </cell>
          <cell r="B132" t="str">
            <v>Truck Drayage Revenue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</row>
        <row r="133">
          <cell r="A133">
            <v>36119</v>
          </cell>
          <cell r="B133" t="str">
            <v>Truck Drayage Revenue - Intercompany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</row>
        <row r="134">
          <cell r="A134">
            <v>36121</v>
          </cell>
          <cell r="B134" t="str">
            <v>Barge Drayage Revenue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</row>
        <row r="135">
          <cell r="A135">
            <v>36131</v>
          </cell>
          <cell r="B135" t="str">
            <v>Service Labor Revenue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</row>
        <row r="136">
          <cell r="A136">
            <v>36141</v>
          </cell>
          <cell r="B136" t="str">
            <v>Refrigeration Labor Revenue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</row>
        <row r="137">
          <cell r="A137">
            <v>36145</v>
          </cell>
          <cell r="B137" t="str">
            <v>Parts Revenue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</row>
        <row r="138">
          <cell r="A138">
            <v>36151</v>
          </cell>
          <cell r="B138" t="str">
            <v>Container Sales Revenue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</row>
        <row r="139">
          <cell r="A139">
            <v>36161</v>
          </cell>
          <cell r="B139" t="str">
            <v>Container Rental Revenue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</row>
        <row r="140">
          <cell r="A140">
            <v>36171</v>
          </cell>
          <cell r="B140" t="str">
            <v>Intermodal Revenue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</row>
        <row r="141">
          <cell r="A141">
            <v>36181</v>
          </cell>
          <cell r="B141" t="str">
            <v>Chassis Lease Revenue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</row>
        <row r="142">
          <cell r="A142">
            <v>36191</v>
          </cell>
          <cell r="B142" t="str">
            <v>Interchanges Revenue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</row>
        <row r="143">
          <cell r="A143">
            <v>36201</v>
          </cell>
          <cell r="B143" t="str">
            <v>Storage Revenue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</row>
        <row r="144">
          <cell r="A144">
            <v>36211</v>
          </cell>
          <cell r="B144" t="str">
            <v>Empty Lifts Revenue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</row>
        <row r="145">
          <cell r="A145">
            <v>36221</v>
          </cell>
          <cell r="B145" t="str">
            <v>Load Lifts Revenue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</row>
        <row r="146">
          <cell r="A146" t="str">
            <v>Total Intermodal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</row>
        <row r="148">
          <cell r="A148" t="str">
            <v>Other Revenue</v>
          </cell>
        </row>
        <row r="149">
          <cell r="A149">
            <v>37001</v>
          </cell>
          <cell r="B149" t="str">
            <v>Sale of Equipment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</row>
        <row r="150">
          <cell r="A150">
            <v>37010</v>
          </cell>
          <cell r="B150" t="str">
            <v>Tire Processing Revenue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</row>
        <row r="151">
          <cell r="A151">
            <v>37019</v>
          </cell>
          <cell r="B151" t="str">
            <v>Tire Processing Revenue - Intercompany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</row>
        <row r="152">
          <cell r="A152">
            <v>38000</v>
          </cell>
          <cell r="B152" t="str">
            <v>Corporate Other Revenue</v>
          </cell>
          <cell r="E152">
            <v>3459.12</v>
          </cell>
          <cell r="F152">
            <v>7799.57</v>
          </cell>
          <cell r="G152">
            <v>2100.42</v>
          </cell>
          <cell r="H152">
            <v>7267.51</v>
          </cell>
          <cell r="I152">
            <v>3376.39</v>
          </cell>
          <cell r="J152">
            <v>7176.57</v>
          </cell>
          <cell r="K152">
            <v>3493.22</v>
          </cell>
          <cell r="L152">
            <v>8060.32</v>
          </cell>
          <cell r="M152">
            <v>2594</v>
          </cell>
          <cell r="N152">
            <v>7784.1</v>
          </cell>
          <cell r="O152">
            <v>6369.79</v>
          </cell>
          <cell r="P152">
            <v>9281.82</v>
          </cell>
          <cell r="Q152">
            <v>68762.829999999987</v>
          </cell>
        </row>
        <row r="153">
          <cell r="A153">
            <v>38001</v>
          </cell>
          <cell r="B153" t="str">
            <v>P-Card Rebate Revenue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</row>
        <row r="154">
          <cell r="A154" t="str">
            <v>Total Other Revenue</v>
          </cell>
          <cell r="E154">
            <v>3459.12</v>
          </cell>
          <cell r="F154">
            <v>7799.57</v>
          </cell>
          <cell r="G154">
            <v>2100.42</v>
          </cell>
          <cell r="H154">
            <v>7267.51</v>
          </cell>
          <cell r="I154">
            <v>3376.39</v>
          </cell>
          <cell r="J154">
            <v>7176.57</v>
          </cell>
          <cell r="K154">
            <v>3493.22</v>
          </cell>
          <cell r="L154">
            <v>8060.32</v>
          </cell>
          <cell r="M154">
            <v>2594</v>
          </cell>
          <cell r="N154">
            <v>7784.1</v>
          </cell>
          <cell r="O154">
            <v>6369.79</v>
          </cell>
          <cell r="P154">
            <v>9281.82</v>
          </cell>
          <cell r="Q154">
            <v>68762.829999999987</v>
          </cell>
        </row>
        <row r="156">
          <cell r="A156" t="str">
            <v>Total Revenue</v>
          </cell>
          <cell r="E156">
            <v>1389532.61</v>
          </cell>
          <cell r="F156">
            <v>1380077.51</v>
          </cell>
          <cell r="G156">
            <v>1408446.9</v>
          </cell>
          <cell r="H156">
            <v>1419179.07</v>
          </cell>
          <cell r="I156">
            <v>1419577.4599999997</v>
          </cell>
          <cell r="J156">
            <v>1466667.25</v>
          </cell>
          <cell r="K156">
            <v>1465996.93</v>
          </cell>
          <cell r="L156">
            <v>1491957.75</v>
          </cell>
          <cell r="M156">
            <v>1460536.84</v>
          </cell>
          <cell r="N156">
            <v>1419945.4899999998</v>
          </cell>
          <cell r="O156">
            <v>1383569.35</v>
          </cell>
          <cell r="P156">
            <v>1421969.0599999998</v>
          </cell>
          <cell r="Q156">
            <v>17127456.219999995</v>
          </cell>
        </row>
        <row r="158">
          <cell r="A158" t="str">
            <v>Revenue Reductions</v>
          </cell>
        </row>
        <row r="159">
          <cell r="A159" t="str">
            <v>Disposal</v>
          </cell>
        </row>
        <row r="160">
          <cell r="A160">
            <v>40101</v>
          </cell>
          <cell r="B160" t="str">
            <v>Disposal Landfill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</row>
        <row r="161">
          <cell r="A161">
            <v>40109</v>
          </cell>
          <cell r="B161" t="str">
            <v>Disposal Landfill Intercompany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</row>
        <row r="162">
          <cell r="A162">
            <v>40121</v>
          </cell>
          <cell r="B162" t="str">
            <v>Disposal Incineration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</row>
        <row r="163">
          <cell r="A163">
            <v>40122</v>
          </cell>
          <cell r="B163" t="str">
            <v>Disposal Other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</row>
        <row r="164">
          <cell r="A164">
            <v>40129</v>
          </cell>
          <cell r="B164" t="str">
            <v>Disposal Other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</row>
        <row r="165">
          <cell r="A165">
            <v>40131</v>
          </cell>
          <cell r="B165" t="str">
            <v>Disposal Transfer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</row>
        <row r="166">
          <cell r="A166">
            <v>40139</v>
          </cell>
          <cell r="B166" t="str">
            <v>Disposal Transfer Intercompany</v>
          </cell>
          <cell r="E166">
            <v>522940.33</v>
          </cell>
          <cell r="F166">
            <v>473522.39</v>
          </cell>
          <cell r="G166">
            <v>554204.89</v>
          </cell>
          <cell r="H166">
            <v>538277.64</v>
          </cell>
          <cell r="I166">
            <v>535071.71</v>
          </cell>
          <cell r="J166">
            <v>582693.4</v>
          </cell>
          <cell r="K166">
            <v>571614.11</v>
          </cell>
          <cell r="L166">
            <v>571380.55000000005</v>
          </cell>
          <cell r="M166">
            <v>569779.74</v>
          </cell>
          <cell r="N166">
            <v>537814.68999999994</v>
          </cell>
          <cell r="O166">
            <v>530807.82999999996</v>
          </cell>
          <cell r="P166">
            <v>576009.71</v>
          </cell>
          <cell r="Q166">
            <v>6564116.9899999993</v>
          </cell>
        </row>
        <row r="167">
          <cell r="A167" t="str">
            <v>Total Disposal</v>
          </cell>
          <cell r="E167">
            <v>522940.33</v>
          </cell>
          <cell r="F167">
            <v>473522.39</v>
          </cell>
          <cell r="G167">
            <v>554204.89</v>
          </cell>
          <cell r="H167">
            <v>538277.64</v>
          </cell>
          <cell r="I167">
            <v>535071.71</v>
          </cell>
          <cell r="J167">
            <v>582693.4</v>
          </cell>
          <cell r="K167">
            <v>571614.11</v>
          </cell>
          <cell r="L167">
            <v>571380.55000000005</v>
          </cell>
          <cell r="M167">
            <v>569779.74</v>
          </cell>
          <cell r="N167">
            <v>537814.68999999994</v>
          </cell>
          <cell r="O167">
            <v>530807.82999999996</v>
          </cell>
          <cell r="P167">
            <v>576009.71</v>
          </cell>
          <cell r="Q167">
            <v>6564116.9899999993</v>
          </cell>
        </row>
        <row r="169">
          <cell r="A169" t="str">
            <v>MRF Processing</v>
          </cell>
        </row>
        <row r="170">
          <cell r="A170">
            <v>40861</v>
          </cell>
          <cell r="B170" t="str">
            <v>Processing Fees MRF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</row>
        <row r="171">
          <cell r="A171">
            <v>40869</v>
          </cell>
          <cell r="B171" t="str">
            <v>Processing Fees MRF Intercompany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</row>
        <row r="172">
          <cell r="A172" t="str">
            <v>Total MRF Processing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</row>
        <row r="174">
          <cell r="A174" t="str">
            <v>Brokerage, Rebates and Taxes</v>
          </cell>
        </row>
        <row r="175">
          <cell r="A175">
            <v>41121</v>
          </cell>
          <cell r="B175" t="str">
            <v>Brokerage Cost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</row>
        <row r="176">
          <cell r="A176">
            <v>41129</v>
          </cell>
          <cell r="B176" t="str">
            <v>Brokerage Cost Intercompany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</row>
        <row r="177">
          <cell r="A177">
            <v>41131</v>
          </cell>
          <cell r="B177" t="str">
            <v>Rail Drayage Expenses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</row>
        <row r="178">
          <cell r="A178">
            <v>41135</v>
          </cell>
          <cell r="B178" t="str">
            <v>Resale Parts - Cost of Goods Sold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</row>
        <row r="179">
          <cell r="A179">
            <v>41139</v>
          </cell>
          <cell r="B179" t="str">
            <v>Rail Drayage Expenses - Intercompany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</row>
        <row r="180">
          <cell r="A180">
            <v>41141</v>
          </cell>
          <cell r="B180" t="str">
            <v>Truck Drayage Expenses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</row>
        <row r="181">
          <cell r="A181">
            <v>41149</v>
          </cell>
          <cell r="B181" t="str">
            <v>Truck Drayage Expenses - Intercompany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</row>
        <row r="182">
          <cell r="A182">
            <v>41151</v>
          </cell>
          <cell r="B182" t="str">
            <v>Intermodal Expenses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</row>
        <row r="183">
          <cell r="A183">
            <v>41201</v>
          </cell>
          <cell r="B183" t="str">
            <v>Rebates and Revenue Sharing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</row>
        <row r="184">
          <cell r="A184">
            <v>43001</v>
          </cell>
          <cell r="B184" t="str">
            <v>Taxes and Pass Thru Fees</v>
          </cell>
          <cell r="E184">
            <v>21087.73</v>
          </cell>
          <cell r="F184">
            <v>20959.080000000002</v>
          </cell>
          <cell r="G184">
            <v>21310.05</v>
          </cell>
          <cell r="H184">
            <v>15944.56</v>
          </cell>
          <cell r="I184">
            <v>23292.27</v>
          </cell>
          <cell r="J184">
            <v>26639.14</v>
          </cell>
          <cell r="K184">
            <v>26629.39</v>
          </cell>
          <cell r="L184">
            <v>27074.49</v>
          </cell>
          <cell r="M184">
            <v>26539.13</v>
          </cell>
          <cell r="N184">
            <v>25799.21</v>
          </cell>
          <cell r="O184">
            <v>25079.16</v>
          </cell>
          <cell r="P184">
            <v>25860.43</v>
          </cell>
          <cell r="Q184">
            <v>286214.64</v>
          </cell>
        </row>
        <row r="185">
          <cell r="A185">
            <v>43002</v>
          </cell>
          <cell r="B185" t="str">
            <v>WUTC Taxes</v>
          </cell>
          <cell r="E185">
            <v>5546.62</v>
          </cell>
          <cell r="F185">
            <v>5496.04</v>
          </cell>
          <cell r="G185">
            <v>5619.91</v>
          </cell>
          <cell r="H185">
            <v>5691.97</v>
          </cell>
          <cell r="I185">
            <v>5646.5</v>
          </cell>
          <cell r="J185">
            <v>5841.42</v>
          </cell>
          <cell r="K185">
            <v>5857.81</v>
          </cell>
          <cell r="L185">
            <v>5948.97</v>
          </cell>
          <cell r="M185">
            <v>5802.43</v>
          </cell>
          <cell r="N185">
            <v>5678.9</v>
          </cell>
          <cell r="O185">
            <v>5511.15</v>
          </cell>
          <cell r="P185">
            <v>5695</v>
          </cell>
          <cell r="Q185">
            <v>68336.72</v>
          </cell>
        </row>
        <row r="186">
          <cell r="A186">
            <v>43090</v>
          </cell>
          <cell r="B186" t="str">
            <v>Pass Through Expenses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</row>
        <row r="187">
          <cell r="A187">
            <v>43099</v>
          </cell>
          <cell r="B187" t="str">
            <v>Pass Through Expenses Intercompany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</row>
        <row r="188">
          <cell r="A188" t="str">
            <v>Total Brokerage, Rebates and Taxes</v>
          </cell>
          <cell r="E188">
            <v>26634.35</v>
          </cell>
          <cell r="F188">
            <v>26455.120000000003</v>
          </cell>
          <cell r="G188">
            <v>26929.96</v>
          </cell>
          <cell r="H188">
            <v>21636.53</v>
          </cell>
          <cell r="I188">
            <v>28938.77</v>
          </cell>
          <cell r="J188">
            <v>32480.559999999998</v>
          </cell>
          <cell r="K188">
            <v>32487.200000000001</v>
          </cell>
          <cell r="L188">
            <v>33023.46</v>
          </cell>
          <cell r="M188">
            <v>32341.56</v>
          </cell>
          <cell r="N188">
            <v>31478.11</v>
          </cell>
          <cell r="O188">
            <v>30590.309999999998</v>
          </cell>
          <cell r="P188">
            <v>31555.43</v>
          </cell>
          <cell r="Q188">
            <v>354551.36</v>
          </cell>
        </row>
        <row r="190">
          <cell r="A190" t="str">
            <v>Recycling Materials Expense</v>
          </cell>
        </row>
        <row r="191">
          <cell r="A191">
            <v>44161</v>
          </cell>
          <cell r="B191" t="str">
            <v>Cost of Materials - OCC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</row>
        <row r="192">
          <cell r="A192">
            <v>44162</v>
          </cell>
          <cell r="B192" t="str">
            <v>Cost of Materials - ONP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</row>
        <row r="193">
          <cell r="A193">
            <v>44163</v>
          </cell>
          <cell r="B193" t="str">
            <v>Cost of Materials - Other Paper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</row>
        <row r="194">
          <cell r="A194">
            <v>44164</v>
          </cell>
          <cell r="B194" t="str">
            <v>Cost of Materials - Aluminum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</row>
        <row r="195">
          <cell r="A195">
            <v>44165</v>
          </cell>
          <cell r="B195" t="str">
            <v>Cost of Materials - Metal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</row>
        <row r="196">
          <cell r="A196">
            <v>44166</v>
          </cell>
          <cell r="B196" t="str">
            <v>Cost of Materials - Glass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</row>
        <row r="197">
          <cell r="A197">
            <v>44167</v>
          </cell>
          <cell r="B197" t="str">
            <v>Cost of Materials - Plastic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</row>
        <row r="198">
          <cell r="A198">
            <v>44168</v>
          </cell>
          <cell r="B198" t="str">
            <v>Cost of Materials - Other Recyclables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</row>
        <row r="199">
          <cell r="A199">
            <v>44169</v>
          </cell>
          <cell r="B199" t="str">
            <v>Cost of Materials - Intercompany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</row>
        <row r="200">
          <cell r="A200">
            <v>44261</v>
          </cell>
          <cell r="B200" t="str">
            <v>Cost of Materials - Organics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</row>
        <row r="201">
          <cell r="A201">
            <v>44262</v>
          </cell>
          <cell r="B201" t="str">
            <v>Cost of Materials - Clean Wood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</row>
        <row r="202">
          <cell r="A202">
            <v>44263</v>
          </cell>
          <cell r="B202" t="str">
            <v>Cost of Materials - Landscaping Materials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</row>
        <row r="203">
          <cell r="A203" t="str">
            <v>Total Recycling Materials Expense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</row>
        <row r="205">
          <cell r="A205" t="str">
            <v>Other Expense</v>
          </cell>
        </row>
        <row r="206">
          <cell r="A206">
            <v>47000</v>
          </cell>
          <cell r="B206" t="str">
            <v>Cost of Containers Sold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</row>
        <row r="207">
          <cell r="A207">
            <v>47001</v>
          </cell>
          <cell r="B207" t="str">
            <v>Cost of Equipment Sold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</row>
        <row r="208">
          <cell r="A208">
            <v>47010</v>
          </cell>
          <cell r="B208" t="str">
            <v>Tire Processing Expenses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</row>
        <row r="209">
          <cell r="A209">
            <v>47019</v>
          </cell>
          <cell r="B209" t="str">
            <v>Tire Processing Expenses - Intercompany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</row>
        <row r="210">
          <cell r="A210" t="str">
            <v>Total Other Expense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</row>
        <row r="212">
          <cell r="A212" t="str">
            <v>Total Revenue Reductions</v>
          </cell>
          <cell r="E212">
            <v>549574.68000000005</v>
          </cell>
          <cell r="F212">
            <v>499977.51</v>
          </cell>
          <cell r="G212">
            <v>581134.85</v>
          </cell>
          <cell r="H212">
            <v>559914.17000000004</v>
          </cell>
          <cell r="I212">
            <v>564010.48</v>
          </cell>
          <cell r="J212">
            <v>615173.96</v>
          </cell>
          <cell r="K212">
            <v>604101.30999999994</v>
          </cell>
          <cell r="L212">
            <v>604404.01</v>
          </cell>
          <cell r="M212">
            <v>602121.30000000005</v>
          </cell>
          <cell r="N212">
            <v>569292.79999999993</v>
          </cell>
          <cell r="O212">
            <v>561398.1399999999</v>
          </cell>
          <cell r="P212">
            <v>607565.14</v>
          </cell>
          <cell r="Q212">
            <v>6918668.3499999996</v>
          </cell>
        </row>
        <row r="214">
          <cell r="A214" t="str">
            <v>Net Revenue</v>
          </cell>
          <cell r="E214">
            <v>839957.93</v>
          </cell>
          <cell r="F214">
            <v>880100</v>
          </cell>
          <cell r="G214">
            <v>827312.04999999993</v>
          </cell>
          <cell r="H214">
            <v>859264.9</v>
          </cell>
          <cell r="I214">
            <v>855566.97999999975</v>
          </cell>
          <cell r="J214">
            <v>851493.29</v>
          </cell>
          <cell r="K214">
            <v>861895.62</v>
          </cell>
          <cell r="L214">
            <v>887553.74</v>
          </cell>
          <cell r="M214">
            <v>858415.54</v>
          </cell>
          <cell r="N214">
            <v>850652.68999999983</v>
          </cell>
          <cell r="O214">
            <v>822171.2100000002</v>
          </cell>
          <cell r="P214">
            <v>814403.91999999981</v>
          </cell>
          <cell r="Q214">
            <v>10208787.869999995</v>
          </cell>
        </row>
        <row r="216">
          <cell r="A216" t="str">
            <v>Cost of Operations</v>
          </cell>
        </row>
        <row r="217">
          <cell r="A217" t="str">
            <v>Labor</v>
          </cell>
        </row>
        <row r="218">
          <cell r="A218">
            <v>50010</v>
          </cell>
          <cell r="B218" t="str">
            <v>Salaries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</row>
        <row r="219">
          <cell r="A219">
            <v>50020</v>
          </cell>
          <cell r="B219" t="str">
            <v>Wages Regular</v>
          </cell>
          <cell r="E219">
            <v>148506.62</v>
          </cell>
          <cell r="F219">
            <v>147781.52000000002</v>
          </cell>
          <cell r="G219">
            <v>162872.48000000001</v>
          </cell>
          <cell r="H219">
            <v>152426.56</v>
          </cell>
          <cell r="I219">
            <v>133250.6</v>
          </cell>
          <cell r="J219">
            <v>141014.94</v>
          </cell>
          <cell r="K219">
            <v>138800.41999999998</v>
          </cell>
          <cell r="L219">
            <v>144467.28999999998</v>
          </cell>
          <cell r="M219">
            <v>139411.4</v>
          </cell>
          <cell r="N219">
            <v>131255.16</v>
          </cell>
          <cell r="O219">
            <v>135440.33000000002</v>
          </cell>
          <cell r="P219">
            <v>141049.91999999998</v>
          </cell>
          <cell r="Q219">
            <v>1716277.2399999998</v>
          </cell>
        </row>
        <row r="220">
          <cell r="A220">
            <v>50025</v>
          </cell>
          <cell r="B220" t="str">
            <v>Wages O.T.</v>
          </cell>
          <cell r="E220">
            <v>22975.54</v>
          </cell>
          <cell r="F220">
            <v>6810.35</v>
          </cell>
          <cell r="G220">
            <v>14008.81</v>
          </cell>
          <cell r="H220">
            <v>20795.96</v>
          </cell>
          <cell r="I220">
            <v>28625.24</v>
          </cell>
          <cell r="J220">
            <v>22652.750000000004</v>
          </cell>
          <cell r="K220">
            <v>20035.850000000002</v>
          </cell>
          <cell r="L220">
            <v>20754.88</v>
          </cell>
          <cell r="M220">
            <v>29699.32</v>
          </cell>
          <cell r="N220">
            <v>20332.329999999998</v>
          </cell>
          <cell r="O220">
            <v>32459.590000000004</v>
          </cell>
          <cell r="P220">
            <v>20007.580000000002</v>
          </cell>
          <cell r="Q220">
            <v>259158.2</v>
          </cell>
        </row>
        <row r="221">
          <cell r="A221">
            <v>50035</v>
          </cell>
          <cell r="B221" t="str">
            <v>Safety Bonuses</v>
          </cell>
          <cell r="E221">
            <v>3200</v>
          </cell>
          <cell r="F221">
            <v>3200</v>
          </cell>
          <cell r="G221">
            <v>3200</v>
          </cell>
          <cell r="H221">
            <v>3200</v>
          </cell>
          <cell r="I221">
            <v>3950</v>
          </cell>
          <cell r="J221">
            <v>3950</v>
          </cell>
          <cell r="K221">
            <v>3950</v>
          </cell>
          <cell r="L221">
            <v>3950</v>
          </cell>
          <cell r="M221">
            <v>2000</v>
          </cell>
          <cell r="N221">
            <v>2000</v>
          </cell>
          <cell r="O221">
            <v>3200</v>
          </cell>
          <cell r="P221">
            <v>0</v>
          </cell>
          <cell r="Q221">
            <v>35800</v>
          </cell>
        </row>
        <row r="222">
          <cell r="A222">
            <v>50036</v>
          </cell>
          <cell r="B222" t="str">
            <v>Other Bonus/Commission - Non-Safety</v>
          </cell>
          <cell r="E222">
            <v>0</v>
          </cell>
          <cell r="F222">
            <v>0</v>
          </cell>
          <cell r="G222">
            <v>1125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1125</v>
          </cell>
        </row>
        <row r="223">
          <cell r="A223">
            <v>50045</v>
          </cell>
          <cell r="B223" t="str">
            <v>Contract Labor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</row>
        <row r="224">
          <cell r="A224">
            <v>50050</v>
          </cell>
          <cell r="B224" t="str">
            <v>Payroll Taxes</v>
          </cell>
          <cell r="E224">
            <v>21085.43</v>
          </cell>
          <cell r="F224">
            <v>16517.190000000002</v>
          </cell>
          <cell r="G224">
            <v>17618.89</v>
          </cell>
          <cell r="H224">
            <v>17201.14</v>
          </cell>
          <cell r="I224">
            <v>16035.320000000002</v>
          </cell>
          <cell r="J224">
            <v>17468.87</v>
          </cell>
          <cell r="K224">
            <v>16392.41</v>
          </cell>
          <cell r="L224">
            <v>16351.01</v>
          </cell>
          <cell r="M224">
            <v>17217.28</v>
          </cell>
          <cell r="N224">
            <v>14701.12</v>
          </cell>
          <cell r="O224">
            <v>17942.59</v>
          </cell>
          <cell r="P224">
            <v>10482.15</v>
          </cell>
          <cell r="Q224">
            <v>199013.4</v>
          </cell>
        </row>
        <row r="225">
          <cell r="A225">
            <v>50060</v>
          </cell>
          <cell r="B225" t="str">
            <v>Group Insurance</v>
          </cell>
          <cell r="E225">
            <v>1330</v>
          </cell>
          <cell r="F225">
            <v>1226</v>
          </cell>
          <cell r="G225">
            <v>729.5</v>
          </cell>
          <cell r="H225">
            <v>1026.5</v>
          </cell>
          <cell r="I225">
            <v>878</v>
          </cell>
          <cell r="J225">
            <v>878</v>
          </cell>
          <cell r="K225">
            <v>878.77</v>
          </cell>
          <cell r="L225">
            <v>826</v>
          </cell>
          <cell r="M225">
            <v>1077.5</v>
          </cell>
          <cell r="N225">
            <v>1826.5</v>
          </cell>
          <cell r="O225">
            <v>1678.77</v>
          </cell>
          <cell r="P225">
            <v>1088.4199999999998</v>
          </cell>
          <cell r="Q225">
            <v>13443.960000000001</v>
          </cell>
        </row>
        <row r="226">
          <cell r="A226">
            <v>50065</v>
          </cell>
          <cell r="B226" t="str">
            <v>Vacation Pay</v>
          </cell>
          <cell r="E226">
            <v>13381.59</v>
          </cell>
          <cell r="F226">
            <v>8706.9500000000007</v>
          </cell>
          <cell r="G226">
            <v>9543.1899999999987</v>
          </cell>
          <cell r="H226">
            <v>7013.4</v>
          </cell>
          <cell r="I226">
            <v>14309.95</v>
          </cell>
          <cell r="J226">
            <v>8179.11</v>
          </cell>
          <cell r="K226">
            <v>14227.68</v>
          </cell>
          <cell r="L226">
            <v>7288.4699999999993</v>
          </cell>
          <cell r="M226">
            <v>15009.16</v>
          </cell>
          <cell r="N226">
            <v>10400.879999999999</v>
          </cell>
          <cell r="O226">
            <v>16702.490000000002</v>
          </cell>
          <cell r="P226">
            <v>14167.710000000001</v>
          </cell>
          <cell r="Q226">
            <v>138930.58000000002</v>
          </cell>
        </row>
        <row r="227">
          <cell r="A227">
            <v>50070</v>
          </cell>
          <cell r="B227" t="str">
            <v>Sick Pay</v>
          </cell>
          <cell r="E227">
            <v>510.84</v>
          </cell>
          <cell r="F227">
            <v>-249.9</v>
          </cell>
          <cell r="G227">
            <v>257.39999999999998</v>
          </cell>
          <cell r="H227">
            <v>14.4</v>
          </cell>
          <cell r="I227">
            <v>0</v>
          </cell>
          <cell r="J227">
            <v>722.88</v>
          </cell>
          <cell r="K227">
            <v>80.319999999999993</v>
          </cell>
          <cell r="L227">
            <v>92</v>
          </cell>
          <cell r="M227">
            <v>0</v>
          </cell>
          <cell r="N227">
            <v>200.8</v>
          </cell>
          <cell r="O227">
            <v>156.4</v>
          </cell>
          <cell r="P227">
            <v>27.6</v>
          </cell>
          <cell r="Q227">
            <v>1812.7399999999998</v>
          </cell>
        </row>
        <row r="228">
          <cell r="A228">
            <v>50086</v>
          </cell>
          <cell r="B228" t="str">
            <v>Safety and Training</v>
          </cell>
          <cell r="E228">
            <v>52.5</v>
          </cell>
          <cell r="F228">
            <v>57.5</v>
          </cell>
          <cell r="G228">
            <v>269.42</v>
          </cell>
          <cell r="H228">
            <v>-147.5</v>
          </cell>
          <cell r="I228">
            <v>423.2</v>
          </cell>
          <cell r="J228">
            <v>0</v>
          </cell>
          <cell r="K228">
            <v>0</v>
          </cell>
          <cell r="L228">
            <v>0</v>
          </cell>
          <cell r="M228">
            <v>1724.48</v>
          </cell>
          <cell r="N228">
            <v>1092.78</v>
          </cell>
          <cell r="O228">
            <v>642.78</v>
          </cell>
          <cell r="P228">
            <v>0</v>
          </cell>
          <cell r="Q228">
            <v>4115.16</v>
          </cell>
        </row>
        <row r="229">
          <cell r="A229">
            <v>50087</v>
          </cell>
          <cell r="B229" t="str">
            <v>Drug Testing</v>
          </cell>
          <cell r="E229">
            <v>60</v>
          </cell>
          <cell r="F229">
            <v>0</v>
          </cell>
          <cell r="G229">
            <v>0</v>
          </cell>
          <cell r="H229">
            <v>240</v>
          </cell>
          <cell r="I229">
            <v>120</v>
          </cell>
          <cell r="J229">
            <v>240</v>
          </cell>
          <cell r="K229">
            <v>694</v>
          </cell>
          <cell r="L229">
            <v>180</v>
          </cell>
          <cell r="M229">
            <v>420</v>
          </cell>
          <cell r="N229">
            <v>60</v>
          </cell>
          <cell r="O229">
            <v>360</v>
          </cell>
          <cell r="P229">
            <v>60</v>
          </cell>
          <cell r="Q229">
            <v>2434</v>
          </cell>
        </row>
        <row r="230">
          <cell r="A230">
            <v>50090</v>
          </cell>
          <cell r="B230" t="str">
            <v>Uniforms</v>
          </cell>
          <cell r="E230">
            <v>6868.59</v>
          </cell>
          <cell r="F230">
            <v>9292.77</v>
          </cell>
          <cell r="G230">
            <v>8124.38</v>
          </cell>
          <cell r="H230">
            <v>7694.95</v>
          </cell>
          <cell r="I230">
            <v>4128.24</v>
          </cell>
          <cell r="J230">
            <v>12100.73</v>
          </cell>
          <cell r="K230">
            <v>9167.7900000000009</v>
          </cell>
          <cell r="L230">
            <v>12042.49</v>
          </cell>
          <cell r="M230">
            <v>8237.0400000000009</v>
          </cell>
          <cell r="N230">
            <v>8038.55</v>
          </cell>
          <cell r="O230">
            <v>7814.48</v>
          </cell>
          <cell r="P230">
            <v>9358.16</v>
          </cell>
          <cell r="Q230">
            <v>102868.17000000001</v>
          </cell>
        </row>
        <row r="231">
          <cell r="A231">
            <v>50115</v>
          </cell>
          <cell r="B231" t="str">
            <v>Pension and Profit Sharing</v>
          </cell>
          <cell r="E231">
            <v>20881.310000000001</v>
          </cell>
          <cell r="F231">
            <v>19908.310000000001</v>
          </cell>
          <cell r="G231">
            <v>22571.059999999998</v>
          </cell>
          <cell r="H231">
            <v>20908.93</v>
          </cell>
          <cell r="I231">
            <v>20644.87</v>
          </cell>
          <cell r="J231">
            <v>20431.82</v>
          </cell>
          <cell r="K231">
            <v>19793.68</v>
          </cell>
          <cell r="L231">
            <v>25409.94</v>
          </cell>
          <cell r="M231">
            <v>19345.43</v>
          </cell>
          <cell r="N231">
            <v>18963.18</v>
          </cell>
          <cell r="O231">
            <v>19131.61</v>
          </cell>
          <cell r="P231">
            <v>16610.04</v>
          </cell>
          <cell r="Q231">
            <v>244600.17999999996</v>
          </cell>
        </row>
        <row r="232">
          <cell r="A232">
            <v>50116</v>
          </cell>
          <cell r="B232" t="str">
            <v>Union Benefit Expense</v>
          </cell>
          <cell r="E232">
            <v>55955.6</v>
          </cell>
          <cell r="F232">
            <v>54981.08</v>
          </cell>
          <cell r="G232">
            <v>57124.76</v>
          </cell>
          <cell r="H232">
            <v>59521.61</v>
          </cell>
          <cell r="I232">
            <v>55020.61</v>
          </cell>
          <cell r="J232">
            <v>53907.77</v>
          </cell>
          <cell r="K232">
            <v>51487.79</v>
          </cell>
          <cell r="L232">
            <v>50364.490000000005</v>
          </cell>
          <cell r="M232">
            <v>51135.950000000004</v>
          </cell>
          <cell r="N232">
            <v>51271.57</v>
          </cell>
          <cell r="O232">
            <v>52010.640000000007</v>
          </cell>
          <cell r="P232">
            <v>49943.11</v>
          </cell>
          <cell r="Q232">
            <v>642724.98</v>
          </cell>
        </row>
        <row r="233">
          <cell r="A233">
            <v>50117</v>
          </cell>
          <cell r="B233" t="str">
            <v>Union Pension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</row>
        <row r="234">
          <cell r="A234">
            <v>50148</v>
          </cell>
          <cell r="B234" t="str">
            <v>Allocated Exp In - District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</row>
        <row r="235">
          <cell r="A235">
            <v>50149</v>
          </cell>
          <cell r="B235" t="str">
            <v>Allocated Exp In Out - District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</row>
        <row r="236">
          <cell r="A236">
            <v>50335</v>
          </cell>
          <cell r="B236" t="str">
            <v>Miscellaneous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</row>
        <row r="237">
          <cell r="A237">
            <v>50900</v>
          </cell>
          <cell r="B237" t="str">
            <v>Capitalized Costs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</row>
        <row r="238">
          <cell r="A238">
            <v>50998</v>
          </cell>
          <cell r="B238" t="str">
            <v>Allocation Out - District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</row>
        <row r="239">
          <cell r="A239">
            <v>50999</v>
          </cell>
          <cell r="B239" t="str">
            <v>Allocation Out - Out District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</row>
        <row r="240">
          <cell r="A240" t="str">
            <v>Total Labor</v>
          </cell>
          <cell r="E240">
            <v>294808.01999999996</v>
          </cell>
          <cell r="F240">
            <v>268231.77</v>
          </cell>
          <cell r="G240">
            <v>297444.89</v>
          </cell>
          <cell r="H240">
            <v>289895.94999999995</v>
          </cell>
          <cell r="I240">
            <v>277386.03000000003</v>
          </cell>
          <cell r="J240">
            <v>281546.87</v>
          </cell>
          <cell r="K240">
            <v>275508.70999999996</v>
          </cell>
          <cell r="L240">
            <v>281726.57</v>
          </cell>
          <cell r="M240">
            <v>285277.56</v>
          </cell>
          <cell r="N240">
            <v>260142.86999999997</v>
          </cell>
          <cell r="O240">
            <v>287539.68</v>
          </cell>
          <cell r="P240">
            <v>262794.69</v>
          </cell>
          <cell r="Q240">
            <v>3362303.6100000003</v>
          </cell>
        </row>
        <row r="242">
          <cell r="A242" t="str">
            <v>Truck Fixed Expenses</v>
          </cell>
        </row>
        <row r="243">
          <cell r="A243">
            <v>51148</v>
          </cell>
          <cell r="B243" t="str">
            <v>Allocation In - District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</row>
        <row r="244">
          <cell r="A244">
            <v>51149</v>
          </cell>
          <cell r="B244" t="str">
            <v>Allocation In - Out District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</row>
        <row r="245">
          <cell r="A245">
            <v>51175</v>
          </cell>
          <cell r="B245" t="str">
            <v>Equipment/Vehicle Rental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</row>
        <row r="246">
          <cell r="A246">
            <v>51275</v>
          </cell>
          <cell r="B246" t="str">
            <v>Property Taxes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</row>
        <row r="247">
          <cell r="A247">
            <v>51295</v>
          </cell>
          <cell r="B247" t="str">
            <v>Licenses</v>
          </cell>
          <cell r="E247">
            <v>2602.56</v>
          </cell>
          <cell r="F247">
            <v>2531.56</v>
          </cell>
          <cell r="G247">
            <v>2595.5500000000002</v>
          </cell>
          <cell r="H247">
            <v>2489.9299999999998</v>
          </cell>
          <cell r="I247">
            <v>2160.58</v>
          </cell>
          <cell r="J247">
            <v>2256.83</v>
          </cell>
          <cell r="K247">
            <v>2128.83</v>
          </cell>
          <cell r="L247">
            <v>2085.83</v>
          </cell>
          <cell r="M247">
            <v>2085.83</v>
          </cell>
          <cell r="N247">
            <v>2190.83</v>
          </cell>
          <cell r="O247">
            <v>2085.83</v>
          </cell>
          <cell r="P247">
            <v>2550.89</v>
          </cell>
          <cell r="Q247">
            <v>27765.050000000003</v>
          </cell>
        </row>
        <row r="248">
          <cell r="A248">
            <v>51335</v>
          </cell>
          <cell r="B248" t="str">
            <v>Miscellaneous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</row>
        <row r="249">
          <cell r="A249">
            <v>51998</v>
          </cell>
          <cell r="B249" t="str">
            <v>Allocation Out - District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</row>
        <row r="250">
          <cell r="A250">
            <v>51999</v>
          </cell>
          <cell r="B250" t="str">
            <v>Allocation Out - Out District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</row>
        <row r="251">
          <cell r="A251" t="str">
            <v>Total Truck Fixed Expenses</v>
          </cell>
          <cell r="E251">
            <v>2602.56</v>
          </cell>
          <cell r="F251">
            <v>2531.56</v>
          </cell>
          <cell r="G251">
            <v>2595.5500000000002</v>
          </cell>
          <cell r="H251">
            <v>2489.9299999999998</v>
          </cell>
          <cell r="I251">
            <v>2160.58</v>
          </cell>
          <cell r="J251">
            <v>2256.83</v>
          </cell>
          <cell r="K251">
            <v>2128.83</v>
          </cell>
          <cell r="L251">
            <v>2085.83</v>
          </cell>
          <cell r="M251">
            <v>2085.83</v>
          </cell>
          <cell r="N251">
            <v>2190.83</v>
          </cell>
          <cell r="O251">
            <v>2085.83</v>
          </cell>
          <cell r="P251">
            <v>2550.89</v>
          </cell>
          <cell r="Q251">
            <v>27765.050000000003</v>
          </cell>
        </row>
        <row r="253">
          <cell r="A253" t="str">
            <v>Truck Variable Expenses</v>
          </cell>
        </row>
        <row r="254">
          <cell r="A254">
            <v>52010</v>
          </cell>
          <cell r="B254" t="str">
            <v>Salaries</v>
          </cell>
          <cell r="E254">
            <v>6209.13</v>
          </cell>
          <cell r="F254">
            <v>5913.46</v>
          </cell>
          <cell r="G254">
            <v>6800.48</v>
          </cell>
          <cell r="H254">
            <v>6504.81</v>
          </cell>
          <cell r="I254">
            <v>6209.13</v>
          </cell>
          <cell r="J254">
            <v>6504.8</v>
          </cell>
          <cell r="K254">
            <v>6504.81</v>
          </cell>
          <cell r="L254">
            <v>6504.81</v>
          </cell>
          <cell r="M254">
            <v>6504.8</v>
          </cell>
          <cell r="N254">
            <v>6209.14</v>
          </cell>
          <cell r="O254">
            <v>6504.8</v>
          </cell>
          <cell r="P254">
            <v>6800.48</v>
          </cell>
          <cell r="Q254">
            <v>77170.649999999994</v>
          </cell>
        </row>
        <row r="255">
          <cell r="A255">
            <v>52020</v>
          </cell>
          <cell r="B255" t="str">
            <v>Wages Regular</v>
          </cell>
          <cell r="E255">
            <v>11640.62</v>
          </cell>
          <cell r="F255">
            <v>14929.71</v>
          </cell>
          <cell r="G255">
            <v>14082.73</v>
          </cell>
          <cell r="H255">
            <v>13654.74</v>
          </cell>
          <cell r="I255">
            <v>14918.37</v>
          </cell>
          <cell r="J255">
            <v>14754.95</v>
          </cell>
          <cell r="K255">
            <v>12181.44</v>
          </cell>
          <cell r="L255">
            <v>11315.17</v>
          </cell>
          <cell r="M255">
            <v>11931.83</v>
          </cell>
          <cell r="N255">
            <v>11946.65</v>
          </cell>
          <cell r="O255">
            <v>12371.33</v>
          </cell>
          <cell r="P255">
            <v>15662.7</v>
          </cell>
          <cell r="Q255">
            <v>159390.24</v>
          </cell>
        </row>
        <row r="256">
          <cell r="A256">
            <v>52025</v>
          </cell>
          <cell r="B256" t="str">
            <v>Wages O.T.</v>
          </cell>
          <cell r="E256">
            <v>2614.52</v>
          </cell>
          <cell r="F256">
            <v>2473.63</v>
          </cell>
          <cell r="G256">
            <v>2117.09</v>
          </cell>
          <cell r="H256">
            <v>2164.7199999999998</v>
          </cell>
          <cell r="I256">
            <v>2848.44</v>
          </cell>
          <cell r="J256">
            <v>3075.19</v>
          </cell>
          <cell r="K256">
            <v>3378.52</v>
          </cell>
          <cell r="L256">
            <v>1747.37</v>
          </cell>
          <cell r="M256">
            <v>2402.91</v>
          </cell>
          <cell r="N256">
            <v>2322.34</v>
          </cell>
          <cell r="O256">
            <v>3755.06</v>
          </cell>
          <cell r="P256">
            <v>2288.11</v>
          </cell>
          <cell r="Q256">
            <v>31187.9</v>
          </cell>
        </row>
        <row r="257">
          <cell r="A257">
            <v>52035</v>
          </cell>
          <cell r="B257" t="str">
            <v>Safety Bonuses</v>
          </cell>
          <cell r="E257">
            <v>833</v>
          </cell>
          <cell r="F257">
            <v>833</v>
          </cell>
          <cell r="G257">
            <v>833</v>
          </cell>
          <cell r="H257">
            <v>833</v>
          </cell>
          <cell r="I257">
            <v>1583</v>
          </cell>
          <cell r="J257">
            <v>1583</v>
          </cell>
          <cell r="K257">
            <v>1583</v>
          </cell>
          <cell r="L257">
            <v>1583</v>
          </cell>
          <cell r="M257">
            <v>500</v>
          </cell>
          <cell r="N257">
            <v>500</v>
          </cell>
          <cell r="O257">
            <v>1000</v>
          </cell>
          <cell r="P257">
            <v>0</v>
          </cell>
          <cell r="Q257">
            <v>11664</v>
          </cell>
        </row>
        <row r="258">
          <cell r="A258">
            <v>52036</v>
          </cell>
          <cell r="B258" t="str">
            <v>Other Bonus/Commission - Non-Safety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</row>
        <row r="259">
          <cell r="A259">
            <v>52045</v>
          </cell>
          <cell r="B259" t="str">
            <v>Contract Labor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</row>
        <row r="260">
          <cell r="A260">
            <v>52050</v>
          </cell>
          <cell r="B260" t="str">
            <v>Payroll Taxes</v>
          </cell>
          <cell r="E260">
            <v>2869.35</v>
          </cell>
          <cell r="F260">
            <v>2242.16</v>
          </cell>
          <cell r="G260">
            <v>2468.5100000000002</v>
          </cell>
          <cell r="H260">
            <v>2064.63</v>
          </cell>
          <cell r="I260">
            <v>2186.88</v>
          </cell>
          <cell r="J260">
            <v>2344.56</v>
          </cell>
          <cell r="K260">
            <v>1962.2</v>
          </cell>
          <cell r="L260">
            <v>1763.36</v>
          </cell>
          <cell r="M260">
            <v>1881.81</v>
          </cell>
          <cell r="N260">
            <v>1731.74</v>
          </cell>
          <cell r="O260">
            <v>2453.91</v>
          </cell>
          <cell r="P260">
            <v>1757.74</v>
          </cell>
          <cell r="Q260">
            <v>25726.850000000006</v>
          </cell>
        </row>
        <row r="261">
          <cell r="A261">
            <v>52060</v>
          </cell>
          <cell r="B261" t="str">
            <v>Group Insurance</v>
          </cell>
          <cell r="E261">
            <v>1441</v>
          </cell>
          <cell r="F261">
            <v>1441</v>
          </cell>
          <cell r="G261">
            <v>561.5</v>
          </cell>
          <cell r="H261">
            <v>720.5</v>
          </cell>
          <cell r="I261">
            <v>641</v>
          </cell>
          <cell r="J261">
            <v>641</v>
          </cell>
          <cell r="K261">
            <v>641</v>
          </cell>
          <cell r="L261">
            <v>641</v>
          </cell>
          <cell r="M261">
            <v>561.5</v>
          </cell>
          <cell r="N261">
            <v>720.5</v>
          </cell>
          <cell r="O261">
            <v>641</v>
          </cell>
          <cell r="P261">
            <v>583.48</v>
          </cell>
          <cell r="Q261">
            <v>9234.48</v>
          </cell>
        </row>
        <row r="262">
          <cell r="A262">
            <v>52065</v>
          </cell>
          <cell r="B262" t="str">
            <v>Vacation Pay</v>
          </cell>
          <cell r="E262">
            <v>1511.38</v>
          </cell>
          <cell r="F262">
            <v>-838.54</v>
          </cell>
          <cell r="G262">
            <v>2800.68</v>
          </cell>
          <cell r="H262">
            <v>381.27</v>
          </cell>
          <cell r="I262">
            <v>800.29</v>
          </cell>
          <cell r="J262">
            <v>1912.65</v>
          </cell>
          <cell r="K262">
            <v>745.69</v>
          </cell>
          <cell r="L262">
            <v>1755.74</v>
          </cell>
          <cell r="M262">
            <v>996.88</v>
          </cell>
          <cell r="N262">
            <v>1492.04</v>
          </cell>
          <cell r="O262">
            <v>2476.17</v>
          </cell>
          <cell r="P262">
            <v>1846.32</v>
          </cell>
          <cell r="Q262">
            <v>15880.569999999998</v>
          </cell>
        </row>
        <row r="263">
          <cell r="A263">
            <v>52070</v>
          </cell>
          <cell r="B263" t="str">
            <v>Sick Pay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</row>
        <row r="264">
          <cell r="A264">
            <v>52086</v>
          </cell>
          <cell r="B264" t="str">
            <v>Safety and Training</v>
          </cell>
          <cell r="E264">
            <v>104.55</v>
          </cell>
          <cell r="F264">
            <v>112.64</v>
          </cell>
          <cell r="G264">
            <v>154.71</v>
          </cell>
          <cell r="H264">
            <v>299.60000000000002</v>
          </cell>
          <cell r="I264">
            <v>846.98</v>
          </cell>
          <cell r="J264">
            <v>185.38</v>
          </cell>
          <cell r="K264">
            <v>78.989999999999995</v>
          </cell>
          <cell r="L264">
            <v>145.65</v>
          </cell>
          <cell r="M264">
            <v>0</v>
          </cell>
          <cell r="N264">
            <v>876.33</v>
          </cell>
          <cell r="O264">
            <v>-395.59</v>
          </cell>
          <cell r="P264">
            <v>1720.49</v>
          </cell>
          <cell r="Q264">
            <v>4129.7300000000005</v>
          </cell>
        </row>
        <row r="265">
          <cell r="A265">
            <v>52087</v>
          </cell>
          <cell r="B265" t="str">
            <v>Drug Screening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</row>
        <row r="266">
          <cell r="A266">
            <v>52090</v>
          </cell>
          <cell r="B266" t="str">
            <v>Uniforms</v>
          </cell>
          <cell r="E266">
            <v>1040.42</v>
          </cell>
          <cell r="F266">
            <v>1033.9000000000001</v>
          </cell>
          <cell r="G266">
            <v>1397.48</v>
          </cell>
          <cell r="H266">
            <v>1377.31</v>
          </cell>
          <cell r="I266">
            <v>475.1</v>
          </cell>
          <cell r="J266">
            <v>1617.7</v>
          </cell>
          <cell r="K266">
            <v>910.5</v>
          </cell>
          <cell r="L266">
            <v>1633.6</v>
          </cell>
          <cell r="M266">
            <v>1021.73</v>
          </cell>
          <cell r="N266">
            <v>756.54</v>
          </cell>
          <cell r="O266">
            <v>828.81</v>
          </cell>
          <cell r="P266">
            <v>987.61</v>
          </cell>
          <cell r="Q266">
            <v>13080.699999999999</v>
          </cell>
        </row>
        <row r="267">
          <cell r="A267">
            <v>52115</v>
          </cell>
          <cell r="B267" t="str">
            <v>Pension and Profit Sharing</v>
          </cell>
          <cell r="E267">
            <v>2995.29</v>
          </cell>
          <cell r="F267">
            <v>2862.61</v>
          </cell>
          <cell r="G267">
            <v>3299.63</v>
          </cell>
          <cell r="H267">
            <v>2999.06</v>
          </cell>
          <cell r="I267">
            <v>2963.05</v>
          </cell>
          <cell r="J267">
            <v>2934</v>
          </cell>
          <cell r="K267">
            <v>2846.98</v>
          </cell>
          <cell r="L267">
            <v>2774.57</v>
          </cell>
          <cell r="M267">
            <v>2785.85</v>
          </cell>
          <cell r="N267">
            <v>2807.65</v>
          </cell>
          <cell r="O267">
            <v>2756.7</v>
          </cell>
          <cell r="P267">
            <v>2412.85</v>
          </cell>
          <cell r="Q267">
            <v>34438.239999999998</v>
          </cell>
        </row>
        <row r="268">
          <cell r="A268">
            <v>52116</v>
          </cell>
          <cell r="B268" t="str">
            <v>Union Benefit Expense</v>
          </cell>
          <cell r="E268">
            <v>7876.76</v>
          </cell>
          <cell r="F268">
            <v>7880.62</v>
          </cell>
          <cell r="G268">
            <v>7872.8</v>
          </cell>
          <cell r="H268">
            <v>7884.58</v>
          </cell>
          <cell r="I268">
            <v>7878.69</v>
          </cell>
          <cell r="J268">
            <v>7878.69</v>
          </cell>
          <cell r="K268">
            <v>7881.97</v>
          </cell>
          <cell r="L268">
            <v>6752.1</v>
          </cell>
          <cell r="M268">
            <v>6747.85</v>
          </cell>
          <cell r="N268">
            <v>6756.35</v>
          </cell>
          <cell r="O268">
            <v>7182.94</v>
          </cell>
          <cell r="P268">
            <v>7779.69</v>
          </cell>
          <cell r="Q268">
            <v>90373.040000000023</v>
          </cell>
        </row>
        <row r="269">
          <cell r="A269">
            <v>52117</v>
          </cell>
          <cell r="B269" t="str">
            <v>Union Pension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</row>
        <row r="270">
          <cell r="A270">
            <v>52120</v>
          </cell>
          <cell r="B270" t="str">
            <v>Parts and Materials</v>
          </cell>
          <cell r="E270">
            <v>13715.59</v>
          </cell>
          <cell r="F270">
            <v>21102.71</v>
          </cell>
          <cell r="G270">
            <v>18678.920000000006</v>
          </cell>
          <cell r="H270">
            <v>30064.99</v>
          </cell>
          <cell r="I270">
            <v>11133.51</v>
          </cell>
          <cell r="J270">
            <v>9706.94</v>
          </cell>
          <cell r="K270">
            <v>12873.069999999998</v>
          </cell>
          <cell r="L270">
            <v>12811.720000000001</v>
          </cell>
          <cell r="M270">
            <v>13514.23</v>
          </cell>
          <cell r="N270">
            <v>8953.7200000000012</v>
          </cell>
          <cell r="O270">
            <v>16547.27</v>
          </cell>
          <cell r="P270">
            <v>15817.25</v>
          </cell>
          <cell r="Q270">
            <v>184919.91999999998</v>
          </cell>
        </row>
        <row r="271">
          <cell r="A271">
            <v>52125</v>
          </cell>
          <cell r="B271" t="str">
            <v>Operating Supplies</v>
          </cell>
          <cell r="E271">
            <v>568.15</v>
          </cell>
          <cell r="F271">
            <v>288.02999999999997</v>
          </cell>
          <cell r="G271">
            <v>385.62</v>
          </cell>
          <cell r="H271">
            <v>179.18</v>
          </cell>
          <cell r="I271">
            <v>339.98</v>
          </cell>
          <cell r="J271">
            <v>264.08</v>
          </cell>
          <cell r="K271">
            <v>131.13</v>
          </cell>
          <cell r="L271">
            <v>13.55</v>
          </cell>
          <cell r="M271">
            <v>9.8699999999999992</v>
          </cell>
          <cell r="N271">
            <v>372.92</v>
          </cell>
          <cell r="O271">
            <v>819.61</v>
          </cell>
          <cell r="P271">
            <v>414.71</v>
          </cell>
          <cell r="Q271">
            <v>3786.8300000000004</v>
          </cell>
        </row>
        <row r="272">
          <cell r="A272">
            <v>52135</v>
          </cell>
          <cell r="B272" t="str">
            <v>Equipment and Maint Repair</v>
          </cell>
          <cell r="E272">
            <v>0</v>
          </cell>
          <cell r="F272">
            <v>0</v>
          </cell>
          <cell r="G272">
            <v>149.16</v>
          </cell>
          <cell r="H272">
            <v>681.98</v>
          </cell>
          <cell r="I272">
            <v>545.25</v>
          </cell>
          <cell r="J272">
            <v>332.59</v>
          </cell>
          <cell r="K272">
            <v>984.37</v>
          </cell>
          <cell r="L272">
            <v>173.37</v>
          </cell>
          <cell r="M272">
            <v>0</v>
          </cell>
          <cell r="N272">
            <v>156.19999999999999</v>
          </cell>
          <cell r="O272">
            <v>-156.19999999999999</v>
          </cell>
          <cell r="P272">
            <v>27.01</v>
          </cell>
          <cell r="Q272">
            <v>2893.73</v>
          </cell>
        </row>
        <row r="273">
          <cell r="A273">
            <v>52140</v>
          </cell>
          <cell r="B273" t="str">
            <v>Tires</v>
          </cell>
          <cell r="E273">
            <v>11282.69</v>
          </cell>
          <cell r="F273">
            <v>1664.63</v>
          </cell>
          <cell r="G273">
            <v>5175.3999999999996</v>
          </cell>
          <cell r="H273">
            <v>8753.43</v>
          </cell>
          <cell r="I273">
            <v>9084.64</v>
          </cell>
          <cell r="J273">
            <v>1370.04</v>
          </cell>
          <cell r="K273">
            <v>8864.5</v>
          </cell>
          <cell r="L273">
            <v>438.2</v>
          </cell>
          <cell r="M273">
            <v>5010.1400000000003</v>
          </cell>
          <cell r="N273">
            <v>1896.06</v>
          </cell>
          <cell r="O273">
            <v>7161.25</v>
          </cell>
          <cell r="P273">
            <v>3395.56</v>
          </cell>
          <cell r="Q273">
            <v>64096.539999999994</v>
          </cell>
        </row>
        <row r="274">
          <cell r="A274">
            <v>52142</v>
          </cell>
          <cell r="B274" t="str">
            <v>Fuel Expense</v>
          </cell>
          <cell r="E274">
            <v>54158.289999999994</v>
          </cell>
          <cell r="F274">
            <v>50956.94</v>
          </cell>
          <cell r="G274">
            <v>60111.49</v>
          </cell>
          <cell r="H274">
            <v>62505</v>
          </cell>
          <cell r="I274">
            <v>58155.18</v>
          </cell>
          <cell r="J274">
            <v>61304.36</v>
          </cell>
          <cell r="K274">
            <v>60908.59</v>
          </cell>
          <cell r="L274">
            <v>64096.240000000005</v>
          </cell>
          <cell r="M274">
            <v>63144.08</v>
          </cell>
          <cell r="N274">
            <v>63868.340000000004</v>
          </cell>
          <cell r="O274">
            <v>56605.93</v>
          </cell>
          <cell r="P274">
            <v>67191.64</v>
          </cell>
          <cell r="Q274">
            <v>723006.08</v>
          </cell>
        </row>
        <row r="275">
          <cell r="A275">
            <v>52143</v>
          </cell>
          <cell r="B275" t="str">
            <v>Transmontagne Fuel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</row>
        <row r="276">
          <cell r="A276">
            <v>52144</v>
          </cell>
          <cell r="B276" t="str">
            <v>Urea Expense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</row>
        <row r="277">
          <cell r="A277">
            <v>52146</v>
          </cell>
          <cell r="B277" t="str">
            <v>Oil and Grease</v>
          </cell>
          <cell r="E277">
            <v>3179.71</v>
          </cell>
          <cell r="F277">
            <v>7401.66</v>
          </cell>
          <cell r="G277">
            <v>5696.15</v>
          </cell>
          <cell r="H277">
            <v>6990.25</v>
          </cell>
          <cell r="I277">
            <v>4918.58</v>
          </cell>
          <cell r="J277">
            <v>3341.27</v>
          </cell>
          <cell r="K277">
            <v>1599.94</v>
          </cell>
          <cell r="L277">
            <v>9095.31</v>
          </cell>
          <cell r="M277">
            <v>5629.35</v>
          </cell>
          <cell r="N277">
            <v>4937.97</v>
          </cell>
          <cell r="O277">
            <v>5285.37</v>
          </cell>
          <cell r="P277">
            <v>5402.36</v>
          </cell>
          <cell r="Q277">
            <v>63477.919999999998</v>
          </cell>
        </row>
        <row r="278">
          <cell r="A278">
            <v>52147</v>
          </cell>
          <cell r="B278" t="str">
            <v>Outside Repairs</v>
          </cell>
          <cell r="E278">
            <v>2520.1099999999997</v>
          </cell>
          <cell r="F278">
            <v>148.44</v>
          </cell>
          <cell r="G278">
            <v>4753.75</v>
          </cell>
          <cell r="H278">
            <v>2049.4</v>
          </cell>
          <cell r="I278">
            <v>568.04999999999995</v>
          </cell>
          <cell r="J278">
            <v>4319.34</v>
          </cell>
          <cell r="K278">
            <v>3088.65</v>
          </cell>
          <cell r="L278">
            <v>4131.92</v>
          </cell>
          <cell r="M278">
            <v>939.12</v>
          </cell>
          <cell r="N278">
            <v>4227.5600000000004</v>
          </cell>
          <cell r="O278">
            <v>38.909999999999997</v>
          </cell>
          <cell r="P278">
            <v>448.88</v>
          </cell>
          <cell r="Q278">
            <v>27234.129999999997</v>
          </cell>
        </row>
        <row r="279">
          <cell r="A279">
            <v>52148</v>
          </cell>
          <cell r="B279" t="str">
            <v>Allocated Exp In - District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</row>
        <row r="280">
          <cell r="A280">
            <v>52149</v>
          </cell>
          <cell r="B280" t="str">
            <v>Allocated Exp In Out - District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</row>
        <row r="281">
          <cell r="A281">
            <v>52150</v>
          </cell>
          <cell r="B281" t="str">
            <v>Utilities</v>
          </cell>
          <cell r="E281">
            <v>1060.3800000000001</v>
          </cell>
          <cell r="F281">
            <v>764.22</v>
          </cell>
          <cell r="G281">
            <v>713.08</v>
          </cell>
          <cell r="H281">
            <v>617.6</v>
          </cell>
          <cell r="I281">
            <v>412.22</v>
          </cell>
          <cell r="J281">
            <v>355.41</v>
          </cell>
          <cell r="K281">
            <v>1187.46</v>
          </cell>
          <cell r="L281">
            <v>314.74</v>
          </cell>
          <cell r="M281">
            <v>291.92</v>
          </cell>
          <cell r="N281">
            <v>296.52999999999997</v>
          </cell>
          <cell r="O281">
            <v>545.01</v>
          </cell>
          <cell r="P281">
            <v>997.3</v>
          </cell>
          <cell r="Q281">
            <v>7555.87</v>
          </cell>
        </row>
        <row r="282">
          <cell r="A282">
            <v>52165</v>
          </cell>
          <cell r="B282" t="str">
            <v>Communications</v>
          </cell>
          <cell r="E282">
            <v>497.52</v>
          </cell>
          <cell r="F282">
            <v>509.58</v>
          </cell>
          <cell r="G282">
            <v>521.71</v>
          </cell>
          <cell r="H282">
            <v>497.47</v>
          </cell>
          <cell r="I282">
            <v>622.69000000000005</v>
          </cell>
          <cell r="J282">
            <v>534.09</v>
          </cell>
          <cell r="K282">
            <v>-388.32</v>
          </cell>
          <cell r="L282">
            <v>662.93</v>
          </cell>
          <cell r="M282">
            <v>678.76</v>
          </cell>
          <cell r="N282">
            <v>509.78</v>
          </cell>
          <cell r="O282">
            <v>678.67</v>
          </cell>
          <cell r="P282">
            <v>546.71</v>
          </cell>
          <cell r="Q282">
            <v>5871.59</v>
          </cell>
        </row>
        <row r="283">
          <cell r="A283">
            <v>52170</v>
          </cell>
          <cell r="B283" t="str">
            <v>Real Estate Rentals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</row>
        <row r="284">
          <cell r="A284">
            <v>52172</v>
          </cell>
          <cell r="B284" t="str">
            <v>Chassis Lease Expense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</row>
        <row r="285">
          <cell r="A285">
            <v>52175</v>
          </cell>
          <cell r="B285" t="str">
            <v>Equip/Vehicle Rental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</row>
        <row r="286">
          <cell r="A286">
            <v>52181</v>
          </cell>
          <cell r="B286" t="str">
            <v>Freight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</row>
        <row r="287">
          <cell r="A287">
            <v>52182</v>
          </cell>
          <cell r="B287" t="str">
            <v>Towing Expense</v>
          </cell>
          <cell r="E287">
            <v>243.9</v>
          </cell>
          <cell r="F287">
            <v>678.32</v>
          </cell>
          <cell r="G287">
            <v>518.41999999999996</v>
          </cell>
          <cell r="H287">
            <v>0</v>
          </cell>
          <cell r="I287">
            <v>0</v>
          </cell>
          <cell r="J287">
            <v>271</v>
          </cell>
          <cell r="K287">
            <v>0</v>
          </cell>
          <cell r="L287">
            <v>211.38</v>
          </cell>
          <cell r="M287">
            <v>563.67999999999995</v>
          </cell>
          <cell r="N287">
            <v>0</v>
          </cell>
          <cell r="O287">
            <v>0</v>
          </cell>
          <cell r="P287">
            <v>243.9</v>
          </cell>
          <cell r="Q287">
            <v>2730.6</v>
          </cell>
        </row>
        <row r="288">
          <cell r="A288">
            <v>52185</v>
          </cell>
          <cell r="B288" t="str">
            <v>Travel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397.98</v>
          </cell>
          <cell r="O288">
            <v>-397.98</v>
          </cell>
          <cell r="P288">
            <v>0</v>
          </cell>
          <cell r="Q288">
            <v>0</v>
          </cell>
        </row>
        <row r="289">
          <cell r="A289">
            <v>52200</v>
          </cell>
          <cell r="B289" t="str">
            <v>Office Supply and Equip</v>
          </cell>
          <cell r="E289">
            <v>100.76</v>
          </cell>
          <cell r="F289">
            <v>168.31</v>
          </cell>
          <cell r="G289">
            <v>81.760000000000005</v>
          </cell>
          <cell r="H289">
            <v>538.53</v>
          </cell>
          <cell r="I289">
            <v>50.95</v>
          </cell>
          <cell r="J289">
            <v>51.81</v>
          </cell>
          <cell r="K289">
            <v>0</v>
          </cell>
          <cell r="L289">
            <v>226.01</v>
          </cell>
          <cell r="M289">
            <v>51.5</v>
          </cell>
          <cell r="N289">
            <v>0</v>
          </cell>
          <cell r="O289">
            <v>556.91</v>
          </cell>
          <cell r="P289">
            <v>324.24</v>
          </cell>
          <cell r="Q289">
            <v>2150.7799999999997</v>
          </cell>
        </row>
        <row r="290">
          <cell r="A290">
            <v>52275</v>
          </cell>
          <cell r="B290" t="str">
            <v>Property Taxes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</row>
        <row r="291">
          <cell r="A291">
            <v>52335</v>
          </cell>
          <cell r="B291" t="str">
            <v>Miscellaneous</v>
          </cell>
          <cell r="E291">
            <v>9</v>
          </cell>
          <cell r="F291">
            <v>0</v>
          </cell>
          <cell r="G291">
            <v>4.5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13.5</v>
          </cell>
        </row>
        <row r="292">
          <cell r="A292">
            <v>52900</v>
          </cell>
          <cell r="B292" t="str">
            <v>Capitalized Costs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</row>
        <row r="293">
          <cell r="A293">
            <v>52901</v>
          </cell>
          <cell r="B293" t="str">
            <v>Costs Awaiting Capitilization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</row>
        <row r="294">
          <cell r="A294">
            <v>52998</v>
          </cell>
          <cell r="B294" t="str">
            <v>Allocation Out - District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</row>
        <row r="295">
          <cell r="A295">
            <v>52999</v>
          </cell>
          <cell r="B295" t="str">
            <v>Allocation Out - Out District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</row>
        <row r="296">
          <cell r="A296" t="str">
            <v>Total Truck Variable</v>
          </cell>
          <cell r="E296">
            <v>126472.12</v>
          </cell>
          <cell r="F296">
            <v>122567.03000000001</v>
          </cell>
          <cell r="G296">
            <v>139178.57</v>
          </cell>
          <cell r="H296">
            <v>151762.04999999999</v>
          </cell>
          <cell r="I296">
            <v>127181.98000000001</v>
          </cell>
          <cell r="J296">
            <v>125282.85</v>
          </cell>
          <cell r="K296">
            <v>127964.48999999999</v>
          </cell>
          <cell r="L296">
            <v>128791.74</v>
          </cell>
          <cell r="M296">
            <v>125167.81</v>
          </cell>
          <cell r="N296">
            <v>121736.34</v>
          </cell>
          <cell r="O296">
            <v>127259.88000000002</v>
          </cell>
          <cell r="P296">
            <v>136649.02999999997</v>
          </cell>
          <cell r="Q296">
            <v>1560013.8900000001</v>
          </cell>
        </row>
        <row r="298">
          <cell r="A298" t="str">
            <v>Container</v>
          </cell>
        </row>
        <row r="299">
          <cell r="A299">
            <v>54148</v>
          </cell>
          <cell r="B299" t="str">
            <v>Allocation In - District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</row>
        <row r="300">
          <cell r="A300">
            <v>54149</v>
          </cell>
          <cell r="B300" t="str">
            <v>Allocation In - Out District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</row>
        <row r="301">
          <cell r="A301">
            <v>54175</v>
          </cell>
          <cell r="B301" t="str">
            <v>Equipment/Vehicle Rental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</row>
        <row r="302">
          <cell r="A302">
            <v>54275</v>
          </cell>
          <cell r="B302" t="str">
            <v>Property Taxes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</row>
        <row r="303">
          <cell r="A303">
            <v>54335</v>
          </cell>
          <cell r="B303" t="str">
            <v>Miscellaneous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</row>
        <row r="304">
          <cell r="A304">
            <v>54998</v>
          </cell>
          <cell r="B304" t="str">
            <v>Allocation Out - District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</row>
        <row r="305">
          <cell r="A305">
            <v>54999</v>
          </cell>
          <cell r="B305" t="str">
            <v>Allocation Out - Out District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</row>
        <row r="306">
          <cell r="A306">
            <v>55010</v>
          </cell>
          <cell r="B306" t="str">
            <v>Salaries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</row>
        <row r="307">
          <cell r="A307">
            <v>55020</v>
          </cell>
          <cell r="B307" t="str">
            <v>Wages Regular</v>
          </cell>
          <cell r="E307">
            <v>10121.69</v>
          </cell>
          <cell r="F307">
            <v>8242.4699999999993</v>
          </cell>
          <cell r="G307">
            <v>12061.67</v>
          </cell>
          <cell r="H307">
            <v>10915.7</v>
          </cell>
          <cell r="I307">
            <v>8008.44</v>
          </cell>
          <cell r="J307">
            <v>8531.7900000000009</v>
          </cell>
          <cell r="K307">
            <v>9525.08</v>
          </cell>
          <cell r="L307">
            <v>11641.49</v>
          </cell>
          <cell r="M307">
            <v>9358.9</v>
          </cell>
          <cell r="N307">
            <v>9463.3700000000008</v>
          </cell>
          <cell r="O307">
            <v>10355.24</v>
          </cell>
          <cell r="P307">
            <v>9802.01</v>
          </cell>
          <cell r="Q307">
            <v>118027.84999999999</v>
          </cell>
        </row>
        <row r="308">
          <cell r="A308">
            <v>55025</v>
          </cell>
          <cell r="B308" t="str">
            <v>Wages O.T.</v>
          </cell>
          <cell r="E308">
            <v>636.62</v>
          </cell>
          <cell r="F308">
            <v>425.9</v>
          </cell>
          <cell r="G308">
            <v>278.45999999999998</v>
          </cell>
          <cell r="H308">
            <v>1269.6099999999999</v>
          </cell>
          <cell r="I308">
            <v>580.07000000000005</v>
          </cell>
          <cell r="J308">
            <v>803.54</v>
          </cell>
          <cell r="K308">
            <v>467.98</v>
          </cell>
          <cell r="L308">
            <v>832.02</v>
          </cell>
          <cell r="M308">
            <v>17.989999999999998</v>
          </cell>
          <cell r="N308">
            <v>412.16</v>
          </cell>
          <cell r="O308">
            <v>650.38</v>
          </cell>
          <cell r="P308">
            <v>65.599999999999994</v>
          </cell>
          <cell r="Q308">
            <v>6440.3300000000008</v>
          </cell>
        </row>
        <row r="309">
          <cell r="A309">
            <v>55035</v>
          </cell>
          <cell r="B309" t="str">
            <v>Safety Bonuses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</row>
        <row r="310">
          <cell r="A310">
            <v>55036</v>
          </cell>
          <cell r="B310" t="str">
            <v>Other Bonus/Commission - Non-Safety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</row>
        <row r="311">
          <cell r="A311">
            <v>55045</v>
          </cell>
          <cell r="B311" t="str">
            <v>Contract Labor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</row>
        <row r="312">
          <cell r="A312">
            <v>55050</v>
          </cell>
          <cell r="B312" t="str">
            <v>Payroll Taxes</v>
          </cell>
          <cell r="E312">
            <v>1302.32</v>
          </cell>
          <cell r="F312">
            <v>934.4</v>
          </cell>
          <cell r="G312">
            <v>1150.47</v>
          </cell>
          <cell r="H312">
            <v>1167.9000000000001</v>
          </cell>
          <cell r="I312">
            <v>860.19</v>
          </cell>
          <cell r="J312">
            <v>884.97</v>
          </cell>
          <cell r="K312">
            <v>1058.24</v>
          </cell>
          <cell r="L312">
            <v>1180.19</v>
          </cell>
          <cell r="M312">
            <v>1055.3399999999999</v>
          </cell>
          <cell r="N312">
            <v>1038.93</v>
          </cell>
          <cell r="O312">
            <v>1185.43</v>
          </cell>
          <cell r="P312">
            <v>525.12</v>
          </cell>
          <cell r="Q312">
            <v>12343.500000000002</v>
          </cell>
        </row>
        <row r="313">
          <cell r="A313">
            <v>55060</v>
          </cell>
          <cell r="B313" t="str">
            <v>Group Insurance</v>
          </cell>
          <cell r="E313">
            <v>2215</v>
          </cell>
          <cell r="F313">
            <v>2215</v>
          </cell>
          <cell r="G313">
            <v>1935</v>
          </cell>
          <cell r="H313">
            <v>2495</v>
          </cell>
          <cell r="I313">
            <v>2215</v>
          </cell>
          <cell r="J313">
            <v>1919</v>
          </cell>
          <cell r="K313">
            <v>1919</v>
          </cell>
          <cell r="L313">
            <v>1919</v>
          </cell>
          <cell r="M313">
            <v>1691</v>
          </cell>
          <cell r="N313">
            <v>2147</v>
          </cell>
          <cell r="O313">
            <v>1711</v>
          </cell>
          <cell r="P313">
            <v>2215</v>
          </cell>
          <cell r="Q313">
            <v>24596</v>
          </cell>
        </row>
        <row r="314">
          <cell r="A314">
            <v>55065</v>
          </cell>
          <cell r="B314" t="str">
            <v>Vacation Pay</v>
          </cell>
          <cell r="E314">
            <v>303.81</v>
          </cell>
          <cell r="F314">
            <v>1016.29</v>
          </cell>
          <cell r="G314">
            <v>-198.06</v>
          </cell>
          <cell r="H314">
            <v>1145.3599999999999</v>
          </cell>
          <cell r="I314">
            <v>1042.8699999999999</v>
          </cell>
          <cell r="J314">
            <v>-719.54</v>
          </cell>
          <cell r="K314">
            <v>1222.3399999999999</v>
          </cell>
          <cell r="L314">
            <v>925.15</v>
          </cell>
          <cell r="M314">
            <v>1907.53</v>
          </cell>
          <cell r="N314">
            <v>789.75</v>
          </cell>
          <cell r="O314">
            <v>394.38</v>
          </cell>
          <cell r="P314">
            <v>930.27</v>
          </cell>
          <cell r="Q314">
            <v>8760.15</v>
          </cell>
        </row>
        <row r="315">
          <cell r="A315">
            <v>55070</v>
          </cell>
          <cell r="B315" t="str">
            <v>Sick Pay</v>
          </cell>
          <cell r="E315">
            <v>255.74</v>
          </cell>
          <cell r="F315">
            <v>163.92</v>
          </cell>
          <cell r="G315">
            <v>253.25</v>
          </cell>
          <cell r="H315">
            <v>-42.31</v>
          </cell>
          <cell r="I315">
            <v>0</v>
          </cell>
          <cell r="J315">
            <v>317.39999999999998</v>
          </cell>
          <cell r="K315">
            <v>165.6</v>
          </cell>
          <cell r="L315">
            <v>-138</v>
          </cell>
          <cell r="M315">
            <v>138</v>
          </cell>
          <cell r="N315">
            <v>216.36</v>
          </cell>
          <cell r="O315">
            <v>0</v>
          </cell>
          <cell r="P315">
            <v>317.60000000000002</v>
          </cell>
          <cell r="Q315">
            <v>1647.56</v>
          </cell>
        </row>
        <row r="316">
          <cell r="A316">
            <v>55086</v>
          </cell>
          <cell r="B316" t="str">
            <v>Safety and Training</v>
          </cell>
          <cell r="E316">
            <v>0</v>
          </cell>
          <cell r="F316">
            <v>0</v>
          </cell>
          <cell r="G316">
            <v>0</v>
          </cell>
          <cell r="H316">
            <v>34.299999999999997</v>
          </cell>
          <cell r="I316">
            <v>29.01</v>
          </cell>
          <cell r="J316">
            <v>0</v>
          </cell>
          <cell r="K316">
            <v>0</v>
          </cell>
          <cell r="L316">
            <v>1292.83</v>
          </cell>
          <cell r="M316">
            <v>425.23</v>
          </cell>
          <cell r="N316">
            <v>50</v>
          </cell>
          <cell r="O316">
            <v>0</v>
          </cell>
          <cell r="P316">
            <v>0</v>
          </cell>
          <cell r="Q316">
            <v>1831.37</v>
          </cell>
        </row>
        <row r="317">
          <cell r="A317">
            <v>55090</v>
          </cell>
          <cell r="B317" t="str">
            <v>Uniforms</v>
          </cell>
          <cell r="E317">
            <v>711.08</v>
          </cell>
          <cell r="F317">
            <v>516.91999999999996</v>
          </cell>
          <cell r="G317">
            <v>548.66</v>
          </cell>
          <cell r="H317">
            <v>420.37</v>
          </cell>
          <cell r="I317">
            <v>237.53</v>
          </cell>
          <cell r="J317">
            <v>620.41999999999996</v>
          </cell>
          <cell r="K317">
            <v>488.2</v>
          </cell>
          <cell r="L317">
            <v>1071.5999999999999</v>
          </cell>
          <cell r="M317">
            <v>360.8</v>
          </cell>
          <cell r="N317">
            <v>378.21</v>
          </cell>
          <cell r="O317">
            <v>414.33</v>
          </cell>
          <cell r="P317">
            <v>378.31</v>
          </cell>
          <cell r="Q317">
            <v>6146.43</v>
          </cell>
        </row>
        <row r="318">
          <cell r="A318">
            <v>55115</v>
          </cell>
          <cell r="B318" t="str">
            <v>Pension and Profit Sharing</v>
          </cell>
          <cell r="E318">
            <v>75.61</v>
          </cell>
          <cell r="F318">
            <v>80.2</v>
          </cell>
          <cell r="G318">
            <v>115.17</v>
          </cell>
          <cell r="H318">
            <v>81.77</v>
          </cell>
          <cell r="I318">
            <v>90.46</v>
          </cell>
          <cell r="J318">
            <v>86.97</v>
          </cell>
          <cell r="K318">
            <v>86.46</v>
          </cell>
          <cell r="L318">
            <v>85.09</v>
          </cell>
          <cell r="M318">
            <v>75.69</v>
          </cell>
          <cell r="N318">
            <v>120.4</v>
          </cell>
          <cell r="O318">
            <v>78.64</v>
          </cell>
          <cell r="P318">
            <v>73.08</v>
          </cell>
          <cell r="Q318">
            <v>1049.54</v>
          </cell>
        </row>
        <row r="319">
          <cell r="A319">
            <v>55116</v>
          </cell>
          <cell r="B319" t="str">
            <v>Union Benefit Expense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</row>
        <row r="320">
          <cell r="A320">
            <v>55117</v>
          </cell>
          <cell r="B320" t="str">
            <v>Union Pension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</row>
        <row r="321">
          <cell r="A321">
            <v>55120</v>
          </cell>
          <cell r="B321" t="str">
            <v>Parts and Materials</v>
          </cell>
          <cell r="E321">
            <v>6822.4</v>
          </cell>
          <cell r="F321">
            <v>7408.98</v>
          </cell>
          <cell r="G321">
            <v>6676.59</v>
          </cell>
          <cell r="H321">
            <v>10883.54</v>
          </cell>
          <cell r="I321">
            <v>6756.74</v>
          </cell>
          <cell r="J321">
            <v>6992.66</v>
          </cell>
          <cell r="K321">
            <v>7598.15</v>
          </cell>
          <cell r="L321">
            <v>6124.07</v>
          </cell>
          <cell r="M321">
            <v>6075.32</v>
          </cell>
          <cell r="N321">
            <v>1985.95</v>
          </cell>
          <cell r="O321">
            <v>4110.71</v>
          </cell>
          <cell r="P321">
            <v>5007.25</v>
          </cell>
          <cell r="Q321">
            <v>76442.360000000015</v>
          </cell>
        </row>
        <row r="322">
          <cell r="A322">
            <v>55125</v>
          </cell>
          <cell r="B322" t="str">
            <v>Operating Supplies</v>
          </cell>
          <cell r="E322">
            <v>208.43</v>
          </cell>
          <cell r="F322">
            <v>96</v>
          </cell>
          <cell r="G322">
            <v>0</v>
          </cell>
          <cell r="H322">
            <v>269.91000000000003</v>
          </cell>
          <cell r="I322">
            <v>134.9</v>
          </cell>
          <cell r="J322">
            <v>0</v>
          </cell>
          <cell r="K322">
            <v>0</v>
          </cell>
          <cell r="L322">
            <v>242.16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951.4</v>
          </cell>
        </row>
        <row r="323">
          <cell r="A323">
            <v>55135</v>
          </cell>
          <cell r="B323" t="str">
            <v>Equipment and Maint Repair</v>
          </cell>
          <cell r="E323">
            <v>0</v>
          </cell>
          <cell r="F323">
            <v>107.12</v>
          </cell>
          <cell r="G323">
            <v>103.06</v>
          </cell>
          <cell r="H323">
            <v>127.6</v>
          </cell>
          <cell r="I323">
            <v>177.2</v>
          </cell>
          <cell r="J323">
            <v>0</v>
          </cell>
          <cell r="K323">
            <v>402.9</v>
          </cell>
          <cell r="L323">
            <v>0</v>
          </cell>
          <cell r="M323">
            <v>1045.6400000000001</v>
          </cell>
          <cell r="N323">
            <v>613.79999999999995</v>
          </cell>
          <cell r="O323">
            <v>0.01</v>
          </cell>
          <cell r="P323">
            <v>0</v>
          </cell>
          <cell r="Q323">
            <v>2577.33</v>
          </cell>
        </row>
        <row r="324">
          <cell r="A324">
            <v>55140</v>
          </cell>
          <cell r="B324" t="str">
            <v>Tires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</row>
        <row r="325">
          <cell r="A325">
            <v>55142</v>
          </cell>
          <cell r="B325" t="str">
            <v>Fuel Expense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</row>
        <row r="326">
          <cell r="A326">
            <v>55143</v>
          </cell>
          <cell r="B326" t="str">
            <v>Corporate Medical Waste Supplies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</row>
        <row r="327">
          <cell r="A327">
            <v>55146</v>
          </cell>
          <cell r="B327" t="str">
            <v>Oil and Grease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</row>
        <row r="328">
          <cell r="A328">
            <v>55147</v>
          </cell>
          <cell r="B328" t="str">
            <v>Outside Repairs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</row>
        <row r="329">
          <cell r="A329">
            <v>55148</v>
          </cell>
          <cell r="B329" t="str">
            <v>Allocated Exp In - District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</row>
        <row r="330">
          <cell r="A330">
            <v>55149</v>
          </cell>
          <cell r="B330" t="str">
            <v>Allocated Exp In Out - District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</row>
        <row r="331">
          <cell r="A331">
            <v>55150</v>
          </cell>
          <cell r="B331" t="str">
            <v>Utilities</v>
          </cell>
          <cell r="E331">
            <v>145.91</v>
          </cell>
          <cell r="F331">
            <v>170</v>
          </cell>
          <cell r="G331">
            <v>160.13999999999999</v>
          </cell>
          <cell r="H331">
            <v>153.57</v>
          </cell>
          <cell r="I331">
            <v>132.77000000000001</v>
          </cell>
          <cell r="J331">
            <v>124.01</v>
          </cell>
          <cell r="K331">
            <v>109.77</v>
          </cell>
          <cell r="L331">
            <v>522.32000000000005</v>
          </cell>
          <cell r="M331">
            <v>123.5</v>
          </cell>
          <cell r="N331">
            <v>114.69</v>
          </cell>
          <cell r="O331">
            <v>122.68</v>
          </cell>
          <cell r="P331">
            <v>122.68</v>
          </cell>
          <cell r="Q331">
            <v>2002.04</v>
          </cell>
        </row>
        <row r="332">
          <cell r="A332">
            <v>55181</v>
          </cell>
          <cell r="B332" t="str">
            <v>Freight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</row>
        <row r="333">
          <cell r="A333">
            <v>55335</v>
          </cell>
          <cell r="B333" t="str">
            <v>Miscellaneous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</row>
        <row r="334">
          <cell r="A334">
            <v>55900</v>
          </cell>
          <cell r="B334" t="str">
            <v>Capitalized Costs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</row>
        <row r="335">
          <cell r="A335">
            <v>55998</v>
          </cell>
          <cell r="B335" t="str">
            <v>Allocation Out - District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</row>
        <row r="336">
          <cell r="A336">
            <v>55999</v>
          </cell>
          <cell r="B336" t="str">
            <v>Allocation Out - Out District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</row>
        <row r="337">
          <cell r="A337" t="str">
            <v>Total Container</v>
          </cell>
          <cell r="E337">
            <v>22798.61</v>
          </cell>
          <cell r="F337">
            <v>21377.199999999997</v>
          </cell>
          <cell r="G337">
            <v>23084.41</v>
          </cell>
          <cell r="H337">
            <v>28922.319999999996</v>
          </cell>
          <cell r="I337">
            <v>20265.18</v>
          </cell>
          <cell r="J337">
            <v>19561.219999999998</v>
          </cell>
          <cell r="K337">
            <v>23043.72</v>
          </cell>
          <cell r="L337">
            <v>25697.919999999998</v>
          </cell>
          <cell r="M337">
            <v>22274.94</v>
          </cell>
          <cell r="N337">
            <v>17330.62</v>
          </cell>
          <cell r="O337">
            <v>19022.799999999996</v>
          </cell>
          <cell r="P337">
            <v>19436.920000000002</v>
          </cell>
          <cell r="Q337">
            <v>262815.86</v>
          </cell>
        </row>
        <row r="339">
          <cell r="A339" t="str">
            <v>Supervisor</v>
          </cell>
        </row>
        <row r="340">
          <cell r="A340">
            <v>56010</v>
          </cell>
          <cell r="B340" t="str">
            <v>Salaries</v>
          </cell>
          <cell r="E340">
            <v>21484.6</v>
          </cell>
          <cell r="F340">
            <v>20461.52</v>
          </cell>
          <cell r="G340">
            <v>23530.74</v>
          </cell>
          <cell r="H340">
            <v>22507.68</v>
          </cell>
          <cell r="I340">
            <v>21484.6</v>
          </cell>
          <cell r="J340">
            <v>22507.66</v>
          </cell>
          <cell r="K340">
            <v>22636.52</v>
          </cell>
          <cell r="L340">
            <v>22649.4</v>
          </cell>
          <cell r="M340">
            <v>22649.39</v>
          </cell>
          <cell r="N340">
            <v>21768.59</v>
          </cell>
          <cell r="O340">
            <v>22733.7</v>
          </cell>
          <cell r="P340">
            <v>23898.34</v>
          </cell>
          <cell r="Q340">
            <v>268312.74</v>
          </cell>
        </row>
        <row r="341">
          <cell r="A341">
            <v>56020</v>
          </cell>
          <cell r="B341" t="str">
            <v>Wages Regular</v>
          </cell>
          <cell r="E341">
            <v>4948.7299999999996</v>
          </cell>
          <cell r="F341">
            <v>4243.8599999999997</v>
          </cell>
          <cell r="G341">
            <v>5249.43</v>
          </cell>
          <cell r="H341">
            <v>5618.66</v>
          </cell>
          <cell r="I341">
            <v>4920.93</v>
          </cell>
          <cell r="J341">
            <v>5799.39</v>
          </cell>
          <cell r="K341">
            <v>5404.71</v>
          </cell>
          <cell r="L341">
            <v>5365.56</v>
          </cell>
          <cell r="M341">
            <v>4903.59</v>
          </cell>
          <cell r="N341">
            <v>5263.01</v>
          </cell>
          <cell r="O341">
            <v>5800.6</v>
          </cell>
          <cell r="P341">
            <v>5428.54</v>
          </cell>
          <cell r="Q341">
            <v>62947.01</v>
          </cell>
        </row>
        <row r="342">
          <cell r="A342">
            <v>56025</v>
          </cell>
          <cell r="B342" t="str">
            <v>Wages O.T.</v>
          </cell>
          <cell r="E342">
            <v>515.38</v>
          </cell>
          <cell r="F342">
            <v>23.34</v>
          </cell>
          <cell r="G342">
            <v>199.47</v>
          </cell>
          <cell r="H342">
            <v>439.74</v>
          </cell>
          <cell r="I342">
            <v>937.69</v>
          </cell>
          <cell r="J342">
            <v>676.04</v>
          </cell>
          <cell r="K342">
            <v>89.23</v>
          </cell>
          <cell r="L342">
            <v>691.05</v>
          </cell>
          <cell r="M342">
            <v>707.32</v>
          </cell>
          <cell r="N342">
            <v>322.20999999999998</v>
          </cell>
          <cell r="O342">
            <v>737.63</v>
          </cell>
          <cell r="P342">
            <v>791.29</v>
          </cell>
          <cell r="Q342">
            <v>6130.3899999999994</v>
          </cell>
        </row>
        <row r="343">
          <cell r="A343">
            <v>56035</v>
          </cell>
          <cell r="B343" t="str">
            <v>Safety Bonuses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</row>
        <row r="344">
          <cell r="A344">
            <v>56036</v>
          </cell>
          <cell r="B344" t="str">
            <v>Other Bonus/Commission - Non-Safety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</row>
        <row r="345">
          <cell r="A345">
            <v>56037</v>
          </cell>
          <cell r="B345" t="str">
            <v>Termination Pay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</row>
        <row r="346">
          <cell r="A346">
            <v>56045</v>
          </cell>
          <cell r="B346" t="str">
            <v>Contract Labor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</row>
        <row r="347">
          <cell r="A347">
            <v>56050</v>
          </cell>
          <cell r="B347" t="str">
            <v>Payroll Taxes</v>
          </cell>
          <cell r="E347">
            <v>3178.64</v>
          </cell>
          <cell r="F347">
            <v>2251.66</v>
          </cell>
          <cell r="G347">
            <v>2524.9499999999998</v>
          </cell>
          <cell r="H347">
            <v>2497.5100000000002</v>
          </cell>
          <cell r="I347">
            <v>2309.15</v>
          </cell>
          <cell r="J347">
            <v>2588.5</v>
          </cell>
          <cell r="K347">
            <v>2219.94</v>
          </cell>
          <cell r="L347">
            <v>1586.57</v>
          </cell>
          <cell r="M347">
            <v>1804.92</v>
          </cell>
          <cell r="N347">
            <v>1787.26</v>
          </cell>
          <cell r="O347">
            <v>1971.2</v>
          </cell>
          <cell r="P347">
            <v>1725.76</v>
          </cell>
          <cell r="Q347">
            <v>26446.059999999994</v>
          </cell>
        </row>
        <row r="348">
          <cell r="A348">
            <v>56060</v>
          </cell>
          <cell r="B348" t="str">
            <v>Group Insurance</v>
          </cell>
          <cell r="E348">
            <v>2508.5</v>
          </cell>
          <cell r="F348">
            <v>2315.5</v>
          </cell>
          <cell r="G348">
            <v>2043</v>
          </cell>
          <cell r="H348">
            <v>2781</v>
          </cell>
          <cell r="I348">
            <v>2412</v>
          </cell>
          <cell r="J348">
            <v>1237</v>
          </cell>
          <cell r="K348">
            <v>1237</v>
          </cell>
          <cell r="L348">
            <v>1237</v>
          </cell>
          <cell r="M348">
            <v>868</v>
          </cell>
          <cell r="N348">
            <v>1606</v>
          </cell>
          <cell r="O348">
            <v>1237</v>
          </cell>
          <cell r="P348">
            <v>1237</v>
          </cell>
          <cell r="Q348">
            <v>20719</v>
          </cell>
        </row>
        <row r="349">
          <cell r="A349">
            <v>56065</v>
          </cell>
          <cell r="B349" t="str">
            <v>Vacation Pay</v>
          </cell>
          <cell r="E349">
            <v>2015.83</v>
          </cell>
          <cell r="F349">
            <v>1112.7</v>
          </cell>
          <cell r="G349">
            <v>1240.4000000000001</v>
          </cell>
          <cell r="H349">
            <v>1221.3699999999999</v>
          </cell>
          <cell r="I349">
            <v>1789.21</v>
          </cell>
          <cell r="J349">
            <v>2096.9899999999998</v>
          </cell>
          <cell r="K349">
            <v>-3773.2</v>
          </cell>
          <cell r="L349">
            <v>-940.29</v>
          </cell>
          <cell r="M349">
            <v>2549.7399999999998</v>
          </cell>
          <cell r="N349">
            <v>360.95</v>
          </cell>
          <cell r="O349">
            <v>2162.4499999999998</v>
          </cell>
          <cell r="P349">
            <v>2200.5700000000002</v>
          </cell>
          <cell r="Q349">
            <v>12036.72</v>
          </cell>
        </row>
        <row r="350">
          <cell r="A350">
            <v>56070</v>
          </cell>
          <cell r="B350" t="str">
            <v>Sick Pay</v>
          </cell>
          <cell r="E350">
            <v>-88.92</v>
          </cell>
          <cell r="F350">
            <v>208.16</v>
          </cell>
          <cell r="G350">
            <v>-102.08</v>
          </cell>
          <cell r="H350">
            <v>0</v>
          </cell>
          <cell r="I350">
            <v>487.17</v>
          </cell>
          <cell r="J350">
            <v>-182.69</v>
          </cell>
          <cell r="K350">
            <v>304.48</v>
          </cell>
          <cell r="L350">
            <v>182.69</v>
          </cell>
          <cell r="M350">
            <v>124.67</v>
          </cell>
          <cell r="N350">
            <v>66.48</v>
          </cell>
          <cell r="O350">
            <v>0</v>
          </cell>
          <cell r="P350">
            <v>0</v>
          </cell>
          <cell r="Q350">
            <v>999.96000000000015</v>
          </cell>
        </row>
        <row r="351">
          <cell r="A351">
            <v>56086</v>
          </cell>
          <cell r="B351" t="str">
            <v>Safety and Training</v>
          </cell>
          <cell r="E351">
            <v>86.34</v>
          </cell>
          <cell r="F351">
            <v>16.23</v>
          </cell>
          <cell r="G351">
            <v>31.23</v>
          </cell>
          <cell r="H351">
            <v>21.48</v>
          </cell>
          <cell r="I351">
            <v>0</v>
          </cell>
          <cell r="J351">
            <v>64.92</v>
          </cell>
          <cell r="K351">
            <v>0</v>
          </cell>
          <cell r="L351">
            <v>80.650000000000006</v>
          </cell>
          <cell r="M351">
            <v>0</v>
          </cell>
          <cell r="N351">
            <v>121.71</v>
          </cell>
          <cell r="O351">
            <v>0</v>
          </cell>
          <cell r="P351">
            <v>0</v>
          </cell>
          <cell r="Q351">
            <v>422.56</v>
          </cell>
        </row>
        <row r="352">
          <cell r="A352">
            <v>56090</v>
          </cell>
          <cell r="B352" t="str">
            <v>Uniforms</v>
          </cell>
          <cell r="E352">
            <v>356.19</v>
          </cell>
          <cell r="F352">
            <v>519.97</v>
          </cell>
          <cell r="G352">
            <v>1421.43</v>
          </cell>
          <cell r="H352">
            <v>967.63</v>
          </cell>
          <cell r="I352">
            <v>1153.95</v>
          </cell>
          <cell r="J352">
            <v>1314.26</v>
          </cell>
          <cell r="K352">
            <v>1629.69</v>
          </cell>
          <cell r="L352">
            <v>1082.08</v>
          </cell>
          <cell r="M352">
            <v>1087.67</v>
          </cell>
          <cell r="N352">
            <v>1240.51</v>
          </cell>
          <cell r="O352">
            <v>1230.1199999999999</v>
          </cell>
          <cell r="P352">
            <v>1719.85</v>
          </cell>
          <cell r="Q352">
            <v>13723.35</v>
          </cell>
        </row>
        <row r="353">
          <cell r="A353">
            <v>56095</v>
          </cell>
          <cell r="B353" t="str">
            <v>Empl &amp; Commun Activ</v>
          </cell>
          <cell r="E353">
            <v>242.51</v>
          </cell>
          <cell r="F353">
            <v>-88.98</v>
          </cell>
          <cell r="G353">
            <v>0</v>
          </cell>
          <cell r="H353">
            <v>30.82</v>
          </cell>
          <cell r="I353">
            <v>161.91999999999999</v>
          </cell>
          <cell r="J353">
            <v>154.44999999999999</v>
          </cell>
          <cell r="K353">
            <v>0</v>
          </cell>
          <cell r="L353">
            <v>81.739999999999995</v>
          </cell>
          <cell r="M353">
            <v>97.68</v>
          </cell>
          <cell r="N353">
            <v>250.97</v>
          </cell>
          <cell r="O353">
            <v>-60.35</v>
          </cell>
          <cell r="P353">
            <v>0</v>
          </cell>
          <cell r="Q353">
            <v>870.75999999999988</v>
          </cell>
        </row>
        <row r="354">
          <cell r="A354">
            <v>56105</v>
          </cell>
          <cell r="B354" t="str">
            <v>Employee Relocation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</row>
        <row r="355">
          <cell r="A355">
            <v>56108</v>
          </cell>
          <cell r="B355" t="str">
            <v>School Tuition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</row>
        <row r="356">
          <cell r="A356">
            <v>56115</v>
          </cell>
          <cell r="B356" t="str">
            <v>Pension and Profit Sharing</v>
          </cell>
          <cell r="E356">
            <v>259.32</v>
          </cell>
          <cell r="F356">
            <v>257.68</v>
          </cell>
          <cell r="G356">
            <v>386.43</v>
          </cell>
          <cell r="H356">
            <v>258.10000000000002</v>
          </cell>
          <cell r="I356">
            <v>332.41</v>
          </cell>
          <cell r="J356">
            <v>433.93</v>
          </cell>
          <cell r="K356">
            <v>427.05</v>
          </cell>
          <cell r="L356">
            <v>424.39</v>
          </cell>
          <cell r="M356">
            <v>428.34</v>
          </cell>
          <cell r="N356">
            <v>657.37</v>
          </cell>
          <cell r="O356">
            <v>545.69000000000005</v>
          </cell>
          <cell r="P356">
            <v>433.37</v>
          </cell>
          <cell r="Q356">
            <v>4844.0800000000008</v>
          </cell>
        </row>
        <row r="357">
          <cell r="A357">
            <v>56116</v>
          </cell>
          <cell r="B357" t="str">
            <v>Union Benefit Expense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</row>
        <row r="358">
          <cell r="A358">
            <v>56117</v>
          </cell>
          <cell r="B358" t="str">
            <v>Union Pension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</row>
        <row r="359">
          <cell r="A359">
            <v>56125</v>
          </cell>
          <cell r="B359" t="str">
            <v>Operating Supplies</v>
          </cell>
          <cell r="E359">
            <v>391.66</v>
          </cell>
          <cell r="F359">
            <v>526.79999999999995</v>
          </cell>
          <cell r="G359">
            <v>580.32000000000005</v>
          </cell>
          <cell r="H359">
            <v>1039.98</v>
          </cell>
          <cell r="I359">
            <v>-623.28</v>
          </cell>
          <cell r="J359">
            <v>102.55</v>
          </cell>
          <cell r="K359">
            <v>582.14</v>
          </cell>
          <cell r="L359">
            <v>366.9</v>
          </cell>
          <cell r="M359">
            <v>350.1</v>
          </cell>
          <cell r="N359">
            <v>0</v>
          </cell>
          <cell r="O359">
            <v>255.27</v>
          </cell>
          <cell r="P359">
            <v>127.61</v>
          </cell>
          <cell r="Q359">
            <v>3700.05</v>
          </cell>
        </row>
        <row r="360">
          <cell r="A360">
            <v>56140</v>
          </cell>
          <cell r="B360" t="str">
            <v>Tires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</row>
        <row r="361">
          <cell r="A361">
            <v>56142</v>
          </cell>
          <cell r="B361" t="str">
            <v>Fuel Expense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</row>
        <row r="362">
          <cell r="A362">
            <v>56148</v>
          </cell>
          <cell r="B362" t="str">
            <v>Allocated Exp In - District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</row>
        <row r="363">
          <cell r="A363">
            <v>56149</v>
          </cell>
          <cell r="B363" t="str">
            <v>Allocated Exp In Out - District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</row>
        <row r="364">
          <cell r="A364">
            <v>56165</v>
          </cell>
          <cell r="B364" t="str">
            <v>Communications</v>
          </cell>
          <cell r="E364">
            <v>1519.45</v>
          </cell>
          <cell r="F364">
            <v>1450.07</v>
          </cell>
          <cell r="G364">
            <v>1554.65</v>
          </cell>
          <cell r="H364">
            <v>4434.3500000000004</v>
          </cell>
          <cell r="I364">
            <v>-1597.73</v>
          </cell>
          <cell r="J364">
            <v>1513.67</v>
          </cell>
          <cell r="K364">
            <v>1505.33</v>
          </cell>
          <cell r="L364">
            <v>5156.7</v>
          </cell>
          <cell r="M364">
            <v>1422.01</v>
          </cell>
          <cell r="N364">
            <v>1404.71</v>
          </cell>
          <cell r="O364">
            <v>4969.07</v>
          </cell>
          <cell r="P364">
            <v>2885.81</v>
          </cell>
          <cell r="Q364">
            <v>26218.09</v>
          </cell>
        </row>
        <row r="365">
          <cell r="A365">
            <v>56200</v>
          </cell>
          <cell r="B365" t="str">
            <v>Travel</v>
          </cell>
          <cell r="E365">
            <v>0</v>
          </cell>
          <cell r="F365">
            <v>23</v>
          </cell>
          <cell r="G365">
            <v>32.75</v>
          </cell>
          <cell r="H365">
            <v>17.62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14.84</v>
          </cell>
          <cell r="O365">
            <v>-12.97</v>
          </cell>
          <cell r="P365">
            <v>0</v>
          </cell>
          <cell r="Q365">
            <v>75.240000000000009</v>
          </cell>
        </row>
        <row r="366">
          <cell r="A366">
            <v>56201</v>
          </cell>
          <cell r="B366" t="str">
            <v>Meal and Entertainment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34.36</v>
          </cell>
          <cell r="K366">
            <v>0</v>
          </cell>
          <cell r="L366">
            <v>0</v>
          </cell>
          <cell r="M366">
            <v>0</v>
          </cell>
          <cell r="N366">
            <v>348.63</v>
          </cell>
          <cell r="O366">
            <v>-333.79</v>
          </cell>
          <cell r="P366">
            <v>0</v>
          </cell>
          <cell r="Q366">
            <v>49.199999999999989</v>
          </cell>
        </row>
        <row r="367">
          <cell r="A367">
            <v>56210</v>
          </cell>
          <cell r="B367" t="str">
            <v>Office Supply and Equip</v>
          </cell>
          <cell r="E367">
            <v>302.63</v>
          </cell>
          <cell r="F367">
            <v>422.29</v>
          </cell>
          <cell r="G367">
            <v>391.69</v>
          </cell>
          <cell r="H367">
            <v>179.55</v>
          </cell>
          <cell r="I367">
            <v>722.74</v>
          </cell>
          <cell r="J367">
            <v>352.24</v>
          </cell>
          <cell r="K367">
            <v>0</v>
          </cell>
          <cell r="L367">
            <v>741.46</v>
          </cell>
          <cell r="M367">
            <v>364.82</v>
          </cell>
          <cell r="N367">
            <v>0</v>
          </cell>
          <cell r="O367">
            <v>886.4</v>
          </cell>
          <cell r="P367">
            <v>0</v>
          </cell>
          <cell r="Q367">
            <v>4363.8200000000006</v>
          </cell>
        </row>
        <row r="368">
          <cell r="A368">
            <v>56335</v>
          </cell>
          <cell r="B368" t="str">
            <v>Miscellaneous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</row>
        <row r="369">
          <cell r="A369">
            <v>56998</v>
          </cell>
          <cell r="B369" t="str">
            <v>Allocation Out - District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</row>
        <row r="370">
          <cell r="A370">
            <v>56999</v>
          </cell>
          <cell r="B370" t="str">
            <v>Allocation Out - Out District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</row>
        <row r="371">
          <cell r="A371" t="str">
            <v>Total Supervisor</v>
          </cell>
          <cell r="E371">
            <v>37720.86</v>
          </cell>
          <cell r="F371">
            <v>33743.800000000003</v>
          </cell>
          <cell r="G371">
            <v>39084.410000000011</v>
          </cell>
          <cell r="H371">
            <v>42015.490000000013</v>
          </cell>
          <cell r="I371">
            <v>34490.759999999995</v>
          </cell>
          <cell r="J371">
            <v>38693.26999999999</v>
          </cell>
          <cell r="K371">
            <v>32262.889999999992</v>
          </cell>
          <cell r="L371">
            <v>38705.899999999994</v>
          </cell>
          <cell r="M371">
            <v>37358.249999999993</v>
          </cell>
          <cell r="N371">
            <v>35213.239999999991</v>
          </cell>
          <cell r="O371">
            <v>42122.020000000004</v>
          </cell>
          <cell r="P371">
            <v>40448.14</v>
          </cell>
          <cell r="Q371">
            <v>451859.03</v>
          </cell>
        </row>
        <row r="373">
          <cell r="A373" t="str">
            <v>Other Operating Expense</v>
          </cell>
        </row>
        <row r="374">
          <cell r="A374">
            <v>46020</v>
          </cell>
          <cell r="B374" t="str">
            <v>Post Closure Amortization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</row>
        <row r="375">
          <cell r="A375">
            <v>57051</v>
          </cell>
          <cell r="B375" t="str">
            <v>AA Premiums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</row>
        <row r="376">
          <cell r="A376">
            <v>57125</v>
          </cell>
          <cell r="B376" t="str">
            <v>Operating Supplies</v>
          </cell>
          <cell r="E376">
            <v>0</v>
          </cell>
          <cell r="F376">
            <v>0</v>
          </cell>
          <cell r="G376">
            <v>0</v>
          </cell>
          <cell r="H376">
            <v>142.55000000000001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1177.5899999999999</v>
          </cell>
          <cell r="O376">
            <v>-1102.77</v>
          </cell>
          <cell r="P376">
            <v>0</v>
          </cell>
          <cell r="Q376">
            <v>217.36999999999989</v>
          </cell>
        </row>
        <row r="377">
          <cell r="A377">
            <v>57147</v>
          </cell>
          <cell r="B377" t="str">
            <v>Bldg &amp; Property</v>
          </cell>
          <cell r="E377">
            <v>5273.81</v>
          </cell>
          <cell r="F377">
            <v>1312.43</v>
          </cell>
          <cell r="G377">
            <v>1899.21</v>
          </cell>
          <cell r="H377">
            <v>1309.79</v>
          </cell>
          <cell r="I377">
            <v>1872.61</v>
          </cell>
          <cell r="J377">
            <v>1128</v>
          </cell>
          <cell r="K377">
            <v>1740.26</v>
          </cell>
          <cell r="L377">
            <v>3083.68</v>
          </cell>
          <cell r="M377">
            <v>2114.81</v>
          </cell>
          <cell r="N377">
            <v>1811.92</v>
          </cell>
          <cell r="O377">
            <v>3002.6</v>
          </cell>
          <cell r="P377">
            <v>2169.63</v>
          </cell>
          <cell r="Q377">
            <v>26718.750000000004</v>
          </cell>
        </row>
        <row r="378">
          <cell r="A378">
            <v>57148</v>
          </cell>
          <cell r="B378" t="str">
            <v>Allocated In - District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</row>
        <row r="379">
          <cell r="A379">
            <v>57149</v>
          </cell>
          <cell r="B379" t="str">
            <v>Allocated In - Out District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</row>
        <row r="380">
          <cell r="A380">
            <v>57150</v>
          </cell>
          <cell r="B380" t="str">
            <v>Utilities</v>
          </cell>
          <cell r="E380">
            <v>461.43</v>
          </cell>
          <cell r="F380">
            <v>96.57</v>
          </cell>
          <cell r="G380">
            <v>117.6</v>
          </cell>
          <cell r="H380">
            <v>83.43</v>
          </cell>
          <cell r="I380">
            <v>90.9</v>
          </cell>
          <cell r="J380">
            <v>57.15</v>
          </cell>
          <cell r="K380">
            <v>89.42</v>
          </cell>
          <cell r="L380">
            <v>52.59</v>
          </cell>
          <cell r="M380">
            <v>307.08</v>
          </cell>
          <cell r="N380">
            <v>59.56</v>
          </cell>
          <cell r="O380">
            <v>541.69000000000005</v>
          </cell>
          <cell r="P380">
            <v>104.21</v>
          </cell>
          <cell r="Q380">
            <v>2061.6299999999997</v>
          </cell>
        </row>
        <row r="381">
          <cell r="A381">
            <v>57165</v>
          </cell>
          <cell r="B381" t="str">
            <v>Communications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</row>
        <row r="382">
          <cell r="A382">
            <v>57166</v>
          </cell>
          <cell r="B382" t="str">
            <v>Leachate Treatment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</row>
        <row r="383">
          <cell r="A383">
            <v>57170</v>
          </cell>
          <cell r="B383" t="str">
            <v>Real Estate Rentals</v>
          </cell>
          <cell r="E383">
            <v>5891.03</v>
          </cell>
          <cell r="F383">
            <v>6528.62</v>
          </cell>
          <cell r="G383">
            <v>5891.03</v>
          </cell>
          <cell r="H383">
            <v>5800.95</v>
          </cell>
          <cell r="I383">
            <v>5800.95</v>
          </cell>
          <cell r="J383">
            <v>5800.95</v>
          </cell>
          <cell r="K383">
            <v>5800.95</v>
          </cell>
          <cell r="L383">
            <v>5800.95</v>
          </cell>
          <cell r="M383">
            <v>4412</v>
          </cell>
          <cell r="N383">
            <v>4412</v>
          </cell>
          <cell r="O383">
            <v>5800.95</v>
          </cell>
          <cell r="P383">
            <v>13259</v>
          </cell>
          <cell r="Q383">
            <v>75199.37999999999</v>
          </cell>
        </row>
        <row r="384">
          <cell r="A384">
            <v>57175</v>
          </cell>
          <cell r="B384" t="str">
            <v>Equipment Vehicle Rental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</row>
        <row r="385">
          <cell r="A385">
            <v>57185</v>
          </cell>
          <cell r="B385" t="str">
            <v>Postage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</row>
        <row r="386">
          <cell r="A386">
            <v>57252</v>
          </cell>
          <cell r="B386" t="str">
            <v>Subcontract Expense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</row>
        <row r="387">
          <cell r="A387">
            <v>57254</v>
          </cell>
          <cell r="B387" t="str">
            <v>Drive Cam Fees</v>
          </cell>
          <cell r="E387">
            <v>1912.5</v>
          </cell>
          <cell r="F387">
            <v>1912.5</v>
          </cell>
          <cell r="G387">
            <v>1912.5</v>
          </cell>
          <cell r="H387">
            <v>1912.5</v>
          </cell>
          <cell r="I387">
            <v>2520</v>
          </cell>
          <cell r="J387">
            <v>2520</v>
          </cell>
          <cell r="K387">
            <v>2678.73</v>
          </cell>
          <cell r="L387">
            <v>2580.4699999999998</v>
          </cell>
          <cell r="M387">
            <v>2576.33</v>
          </cell>
          <cell r="N387">
            <v>2636.37</v>
          </cell>
          <cell r="O387">
            <v>2511.33</v>
          </cell>
          <cell r="P387">
            <v>2531.54</v>
          </cell>
          <cell r="Q387">
            <v>28204.769999999997</v>
          </cell>
        </row>
        <row r="388">
          <cell r="A388">
            <v>57255</v>
          </cell>
          <cell r="B388" t="str">
            <v>Other Prof Fees</v>
          </cell>
          <cell r="E388">
            <v>0</v>
          </cell>
          <cell r="F388">
            <v>0</v>
          </cell>
          <cell r="G388">
            <v>4.5</v>
          </cell>
          <cell r="H388">
            <v>4.5</v>
          </cell>
          <cell r="I388">
            <v>4.5</v>
          </cell>
          <cell r="J388">
            <v>4.5</v>
          </cell>
          <cell r="K388">
            <v>18</v>
          </cell>
          <cell r="L388">
            <v>4.5</v>
          </cell>
          <cell r="M388">
            <v>4.5</v>
          </cell>
          <cell r="N388">
            <v>4.5</v>
          </cell>
          <cell r="O388">
            <v>4.5</v>
          </cell>
          <cell r="P388">
            <v>0</v>
          </cell>
          <cell r="Q388">
            <v>54</v>
          </cell>
        </row>
        <row r="389">
          <cell r="A389">
            <v>57256</v>
          </cell>
          <cell r="B389" t="str">
            <v>Laboratory Fees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</row>
        <row r="390">
          <cell r="A390">
            <v>57257</v>
          </cell>
          <cell r="B390" t="str">
            <v>Engineering Fees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18100.03</v>
          </cell>
          <cell r="K390">
            <v>1254.3699999999999</v>
          </cell>
          <cell r="L390">
            <v>1448.12</v>
          </cell>
          <cell r="M390">
            <v>-11585</v>
          </cell>
          <cell r="N390">
            <v>0</v>
          </cell>
          <cell r="O390">
            <v>0</v>
          </cell>
          <cell r="P390">
            <v>0</v>
          </cell>
          <cell r="Q390">
            <v>9217.5199999999968</v>
          </cell>
        </row>
        <row r="391">
          <cell r="A391">
            <v>57275</v>
          </cell>
          <cell r="B391" t="str">
            <v>Property Taxes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</row>
        <row r="392">
          <cell r="A392">
            <v>57280</v>
          </cell>
          <cell r="B392" t="str">
            <v>Other Taxes</v>
          </cell>
          <cell r="E392">
            <v>459</v>
          </cell>
          <cell r="F392">
            <v>459</v>
          </cell>
          <cell r="G392">
            <v>459</v>
          </cell>
          <cell r="H392">
            <v>459</v>
          </cell>
          <cell r="I392">
            <v>459</v>
          </cell>
          <cell r="J392">
            <v>459</v>
          </cell>
          <cell r="K392">
            <v>459</v>
          </cell>
          <cell r="L392">
            <v>459</v>
          </cell>
          <cell r="M392">
            <v>459</v>
          </cell>
          <cell r="N392">
            <v>459</v>
          </cell>
          <cell r="O392">
            <v>459</v>
          </cell>
          <cell r="P392">
            <v>459</v>
          </cell>
          <cell r="Q392">
            <v>5508</v>
          </cell>
        </row>
        <row r="393">
          <cell r="A393">
            <v>57324</v>
          </cell>
          <cell r="B393" t="str">
            <v>Penalties and Violations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266.95</v>
          </cell>
          <cell r="O393">
            <v>0</v>
          </cell>
          <cell r="P393">
            <v>631.95000000000005</v>
          </cell>
          <cell r="Q393">
            <v>898.90000000000009</v>
          </cell>
        </row>
        <row r="394">
          <cell r="A394">
            <v>57335</v>
          </cell>
          <cell r="B394" t="str">
            <v>Miscellaneous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</row>
        <row r="395">
          <cell r="A395">
            <v>57345</v>
          </cell>
          <cell r="B395" t="str">
            <v>Secruity Services</v>
          </cell>
          <cell r="E395">
            <v>62.5</v>
          </cell>
          <cell r="F395">
            <v>62.5</v>
          </cell>
          <cell r="G395">
            <v>62.5</v>
          </cell>
          <cell r="H395">
            <v>62.5</v>
          </cell>
          <cell r="I395">
            <v>62.5</v>
          </cell>
          <cell r="J395">
            <v>62.5</v>
          </cell>
          <cell r="K395">
            <v>62.5</v>
          </cell>
          <cell r="L395">
            <v>62.5</v>
          </cell>
          <cell r="M395">
            <v>62.5</v>
          </cell>
          <cell r="N395">
            <v>0</v>
          </cell>
          <cell r="O395">
            <v>125</v>
          </cell>
          <cell r="P395">
            <v>0</v>
          </cell>
          <cell r="Q395">
            <v>687.5</v>
          </cell>
        </row>
        <row r="396">
          <cell r="A396">
            <v>57353</v>
          </cell>
          <cell r="B396" t="str">
            <v>Monitoring and Maint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</row>
        <row r="397">
          <cell r="A397">
            <v>57356</v>
          </cell>
          <cell r="B397" t="str">
            <v>Cover Cost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</row>
        <row r="398">
          <cell r="A398">
            <v>57357</v>
          </cell>
          <cell r="B398" t="str">
            <v>Permits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15</v>
          </cell>
          <cell r="O398">
            <v>0</v>
          </cell>
          <cell r="P398">
            <v>80</v>
          </cell>
          <cell r="Q398">
            <v>95</v>
          </cell>
        </row>
        <row r="399">
          <cell r="A399">
            <v>57360</v>
          </cell>
          <cell r="B399" t="str">
            <v>Royalties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</row>
        <row r="400">
          <cell r="A400">
            <v>57370</v>
          </cell>
          <cell r="B400" t="str">
            <v>Bonds Expense</v>
          </cell>
          <cell r="E400">
            <v>79.209999999999994</v>
          </cell>
          <cell r="F400">
            <v>79.209999999999994</v>
          </cell>
          <cell r="G400">
            <v>79.209999999999994</v>
          </cell>
          <cell r="H400">
            <v>129.57</v>
          </cell>
          <cell r="I400">
            <v>342.55</v>
          </cell>
          <cell r="J400">
            <v>129.55000000000001</v>
          </cell>
          <cell r="K400">
            <v>129.55000000000001</v>
          </cell>
          <cell r="L400">
            <v>129.55000000000001</v>
          </cell>
          <cell r="M400">
            <v>129.55000000000001</v>
          </cell>
          <cell r="N400">
            <v>129.55000000000001</v>
          </cell>
          <cell r="O400">
            <v>129.55000000000001</v>
          </cell>
          <cell r="P400">
            <v>39.549999999999997</v>
          </cell>
          <cell r="Q400">
            <v>1526.5999999999997</v>
          </cell>
        </row>
        <row r="401">
          <cell r="A401">
            <v>57900</v>
          </cell>
          <cell r="B401" t="str">
            <v>Capitalized Costs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</row>
        <row r="402">
          <cell r="A402">
            <v>57998</v>
          </cell>
          <cell r="B402" t="str">
            <v>Allocation Out - District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</row>
        <row r="403">
          <cell r="A403">
            <v>57999</v>
          </cell>
          <cell r="B403" t="str">
            <v>Allocation Out - Out District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</row>
        <row r="404">
          <cell r="A404">
            <v>70265</v>
          </cell>
          <cell r="B404" t="str">
            <v>Amortization of Long Term Contracts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</row>
        <row r="405">
          <cell r="A405">
            <v>80050</v>
          </cell>
          <cell r="B405" t="str">
            <v>Interest Expense Closure/Post Closure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</row>
        <row r="406">
          <cell r="A406" t="str">
            <v>Total Other Operating Expense</v>
          </cell>
          <cell r="E406">
            <v>14139.48</v>
          </cell>
          <cell r="F406">
            <v>10450.829999999998</v>
          </cell>
          <cell r="G406">
            <v>10425.549999999999</v>
          </cell>
          <cell r="H406">
            <v>9904.7899999999991</v>
          </cell>
          <cell r="I406">
            <v>11153.009999999998</v>
          </cell>
          <cell r="J406">
            <v>28261.679999999997</v>
          </cell>
          <cell r="K406">
            <v>12232.779999999999</v>
          </cell>
          <cell r="L406">
            <v>13621.359999999997</v>
          </cell>
          <cell r="M406">
            <v>-1519.2300000000007</v>
          </cell>
          <cell r="N406">
            <v>10972.439999999999</v>
          </cell>
          <cell r="O406">
            <v>11471.849999999999</v>
          </cell>
          <cell r="P406">
            <v>19274.88</v>
          </cell>
          <cell r="Q406">
            <v>150389.41999999998</v>
          </cell>
        </row>
        <row r="408">
          <cell r="A408" t="str">
            <v>Insurance</v>
          </cell>
        </row>
        <row r="409">
          <cell r="A409">
            <v>59148</v>
          </cell>
          <cell r="B409" t="str">
            <v>Allocation In - District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</row>
        <row r="410">
          <cell r="A410">
            <v>59149</v>
          </cell>
          <cell r="B410" t="str">
            <v>Allocation In - Out District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</row>
        <row r="411">
          <cell r="A411">
            <v>59271</v>
          </cell>
          <cell r="B411" t="str">
            <v>Property and Liability Insurance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</row>
        <row r="412">
          <cell r="A412">
            <v>59326</v>
          </cell>
          <cell r="B412" t="str">
            <v>Deductible - Current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</row>
        <row r="413">
          <cell r="A413">
            <v>59327</v>
          </cell>
          <cell r="B413" t="str">
            <v>Deductible - Damage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</row>
        <row r="414">
          <cell r="A414">
            <v>59328</v>
          </cell>
          <cell r="B414" t="str">
            <v>Claim Recoveries</v>
          </cell>
          <cell r="E414">
            <v>0</v>
          </cell>
          <cell r="F414">
            <v>0</v>
          </cell>
          <cell r="G414">
            <v>-2328.46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-2328.46</v>
          </cell>
        </row>
        <row r="415">
          <cell r="A415">
            <v>59330</v>
          </cell>
          <cell r="B415" t="str">
            <v>Deduct - Prior Year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</row>
        <row r="416">
          <cell r="A416">
            <v>59331</v>
          </cell>
          <cell r="B416" t="str">
            <v>RM Fixed Costs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</row>
        <row r="417">
          <cell r="A417">
            <v>59340</v>
          </cell>
          <cell r="B417" t="str">
            <v>Self Insurance Premium</v>
          </cell>
          <cell r="E417">
            <v>6884.94</v>
          </cell>
          <cell r="F417">
            <v>6884.94</v>
          </cell>
          <cell r="G417">
            <v>6884.94</v>
          </cell>
          <cell r="H417">
            <v>6884.94</v>
          </cell>
          <cell r="I417">
            <v>6884.94</v>
          </cell>
          <cell r="J417">
            <v>6884.94</v>
          </cell>
          <cell r="K417">
            <v>6884.94</v>
          </cell>
          <cell r="L417">
            <v>6884.94</v>
          </cell>
          <cell r="M417">
            <v>6884.94</v>
          </cell>
          <cell r="N417">
            <v>6884.94</v>
          </cell>
          <cell r="O417">
            <v>6884.94</v>
          </cell>
          <cell r="P417">
            <v>6884.94</v>
          </cell>
          <cell r="Q417">
            <v>82619.280000000013</v>
          </cell>
        </row>
        <row r="418">
          <cell r="A418">
            <v>59341</v>
          </cell>
          <cell r="B418" t="str">
            <v>A&amp;L - Current Year Claims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2600</v>
          </cell>
          <cell r="Q418">
            <v>2600</v>
          </cell>
        </row>
        <row r="419">
          <cell r="A419">
            <v>59342</v>
          </cell>
          <cell r="B419" t="str">
            <v>A&amp;L - Prior Year Claims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0.3</v>
          </cell>
          <cell r="J419">
            <v>-0.15</v>
          </cell>
          <cell r="K419">
            <v>1577.07</v>
          </cell>
          <cell r="L419">
            <v>0.05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1577.27</v>
          </cell>
        </row>
        <row r="420">
          <cell r="A420">
            <v>59343</v>
          </cell>
          <cell r="B420" t="str">
            <v>WC - Current Year Claims</v>
          </cell>
          <cell r="E420">
            <v>53330.6</v>
          </cell>
          <cell r="F420">
            <v>13301</v>
          </cell>
          <cell r="G420">
            <v>13532.93</v>
          </cell>
          <cell r="H420">
            <v>-35945.980000000003</v>
          </cell>
          <cell r="I420">
            <v>151.47999999999999</v>
          </cell>
          <cell r="J420">
            <v>0</v>
          </cell>
          <cell r="K420">
            <v>-5630.29</v>
          </cell>
          <cell r="L420">
            <v>19.420000000000002</v>
          </cell>
          <cell r="M420">
            <v>28.64</v>
          </cell>
          <cell r="N420">
            <v>6955.88</v>
          </cell>
          <cell r="O420">
            <v>11900</v>
          </cell>
          <cell r="P420">
            <v>2180.23</v>
          </cell>
          <cell r="Q420">
            <v>59823.909999999996</v>
          </cell>
        </row>
        <row r="421">
          <cell r="A421">
            <v>59344</v>
          </cell>
          <cell r="B421" t="str">
            <v>WC - Prior Year Claims</v>
          </cell>
          <cell r="E421">
            <v>0</v>
          </cell>
          <cell r="F421">
            <v>0</v>
          </cell>
          <cell r="G421">
            <v>0</v>
          </cell>
          <cell r="H421">
            <v>66006.16</v>
          </cell>
          <cell r="I421">
            <v>2800</v>
          </cell>
          <cell r="J421">
            <v>-3742.81</v>
          </cell>
          <cell r="K421">
            <v>36406.36</v>
          </cell>
          <cell r="L421">
            <v>0</v>
          </cell>
          <cell r="M421">
            <v>28.28</v>
          </cell>
          <cell r="N421">
            <v>4000</v>
          </cell>
          <cell r="O421">
            <v>-547</v>
          </cell>
          <cell r="P421">
            <v>12729.61</v>
          </cell>
          <cell r="Q421">
            <v>117680.6</v>
          </cell>
        </row>
        <row r="422">
          <cell r="A422">
            <v>59350</v>
          </cell>
          <cell r="B422" t="str">
            <v>Self Isurance IBNR Estimates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</row>
        <row r="423">
          <cell r="A423">
            <v>59400</v>
          </cell>
          <cell r="B423" t="str">
            <v>Damages paid by District</v>
          </cell>
          <cell r="E423">
            <v>-3539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2099.67</v>
          </cell>
          <cell r="Q423">
            <v>-1439.33</v>
          </cell>
        </row>
        <row r="424">
          <cell r="A424">
            <v>59401</v>
          </cell>
          <cell r="B424" t="str">
            <v>Insurance claim repairs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</row>
        <row r="425">
          <cell r="A425">
            <v>59500</v>
          </cell>
          <cell r="B425" t="str">
            <v>Workers Comp Prem</v>
          </cell>
          <cell r="E425">
            <v>1104</v>
          </cell>
          <cell r="F425">
            <v>4000</v>
          </cell>
          <cell r="G425">
            <v>4000</v>
          </cell>
          <cell r="H425">
            <v>2000</v>
          </cell>
          <cell r="I425">
            <v>1000</v>
          </cell>
          <cell r="J425">
            <v>2000</v>
          </cell>
          <cell r="K425">
            <v>2000</v>
          </cell>
          <cell r="L425">
            <v>2000</v>
          </cell>
          <cell r="M425">
            <v>3000</v>
          </cell>
          <cell r="N425">
            <v>3000</v>
          </cell>
          <cell r="O425">
            <v>3000</v>
          </cell>
          <cell r="P425">
            <v>0</v>
          </cell>
          <cell r="Q425">
            <v>27104</v>
          </cell>
        </row>
        <row r="426">
          <cell r="A426">
            <v>59998</v>
          </cell>
          <cell r="B426" t="str">
            <v>Allocation Out - District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</row>
        <row r="427">
          <cell r="A427">
            <v>59999</v>
          </cell>
          <cell r="B427" t="str">
            <v>Allocation Out - Out District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</row>
        <row r="428">
          <cell r="A428" t="str">
            <v>Total Insurance</v>
          </cell>
          <cell r="E428">
            <v>57780.54</v>
          </cell>
          <cell r="F428">
            <v>24185.94</v>
          </cell>
          <cell r="G428">
            <v>22089.41</v>
          </cell>
          <cell r="H428">
            <v>38945.119999999995</v>
          </cell>
          <cell r="I428">
            <v>10836.72</v>
          </cell>
          <cell r="J428">
            <v>5141.9799999999996</v>
          </cell>
          <cell r="K428">
            <v>41238.080000000002</v>
          </cell>
          <cell r="L428">
            <v>8904.41</v>
          </cell>
          <cell r="M428">
            <v>9941.86</v>
          </cell>
          <cell r="N428">
            <v>20840.82</v>
          </cell>
          <cell r="O428">
            <v>21237.94</v>
          </cell>
          <cell r="P428">
            <v>26494.449999999997</v>
          </cell>
          <cell r="Q428">
            <v>287637.27</v>
          </cell>
        </row>
        <row r="430">
          <cell r="A430" t="str">
            <v>Disposal of Assets and Operations</v>
          </cell>
        </row>
        <row r="431">
          <cell r="A431">
            <v>72000</v>
          </cell>
          <cell r="B431" t="str">
            <v>Gain/Loss on Disposal of Operations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</row>
        <row r="432">
          <cell r="A432">
            <v>91010</v>
          </cell>
          <cell r="B432" t="str">
            <v>Gain/Loss on Sale of Asset</v>
          </cell>
          <cell r="E432">
            <v>0</v>
          </cell>
          <cell r="F432">
            <v>0</v>
          </cell>
          <cell r="G432">
            <v>0</v>
          </cell>
          <cell r="H432">
            <v>145.82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145.82</v>
          </cell>
        </row>
        <row r="433">
          <cell r="A433" t="str">
            <v>Total Disposal of Assets and Operations</v>
          </cell>
          <cell r="E433">
            <v>0</v>
          </cell>
          <cell r="F433">
            <v>0</v>
          </cell>
          <cell r="G433">
            <v>0</v>
          </cell>
          <cell r="H433">
            <v>145.82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145.82</v>
          </cell>
        </row>
        <row r="435">
          <cell r="A435" t="str">
            <v>Total Operating Costs</v>
          </cell>
          <cell r="E435">
            <v>556322.18999999994</v>
          </cell>
          <cell r="F435">
            <v>483088.13</v>
          </cell>
          <cell r="G435">
            <v>533902.79</v>
          </cell>
          <cell r="H435">
            <v>564081.47</v>
          </cell>
          <cell r="I435">
            <v>483474.26</v>
          </cell>
          <cell r="J435">
            <v>500744.69999999995</v>
          </cell>
          <cell r="K435">
            <v>514379.49999999994</v>
          </cell>
          <cell r="L435">
            <v>499533.73</v>
          </cell>
          <cell r="M435">
            <v>480587.02</v>
          </cell>
          <cell r="N435">
            <v>468427.15999999992</v>
          </cell>
          <cell r="O435">
            <v>510740</v>
          </cell>
          <cell r="P435">
            <v>507649</v>
          </cell>
          <cell r="Q435">
            <v>6102929.9500000002</v>
          </cell>
        </row>
        <row r="437">
          <cell r="A437" t="str">
            <v>Gross Profit</v>
          </cell>
          <cell r="E437">
            <v>283635.74000000011</v>
          </cell>
          <cell r="F437">
            <v>397011.87</v>
          </cell>
          <cell r="G437">
            <v>293409.25999999989</v>
          </cell>
          <cell r="H437">
            <v>295183.43000000005</v>
          </cell>
          <cell r="I437">
            <v>372092.71999999974</v>
          </cell>
          <cell r="J437">
            <v>350748.59000000008</v>
          </cell>
          <cell r="K437">
            <v>347516.12000000005</v>
          </cell>
          <cell r="L437">
            <v>388020.01</v>
          </cell>
          <cell r="M437">
            <v>377828.52</v>
          </cell>
          <cell r="N437">
            <v>382225.52999999991</v>
          </cell>
          <cell r="O437">
            <v>311431.2100000002</v>
          </cell>
          <cell r="P437">
            <v>306754.91999999981</v>
          </cell>
          <cell r="Q437">
            <v>4105857.9199999953</v>
          </cell>
        </row>
        <row r="439">
          <cell r="A439" t="str">
            <v>SG&amp;A</v>
          </cell>
        </row>
        <row r="440">
          <cell r="A440" t="str">
            <v>Sales</v>
          </cell>
        </row>
        <row r="441">
          <cell r="A441">
            <v>60010</v>
          </cell>
          <cell r="B441" t="str">
            <v>Salaries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</row>
        <row r="442">
          <cell r="A442">
            <v>60020</v>
          </cell>
          <cell r="B442" t="str">
            <v>Wages Regular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</row>
        <row r="443">
          <cell r="A443">
            <v>60025</v>
          </cell>
          <cell r="B443" t="str">
            <v>Wages O.T.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</row>
        <row r="444">
          <cell r="A444">
            <v>60030</v>
          </cell>
          <cell r="B444" t="str">
            <v>Bonuses and Commissions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</row>
        <row r="445">
          <cell r="A445">
            <v>60035</v>
          </cell>
          <cell r="B445" t="str">
            <v>Safety Bonuses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</row>
        <row r="446">
          <cell r="A446">
            <v>60037</v>
          </cell>
          <cell r="B446" t="str">
            <v>Termination Pay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</row>
        <row r="447">
          <cell r="A447">
            <v>60045</v>
          </cell>
          <cell r="B447" t="str">
            <v>Contract Labor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</row>
        <row r="448">
          <cell r="A448">
            <v>60050</v>
          </cell>
          <cell r="B448" t="str">
            <v>Payroll Taxes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</row>
        <row r="449">
          <cell r="A449">
            <v>60060</v>
          </cell>
          <cell r="B449" t="str">
            <v>Group Insurance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</row>
        <row r="450">
          <cell r="A450">
            <v>60065</v>
          </cell>
          <cell r="B450" t="str">
            <v>Vacation Pay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</row>
        <row r="451">
          <cell r="A451">
            <v>60070</v>
          </cell>
          <cell r="B451" t="str">
            <v>Sick Pay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</row>
        <row r="452">
          <cell r="A452">
            <v>60086</v>
          </cell>
          <cell r="B452" t="str">
            <v>Safety and Training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</row>
        <row r="453">
          <cell r="A453">
            <v>60095</v>
          </cell>
          <cell r="B453" t="str">
            <v>Empl &amp; Commun Activ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</row>
        <row r="454">
          <cell r="A454">
            <v>60105</v>
          </cell>
          <cell r="B454" t="str">
            <v>Employee Relocation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</row>
        <row r="455">
          <cell r="A455">
            <v>60115</v>
          </cell>
          <cell r="B455" t="str">
            <v>School Tuition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</row>
        <row r="456">
          <cell r="A456">
            <v>60116</v>
          </cell>
          <cell r="B456" t="str">
            <v>Pension and Profit Sharing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</row>
        <row r="457">
          <cell r="A457">
            <v>60117</v>
          </cell>
          <cell r="B457" t="str">
            <v>Union Pension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</row>
        <row r="458">
          <cell r="A458">
            <v>60148</v>
          </cell>
          <cell r="B458" t="str">
            <v>Allocated Exp In - District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</row>
        <row r="459">
          <cell r="A459">
            <v>60149</v>
          </cell>
          <cell r="B459" t="str">
            <v>Allocated Exp In Out - District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</row>
        <row r="460">
          <cell r="A460">
            <v>60165</v>
          </cell>
          <cell r="B460" t="str">
            <v>Communications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</row>
        <row r="461">
          <cell r="A461">
            <v>60170</v>
          </cell>
          <cell r="B461" t="str">
            <v>Real Estate Rentals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</row>
        <row r="462">
          <cell r="A462">
            <v>60175</v>
          </cell>
          <cell r="B462" t="str">
            <v>Equip/Vehicle Rental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</row>
        <row r="463">
          <cell r="A463">
            <v>60185</v>
          </cell>
          <cell r="B463" t="str">
            <v>Postage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</row>
        <row r="464">
          <cell r="A464">
            <v>60195</v>
          </cell>
          <cell r="B464" t="str">
            <v>Dues and Subscriptions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</row>
        <row r="465">
          <cell r="A465">
            <v>60196</v>
          </cell>
          <cell r="B465" t="str">
            <v>Club Dues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</row>
        <row r="466">
          <cell r="A466">
            <v>60200</v>
          </cell>
          <cell r="B466" t="str">
            <v>Travel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</row>
        <row r="467">
          <cell r="A467">
            <v>60201</v>
          </cell>
          <cell r="B467" t="str">
            <v>Entertainment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</row>
        <row r="468">
          <cell r="A468">
            <v>60205</v>
          </cell>
          <cell r="B468" t="str">
            <v>Travel - Auto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</row>
        <row r="469">
          <cell r="A469">
            <v>60210</v>
          </cell>
          <cell r="B469" t="str">
            <v>Office Supplies and Equip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</row>
        <row r="470">
          <cell r="A470">
            <v>60225</v>
          </cell>
          <cell r="B470" t="str">
            <v>Advertising and Promotions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3237.6</v>
          </cell>
          <cell r="Q470">
            <v>3237.6</v>
          </cell>
        </row>
        <row r="471">
          <cell r="A471">
            <v>60234</v>
          </cell>
          <cell r="B471" t="str">
            <v>O/S Sales Exp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</row>
        <row r="472">
          <cell r="A472">
            <v>60255</v>
          </cell>
          <cell r="B472" t="str">
            <v>Other Prof Fees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</row>
        <row r="473">
          <cell r="A473">
            <v>60326</v>
          </cell>
          <cell r="B473" t="str">
            <v>Deduct - Current Yr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A474">
            <v>60327</v>
          </cell>
          <cell r="B474" t="str">
            <v>Deduct - Damage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</row>
        <row r="475">
          <cell r="A475">
            <v>60328</v>
          </cell>
          <cell r="B475" t="str">
            <v>Claim Recoveries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</row>
        <row r="476">
          <cell r="A476">
            <v>60330</v>
          </cell>
          <cell r="B476" t="str">
            <v>Deduct Prior Year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</row>
        <row r="477">
          <cell r="A477">
            <v>60335</v>
          </cell>
          <cell r="B477" t="str">
            <v>Miscellaneous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</row>
        <row r="478">
          <cell r="A478">
            <v>60998</v>
          </cell>
          <cell r="B478" t="str">
            <v>Allocation Out - District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60999</v>
          </cell>
          <cell r="B479" t="str">
            <v>Allocation Out - Out District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</row>
        <row r="480">
          <cell r="A480" t="str">
            <v>Total Sales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3237.6</v>
          </cell>
          <cell r="Q480">
            <v>3237.6</v>
          </cell>
        </row>
        <row r="482">
          <cell r="A482" t="str">
            <v>G&amp;A</v>
          </cell>
        </row>
        <row r="483">
          <cell r="A483">
            <v>70010</v>
          </cell>
          <cell r="B483" t="str">
            <v>Salaries</v>
          </cell>
          <cell r="E483">
            <v>28808.37</v>
          </cell>
          <cell r="F483">
            <v>29237.93</v>
          </cell>
          <cell r="G483">
            <v>34055.660000000003</v>
          </cell>
          <cell r="H483">
            <v>32303.54</v>
          </cell>
          <cell r="I483">
            <v>32394.99</v>
          </cell>
          <cell r="J483">
            <v>34374</v>
          </cell>
          <cell r="K483">
            <v>35547.46</v>
          </cell>
          <cell r="L483">
            <v>34794.910000000003</v>
          </cell>
          <cell r="M483">
            <v>35448.120000000003</v>
          </cell>
          <cell r="N483">
            <v>34195.99</v>
          </cell>
          <cell r="O483">
            <v>35269.089999999997</v>
          </cell>
          <cell r="P483">
            <v>37099.64</v>
          </cell>
          <cell r="Q483">
            <v>403529.69999999995</v>
          </cell>
        </row>
        <row r="484">
          <cell r="A484">
            <v>70015</v>
          </cell>
          <cell r="B484" t="str">
            <v>Deferred Comp Earnings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</row>
        <row r="485">
          <cell r="A485">
            <v>70020</v>
          </cell>
          <cell r="B485" t="str">
            <v>Wages Regular</v>
          </cell>
          <cell r="E485">
            <v>28572.240000000002</v>
          </cell>
          <cell r="F485">
            <v>30096.06</v>
          </cell>
          <cell r="G485">
            <v>32883.68</v>
          </cell>
          <cell r="H485">
            <v>33553.279999999999</v>
          </cell>
          <cell r="I485">
            <v>27323.32</v>
          </cell>
          <cell r="J485">
            <v>31281.360000000001</v>
          </cell>
          <cell r="K485">
            <v>28636.82</v>
          </cell>
          <cell r="L485">
            <v>32591.07</v>
          </cell>
          <cell r="M485">
            <v>25152.99</v>
          </cell>
          <cell r="N485">
            <v>26476.49</v>
          </cell>
          <cell r="O485">
            <v>29556.5</v>
          </cell>
          <cell r="P485">
            <v>26409.97</v>
          </cell>
          <cell r="Q485">
            <v>352533.78</v>
          </cell>
        </row>
        <row r="486">
          <cell r="A486">
            <v>70025</v>
          </cell>
          <cell r="B486" t="str">
            <v>Wages O.T.</v>
          </cell>
          <cell r="E486">
            <v>1534.05</v>
          </cell>
          <cell r="F486">
            <v>1546.14</v>
          </cell>
          <cell r="G486">
            <v>1142.1400000000001</v>
          </cell>
          <cell r="H486">
            <v>1991.39</v>
          </cell>
          <cell r="I486">
            <v>1423.14</v>
          </cell>
          <cell r="J486">
            <v>1581.5</v>
          </cell>
          <cell r="K486">
            <v>577.54</v>
          </cell>
          <cell r="L486">
            <v>3583.2</v>
          </cell>
          <cell r="M486">
            <v>1079.97</v>
          </cell>
          <cell r="N486">
            <v>1516.27</v>
          </cell>
          <cell r="O486">
            <v>2000.96</v>
          </cell>
          <cell r="P486">
            <v>1477.46</v>
          </cell>
          <cell r="Q486">
            <v>19453.760000000002</v>
          </cell>
        </row>
        <row r="487">
          <cell r="A487">
            <v>70030</v>
          </cell>
          <cell r="B487" t="str">
            <v>Corp Allocated Bonus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</row>
        <row r="488">
          <cell r="A488">
            <v>70035</v>
          </cell>
          <cell r="B488" t="str">
            <v>Safety Bonuses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</row>
        <row r="489">
          <cell r="A489">
            <v>70036</v>
          </cell>
          <cell r="B489" t="str">
            <v>Other Bonus/Commission - Non-Safety</v>
          </cell>
          <cell r="E489">
            <v>1075</v>
          </cell>
          <cell r="F489">
            <v>1675</v>
          </cell>
          <cell r="G489">
            <v>7455.5</v>
          </cell>
          <cell r="H489">
            <v>3066.38</v>
          </cell>
          <cell r="I489">
            <v>1438.95</v>
          </cell>
          <cell r="J489">
            <v>3016.36</v>
          </cell>
          <cell r="K489">
            <v>2625</v>
          </cell>
          <cell r="L489">
            <v>2678.43</v>
          </cell>
          <cell r="M489">
            <v>2913.79</v>
          </cell>
          <cell r="N489">
            <v>1746.4</v>
          </cell>
          <cell r="O489">
            <v>2652.32</v>
          </cell>
          <cell r="P489">
            <v>5362.05</v>
          </cell>
          <cell r="Q489">
            <v>35705.180000000008</v>
          </cell>
        </row>
        <row r="490">
          <cell r="A490">
            <v>70037</v>
          </cell>
          <cell r="B490" t="str">
            <v>Termination Pay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</row>
        <row r="491">
          <cell r="A491">
            <v>70045</v>
          </cell>
          <cell r="B491" t="str">
            <v>Contract Labor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</row>
        <row r="492">
          <cell r="A492">
            <v>70050</v>
          </cell>
          <cell r="B492" t="str">
            <v>Payroll Taxes</v>
          </cell>
          <cell r="E492">
            <v>7335.33</v>
          </cell>
          <cell r="F492">
            <v>5253.85</v>
          </cell>
          <cell r="G492">
            <v>6887.21</v>
          </cell>
          <cell r="H492">
            <v>5839.13</v>
          </cell>
          <cell r="I492">
            <v>4643.53</v>
          </cell>
          <cell r="J492">
            <v>5669.76</v>
          </cell>
          <cell r="K492">
            <v>4555.33</v>
          </cell>
          <cell r="L492">
            <v>5742.05</v>
          </cell>
          <cell r="M492">
            <v>4517.6899999999996</v>
          </cell>
          <cell r="N492">
            <v>4408.2</v>
          </cell>
          <cell r="O492">
            <v>4942.4399999999996</v>
          </cell>
          <cell r="P492">
            <v>5199.09</v>
          </cell>
          <cell r="Q492">
            <v>64993.61</v>
          </cell>
        </row>
        <row r="493">
          <cell r="A493">
            <v>70060</v>
          </cell>
          <cell r="B493" t="str">
            <v>Group Insurance</v>
          </cell>
          <cell r="E493">
            <v>11410.52</v>
          </cell>
          <cell r="F493">
            <v>11524.58</v>
          </cell>
          <cell r="G493">
            <v>10554.24</v>
          </cell>
          <cell r="H493">
            <v>13084.2</v>
          </cell>
          <cell r="I493">
            <v>12115.75</v>
          </cell>
          <cell r="J493">
            <v>12494.37</v>
          </cell>
          <cell r="K493">
            <v>12559.75</v>
          </cell>
          <cell r="L493">
            <v>12415.93</v>
          </cell>
          <cell r="M493">
            <v>11362.28</v>
          </cell>
          <cell r="N493">
            <v>13749.11</v>
          </cell>
          <cell r="O493">
            <v>12593.52</v>
          </cell>
          <cell r="P493">
            <v>12600.59</v>
          </cell>
          <cell r="Q493">
            <v>146464.84</v>
          </cell>
        </row>
        <row r="494">
          <cell r="A494">
            <v>70065</v>
          </cell>
          <cell r="B494" t="str">
            <v>Vacation Pay</v>
          </cell>
          <cell r="E494">
            <v>1582.88</v>
          </cell>
          <cell r="F494">
            <v>4413.99</v>
          </cell>
          <cell r="G494">
            <v>48.78</v>
          </cell>
          <cell r="H494">
            <v>2185.79</v>
          </cell>
          <cell r="I494">
            <v>4000.59</v>
          </cell>
          <cell r="J494">
            <v>-891.88</v>
          </cell>
          <cell r="K494">
            <v>4756.8500000000004</v>
          </cell>
          <cell r="L494">
            <v>2920.08</v>
          </cell>
          <cell r="M494">
            <v>4784.29</v>
          </cell>
          <cell r="N494">
            <v>3124.36</v>
          </cell>
          <cell r="O494">
            <v>2610.1999999999998</v>
          </cell>
          <cell r="P494">
            <v>4173.68</v>
          </cell>
          <cell r="Q494">
            <v>33709.61</v>
          </cell>
        </row>
        <row r="495">
          <cell r="A495">
            <v>70070</v>
          </cell>
          <cell r="B495" t="str">
            <v>Sick Pay</v>
          </cell>
          <cell r="E495">
            <v>396.68</v>
          </cell>
          <cell r="F495">
            <v>680.36</v>
          </cell>
          <cell r="G495">
            <v>1133.57</v>
          </cell>
          <cell r="H495">
            <v>674.93</v>
          </cell>
          <cell r="I495">
            <v>892.47</v>
          </cell>
          <cell r="J495">
            <v>554.58000000000004</v>
          </cell>
          <cell r="K495">
            <v>198.93</v>
          </cell>
          <cell r="L495">
            <v>122.21</v>
          </cell>
          <cell r="M495">
            <v>727.21</v>
          </cell>
          <cell r="N495">
            <v>366.82</v>
          </cell>
          <cell r="O495">
            <v>768.29</v>
          </cell>
          <cell r="P495">
            <v>121.28</v>
          </cell>
          <cell r="Q495">
            <v>6637.329999999999</v>
          </cell>
        </row>
        <row r="496">
          <cell r="A496">
            <v>70086</v>
          </cell>
          <cell r="B496" t="str">
            <v>Safety and Training</v>
          </cell>
          <cell r="E496">
            <v>14.8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35.6</v>
          </cell>
          <cell r="K496">
            <v>0</v>
          </cell>
          <cell r="L496">
            <v>70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120.4</v>
          </cell>
        </row>
        <row r="497">
          <cell r="A497">
            <v>70090</v>
          </cell>
          <cell r="B497" t="str">
            <v>WCN Training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708.81</v>
          </cell>
          <cell r="O497">
            <v>-708.81</v>
          </cell>
          <cell r="P497">
            <v>0</v>
          </cell>
          <cell r="Q497">
            <v>0</v>
          </cell>
        </row>
        <row r="498">
          <cell r="A498">
            <v>70095</v>
          </cell>
          <cell r="B498" t="str">
            <v>Empl &amp; Commun Activ</v>
          </cell>
          <cell r="E498">
            <v>16986.41</v>
          </cell>
          <cell r="F498">
            <v>158.86000000000001</v>
          </cell>
          <cell r="G498">
            <v>1019.92</v>
          </cell>
          <cell r="H498">
            <v>210.51</v>
          </cell>
          <cell r="I498">
            <v>1580.13</v>
          </cell>
          <cell r="J498">
            <v>4162.7</v>
          </cell>
          <cell r="K498">
            <v>660.39</v>
          </cell>
          <cell r="L498">
            <v>2656.19</v>
          </cell>
          <cell r="M498">
            <v>517.80999999999995</v>
          </cell>
          <cell r="N498">
            <v>54.01</v>
          </cell>
          <cell r="O498">
            <v>1519.35</v>
          </cell>
          <cell r="P498">
            <v>3351.61</v>
          </cell>
          <cell r="Q498">
            <v>32877.889999999992</v>
          </cell>
        </row>
        <row r="499">
          <cell r="A499">
            <v>70105</v>
          </cell>
          <cell r="B499" t="str">
            <v>Employee Relocation</v>
          </cell>
          <cell r="E499">
            <v>381.64</v>
          </cell>
          <cell r="F499">
            <v>381.64</v>
          </cell>
          <cell r="G499">
            <v>381.64</v>
          </cell>
          <cell r="H499">
            <v>381.64</v>
          </cell>
          <cell r="I499">
            <v>381.64</v>
          </cell>
          <cell r="J499">
            <v>381.64</v>
          </cell>
          <cell r="K499">
            <v>381.64</v>
          </cell>
          <cell r="L499">
            <v>381.64</v>
          </cell>
          <cell r="M499">
            <v>381.64</v>
          </cell>
          <cell r="N499">
            <v>381.64</v>
          </cell>
          <cell r="O499">
            <v>381.64</v>
          </cell>
          <cell r="P499">
            <v>381.64</v>
          </cell>
          <cell r="Q499">
            <v>4579.6799999999994</v>
          </cell>
        </row>
        <row r="500">
          <cell r="A500">
            <v>70107</v>
          </cell>
          <cell r="B500" t="str">
            <v>Housing Subsidy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</row>
        <row r="501">
          <cell r="A501">
            <v>70108</v>
          </cell>
          <cell r="B501" t="str">
            <v>School Tuition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</row>
        <row r="502">
          <cell r="A502">
            <v>70110</v>
          </cell>
          <cell r="B502" t="str">
            <v>Contributions</v>
          </cell>
          <cell r="E502">
            <v>312.5</v>
          </cell>
          <cell r="F502">
            <v>5000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1308.46</v>
          </cell>
          <cell r="L502">
            <v>0</v>
          </cell>
          <cell r="M502">
            <v>250</v>
          </cell>
          <cell r="N502">
            <v>0</v>
          </cell>
          <cell r="O502">
            <v>0</v>
          </cell>
          <cell r="P502">
            <v>0</v>
          </cell>
          <cell r="Q502">
            <v>6870.96</v>
          </cell>
        </row>
        <row r="503">
          <cell r="A503">
            <v>70111</v>
          </cell>
          <cell r="B503" t="str">
            <v>Non Cash Charitable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</row>
        <row r="504">
          <cell r="A504">
            <v>70112</v>
          </cell>
          <cell r="B504" t="str">
            <v>Political Contributions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</row>
        <row r="505">
          <cell r="A505">
            <v>70116</v>
          </cell>
          <cell r="B505" t="str">
            <v>Pension and Profit Sharing</v>
          </cell>
          <cell r="E505">
            <v>775.31</v>
          </cell>
          <cell r="F505">
            <v>784.92</v>
          </cell>
          <cell r="G505">
            <v>1191.3900000000001</v>
          </cell>
          <cell r="H505">
            <v>882.19</v>
          </cell>
          <cell r="I505">
            <v>848.69</v>
          </cell>
          <cell r="J505">
            <v>942.95</v>
          </cell>
          <cell r="K505">
            <v>949.67</v>
          </cell>
          <cell r="L505">
            <v>1042.08</v>
          </cell>
          <cell r="M505">
            <v>979.97</v>
          </cell>
          <cell r="N505">
            <v>1418.44</v>
          </cell>
          <cell r="O505">
            <v>969.88</v>
          </cell>
          <cell r="P505">
            <v>1066.9100000000001</v>
          </cell>
          <cell r="Q505">
            <v>11852.4</v>
          </cell>
        </row>
        <row r="506">
          <cell r="A506">
            <v>70117</v>
          </cell>
          <cell r="B506" t="str">
            <v>Union Pension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</row>
        <row r="507">
          <cell r="A507">
            <v>70142</v>
          </cell>
          <cell r="B507" t="str">
            <v>Fuel Expense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</row>
        <row r="508">
          <cell r="A508">
            <v>70145</v>
          </cell>
          <cell r="B508" t="str">
            <v>Outside Repairs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</row>
        <row r="509">
          <cell r="A509">
            <v>70147</v>
          </cell>
          <cell r="B509" t="str">
            <v>Bldg &amp; Property Maint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</row>
        <row r="510">
          <cell r="A510">
            <v>70148</v>
          </cell>
          <cell r="B510" t="str">
            <v>Allocated Exp In - District</v>
          </cell>
          <cell r="E510">
            <v>2932.61</v>
          </cell>
          <cell r="F510">
            <v>3215.3</v>
          </cell>
          <cell r="G510">
            <v>3962.99</v>
          </cell>
          <cell r="H510">
            <v>2924.73</v>
          </cell>
          <cell r="I510">
            <v>1275.23</v>
          </cell>
          <cell r="J510">
            <v>4265.58</v>
          </cell>
          <cell r="K510">
            <v>8940.42</v>
          </cell>
          <cell r="L510">
            <v>7247.4</v>
          </cell>
          <cell r="M510">
            <v>-383</v>
          </cell>
          <cell r="N510">
            <v>2709.33</v>
          </cell>
          <cell r="O510">
            <v>3459.2</v>
          </cell>
          <cell r="P510">
            <v>2793.15</v>
          </cell>
          <cell r="Q510">
            <v>43342.94</v>
          </cell>
        </row>
        <row r="511">
          <cell r="A511">
            <v>70150</v>
          </cell>
          <cell r="B511" t="str">
            <v>Utilities</v>
          </cell>
          <cell r="E511">
            <v>380.73</v>
          </cell>
          <cell r="F511">
            <v>364.13</v>
          </cell>
          <cell r="G511">
            <v>364.19</v>
          </cell>
          <cell r="H511">
            <v>352.07</v>
          </cell>
          <cell r="I511">
            <v>323.74</v>
          </cell>
          <cell r="J511">
            <v>309.05</v>
          </cell>
          <cell r="K511">
            <v>1116.01</v>
          </cell>
          <cell r="L511">
            <v>325.92</v>
          </cell>
          <cell r="M511">
            <v>289.63</v>
          </cell>
          <cell r="N511">
            <v>300.67</v>
          </cell>
          <cell r="O511">
            <v>324.64999999999998</v>
          </cell>
          <cell r="P511">
            <v>559.65</v>
          </cell>
          <cell r="Q511">
            <v>5010.4399999999996</v>
          </cell>
        </row>
        <row r="512">
          <cell r="A512">
            <v>70165</v>
          </cell>
          <cell r="B512" t="str">
            <v>Communications</v>
          </cell>
          <cell r="E512">
            <v>471.39</v>
          </cell>
          <cell r="F512">
            <v>299.95</v>
          </cell>
          <cell r="G512">
            <v>548.38</v>
          </cell>
          <cell r="H512">
            <v>403.25</v>
          </cell>
          <cell r="I512">
            <v>472.01</v>
          </cell>
          <cell r="J512">
            <v>532</v>
          </cell>
          <cell r="K512">
            <v>463.52</v>
          </cell>
          <cell r="L512">
            <v>1173.68</v>
          </cell>
          <cell r="M512">
            <v>539.39</v>
          </cell>
          <cell r="N512">
            <v>124.82</v>
          </cell>
          <cell r="O512">
            <v>370.1</v>
          </cell>
          <cell r="P512">
            <v>2409.2399999999998</v>
          </cell>
          <cell r="Q512">
            <v>7807.73</v>
          </cell>
        </row>
        <row r="513">
          <cell r="A513">
            <v>70166</v>
          </cell>
          <cell r="B513" t="str">
            <v>Office Telephone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</row>
        <row r="514">
          <cell r="A514">
            <v>70167</v>
          </cell>
          <cell r="B514" t="str">
            <v>Cellular Telephone</v>
          </cell>
          <cell r="E514">
            <v>18.989999999999998</v>
          </cell>
          <cell r="F514">
            <v>62.24</v>
          </cell>
          <cell r="G514">
            <v>118.47</v>
          </cell>
          <cell r="H514">
            <v>68.52</v>
          </cell>
          <cell r="I514">
            <v>56.02</v>
          </cell>
          <cell r="J514">
            <v>68.52</v>
          </cell>
          <cell r="K514">
            <v>118.98</v>
          </cell>
          <cell r="L514">
            <v>62.5</v>
          </cell>
          <cell r="M514">
            <v>25</v>
          </cell>
          <cell r="N514">
            <v>-73.709999999999994</v>
          </cell>
          <cell r="O514">
            <v>223.71</v>
          </cell>
          <cell r="P514">
            <v>50</v>
          </cell>
          <cell r="Q514">
            <v>799.24</v>
          </cell>
        </row>
        <row r="515">
          <cell r="A515">
            <v>70170</v>
          </cell>
          <cell r="B515" t="str">
            <v>Real Estate Rentals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3168.8</v>
          </cell>
          <cell r="Q515">
            <v>3168.8</v>
          </cell>
        </row>
        <row r="516">
          <cell r="A516">
            <v>70175</v>
          </cell>
          <cell r="B516" t="str">
            <v>Equip/Vehicle Rental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</row>
        <row r="517">
          <cell r="A517">
            <v>70185</v>
          </cell>
          <cell r="B517" t="str">
            <v>Postage</v>
          </cell>
          <cell r="E517">
            <v>554.46</v>
          </cell>
          <cell r="F517">
            <v>488.09</v>
          </cell>
          <cell r="G517">
            <v>167.53</v>
          </cell>
          <cell r="H517">
            <v>594.19000000000005</v>
          </cell>
          <cell r="I517">
            <v>578.76</v>
          </cell>
          <cell r="J517">
            <v>533.45000000000005</v>
          </cell>
          <cell r="K517">
            <v>916.47</v>
          </cell>
          <cell r="L517">
            <v>529.91</v>
          </cell>
          <cell r="M517">
            <v>533.41</v>
          </cell>
          <cell r="N517">
            <v>625</v>
          </cell>
          <cell r="O517">
            <v>547.6</v>
          </cell>
          <cell r="P517">
            <v>547.17999999999995</v>
          </cell>
          <cell r="Q517">
            <v>6616.05</v>
          </cell>
        </row>
        <row r="518">
          <cell r="A518">
            <v>70190</v>
          </cell>
          <cell r="B518" t="str">
            <v>Registration Fees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</row>
        <row r="519">
          <cell r="A519">
            <v>70195</v>
          </cell>
          <cell r="B519" t="str">
            <v>Dues and Subscriptions</v>
          </cell>
          <cell r="E519">
            <v>913</v>
          </cell>
          <cell r="F519">
            <v>1939.67</v>
          </cell>
          <cell r="G519">
            <v>663</v>
          </cell>
          <cell r="H519">
            <v>2175.4699999999998</v>
          </cell>
          <cell r="I519">
            <v>775.41</v>
          </cell>
          <cell r="J519">
            <v>1375.47</v>
          </cell>
          <cell r="K519">
            <v>833</v>
          </cell>
          <cell r="L519">
            <v>2029.58</v>
          </cell>
          <cell r="M519">
            <v>672.93</v>
          </cell>
          <cell r="N519">
            <v>1244.56</v>
          </cell>
          <cell r="O519">
            <v>2034.76</v>
          </cell>
          <cell r="P519">
            <v>974.76</v>
          </cell>
          <cell r="Q519">
            <v>15631.61</v>
          </cell>
        </row>
        <row r="520">
          <cell r="A520">
            <v>70196</v>
          </cell>
          <cell r="B520" t="str">
            <v>Club Dues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</row>
        <row r="521">
          <cell r="A521">
            <v>70200</v>
          </cell>
          <cell r="B521" t="str">
            <v>Travel</v>
          </cell>
          <cell r="E521">
            <v>284.18</v>
          </cell>
          <cell r="F521">
            <v>570.14</v>
          </cell>
          <cell r="G521">
            <v>-220.29</v>
          </cell>
          <cell r="H521">
            <v>1900</v>
          </cell>
          <cell r="I521">
            <v>-1665.7</v>
          </cell>
          <cell r="J521">
            <v>263.64999999999998</v>
          </cell>
          <cell r="K521">
            <v>203.4</v>
          </cell>
          <cell r="L521">
            <v>-15.5</v>
          </cell>
          <cell r="M521">
            <v>340.62</v>
          </cell>
          <cell r="N521">
            <v>348.94</v>
          </cell>
          <cell r="O521">
            <v>14.75</v>
          </cell>
          <cell r="P521">
            <v>68.2</v>
          </cell>
          <cell r="Q521">
            <v>2092.3899999999994</v>
          </cell>
        </row>
        <row r="522">
          <cell r="A522">
            <v>70201</v>
          </cell>
          <cell r="B522" t="str">
            <v>Entertainment</v>
          </cell>
          <cell r="E522">
            <v>0</v>
          </cell>
          <cell r="F522">
            <v>7.85</v>
          </cell>
          <cell r="G522">
            <v>137.01</v>
          </cell>
          <cell r="H522">
            <v>-29.88</v>
          </cell>
          <cell r="I522">
            <v>73.069999999999993</v>
          </cell>
          <cell r="J522">
            <v>428.59</v>
          </cell>
          <cell r="K522">
            <v>-290.98</v>
          </cell>
          <cell r="L522">
            <v>540.96</v>
          </cell>
          <cell r="M522">
            <v>-468.86</v>
          </cell>
          <cell r="N522">
            <v>13.96</v>
          </cell>
          <cell r="O522">
            <v>0</v>
          </cell>
          <cell r="P522">
            <v>0</v>
          </cell>
          <cell r="Q522">
            <v>411.71999999999997</v>
          </cell>
        </row>
        <row r="523">
          <cell r="A523">
            <v>70202</v>
          </cell>
          <cell r="B523" t="str">
            <v>Excursions Meetings</v>
          </cell>
          <cell r="E523">
            <v>0</v>
          </cell>
          <cell r="F523">
            <v>115.17</v>
          </cell>
          <cell r="G523">
            <v>0</v>
          </cell>
          <cell r="H523">
            <v>0</v>
          </cell>
          <cell r="I523">
            <v>0</v>
          </cell>
          <cell r="J523">
            <v>416.25</v>
          </cell>
          <cell r="K523">
            <v>0</v>
          </cell>
          <cell r="L523">
            <v>0</v>
          </cell>
          <cell r="M523">
            <v>0</v>
          </cell>
          <cell r="N523">
            <v>46.73</v>
          </cell>
          <cell r="O523">
            <v>-46.73</v>
          </cell>
          <cell r="P523">
            <v>0</v>
          </cell>
          <cell r="Q523">
            <v>531.41999999999996</v>
          </cell>
        </row>
        <row r="524">
          <cell r="A524">
            <v>70203</v>
          </cell>
          <cell r="B524" t="str">
            <v>Lodging</v>
          </cell>
          <cell r="E524">
            <v>-462.54</v>
          </cell>
          <cell r="F524">
            <v>0</v>
          </cell>
          <cell r="G524">
            <v>0</v>
          </cell>
          <cell r="H524">
            <v>326.7</v>
          </cell>
          <cell r="I524">
            <v>193</v>
          </cell>
          <cell r="J524">
            <v>436.86</v>
          </cell>
          <cell r="K524">
            <v>-170.97</v>
          </cell>
          <cell r="L524">
            <v>841.43</v>
          </cell>
          <cell r="M524">
            <v>127.5</v>
          </cell>
          <cell r="N524">
            <v>159.44</v>
          </cell>
          <cell r="O524">
            <v>-28.18</v>
          </cell>
          <cell r="P524">
            <v>171.48</v>
          </cell>
          <cell r="Q524">
            <v>1594.72</v>
          </cell>
        </row>
        <row r="525">
          <cell r="A525">
            <v>70204</v>
          </cell>
          <cell r="B525" t="str">
            <v>Gifts to Customers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</row>
        <row r="526">
          <cell r="A526">
            <v>70205</v>
          </cell>
          <cell r="B526" t="str">
            <v>Travel - Auto</v>
          </cell>
          <cell r="E526">
            <v>45.73</v>
          </cell>
          <cell r="F526">
            <v>-10.71</v>
          </cell>
          <cell r="G526">
            <v>526.05999999999995</v>
          </cell>
          <cell r="H526">
            <v>861.17</v>
          </cell>
          <cell r="I526">
            <v>156.44999999999999</v>
          </cell>
          <cell r="J526">
            <v>24.24</v>
          </cell>
          <cell r="K526">
            <v>2459.6</v>
          </cell>
          <cell r="L526">
            <v>-623.04</v>
          </cell>
          <cell r="M526">
            <v>1397.2</v>
          </cell>
          <cell r="N526">
            <v>-382.55</v>
          </cell>
          <cell r="O526">
            <v>-70.31</v>
          </cell>
          <cell r="P526">
            <v>-1079.19</v>
          </cell>
          <cell r="Q526">
            <v>3304.6499999999992</v>
          </cell>
        </row>
        <row r="527">
          <cell r="A527">
            <v>70206</v>
          </cell>
          <cell r="B527" t="str">
            <v>Meals</v>
          </cell>
          <cell r="E527">
            <v>-77.31</v>
          </cell>
          <cell r="F527">
            <v>17.46</v>
          </cell>
          <cell r="G527">
            <v>200.29</v>
          </cell>
          <cell r="H527">
            <v>-74.84</v>
          </cell>
          <cell r="I527">
            <v>191.59</v>
          </cell>
          <cell r="J527">
            <v>1.26</v>
          </cell>
          <cell r="K527">
            <v>-7.59</v>
          </cell>
          <cell r="L527">
            <v>350.62</v>
          </cell>
          <cell r="M527">
            <v>-21.04</v>
          </cell>
          <cell r="N527">
            <v>31.96</v>
          </cell>
          <cell r="O527">
            <v>562.61</v>
          </cell>
          <cell r="P527">
            <v>262.97000000000003</v>
          </cell>
          <cell r="Q527">
            <v>1437.9800000000002</v>
          </cell>
        </row>
        <row r="528">
          <cell r="A528">
            <v>70207</v>
          </cell>
          <cell r="B528" t="str">
            <v>Meals with Customers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</row>
        <row r="529">
          <cell r="A529">
            <v>70209</v>
          </cell>
          <cell r="B529" t="str">
            <v>Photo Supplies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</row>
        <row r="530">
          <cell r="A530">
            <v>70210</v>
          </cell>
          <cell r="B530" t="str">
            <v>Office Supplies and Equip</v>
          </cell>
          <cell r="E530">
            <v>5866.86</v>
          </cell>
          <cell r="F530">
            <v>2088.08</v>
          </cell>
          <cell r="G530">
            <v>1297.8399999999999</v>
          </cell>
          <cell r="H530">
            <v>1260.67</v>
          </cell>
          <cell r="I530">
            <v>1042.3699999999999</v>
          </cell>
          <cell r="J530">
            <v>1576.14</v>
          </cell>
          <cell r="K530">
            <v>1736.71</v>
          </cell>
          <cell r="L530">
            <v>1305.27</v>
          </cell>
          <cell r="M530">
            <v>1356.75</v>
          </cell>
          <cell r="N530">
            <v>4188.3100000000004</v>
          </cell>
          <cell r="O530">
            <v>352.32</v>
          </cell>
          <cell r="P530">
            <v>2617.98</v>
          </cell>
          <cell r="Q530">
            <v>24689.3</v>
          </cell>
        </row>
        <row r="531">
          <cell r="A531">
            <v>70213</v>
          </cell>
          <cell r="B531" t="str">
            <v>Pcard Rebate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</row>
        <row r="532">
          <cell r="A532">
            <v>70214</v>
          </cell>
          <cell r="B532" t="str">
            <v>Credit Card Fees</v>
          </cell>
          <cell r="E532">
            <v>2484.66</v>
          </cell>
          <cell r="F532">
            <v>2690.82</v>
          </cell>
          <cell r="G532">
            <v>2823.76</v>
          </cell>
          <cell r="H532">
            <v>2495.84</v>
          </cell>
          <cell r="I532">
            <v>2467.4499999999998</v>
          </cell>
          <cell r="J532">
            <v>2868.03</v>
          </cell>
          <cell r="K532">
            <v>2914.02</v>
          </cell>
          <cell r="L532">
            <v>3099.61</v>
          </cell>
          <cell r="M532">
            <v>3243.81</v>
          </cell>
          <cell r="N532">
            <v>129.69</v>
          </cell>
          <cell r="O532">
            <v>6329.67</v>
          </cell>
          <cell r="P532">
            <v>3002.76</v>
          </cell>
          <cell r="Q532">
            <v>34550.120000000003</v>
          </cell>
        </row>
        <row r="533">
          <cell r="A533">
            <v>70215</v>
          </cell>
          <cell r="B533" t="str">
            <v>Bank Charges</v>
          </cell>
          <cell r="E533">
            <v>146.88</v>
          </cell>
          <cell r="F533">
            <v>148.75</v>
          </cell>
          <cell r="G533">
            <v>150.41999999999999</v>
          </cell>
          <cell r="H533">
            <v>150.63</v>
          </cell>
          <cell r="I533">
            <v>131.56</v>
          </cell>
          <cell r="J533">
            <v>137.5</v>
          </cell>
          <cell r="K533">
            <v>0</v>
          </cell>
          <cell r="L533">
            <v>129.06</v>
          </cell>
          <cell r="M533">
            <v>133.75</v>
          </cell>
          <cell r="N533">
            <v>0</v>
          </cell>
          <cell r="O533">
            <v>264.07</v>
          </cell>
          <cell r="P533">
            <v>18.73</v>
          </cell>
          <cell r="Q533">
            <v>1411.35</v>
          </cell>
        </row>
        <row r="534">
          <cell r="A534">
            <v>70216</v>
          </cell>
          <cell r="B534" t="str">
            <v>Outside Storages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</row>
        <row r="535">
          <cell r="A535">
            <v>70217</v>
          </cell>
          <cell r="B535" t="str">
            <v>Invoice Printing Costs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</row>
        <row r="536">
          <cell r="A536">
            <v>70225</v>
          </cell>
          <cell r="B536" t="str">
            <v>Advertising and Promotions</v>
          </cell>
          <cell r="E536">
            <v>0</v>
          </cell>
          <cell r="F536">
            <v>473.41</v>
          </cell>
          <cell r="G536">
            <v>0</v>
          </cell>
          <cell r="H536">
            <v>10.55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311.8</v>
          </cell>
          <cell r="P536">
            <v>0</v>
          </cell>
          <cell r="Q536">
            <v>795.76</v>
          </cell>
        </row>
        <row r="537">
          <cell r="A537">
            <v>70230</v>
          </cell>
          <cell r="B537" t="str">
            <v>External Recruiter Fees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</row>
        <row r="538">
          <cell r="A538">
            <v>70231</v>
          </cell>
          <cell r="B538" t="str">
            <v>Recruitment Advertising &amp; Expenses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108.21</v>
          </cell>
          <cell r="N538">
            <v>0</v>
          </cell>
          <cell r="O538">
            <v>0</v>
          </cell>
          <cell r="P538">
            <v>0</v>
          </cell>
          <cell r="Q538">
            <v>108.21</v>
          </cell>
        </row>
        <row r="539">
          <cell r="A539">
            <v>70232</v>
          </cell>
          <cell r="B539" t="str">
            <v>Recruitment Travel Expenses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</row>
        <row r="540">
          <cell r="A540">
            <v>70235</v>
          </cell>
          <cell r="B540" t="str">
            <v>Legal</v>
          </cell>
          <cell r="E540">
            <v>2439.5700000000002</v>
          </cell>
          <cell r="F540">
            <v>2131.5700000000002</v>
          </cell>
          <cell r="G540">
            <v>3481.88</v>
          </cell>
          <cell r="H540">
            <v>-1738.5</v>
          </cell>
          <cell r="I540">
            <v>447.82</v>
          </cell>
          <cell r="J540">
            <v>9856.85</v>
          </cell>
          <cell r="K540">
            <v>1380.87</v>
          </cell>
          <cell r="L540">
            <v>9752.81</v>
          </cell>
          <cell r="M540">
            <v>14711.58</v>
          </cell>
          <cell r="N540">
            <v>-607.33000000000004</v>
          </cell>
          <cell r="O540">
            <v>1378.45</v>
          </cell>
          <cell r="P540">
            <v>10240.9</v>
          </cell>
          <cell r="Q540">
            <v>53476.47</v>
          </cell>
        </row>
        <row r="541">
          <cell r="A541">
            <v>70240</v>
          </cell>
          <cell r="B541" t="str">
            <v>Accounting Professional Fees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</row>
        <row r="542">
          <cell r="A542">
            <v>70245</v>
          </cell>
          <cell r="B542" t="str">
            <v>Payroll Processing Fees</v>
          </cell>
          <cell r="E542">
            <v>99.03</v>
          </cell>
          <cell r="F542">
            <v>97.9</v>
          </cell>
          <cell r="G542">
            <v>97.9</v>
          </cell>
          <cell r="H542">
            <v>97.9</v>
          </cell>
          <cell r="I542">
            <v>97.9</v>
          </cell>
          <cell r="J542">
            <v>97.9</v>
          </cell>
          <cell r="K542">
            <v>97.9</v>
          </cell>
          <cell r="L542">
            <v>80.55</v>
          </cell>
          <cell r="M542">
            <v>80.55</v>
          </cell>
          <cell r="N542">
            <v>80.55</v>
          </cell>
          <cell r="O542">
            <v>80.680000000000007</v>
          </cell>
          <cell r="P542">
            <v>80.680000000000007</v>
          </cell>
          <cell r="Q542">
            <v>1089.4399999999998</v>
          </cell>
        </row>
        <row r="543">
          <cell r="A543">
            <v>70250</v>
          </cell>
          <cell r="B543" t="str">
            <v>Acquisition Cost Write Off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</row>
        <row r="544">
          <cell r="A544">
            <v>70254</v>
          </cell>
          <cell r="B544" t="str">
            <v>Corporate Capitalized Expenses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</row>
        <row r="545">
          <cell r="A545">
            <v>70255</v>
          </cell>
          <cell r="B545" t="str">
            <v>Other Prof Fees</v>
          </cell>
          <cell r="E545">
            <v>0</v>
          </cell>
          <cell r="F545">
            <v>219.75</v>
          </cell>
          <cell r="G545">
            <v>56.21</v>
          </cell>
          <cell r="H545">
            <v>0</v>
          </cell>
          <cell r="I545">
            <v>0</v>
          </cell>
          <cell r="J545">
            <v>56.21</v>
          </cell>
          <cell r="K545">
            <v>0</v>
          </cell>
          <cell r="L545">
            <v>0</v>
          </cell>
          <cell r="M545">
            <v>56.21</v>
          </cell>
          <cell r="N545">
            <v>0</v>
          </cell>
          <cell r="O545">
            <v>-84.14</v>
          </cell>
          <cell r="P545">
            <v>482.7</v>
          </cell>
          <cell r="Q545">
            <v>786.93999999999994</v>
          </cell>
        </row>
        <row r="546">
          <cell r="A546">
            <v>70271</v>
          </cell>
          <cell r="B546" t="str">
            <v>Property and Liability Insurance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</row>
        <row r="547">
          <cell r="A547">
            <v>70272</v>
          </cell>
          <cell r="B547" t="str">
            <v>Keyman Life Insurance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</row>
        <row r="548">
          <cell r="A548">
            <v>70273</v>
          </cell>
          <cell r="B548" t="str">
            <v>Directors and Officers Insurance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</row>
        <row r="549">
          <cell r="A549">
            <v>70275</v>
          </cell>
          <cell r="B549" t="str">
            <v>Property Taxes</v>
          </cell>
          <cell r="E549">
            <v>1875</v>
          </cell>
          <cell r="F549">
            <v>1875</v>
          </cell>
          <cell r="G549">
            <v>2015.82</v>
          </cell>
          <cell r="H549">
            <v>2554.7800000000002</v>
          </cell>
          <cell r="I549">
            <v>2554.7800000000002</v>
          </cell>
          <cell r="J549">
            <v>2554.7800000000002</v>
          </cell>
          <cell r="K549">
            <v>3187.6</v>
          </cell>
          <cell r="L549">
            <v>2396.5700000000002</v>
          </cell>
          <cell r="M549">
            <v>2396.5700000000002</v>
          </cell>
          <cell r="N549">
            <v>2449.23</v>
          </cell>
          <cell r="O549">
            <v>2343.73</v>
          </cell>
          <cell r="P549">
            <v>2554.7199999999998</v>
          </cell>
          <cell r="Q549">
            <v>28758.58</v>
          </cell>
        </row>
        <row r="550">
          <cell r="A550">
            <v>70280</v>
          </cell>
          <cell r="B550" t="str">
            <v>Other Taxes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</row>
        <row r="551">
          <cell r="A551">
            <v>70300</v>
          </cell>
          <cell r="B551" t="str">
            <v>Data Processing</v>
          </cell>
          <cell r="E551">
            <v>24958.15</v>
          </cell>
          <cell r="F551">
            <v>2262.73</v>
          </cell>
          <cell r="G551">
            <v>16300.02</v>
          </cell>
          <cell r="H551">
            <v>2127.0700000000002</v>
          </cell>
          <cell r="I551">
            <v>33912.97</v>
          </cell>
          <cell r="J551">
            <v>1054.05</v>
          </cell>
          <cell r="K551">
            <v>22342.57</v>
          </cell>
          <cell r="L551">
            <v>2410.96</v>
          </cell>
          <cell r="M551">
            <v>22431</v>
          </cell>
          <cell r="N551">
            <v>1947.24</v>
          </cell>
          <cell r="O551">
            <v>21688.02</v>
          </cell>
          <cell r="P551">
            <v>-2059.87</v>
          </cell>
          <cell r="Q551">
            <v>149374.91</v>
          </cell>
        </row>
        <row r="552">
          <cell r="A552">
            <v>70301</v>
          </cell>
          <cell r="B552" t="str">
            <v>Computer Software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</row>
        <row r="553">
          <cell r="A553">
            <v>70302</v>
          </cell>
          <cell r="B553" t="str">
            <v>Computer Supplies</v>
          </cell>
          <cell r="E553">
            <v>0</v>
          </cell>
          <cell r="F553">
            <v>145.26</v>
          </cell>
          <cell r="G553">
            <v>231.28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1365.11</v>
          </cell>
          <cell r="O553">
            <v>-1365.11</v>
          </cell>
          <cell r="P553">
            <v>187.29</v>
          </cell>
          <cell r="Q553">
            <v>563.82999999999993</v>
          </cell>
        </row>
        <row r="554">
          <cell r="A554">
            <v>70310</v>
          </cell>
          <cell r="B554" t="str">
            <v>Bad Debt Provision</v>
          </cell>
          <cell r="E554">
            <v>59587.53</v>
          </cell>
          <cell r="F554">
            <v>-42181.27</v>
          </cell>
          <cell r="G554">
            <v>26327.15</v>
          </cell>
          <cell r="H554">
            <v>-23518.21</v>
          </cell>
          <cell r="I554">
            <v>45403.42</v>
          </cell>
          <cell r="J554">
            <v>-30919.22</v>
          </cell>
          <cell r="K554">
            <v>58231.48</v>
          </cell>
          <cell r="L554">
            <v>-42566.26</v>
          </cell>
          <cell r="M554">
            <v>51551.54</v>
          </cell>
          <cell r="N554">
            <v>-30438.81</v>
          </cell>
          <cell r="O554">
            <v>61503.66</v>
          </cell>
          <cell r="P554">
            <v>-32663.45</v>
          </cell>
          <cell r="Q554">
            <v>100317.56000000001</v>
          </cell>
        </row>
        <row r="555">
          <cell r="A555">
            <v>70315</v>
          </cell>
          <cell r="B555" t="str">
            <v>Bad Debt Recoveries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</row>
        <row r="556">
          <cell r="A556">
            <v>70320</v>
          </cell>
          <cell r="B556" t="str">
            <v>Credit and Collection</v>
          </cell>
          <cell r="E556">
            <v>6202.09</v>
          </cell>
          <cell r="F556">
            <v>-976.61</v>
          </cell>
          <cell r="G556">
            <v>5260.16</v>
          </cell>
          <cell r="H556">
            <v>-803.96</v>
          </cell>
          <cell r="I556">
            <v>1871.95</v>
          </cell>
          <cell r="J556">
            <v>1067.25</v>
          </cell>
          <cell r="K556">
            <v>1589.22</v>
          </cell>
          <cell r="L556">
            <v>936.71</v>
          </cell>
          <cell r="M556">
            <v>1051.27</v>
          </cell>
          <cell r="N556">
            <v>482.15</v>
          </cell>
          <cell r="O556">
            <v>1946.37</v>
          </cell>
          <cell r="P556">
            <v>5166.42</v>
          </cell>
          <cell r="Q556">
            <v>23793.020000000004</v>
          </cell>
        </row>
        <row r="557">
          <cell r="A557">
            <v>70324</v>
          </cell>
          <cell r="B557" t="str">
            <v>Penalties and Violations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</row>
        <row r="558">
          <cell r="A558">
            <v>70325</v>
          </cell>
          <cell r="B558" t="str">
            <v>Legal Settlement Payments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</row>
        <row r="559">
          <cell r="A559">
            <v>70326</v>
          </cell>
          <cell r="B559" t="str">
            <v>Deductible Current Year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</row>
        <row r="560">
          <cell r="A560">
            <v>70327</v>
          </cell>
          <cell r="B560" t="str">
            <v>Deductible Dammage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</row>
        <row r="561">
          <cell r="A561">
            <v>70328</v>
          </cell>
          <cell r="B561" t="str">
            <v>Claim Recoveries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</row>
        <row r="562">
          <cell r="A562">
            <v>70330</v>
          </cell>
          <cell r="B562" t="str">
            <v>Deductible Prior Year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</row>
        <row r="563">
          <cell r="A563">
            <v>70335</v>
          </cell>
          <cell r="B563" t="str">
            <v>Miscellaneous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</row>
        <row r="564">
          <cell r="A564">
            <v>70336</v>
          </cell>
          <cell r="B564" t="str">
            <v>Coffe Bar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</row>
        <row r="565">
          <cell r="A565">
            <v>70345</v>
          </cell>
          <cell r="B565" t="str">
            <v>Security Services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</row>
        <row r="566">
          <cell r="A566">
            <v>70357</v>
          </cell>
          <cell r="B566" t="str">
            <v>Permits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</row>
        <row r="567">
          <cell r="A567">
            <v>70370</v>
          </cell>
          <cell r="B567" t="str">
            <v>Bonds Expense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</row>
        <row r="568">
          <cell r="A568">
            <v>70371</v>
          </cell>
          <cell r="B568" t="str">
            <v>Board of Directors Fees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</row>
        <row r="569">
          <cell r="A569">
            <v>70372</v>
          </cell>
          <cell r="B569" t="str">
            <v>Board of Directors Expense Report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</row>
        <row r="570">
          <cell r="A570">
            <v>70475</v>
          </cell>
          <cell r="B570" t="str">
            <v>Trade Shows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</row>
        <row r="571">
          <cell r="A571">
            <v>70900</v>
          </cell>
          <cell r="B571" t="str">
            <v>Entitiy Formation Costs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</row>
        <row r="572">
          <cell r="A572">
            <v>70998</v>
          </cell>
          <cell r="B572" t="str">
            <v>Allocation Out - District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</row>
        <row r="573">
          <cell r="A573">
            <v>70999</v>
          </cell>
          <cell r="B573" t="str">
            <v>Allocation Out - Out District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</row>
        <row r="574">
          <cell r="A574">
            <v>71000</v>
          </cell>
          <cell r="B574" t="str">
            <v>Stock Comp Expense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</row>
        <row r="575">
          <cell r="A575" t="str">
            <v>Total G&amp;A</v>
          </cell>
          <cell r="E575">
            <v>207906.74000000002</v>
          </cell>
          <cell r="F575">
            <v>66798.010000000024</v>
          </cell>
          <cell r="G575">
            <v>161263.80000000002</v>
          </cell>
          <cell r="H575">
            <v>86311.12999999999</v>
          </cell>
          <cell r="I575">
            <v>177403</v>
          </cell>
          <cell r="J575">
            <v>90607.349999999991</v>
          </cell>
          <cell r="K575">
            <v>198820.07000000004</v>
          </cell>
          <cell r="L575">
            <v>89006.530000000013</v>
          </cell>
          <cell r="M575">
            <v>188289.78000000003</v>
          </cell>
          <cell r="N575">
            <v>72891.83</v>
          </cell>
          <cell r="O575">
            <v>194697.06000000006</v>
          </cell>
          <cell r="P575">
            <v>96799.019999999931</v>
          </cell>
          <cell r="Q575">
            <v>1630794.3199999996</v>
          </cell>
        </row>
        <row r="577">
          <cell r="A577" t="str">
            <v>Overhead</v>
          </cell>
        </row>
        <row r="578">
          <cell r="A578">
            <v>70149</v>
          </cell>
          <cell r="B578" t="str">
            <v>Corporate Overhead Allocation In</v>
          </cell>
          <cell r="E578">
            <v>55340.22</v>
          </cell>
          <cell r="F578">
            <v>54315.21</v>
          </cell>
          <cell r="G578">
            <v>54439.91</v>
          </cell>
          <cell r="H578">
            <v>55653.47</v>
          </cell>
          <cell r="I578">
            <v>54826.44</v>
          </cell>
          <cell r="J578">
            <v>55802.53</v>
          </cell>
          <cell r="K578">
            <v>55353.69</v>
          </cell>
          <cell r="L578">
            <v>57179.64</v>
          </cell>
          <cell r="M578">
            <v>55296.08</v>
          </cell>
          <cell r="N578">
            <v>55281.99</v>
          </cell>
          <cell r="O578">
            <v>54995.29</v>
          </cell>
          <cell r="P578">
            <v>55389.94</v>
          </cell>
          <cell r="Q578">
            <v>663874.41000000015</v>
          </cell>
        </row>
        <row r="579">
          <cell r="A579">
            <v>70159</v>
          </cell>
          <cell r="B579" t="str">
            <v>Region Overhead Allocation In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</row>
        <row r="580">
          <cell r="A580" t="str">
            <v>Total Overhead</v>
          </cell>
          <cell r="E580">
            <v>55340.22</v>
          </cell>
          <cell r="F580">
            <v>54315.21</v>
          </cell>
          <cell r="G580">
            <v>54439.91</v>
          </cell>
          <cell r="H580">
            <v>55653.47</v>
          </cell>
          <cell r="I580">
            <v>54826.44</v>
          </cell>
          <cell r="J580">
            <v>55802.53</v>
          </cell>
          <cell r="K580">
            <v>55353.69</v>
          </cell>
          <cell r="L580">
            <v>57179.64</v>
          </cell>
          <cell r="M580">
            <v>55296.08</v>
          </cell>
          <cell r="N580">
            <v>55281.99</v>
          </cell>
          <cell r="O580">
            <v>54995.29</v>
          </cell>
          <cell r="P580">
            <v>55389.94</v>
          </cell>
          <cell r="Q580">
            <v>663874.41000000015</v>
          </cell>
        </row>
        <row r="582">
          <cell r="A582" t="str">
            <v>Total SG&amp;A</v>
          </cell>
          <cell r="E582">
            <v>263246.96000000002</v>
          </cell>
          <cell r="F582">
            <v>121113.22000000003</v>
          </cell>
          <cell r="G582">
            <v>215703.71000000002</v>
          </cell>
          <cell r="H582">
            <v>141964.59999999998</v>
          </cell>
          <cell r="I582">
            <v>232229.44</v>
          </cell>
          <cell r="J582">
            <v>146409.88</v>
          </cell>
          <cell r="K582">
            <v>254173.76000000004</v>
          </cell>
          <cell r="L582">
            <v>146186.17000000001</v>
          </cell>
          <cell r="M582">
            <v>243585.86000000004</v>
          </cell>
          <cell r="N582">
            <v>128173.82</v>
          </cell>
          <cell r="O582">
            <v>249692.35000000006</v>
          </cell>
          <cell r="P582">
            <v>155426.55999999994</v>
          </cell>
          <cell r="Q582">
            <v>2297906.3299999996</v>
          </cell>
        </row>
        <row r="584">
          <cell r="A584" t="str">
            <v>EBITDA</v>
          </cell>
          <cell r="E584">
            <v>20388.780000000086</v>
          </cell>
          <cell r="F584">
            <v>275898.64999999997</v>
          </cell>
          <cell r="G584">
            <v>77705.549999999872</v>
          </cell>
          <cell r="H584">
            <v>153218.83000000007</v>
          </cell>
          <cell r="I584">
            <v>139863.27999999974</v>
          </cell>
          <cell r="J584">
            <v>204338.71000000008</v>
          </cell>
          <cell r="K584">
            <v>93342.360000000015</v>
          </cell>
          <cell r="L584">
            <v>241833.84</v>
          </cell>
          <cell r="M584">
            <v>134242.65999999997</v>
          </cell>
          <cell r="N584">
            <v>254051.7099999999</v>
          </cell>
          <cell r="O584">
            <v>61738.860000000132</v>
          </cell>
          <cell r="P584">
            <v>151328.35999999987</v>
          </cell>
          <cell r="Q584">
            <v>1807951.5899999957</v>
          </cell>
        </row>
        <row r="586">
          <cell r="A586" t="str">
            <v>DD&amp;A</v>
          </cell>
        </row>
        <row r="587">
          <cell r="A587" t="str">
            <v>Depreciation</v>
          </cell>
        </row>
        <row r="588">
          <cell r="A588">
            <v>51260</v>
          </cell>
          <cell r="B588" t="str">
            <v>Depreciation</v>
          </cell>
          <cell r="E588">
            <v>49490.6</v>
          </cell>
          <cell r="F588">
            <v>49625.87</v>
          </cell>
          <cell r="G588">
            <v>49625.95</v>
          </cell>
          <cell r="H588">
            <v>49620.11</v>
          </cell>
          <cell r="I588">
            <v>49620.2</v>
          </cell>
          <cell r="J588">
            <v>48737.05</v>
          </cell>
          <cell r="K588">
            <v>48736.639999999999</v>
          </cell>
          <cell r="L588">
            <v>47681.86</v>
          </cell>
          <cell r="M588">
            <v>47682.18</v>
          </cell>
          <cell r="N588">
            <v>47681.87</v>
          </cell>
          <cell r="O588">
            <v>47328.05</v>
          </cell>
          <cell r="P588">
            <v>47849.53</v>
          </cell>
          <cell r="Q588">
            <v>583679.91</v>
          </cell>
        </row>
        <row r="589">
          <cell r="A589">
            <v>54260</v>
          </cell>
          <cell r="B589" t="str">
            <v>Depreciation</v>
          </cell>
          <cell r="E589">
            <v>11933.53</v>
          </cell>
          <cell r="F589">
            <v>11933.51</v>
          </cell>
          <cell r="G589">
            <v>11933.4</v>
          </cell>
          <cell r="H589">
            <v>11933.26</v>
          </cell>
          <cell r="I589">
            <v>11933.49</v>
          </cell>
          <cell r="J589">
            <v>11933.83</v>
          </cell>
          <cell r="K589">
            <v>11932.86</v>
          </cell>
          <cell r="L589">
            <v>11933.32</v>
          </cell>
          <cell r="M589">
            <v>11933.62</v>
          </cell>
          <cell r="N589">
            <v>11933.41</v>
          </cell>
          <cell r="O589">
            <v>11933.19</v>
          </cell>
          <cell r="P589">
            <v>11933.37</v>
          </cell>
          <cell r="Q589">
            <v>143200.79</v>
          </cell>
        </row>
        <row r="590">
          <cell r="A590">
            <v>56260</v>
          </cell>
          <cell r="B590" t="str">
            <v>Depreciation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</row>
        <row r="591">
          <cell r="A591">
            <v>57260</v>
          </cell>
          <cell r="B591" t="str">
            <v>Depreciation</v>
          </cell>
          <cell r="E591">
            <v>2414.64</v>
          </cell>
          <cell r="F591">
            <v>2414.6799999999998</v>
          </cell>
          <cell r="G591">
            <v>2414.64</v>
          </cell>
          <cell r="H591">
            <v>2441.84</v>
          </cell>
          <cell r="I591">
            <v>2441.87</v>
          </cell>
          <cell r="J591">
            <v>2441.86</v>
          </cell>
          <cell r="K591">
            <v>2441.83</v>
          </cell>
          <cell r="L591">
            <v>2503.59</v>
          </cell>
          <cell r="M591">
            <v>2503.59</v>
          </cell>
          <cell r="N591">
            <v>3307.76</v>
          </cell>
          <cell r="O591">
            <v>3318.13</v>
          </cell>
          <cell r="P591">
            <v>3312.93</v>
          </cell>
          <cell r="Q591">
            <v>31957.360000000004</v>
          </cell>
        </row>
        <row r="592">
          <cell r="A592">
            <v>60260</v>
          </cell>
          <cell r="B592" t="str">
            <v>Depreciation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</row>
        <row r="593">
          <cell r="A593">
            <v>70257</v>
          </cell>
          <cell r="B593" t="str">
            <v>Depreciation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</row>
        <row r="594">
          <cell r="A594">
            <v>70260</v>
          </cell>
          <cell r="B594" t="str">
            <v>Depreciation</v>
          </cell>
          <cell r="E594">
            <v>1532.42</v>
          </cell>
          <cell r="F594">
            <v>1532.4</v>
          </cell>
          <cell r="G594">
            <v>1532.42</v>
          </cell>
          <cell r="H594">
            <v>1459.5</v>
          </cell>
          <cell r="I594">
            <v>1459.49</v>
          </cell>
          <cell r="J594">
            <v>1422.66</v>
          </cell>
          <cell r="K594">
            <v>1422.61</v>
          </cell>
          <cell r="L594">
            <v>1422.6</v>
          </cell>
          <cell r="M594">
            <v>1422.64</v>
          </cell>
          <cell r="N594">
            <v>1422.61</v>
          </cell>
          <cell r="O594">
            <v>1422.62</v>
          </cell>
          <cell r="P594">
            <v>1595.38</v>
          </cell>
          <cell r="Q594">
            <v>17647.350000000002</v>
          </cell>
        </row>
        <row r="595">
          <cell r="A595" t="str">
            <v>Total Depreciation</v>
          </cell>
          <cell r="E595">
            <v>65371.189999999995</v>
          </cell>
          <cell r="F595">
            <v>65506.460000000006</v>
          </cell>
          <cell r="G595">
            <v>65506.409999999996</v>
          </cell>
          <cell r="H595">
            <v>65454.710000000006</v>
          </cell>
          <cell r="I595">
            <v>65455.049999999996</v>
          </cell>
          <cell r="J595">
            <v>64535.400000000009</v>
          </cell>
          <cell r="K595">
            <v>64533.94</v>
          </cell>
          <cell r="L595">
            <v>63541.37</v>
          </cell>
          <cell r="M595">
            <v>63542.03</v>
          </cell>
          <cell r="N595">
            <v>64345.65</v>
          </cell>
          <cell r="O595">
            <v>64001.990000000005</v>
          </cell>
          <cell r="P595">
            <v>64691.21</v>
          </cell>
          <cell r="Q595">
            <v>776485.41</v>
          </cell>
        </row>
        <row r="597">
          <cell r="A597" t="str">
            <v>Depletion</v>
          </cell>
        </row>
        <row r="598">
          <cell r="A598">
            <v>46000</v>
          </cell>
          <cell r="B598" t="str">
            <v>Depletion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</row>
        <row r="599">
          <cell r="A599">
            <v>46010</v>
          </cell>
          <cell r="B599" t="str">
            <v>Closure Amortization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</row>
        <row r="600">
          <cell r="A600">
            <v>57261</v>
          </cell>
          <cell r="B600" t="str">
            <v>Airspace Amortization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</row>
        <row r="601">
          <cell r="A601" t="str">
            <v>Total Depletion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</row>
        <row r="603">
          <cell r="A603" t="str">
            <v>Amortization</v>
          </cell>
        </row>
        <row r="604">
          <cell r="A604">
            <v>70264</v>
          </cell>
          <cell r="B604" t="str">
            <v>Amortization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</row>
        <row r="605">
          <cell r="A605">
            <v>70266</v>
          </cell>
          <cell r="B605" t="str">
            <v>Cov. Not to Compete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</row>
        <row r="606">
          <cell r="A606">
            <v>70267</v>
          </cell>
          <cell r="B606" t="str">
            <v>Amortization of Goodwill - Taxable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</row>
        <row r="607">
          <cell r="A607">
            <v>70268</v>
          </cell>
          <cell r="B607" t="str">
            <v>Amortization of Goodwill - Non-Taxable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</row>
        <row r="608">
          <cell r="A608">
            <v>70269</v>
          </cell>
          <cell r="B608" t="str">
            <v>Long Term Contract Amort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</row>
        <row r="609">
          <cell r="A609" t="str">
            <v>Total Amortization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</row>
        <row r="611">
          <cell r="A611" t="str">
            <v>Total DDA</v>
          </cell>
          <cell r="E611">
            <v>65371.189999999995</v>
          </cell>
          <cell r="F611">
            <v>65506.460000000006</v>
          </cell>
          <cell r="G611">
            <v>65506.409999999996</v>
          </cell>
          <cell r="H611">
            <v>65454.710000000006</v>
          </cell>
          <cell r="I611">
            <v>65455.049999999996</v>
          </cell>
          <cell r="J611">
            <v>64535.400000000009</v>
          </cell>
          <cell r="K611">
            <v>64533.94</v>
          </cell>
          <cell r="L611">
            <v>63541.37</v>
          </cell>
          <cell r="M611">
            <v>63542.03</v>
          </cell>
          <cell r="N611">
            <v>64345.65</v>
          </cell>
          <cell r="O611">
            <v>64001.990000000005</v>
          </cell>
          <cell r="P611">
            <v>64691.21</v>
          </cell>
          <cell r="Q611">
            <v>776485.41</v>
          </cell>
        </row>
        <row r="613">
          <cell r="A613" t="str">
            <v>EBIT</v>
          </cell>
          <cell r="E613">
            <v>-44982.409999999909</v>
          </cell>
          <cell r="F613">
            <v>210392.18999999994</v>
          </cell>
          <cell r="G613">
            <v>12199.139999999876</v>
          </cell>
          <cell r="H613">
            <v>87764.120000000068</v>
          </cell>
          <cell r="I613">
            <v>74408.229999999749</v>
          </cell>
          <cell r="J613">
            <v>139803.31000000006</v>
          </cell>
          <cell r="K613">
            <v>28808.420000000013</v>
          </cell>
          <cell r="L613">
            <v>178292.47</v>
          </cell>
          <cell r="M613">
            <v>70700.629999999976</v>
          </cell>
          <cell r="N613">
            <v>189706.05999999991</v>
          </cell>
          <cell r="O613">
            <v>-2263.1299999998737</v>
          </cell>
          <cell r="P613">
            <v>86637.149999999878</v>
          </cell>
          <cell r="Q613">
            <v>1031466.1799999956</v>
          </cell>
        </row>
        <row r="615">
          <cell r="A615" t="str">
            <v>Interest Expense</v>
          </cell>
        </row>
        <row r="616">
          <cell r="A616">
            <v>80000</v>
          </cell>
          <cell r="B616" t="str">
            <v>Interest Expense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</row>
        <row r="617">
          <cell r="A617">
            <v>80001</v>
          </cell>
          <cell r="B617" t="str">
            <v>Debt Accretion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</row>
        <row r="618">
          <cell r="A618">
            <v>80009</v>
          </cell>
          <cell r="B618" t="str">
            <v>Capitalized Interest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</row>
        <row r="619">
          <cell r="A619">
            <v>80099</v>
          </cell>
          <cell r="B619" t="str">
            <v>Interest Allocation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</row>
        <row r="620">
          <cell r="A620" t="str">
            <v>Total Interest Expense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</row>
        <row r="622">
          <cell r="A622" t="str">
            <v>Interest Income</v>
          </cell>
        </row>
        <row r="623">
          <cell r="A623">
            <v>80010</v>
          </cell>
          <cell r="B623" t="str">
            <v>Interest Income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</row>
        <row r="624">
          <cell r="A624" t="str">
            <v>Total Interest Income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</row>
        <row r="626">
          <cell r="A626" t="str">
            <v>Other (Income) and Expense</v>
          </cell>
        </row>
        <row r="627">
          <cell r="A627">
            <v>70901</v>
          </cell>
          <cell r="B627" t="str">
            <v>Pooling Costs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</row>
        <row r="628">
          <cell r="A628">
            <v>91000</v>
          </cell>
          <cell r="B628" t="str">
            <v>Unusual Gain/Loss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</row>
        <row r="629">
          <cell r="A629">
            <v>91001</v>
          </cell>
          <cell r="B629" t="str">
            <v>Investment Distribution Income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</row>
        <row r="630">
          <cell r="A630">
            <v>91002</v>
          </cell>
          <cell r="B630" t="str">
            <v>NSF Fees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</row>
        <row r="631">
          <cell r="A631" t="str">
            <v>Total Other (Income) and Expense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</row>
        <row r="633">
          <cell r="A633" t="str">
            <v>Income Before Taxes and Extraordinary Items</v>
          </cell>
          <cell r="E633">
            <v>-44982.409999999909</v>
          </cell>
          <cell r="F633">
            <v>210392.18999999994</v>
          </cell>
          <cell r="G633">
            <v>12199.139999999876</v>
          </cell>
          <cell r="H633">
            <v>87764.120000000068</v>
          </cell>
          <cell r="I633">
            <v>74408.229999999749</v>
          </cell>
          <cell r="J633">
            <v>139803.31000000006</v>
          </cell>
          <cell r="K633">
            <v>28808.420000000013</v>
          </cell>
          <cell r="L633">
            <v>178292.47</v>
          </cell>
          <cell r="M633">
            <v>70700.629999999976</v>
          </cell>
          <cell r="N633">
            <v>189706.05999999991</v>
          </cell>
          <cell r="O633">
            <v>-2263.1299999998737</v>
          </cell>
          <cell r="P633">
            <v>86637.149999999878</v>
          </cell>
          <cell r="Q633">
            <v>1031466.1799999956</v>
          </cell>
        </row>
        <row r="635">
          <cell r="A635" t="str">
            <v>Extraordinary Income and Expense</v>
          </cell>
        </row>
        <row r="636">
          <cell r="A636">
            <v>92999</v>
          </cell>
          <cell r="B636" t="str">
            <v>Extraordinary Gain/Loss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</row>
        <row r="637">
          <cell r="A637" t="str">
            <v>Total Extraordinary Income and Expense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</row>
        <row r="639">
          <cell r="A639" t="str">
            <v>Net Income Before Taxes</v>
          </cell>
          <cell r="E639">
            <v>-44982.409999999909</v>
          </cell>
          <cell r="F639">
            <v>210392.18999999994</v>
          </cell>
          <cell r="G639">
            <v>12199.139999999876</v>
          </cell>
          <cell r="H639">
            <v>87764.120000000068</v>
          </cell>
          <cell r="I639">
            <v>74408.229999999749</v>
          </cell>
          <cell r="J639">
            <v>139803.31000000006</v>
          </cell>
          <cell r="K639">
            <v>28808.420000000013</v>
          </cell>
          <cell r="L639">
            <v>178292.47</v>
          </cell>
          <cell r="M639">
            <v>70700.629999999976</v>
          </cell>
          <cell r="N639">
            <v>189706.05999999991</v>
          </cell>
          <cell r="O639">
            <v>-2263.1299999998737</v>
          </cell>
          <cell r="P639">
            <v>86637.149999999878</v>
          </cell>
          <cell r="Q639">
            <v>1031466.1799999956</v>
          </cell>
        </row>
        <row r="641">
          <cell r="A641" t="str">
            <v>Income Taxes</v>
          </cell>
        </row>
        <row r="642">
          <cell r="A642">
            <v>90000</v>
          </cell>
          <cell r="B642" t="str">
            <v>Taxes -Federal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</row>
        <row r="643">
          <cell r="A643">
            <v>90010</v>
          </cell>
          <cell r="B643" t="str">
            <v>Taxes - State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</row>
        <row r="644">
          <cell r="A644" t="str">
            <v>Total Income Taxes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</row>
        <row r="646">
          <cell r="A646" t="str">
            <v>Net Income</v>
          </cell>
          <cell r="E646">
            <v>-44982.409999999909</v>
          </cell>
          <cell r="F646">
            <v>210392.18999999994</v>
          </cell>
          <cell r="G646">
            <v>12199.139999999876</v>
          </cell>
          <cell r="H646">
            <v>87764.120000000068</v>
          </cell>
          <cell r="I646">
            <v>74408.229999999749</v>
          </cell>
          <cell r="J646">
            <v>139803.31000000006</v>
          </cell>
          <cell r="K646">
            <v>28808.420000000013</v>
          </cell>
          <cell r="L646">
            <v>178292.47</v>
          </cell>
          <cell r="M646">
            <v>70700.629999999976</v>
          </cell>
          <cell r="N646">
            <v>189706.05999999991</v>
          </cell>
          <cell r="O646">
            <v>-2263.1299999998737</v>
          </cell>
          <cell r="P646">
            <v>86637.149999999878</v>
          </cell>
          <cell r="Q646">
            <v>1031466.1799999956</v>
          </cell>
        </row>
        <row r="648">
          <cell r="A648" t="str">
            <v>Noncontrolling Interests Expense</v>
          </cell>
        </row>
        <row r="649">
          <cell r="A649">
            <v>92000</v>
          </cell>
          <cell r="B649" t="str">
            <v>Noncontrolling interests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</row>
        <row r="650">
          <cell r="A650" t="str">
            <v>Total Noncontrolling Interests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</row>
        <row r="652">
          <cell r="A652" t="str">
            <v>Net Income Attributable to Waste Connections</v>
          </cell>
          <cell r="E652">
            <v>-44982.409999999909</v>
          </cell>
          <cell r="F652">
            <v>210392.18999999994</v>
          </cell>
          <cell r="G652">
            <v>12199.139999999876</v>
          </cell>
          <cell r="H652">
            <v>87764.120000000068</v>
          </cell>
          <cell r="I652">
            <v>74408.229999999749</v>
          </cell>
          <cell r="J652">
            <v>139803.31000000006</v>
          </cell>
          <cell r="K652">
            <v>28808.420000000013</v>
          </cell>
          <cell r="L652">
            <v>178292.47</v>
          </cell>
          <cell r="M652">
            <v>70700.629999999976</v>
          </cell>
          <cell r="N652">
            <v>189706.05999999991</v>
          </cell>
          <cell r="O652">
            <v>-2263.1299999998737</v>
          </cell>
          <cell r="P652">
            <v>86637.149999999878</v>
          </cell>
          <cell r="Q652">
            <v>1031466.1799999956</v>
          </cell>
        </row>
        <row r="654">
          <cell r="A654" t="str">
            <v>Net Income Attributable to Waste Connections per categories</v>
          </cell>
          <cell r="E654">
            <v>-44982.41</v>
          </cell>
          <cell r="F654">
            <v>210392.19</v>
          </cell>
          <cell r="G654">
            <v>12199.14</v>
          </cell>
          <cell r="H654">
            <v>87764.12</v>
          </cell>
          <cell r="I654">
            <v>74408.23</v>
          </cell>
          <cell r="J654">
            <v>139803.31</v>
          </cell>
          <cell r="K654">
            <v>28808.42</v>
          </cell>
          <cell r="L654">
            <v>178292.47</v>
          </cell>
          <cell r="M654">
            <v>70700.63</v>
          </cell>
          <cell r="N654">
            <v>189706.06</v>
          </cell>
          <cell r="O654">
            <v>-2263.13</v>
          </cell>
          <cell r="P654">
            <v>86637.15</v>
          </cell>
        </row>
      </sheetData>
      <sheetData sheetId="5" refreshError="1">
        <row r="12">
          <cell r="A12" t="str">
            <v>Revenue</v>
          </cell>
        </row>
        <row r="13">
          <cell r="A13" t="str">
            <v>Hauling</v>
          </cell>
        </row>
        <row r="14">
          <cell r="A14">
            <v>31000</v>
          </cell>
          <cell r="B14" t="str">
            <v>Hauling Revenue - Roll Off Permanent</v>
          </cell>
          <cell r="E14">
            <v>102444.08</v>
          </cell>
          <cell r="F14">
            <v>106574.9</v>
          </cell>
          <cell r="G14">
            <v>117486.29</v>
          </cell>
          <cell r="H14">
            <v>113663.22</v>
          </cell>
          <cell r="I14">
            <v>107537.52</v>
          </cell>
          <cell r="J14">
            <v>118709.91</v>
          </cell>
          <cell r="K14">
            <v>120424.95</v>
          </cell>
          <cell r="L14">
            <v>126593.49</v>
          </cell>
          <cell r="M14">
            <v>117849.49</v>
          </cell>
          <cell r="N14">
            <v>117031.26</v>
          </cell>
          <cell r="O14">
            <v>112018.5</v>
          </cell>
          <cell r="P14">
            <v>117369.28</v>
          </cell>
          <cell r="Q14">
            <v>1377702.89</v>
          </cell>
        </row>
        <row r="15">
          <cell r="A15">
            <v>31001</v>
          </cell>
          <cell r="B15" t="str">
            <v>Hauling Revenue - Roll Off Temporary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A16">
            <v>31002</v>
          </cell>
          <cell r="B16" t="str">
            <v>Hauling Revenue - Roll Off Rental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A17">
            <v>31003</v>
          </cell>
          <cell r="B17" t="str">
            <v>Hauling Revenue - Roll Off Compactor Ren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A18">
            <v>31004</v>
          </cell>
          <cell r="B18" t="str">
            <v>Hauling Revenue - Roll Off Recycling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A19">
            <v>31005</v>
          </cell>
          <cell r="B19" t="str">
            <v>Corporate Roll Off Disposal Charge</v>
          </cell>
          <cell r="E19">
            <v>210983.37</v>
          </cell>
          <cell r="F19">
            <v>189715.35</v>
          </cell>
          <cell r="G19">
            <v>221645.6</v>
          </cell>
          <cell r="H19">
            <v>218362.54</v>
          </cell>
          <cell r="I19">
            <v>210236.77</v>
          </cell>
          <cell r="J19">
            <v>240624.92</v>
          </cell>
          <cell r="K19">
            <v>227991.29</v>
          </cell>
          <cell r="L19">
            <v>234898.35</v>
          </cell>
          <cell r="M19">
            <v>229778.1</v>
          </cell>
          <cell r="N19">
            <v>229912.49</v>
          </cell>
          <cell r="O19">
            <v>225521.76</v>
          </cell>
          <cell r="P19">
            <v>242379.21</v>
          </cell>
          <cell r="Q19">
            <v>2682049.75</v>
          </cell>
        </row>
        <row r="20">
          <cell r="A20">
            <v>31008</v>
          </cell>
          <cell r="B20" t="str">
            <v>Hauling Revenue - Roll Off Adjustments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A21">
            <v>31009</v>
          </cell>
          <cell r="B21" t="str">
            <v>Hauling Revenue - Roll Off Intercompany</v>
          </cell>
          <cell r="E21">
            <v>2048.52</v>
          </cell>
          <cell r="F21">
            <v>2727.36</v>
          </cell>
          <cell r="G21">
            <v>2727.36</v>
          </cell>
          <cell r="H21">
            <v>3409.2</v>
          </cell>
          <cell r="I21">
            <v>2727.36</v>
          </cell>
          <cell r="J21">
            <v>2727.36</v>
          </cell>
          <cell r="K21">
            <v>5009.2</v>
          </cell>
          <cell r="L21">
            <v>3527.36</v>
          </cell>
          <cell r="M21">
            <v>3327.36</v>
          </cell>
          <cell r="N21">
            <v>3409.2</v>
          </cell>
          <cell r="O21">
            <v>2727.36</v>
          </cell>
          <cell r="P21">
            <v>3409.2</v>
          </cell>
          <cell r="Q21">
            <v>37776.839999999997</v>
          </cell>
        </row>
        <row r="22">
          <cell r="A22">
            <v>31010</v>
          </cell>
          <cell r="B22" t="str">
            <v>Hauling Revenue - Roll Off Extras</v>
          </cell>
          <cell r="E22">
            <v>27177.39</v>
          </cell>
          <cell r="F22">
            <v>26583.03</v>
          </cell>
          <cell r="G22">
            <v>26586.07</v>
          </cell>
          <cell r="H22">
            <v>27681.49</v>
          </cell>
          <cell r="I22">
            <v>28895.1</v>
          </cell>
          <cell r="J22">
            <v>30218.400000000001</v>
          </cell>
          <cell r="K22">
            <v>29088.41</v>
          </cell>
          <cell r="L22">
            <v>30882.48</v>
          </cell>
          <cell r="M22">
            <v>30023.54</v>
          </cell>
          <cell r="N22">
            <v>28675.83</v>
          </cell>
          <cell r="O22">
            <v>27741.67</v>
          </cell>
          <cell r="P22">
            <v>26907</v>
          </cell>
          <cell r="Q22">
            <v>340460.41</v>
          </cell>
        </row>
        <row r="23">
          <cell r="A23">
            <v>31020</v>
          </cell>
          <cell r="B23" t="str">
            <v>Hauling Revenue - Roll Off Special Waste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A24">
            <v>31021</v>
          </cell>
          <cell r="B24" t="str">
            <v>Hauling Revenue - Roll Off Special Waste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A25">
            <v>31029</v>
          </cell>
          <cell r="B25" t="str">
            <v>Hauling Revenue - Roll Off Special Waste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A26">
            <v>32000</v>
          </cell>
          <cell r="B26" t="str">
            <v>Hauling Revenue - Residential MSW</v>
          </cell>
          <cell r="E26">
            <v>1215495.77</v>
          </cell>
          <cell r="F26">
            <v>1200770.8</v>
          </cell>
          <cell r="G26">
            <v>1215802.44</v>
          </cell>
          <cell r="H26">
            <v>1220176.8500000001</v>
          </cell>
          <cell r="I26">
            <v>1224050.48</v>
          </cell>
          <cell r="J26">
            <v>1230237.8799999999</v>
          </cell>
          <cell r="K26">
            <v>1235768.5</v>
          </cell>
          <cell r="L26">
            <v>1230565.3500000001</v>
          </cell>
          <cell r="M26">
            <v>1233092.93</v>
          </cell>
          <cell r="N26">
            <v>1227440.83</v>
          </cell>
          <cell r="O26">
            <v>1230545.96</v>
          </cell>
          <cell r="P26">
            <v>1228126.99</v>
          </cell>
          <cell r="Q26">
            <v>14692074.779999999</v>
          </cell>
        </row>
        <row r="27">
          <cell r="A27">
            <v>32001</v>
          </cell>
          <cell r="B27" t="str">
            <v>Hauling Revenue - Residential MSW Extras</v>
          </cell>
          <cell r="E27">
            <v>29897.43</v>
          </cell>
          <cell r="F27">
            <v>23606.09</v>
          </cell>
          <cell r="G27">
            <v>37252.050000000003</v>
          </cell>
          <cell r="H27">
            <v>36299.58</v>
          </cell>
          <cell r="I27">
            <v>42698.61</v>
          </cell>
          <cell r="J27">
            <v>50366.1</v>
          </cell>
          <cell r="K27">
            <v>50649.79</v>
          </cell>
          <cell r="L27">
            <v>43300.24</v>
          </cell>
          <cell r="M27">
            <v>44830.46</v>
          </cell>
          <cell r="N27">
            <v>36083.339999999997</v>
          </cell>
          <cell r="O27">
            <v>44102.97</v>
          </cell>
          <cell r="P27">
            <v>42927.11</v>
          </cell>
          <cell r="Q27">
            <v>482013.77</v>
          </cell>
        </row>
        <row r="28">
          <cell r="A28">
            <v>32002</v>
          </cell>
          <cell r="B28" t="str">
            <v>Hauling Revenue - Residential MSW Adjust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A29">
            <v>32003</v>
          </cell>
          <cell r="B29" t="str">
            <v>Hauling Revenue - Residential MSW Specia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A30">
            <v>32009</v>
          </cell>
          <cell r="B30" t="str">
            <v>Hauling Revenue - Residential MSW Interc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A31">
            <v>32100</v>
          </cell>
          <cell r="B31" t="str">
            <v>Hauling Revenue - Residential Recycling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A32">
            <v>32101</v>
          </cell>
          <cell r="B32" t="str">
            <v>Hauling Revenue - Residential Recycling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A33">
            <v>32102</v>
          </cell>
          <cell r="B33" t="str">
            <v>Hauling Revenue - Residential Recycling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A34">
            <v>32103</v>
          </cell>
          <cell r="B34" t="str">
            <v>Hauling Revenue - Residential Recycling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A35">
            <v>32109</v>
          </cell>
          <cell r="B35" t="str">
            <v>Hauling Revenue - Residential Recycling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A36">
            <v>32110</v>
          </cell>
          <cell r="B36" t="str">
            <v>Hauling Revenue - Residential Composting</v>
          </cell>
          <cell r="E36">
            <v>232014.97</v>
          </cell>
          <cell r="F36">
            <v>232365.45</v>
          </cell>
          <cell r="G36">
            <v>257766.36</v>
          </cell>
          <cell r="H36">
            <v>270150.08</v>
          </cell>
          <cell r="I36">
            <v>281923.53999999998</v>
          </cell>
          <cell r="J36">
            <v>287780.03999999998</v>
          </cell>
          <cell r="K36">
            <v>291816.17</v>
          </cell>
          <cell r="L36">
            <v>292493.43</v>
          </cell>
          <cell r="M36">
            <v>290035.87</v>
          </cell>
          <cell r="N36">
            <v>289167.18</v>
          </cell>
          <cell r="O36">
            <v>283845.96999999997</v>
          </cell>
          <cell r="P36">
            <v>275560.67</v>
          </cell>
          <cell r="Q36">
            <v>3284919.7300000004</v>
          </cell>
        </row>
        <row r="37">
          <cell r="A37">
            <v>32111</v>
          </cell>
          <cell r="B37" t="str">
            <v>Hauling Revenue - Residential Composting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A38">
            <v>32112</v>
          </cell>
          <cell r="B38" t="str">
            <v>Hauling Revenue - Residential Composting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A39">
            <v>32113</v>
          </cell>
          <cell r="B39" t="str">
            <v>Hauling Revenue - Residential Composting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A40">
            <v>32119</v>
          </cell>
          <cell r="B40" t="str">
            <v>Hauling Revenue - Residential Composting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A41">
            <v>33000</v>
          </cell>
          <cell r="B41" t="str">
            <v>Hauling Revenue - Commercial FEL</v>
          </cell>
          <cell r="E41">
            <v>785575.03</v>
          </cell>
          <cell r="F41">
            <v>787034.21</v>
          </cell>
          <cell r="G41">
            <v>790933.58</v>
          </cell>
          <cell r="H41">
            <v>778610.72</v>
          </cell>
          <cell r="I41">
            <v>780041.46</v>
          </cell>
          <cell r="J41">
            <v>778320.61</v>
          </cell>
          <cell r="K41">
            <v>768305.23</v>
          </cell>
          <cell r="L41">
            <v>774319.69</v>
          </cell>
          <cell r="M41">
            <v>801901.87</v>
          </cell>
          <cell r="N41">
            <v>774557.42</v>
          </cell>
          <cell r="O41">
            <v>791933.57</v>
          </cell>
          <cell r="P41">
            <v>766346.74</v>
          </cell>
          <cell r="Q41">
            <v>9377880.129999999</v>
          </cell>
        </row>
        <row r="42">
          <cell r="A42">
            <v>33001</v>
          </cell>
          <cell r="B42" t="str">
            <v>Hauling Revenue - Commercial FEL Extras</v>
          </cell>
          <cell r="E42">
            <v>39516.839999999997</v>
          </cell>
          <cell r="F42">
            <v>40932.36</v>
          </cell>
          <cell r="G42">
            <v>42606.080000000002</v>
          </cell>
          <cell r="H42">
            <v>42197.16</v>
          </cell>
          <cell r="I42">
            <v>43036.11</v>
          </cell>
          <cell r="J42">
            <v>44513.7</v>
          </cell>
          <cell r="K42">
            <v>47317.760000000002</v>
          </cell>
          <cell r="L42">
            <v>46590.51</v>
          </cell>
          <cell r="M42">
            <v>43401.91</v>
          </cell>
          <cell r="N42">
            <v>44637.59</v>
          </cell>
          <cell r="O42">
            <v>43797.96</v>
          </cell>
          <cell r="P42">
            <v>45382.02</v>
          </cell>
          <cell r="Q42">
            <v>523930.00000000006</v>
          </cell>
        </row>
        <row r="43">
          <cell r="A43">
            <v>33002</v>
          </cell>
          <cell r="B43" t="str">
            <v>Hauling Revenue - Commercial FEL Adjustm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A44">
            <v>33009</v>
          </cell>
          <cell r="B44" t="str">
            <v>Hauling Revenue - Commercial FEL Interco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A45">
            <v>33010</v>
          </cell>
          <cell r="B45" t="str">
            <v>Hauling Revenue - Commercial REL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A46">
            <v>33011</v>
          </cell>
          <cell r="B46" t="str">
            <v>Hauling Revenue - Commercial REL Extras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A47">
            <v>33012</v>
          </cell>
          <cell r="B47" t="str">
            <v>Hauling Revenue - Commercial REL Adjustm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A48">
            <v>33019</v>
          </cell>
          <cell r="B48" t="str">
            <v>Hauling Revenue - Commercial REL Interco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A49">
            <v>33020</v>
          </cell>
          <cell r="B49" t="str">
            <v>Hauling Revenue - Commercial Recycling F</v>
          </cell>
          <cell r="E49">
            <v>119520.55</v>
          </cell>
          <cell r="F49">
            <v>122687.61</v>
          </cell>
          <cell r="G49">
            <v>123043.3</v>
          </cell>
          <cell r="H49">
            <v>123772.17</v>
          </cell>
          <cell r="I49">
            <v>125625.36</v>
          </cell>
          <cell r="J49">
            <v>127061.96</v>
          </cell>
          <cell r="K49">
            <v>116074.3</v>
          </cell>
          <cell r="L49">
            <v>111337.44</v>
          </cell>
          <cell r="M49">
            <v>128400.61</v>
          </cell>
          <cell r="N49">
            <v>133541.20000000001</v>
          </cell>
          <cell r="O49">
            <v>129324.87</v>
          </cell>
          <cell r="P49">
            <v>130696.08</v>
          </cell>
          <cell r="Q49">
            <v>1491085.4500000002</v>
          </cell>
        </row>
        <row r="50">
          <cell r="A50">
            <v>33021</v>
          </cell>
          <cell r="B50" t="str">
            <v>Hauling Revenue - Commercial Recycling F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A51">
            <v>33022</v>
          </cell>
          <cell r="B51" t="str">
            <v>Hauling Revenue - Commercial Recycling F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A52">
            <v>33029</v>
          </cell>
          <cell r="B52" t="str">
            <v>Hauling Revenue - Commercial Recycling F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A53">
            <v>33030</v>
          </cell>
          <cell r="B53" t="str">
            <v>Hauling Revenue - Commercial Recycling R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A54">
            <v>33031</v>
          </cell>
          <cell r="B54" t="str">
            <v>Hauling Revenue - Commercial Recycling R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A55">
            <v>33032</v>
          </cell>
          <cell r="B55" t="str">
            <v>Hauling Revenue - Commercial Recycling R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A56">
            <v>33039</v>
          </cell>
          <cell r="B56" t="str">
            <v>Hauling Revenue - Commercial Recycling R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A57">
            <v>33500</v>
          </cell>
          <cell r="B57" t="str">
            <v>Portable Toilet Revenue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A58">
            <v>33501</v>
          </cell>
          <cell r="B58" t="str">
            <v>Portable Toilet Extras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</row>
        <row r="59">
          <cell r="A59">
            <v>33502</v>
          </cell>
          <cell r="B59" t="str">
            <v>Portable Toilet Adjustments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</row>
        <row r="60">
          <cell r="A60">
            <v>33509</v>
          </cell>
          <cell r="B60" t="str">
            <v>Portable Toilet Intercompany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</row>
        <row r="61">
          <cell r="A61" t="str">
            <v>Total Hauling</v>
          </cell>
          <cell r="E61">
            <v>2764673.9499999997</v>
          </cell>
          <cell r="F61">
            <v>2732997.1599999997</v>
          </cell>
          <cell r="G61">
            <v>2835849.13</v>
          </cell>
          <cell r="H61">
            <v>2834323.0100000002</v>
          </cell>
          <cell r="I61">
            <v>2846772.3099999996</v>
          </cell>
          <cell r="J61">
            <v>2910560.8800000004</v>
          </cell>
          <cell r="K61">
            <v>2892445.5999999996</v>
          </cell>
          <cell r="L61">
            <v>2894508.3399999994</v>
          </cell>
          <cell r="M61">
            <v>2922642.14</v>
          </cell>
          <cell r="N61">
            <v>2884456.3400000003</v>
          </cell>
          <cell r="O61">
            <v>2891560.59</v>
          </cell>
          <cell r="P61">
            <v>2879104.3000000003</v>
          </cell>
          <cell r="Q61">
            <v>34289893.75</v>
          </cell>
        </row>
        <row r="63">
          <cell r="A63" t="str">
            <v>Transfer</v>
          </cell>
        </row>
        <row r="64">
          <cell r="A64">
            <v>35000</v>
          </cell>
          <cell r="B64" t="str">
            <v>Transfer Station - Third Party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A65">
            <v>35001</v>
          </cell>
          <cell r="B65" t="str">
            <v>Transfer Station - Third Party Adjustmen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A66">
            <v>35009</v>
          </cell>
          <cell r="B66" t="str">
            <v>Transfer Station - Intercompany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A67">
            <v>35500</v>
          </cell>
          <cell r="B67" t="str">
            <v>MRF Processing Charge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A68">
            <v>35501</v>
          </cell>
          <cell r="B68" t="str">
            <v>MRF Processing Charge Adjustments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A69">
            <v>35509</v>
          </cell>
          <cell r="B69" t="str">
            <v>MRF Processing Charge Intercompany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A70" t="str">
            <v>Total Transfer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2">
          <cell r="A72" t="str">
            <v>MRF</v>
          </cell>
        </row>
        <row r="73">
          <cell r="A73">
            <v>35510</v>
          </cell>
          <cell r="B73" t="str">
            <v>Proceeds - OCC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A74">
            <v>35511</v>
          </cell>
          <cell r="B74" t="str">
            <v>Proceeds - ONP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A75">
            <v>35512</v>
          </cell>
          <cell r="B75" t="str">
            <v>Proceeds - Other Paper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A76">
            <v>35513</v>
          </cell>
          <cell r="B76" t="str">
            <v>Proceeds - Aluminum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A77">
            <v>35514</v>
          </cell>
          <cell r="B77" t="str">
            <v>Proceeds - Metal</v>
          </cell>
          <cell r="E77">
            <v>745.55</v>
          </cell>
          <cell r="F77">
            <v>533.20000000000005</v>
          </cell>
          <cell r="G77">
            <v>3342.9</v>
          </cell>
          <cell r="H77">
            <v>13178.15</v>
          </cell>
          <cell r="I77">
            <v>5247</v>
          </cell>
          <cell r="J77">
            <v>16966.05</v>
          </cell>
          <cell r="K77">
            <v>7984.5</v>
          </cell>
          <cell r="L77">
            <v>1463.55</v>
          </cell>
          <cell r="M77">
            <v>-1454.1</v>
          </cell>
          <cell r="N77">
            <v>1425.6</v>
          </cell>
          <cell r="O77">
            <v>1051.75</v>
          </cell>
          <cell r="P77">
            <v>1088</v>
          </cell>
          <cell r="Q77">
            <v>51572.15</v>
          </cell>
        </row>
        <row r="78">
          <cell r="A78">
            <v>35515</v>
          </cell>
          <cell r="B78" t="str">
            <v>Proceeds - Glass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A79">
            <v>35516</v>
          </cell>
          <cell r="B79" t="str">
            <v>Proceeds - Plastic</v>
          </cell>
          <cell r="E79">
            <v>387</v>
          </cell>
          <cell r="F79">
            <v>318.60000000000002</v>
          </cell>
          <cell r="G79">
            <v>0</v>
          </cell>
          <cell r="H79">
            <v>331.2</v>
          </cell>
          <cell r="I79">
            <v>0</v>
          </cell>
          <cell r="J79">
            <v>412.2</v>
          </cell>
          <cell r="K79">
            <v>644.4</v>
          </cell>
          <cell r="L79">
            <v>0</v>
          </cell>
          <cell r="M79">
            <v>0</v>
          </cell>
          <cell r="N79">
            <v>-644.4</v>
          </cell>
          <cell r="O79">
            <v>652</v>
          </cell>
          <cell r="P79">
            <v>0</v>
          </cell>
          <cell r="Q79">
            <v>2101</v>
          </cell>
        </row>
        <row r="80">
          <cell r="A80">
            <v>35517</v>
          </cell>
          <cell r="B80" t="str">
            <v>Proceeds - Other Recyclables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A81">
            <v>35518</v>
          </cell>
          <cell r="B81" t="str">
            <v>Proceeds - Commingled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A82">
            <v>35519</v>
          </cell>
          <cell r="B82" t="str">
            <v>Proceeds - Intercompany Material Sales</v>
          </cell>
          <cell r="E82">
            <v>65030.879999999997</v>
          </cell>
          <cell r="F82">
            <v>76173.81</v>
          </cell>
          <cell r="G82">
            <v>70361.429999999993</v>
          </cell>
          <cell r="H82">
            <v>74831.539999999994</v>
          </cell>
          <cell r="I82">
            <v>73578.62</v>
          </cell>
          <cell r="J82">
            <v>75531.38</v>
          </cell>
          <cell r="K82">
            <v>73771.45</v>
          </cell>
          <cell r="L82">
            <v>57407.56</v>
          </cell>
          <cell r="M82">
            <v>68624.86</v>
          </cell>
          <cell r="N82">
            <v>71603.88</v>
          </cell>
          <cell r="O82">
            <v>84200.36</v>
          </cell>
          <cell r="P82">
            <v>95665.68</v>
          </cell>
          <cell r="Q82">
            <v>886781.45</v>
          </cell>
        </row>
        <row r="83">
          <cell r="A83">
            <v>35520</v>
          </cell>
          <cell r="B83" t="str">
            <v>Support - OCC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A84">
            <v>35521</v>
          </cell>
          <cell r="B84" t="str">
            <v>Support - ONP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A85">
            <v>35522</v>
          </cell>
          <cell r="B85" t="str">
            <v>Support - Other Paper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A86">
            <v>35523</v>
          </cell>
          <cell r="B86" t="str">
            <v>Support - Aluminum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A87">
            <v>35524</v>
          </cell>
          <cell r="B87" t="str">
            <v>Support - Metal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A88">
            <v>35525</v>
          </cell>
          <cell r="B88" t="str">
            <v>Support - Glass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A89">
            <v>35526</v>
          </cell>
          <cell r="B89" t="str">
            <v>Support - Plastic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A90">
            <v>35527</v>
          </cell>
          <cell r="B90" t="str">
            <v>Support - Other Recyclables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</row>
        <row r="91">
          <cell r="A91">
            <v>35529</v>
          </cell>
          <cell r="B91" t="str">
            <v>Support - Intercompany Material Sales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A92">
            <v>35551</v>
          </cell>
          <cell r="B92" t="str">
            <v>Proceeds - Compost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A93">
            <v>35552</v>
          </cell>
          <cell r="B93" t="str">
            <v>Proceeds - Fuel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A94">
            <v>35553</v>
          </cell>
          <cell r="B94" t="str">
            <v>Proceeds - Landscape Materials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A95" t="str">
            <v>Total MRF</v>
          </cell>
          <cell r="E95">
            <v>66163.429999999993</v>
          </cell>
          <cell r="F95">
            <v>77025.61</v>
          </cell>
          <cell r="G95">
            <v>73704.329999999987</v>
          </cell>
          <cell r="H95">
            <v>88340.89</v>
          </cell>
          <cell r="I95">
            <v>78825.62</v>
          </cell>
          <cell r="J95">
            <v>92909.63</v>
          </cell>
          <cell r="K95">
            <v>82400.349999999991</v>
          </cell>
          <cell r="L95">
            <v>58871.11</v>
          </cell>
          <cell r="M95">
            <v>67170.759999999995</v>
          </cell>
          <cell r="N95">
            <v>72385.08</v>
          </cell>
          <cell r="O95">
            <v>85904.11</v>
          </cell>
          <cell r="P95">
            <v>96753.68</v>
          </cell>
          <cell r="Q95">
            <v>940454.6</v>
          </cell>
        </row>
        <row r="97">
          <cell r="A97" t="str">
            <v>Landfill</v>
          </cell>
        </row>
        <row r="98">
          <cell r="A98">
            <v>36000</v>
          </cell>
          <cell r="B98" t="str">
            <v>Landfill Revenue - MSW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A99">
            <v>36001</v>
          </cell>
          <cell r="B99" t="str">
            <v>Landfill Revenue - MSW Adjustments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A100">
            <v>36002</v>
          </cell>
          <cell r="B100" t="str">
            <v>Landfill Revenue - Extras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</row>
        <row r="101">
          <cell r="A101">
            <v>36009</v>
          </cell>
          <cell r="B101" t="str">
            <v>Landfill Revenue - MSW Intercompany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</row>
        <row r="102">
          <cell r="A102">
            <v>36010</v>
          </cell>
          <cell r="B102" t="str">
            <v>Landfill Revenue - C&amp;D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A103">
            <v>36011</v>
          </cell>
          <cell r="B103" t="str">
            <v>Landfill Revenue - C&amp;D Adjustments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A104">
            <v>36019</v>
          </cell>
          <cell r="B104" t="str">
            <v>Landfill Revenue - C&amp;D Intercompany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A105">
            <v>36020</v>
          </cell>
          <cell r="B105" t="str">
            <v>Landfill Revenue - Special Waste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A106">
            <v>36021</v>
          </cell>
          <cell r="B106" t="str">
            <v>Landfill Revenue - Special Waste Adjustm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</row>
        <row r="107">
          <cell r="A107">
            <v>36029</v>
          </cell>
          <cell r="B107" t="str">
            <v>Landfill Revenue - Special Waste Interco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</row>
        <row r="108">
          <cell r="A108">
            <v>36030</v>
          </cell>
          <cell r="B108" t="str">
            <v>Landfill Revenue - Asbestos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A109">
            <v>36031</v>
          </cell>
          <cell r="B109" t="str">
            <v>Landfill Revenue - Asbestos Adjustments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</row>
        <row r="110">
          <cell r="A110">
            <v>36039</v>
          </cell>
          <cell r="B110" t="str">
            <v>Landfill Revenue - Asbestos Intercompany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</row>
        <row r="111">
          <cell r="A111">
            <v>36040</v>
          </cell>
          <cell r="B111" t="str">
            <v>Landfill Revenue - Contaminated Soil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A112">
            <v>36041</v>
          </cell>
          <cell r="B112" t="str">
            <v>Landfill Revenue - Contaminated Soil Adj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</row>
        <row r="113">
          <cell r="A113">
            <v>36049</v>
          </cell>
          <cell r="B113" t="str">
            <v>Landfill Revenue - Contaminated Soil Int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A114">
            <v>36050</v>
          </cell>
          <cell r="B114" t="str">
            <v>Landfill Revenue - Yard Waste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</row>
        <row r="115">
          <cell r="A115">
            <v>36051</v>
          </cell>
          <cell r="B115" t="str">
            <v>Landfill Revenue - Yard Waste Adjustment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A116">
            <v>36059</v>
          </cell>
          <cell r="B116" t="str">
            <v>Landfill Revenue - Yard Waste Intercompa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</row>
        <row r="117">
          <cell r="A117">
            <v>36090</v>
          </cell>
          <cell r="B117" t="str">
            <v>Landfill Pass Through Revenue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A118">
            <v>36099</v>
          </cell>
          <cell r="B118" t="str">
            <v>Landfill Pass Through Revenue Intercompany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</row>
        <row r="119">
          <cell r="A119">
            <v>36301</v>
          </cell>
          <cell r="B119" t="str">
            <v>E&amp;P Liquids - Non Count Waste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A120">
            <v>36309</v>
          </cell>
          <cell r="B120" t="str">
            <v>E&amp;P Liquids - Non Count Waste Intercompany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A121">
            <v>36311</v>
          </cell>
          <cell r="B121" t="str">
            <v>E&amp;P Liquids - Count Waste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</row>
        <row r="122">
          <cell r="A122">
            <v>36319</v>
          </cell>
          <cell r="B122" t="str">
            <v>E&amp;P Liquids - Count Waste Intercompany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</row>
        <row r="123">
          <cell r="A123">
            <v>36321</v>
          </cell>
          <cell r="B123" t="str">
            <v>Other Liquids - Non E&amp;P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</row>
        <row r="124">
          <cell r="A124">
            <v>36329</v>
          </cell>
          <cell r="B124" t="str">
            <v>Other Liquids - Non E&amp;P Intercompany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</row>
        <row r="125">
          <cell r="A125">
            <v>36331</v>
          </cell>
          <cell r="B125" t="str">
            <v>E&amp;P Solids - Count Waste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</row>
        <row r="126">
          <cell r="A126">
            <v>36339</v>
          </cell>
          <cell r="B126" t="str">
            <v>E&amp;P Solids - Count Waste Intercompany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</row>
        <row r="127">
          <cell r="A127" t="str">
            <v>Total Landfill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</row>
        <row r="129">
          <cell r="A129" t="str">
            <v>Intermodal</v>
          </cell>
        </row>
        <row r="130">
          <cell r="A130">
            <v>36101</v>
          </cell>
          <cell r="B130" t="str">
            <v>Rail Drayage Revenue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</row>
        <row r="131">
          <cell r="A131">
            <v>36109</v>
          </cell>
          <cell r="B131" t="str">
            <v>Rail Drayage Revenue - Intercompany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A132">
            <v>36111</v>
          </cell>
          <cell r="B132" t="str">
            <v>Truck Drayage Revenue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</row>
        <row r="133">
          <cell r="A133">
            <v>36119</v>
          </cell>
          <cell r="B133" t="str">
            <v>Truck Drayage Revenue - Intercompany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</row>
        <row r="134">
          <cell r="A134">
            <v>36121</v>
          </cell>
          <cell r="B134" t="str">
            <v>Barge Drayage Revenue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</row>
        <row r="135">
          <cell r="A135">
            <v>36131</v>
          </cell>
          <cell r="B135" t="str">
            <v>Service Labor Revenue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</row>
        <row r="136">
          <cell r="A136">
            <v>36141</v>
          </cell>
          <cell r="B136" t="str">
            <v>Refrigeration Labor Revenue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</row>
        <row r="137">
          <cell r="A137">
            <v>36145</v>
          </cell>
          <cell r="B137" t="str">
            <v>Parts Revenue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</row>
        <row r="138">
          <cell r="A138">
            <v>36151</v>
          </cell>
          <cell r="B138" t="str">
            <v>Container Sales Revenue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</row>
        <row r="139">
          <cell r="A139">
            <v>36161</v>
          </cell>
          <cell r="B139" t="str">
            <v>Container Rental Revenue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</row>
        <row r="140">
          <cell r="A140">
            <v>36171</v>
          </cell>
          <cell r="B140" t="str">
            <v>Intermodal Revenue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</row>
        <row r="141">
          <cell r="A141">
            <v>36181</v>
          </cell>
          <cell r="B141" t="str">
            <v>Chassis Lease Revenue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</row>
        <row r="142">
          <cell r="A142">
            <v>36191</v>
          </cell>
          <cell r="B142" t="str">
            <v>Interchanges Revenue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</row>
        <row r="143">
          <cell r="A143">
            <v>36201</v>
          </cell>
          <cell r="B143" t="str">
            <v>Storage Revenue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</row>
        <row r="144">
          <cell r="A144">
            <v>36211</v>
          </cell>
          <cell r="B144" t="str">
            <v>Empty Lifts Revenue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</row>
        <row r="145">
          <cell r="A145">
            <v>36221</v>
          </cell>
          <cell r="B145" t="str">
            <v>Load Lifts Revenue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</row>
        <row r="146">
          <cell r="A146" t="str">
            <v>Total Intermodal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</row>
        <row r="148">
          <cell r="A148" t="str">
            <v>Other Revenue</v>
          </cell>
        </row>
        <row r="149">
          <cell r="A149">
            <v>37001</v>
          </cell>
          <cell r="B149" t="str">
            <v>Sale of Equipment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</row>
        <row r="150">
          <cell r="A150">
            <v>37010</v>
          </cell>
          <cell r="B150" t="str">
            <v>Tire Processing Revenue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</row>
        <row r="151">
          <cell r="A151">
            <v>37019</v>
          </cell>
          <cell r="B151" t="str">
            <v>Tire Processing Revenue - Intercompany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</row>
        <row r="152">
          <cell r="A152">
            <v>38000</v>
          </cell>
          <cell r="B152" t="str">
            <v>Corporate Other Revenue</v>
          </cell>
          <cell r="E152">
            <v>8589.2099999999991</v>
          </cell>
          <cell r="F152">
            <v>1694.09</v>
          </cell>
          <cell r="G152">
            <v>4218.3599999999997</v>
          </cell>
          <cell r="H152">
            <v>1373.97</v>
          </cell>
          <cell r="I152">
            <v>5262.72</v>
          </cell>
          <cell r="J152">
            <v>1769.91</v>
          </cell>
          <cell r="K152">
            <v>5502.45</v>
          </cell>
          <cell r="L152">
            <v>1702.72</v>
          </cell>
          <cell r="M152">
            <v>5805.85</v>
          </cell>
          <cell r="N152">
            <v>2208.19</v>
          </cell>
          <cell r="O152">
            <v>5752.25</v>
          </cell>
          <cell r="P152">
            <v>3433.24</v>
          </cell>
          <cell r="Q152">
            <v>47312.959999999999</v>
          </cell>
        </row>
        <row r="153">
          <cell r="A153">
            <v>38001</v>
          </cell>
          <cell r="B153" t="str">
            <v>P-Card Rebate Revenue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</row>
        <row r="154">
          <cell r="A154" t="str">
            <v>Total Other Revenue</v>
          </cell>
          <cell r="E154">
            <v>8589.2099999999991</v>
          </cell>
          <cell r="F154">
            <v>1694.09</v>
          </cell>
          <cell r="G154">
            <v>4218.3599999999997</v>
          </cell>
          <cell r="H154">
            <v>1373.97</v>
          </cell>
          <cell r="I154">
            <v>5262.72</v>
          </cell>
          <cell r="J154">
            <v>1769.91</v>
          </cell>
          <cell r="K154">
            <v>5502.45</v>
          </cell>
          <cell r="L154">
            <v>1702.72</v>
          </cell>
          <cell r="M154">
            <v>5805.85</v>
          </cell>
          <cell r="N154">
            <v>2208.19</v>
          </cell>
          <cell r="O154">
            <v>5752.25</v>
          </cell>
          <cell r="P154">
            <v>3433.24</v>
          </cell>
          <cell r="Q154">
            <v>47312.959999999999</v>
          </cell>
        </row>
        <row r="156">
          <cell r="A156" t="str">
            <v>Total Revenue</v>
          </cell>
          <cell r="E156">
            <v>2839426.59</v>
          </cell>
          <cell r="F156">
            <v>2811716.86</v>
          </cell>
          <cell r="G156">
            <v>2913771.82</v>
          </cell>
          <cell r="H156">
            <v>2924037.87</v>
          </cell>
          <cell r="I156">
            <v>2930860.6499999994</v>
          </cell>
          <cell r="J156">
            <v>3005240.4200000004</v>
          </cell>
          <cell r="K156">
            <v>2980348.3999999994</v>
          </cell>
          <cell r="L156">
            <v>2955082.1699999995</v>
          </cell>
          <cell r="M156">
            <v>2995618.75</v>
          </cell>
          <cell r="N156">
            <v>2959049.6100000003</v>
          </cell>
          <cell r="O156">
            <v>2983216.9499999997</v>
          </cell>
          <cell r="P156">
            <v>2979291.22</v>
          </cell>
          <cell r="Q156">
            <v>35277661.310000002</v>
          </cell>
        </row>
        <row r="158">
          <cell r="A158" t="str">
            <v>Revenue Reductions</v>
          </cell>
        </row>
        <row r="159">
          <cell r="A159" t="str">
            <v>Disposal</v>
          </cell>
        </row>
        <row r="160">
          <cell r="A160">
            <v>40101</v>
          </cell>
          <cell r="B160" t="str">
            <v>Disposal Landfill</v>
          </cell>
          <cell r="E160">
            <v>23350.03</v>
          </cell>
          <cell r="F160">
            <v>26834.720000000001</v>
          </cell>
          <cell r="G160">
            <v>42381.84</v>
          </cell>
          <cell r="H160">
            <v>36707.01</v>
          </cell>
          <cell r="I160">
            <v>39327.86</v>
          </cell>
          <cell r="J160">
            <v>44813.91</v>
          </cell>
          <cell r="K160">
            <v>45601.91</v>
          </cell>
          <cell r="L160">
            <v>42594.05</v>
          </cell>
          <cell r="M160">
            <v>39719.949999999997</v>
          </cell>
          <cell r="N160">
            <v>37160.81</v>
          </cell>
          <cell r="O160">
            <v>33518.03</v>
          </cell>
          <cell r="P160">
            <v>28405.79</v>
          </cell>
          <cell r="Q160">
            <v>440415.91</v>
          </cell>
        </row>
        <row r="161">
          <cell r="A161">
            <v>40109</v>
          </cell>
          <cell r="B161" t="str">
            <v>Disposal Landfill Intercompany</v>
          </cell>
          <cell r="E161">
            <v>194.6</v>
          </cell>
          <cell r="F161">
            <v>327.96</v>
          </cell>
          <cell r="G161">
            <v>99.4</v>
          </cell>
          <cell r="H161">
            <v>8930.7999999999993</v>
          </cell>
          <cell r="I161">
            <v>8418</v>
          </cell>
          <cell r="J161">
            <v>10225</v>
          </cell>
          <cell r="K161">
            <v>9550</v>
          </cell>
          <cell r="L161">
            <v>8953</v>
          </cell>
          <cell r="M161">
            <v>8660</v>
          </cell>
          <cell r="N161">
            <v>8485</v>
          </cell>
          <cell r="O161">
            <v>8205</v>
          </cell>
          <cell r="P161">
            <v>8111.2</v>
          </cell>
          <cell r="Q161">
            <v>80159.959999999992</v>
          </cell>
        </row>
        <row r="162">
          <cell r="A162">
            <v>40121</v>
          </cell>
          <cell r="B162" t="str">
            <v>Disposal Incineration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</row>
        <row r="163">
          <cell r="A163">
            <v>40122</v>
          </cell>
          <cell r="B163" t="str">
            <v>Disposal Other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</row>
        <row r="164">
          <cell r="A164">
            <v>40129</v>
          </cell>
          <cell r="B164" t="str">
            <v>Disposal Other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</row>
        <row r="165">
          <cell r="A165">
            <v>40131</v>
          </cell>
          <cell r="B165" t="str">
            <v>Disposal Transfer</v>
          </cell>
          <cell r="E165">
            <v>4652.22</v>
          </cell>
          <cell r="F165">
            <v>5422.23</v>
          </cell>
          <cell r="G165">
            <v>6556.26</v>
          </cell>
          <cell r="H165">
            <v>5248.01</v>
          </cell>
          <cell r="I165">
            <v>6285.68</v>
          </cell>
          <cell r="J165">
            <v>5271.25</v>
          </cell>
          <cell r="K165">
            <v>2375.48</v>
          </cell>
          <cell r="L165">
            <v>2345.9499999999998</v>
          </cell>
          <cell r="M165">
            <v>4253.9399999999996</v>
          </cell>
          <cell r="N165">
            <v>5654.19</v>
          </cell>
          <cell r="O165">
            <v>5131.53</v>
          </cell>
          <cell r="P165">
            <v>5010.78</v>
          </cell>
          <cell r="Q165">
            <v>58207.520000000004</v>
          </cell>
        </row>
        <row r="166">
          <cell r="A166">
            <v>40139</v>
          </cell>
          <cell r="B166" t="str">
            <v>Disposal Transfer Intercompany</v>
          </cell>
          <cell r="E166">
            <v>593825.03</v>
          </cell>
          <cell r="F166">
            <v>547142.99</v>
          </cell>
          <cell r="G166">
            <v>630810.36</v>
          </cell>
          <cell r="H166">
            <v>605643.42000000004</v>
          </cell>
          <cell r="I166">
            <v>594549.89</v>
          </cell>
          <cell r="J166">
            <v>658860.29</v>
          </cell>
          <cell r="K166">
            <v>621190.5</v>
          </cell>
          <cell r="L166">
            <v>619548.27</v>
          </cell>
          <cell r="M166">
            <v>634021.85</v>
          </cell>
          <cell r="N166">
            <v>591478.38</v>
          </cell>
          <cell r="O166">
            <v>635582.61</v>
          </cell>
          <cell r="P166">
            <v>652795.86</v>
          </cell>
          <cell r="Q166">
            <v>7385449.4500000002</v>
          </cell>
        </row>
        <row r="167">
          <cell r="A167" t="str">
            <v>Total Disposal</v>
          </cell>
          <cell r="E167">
            <v>622021.88</v>
          </cell>
          <cell r="F167">
            <v>579727.9</v>
          </cell>
          <cell r="G167">
            <v>679847.86</v>
          </cell>
          <cell r="H167">
            <v>656529.24</v>
          </cell>
          <cell r="I167">
            <v>648581.43000000005</v>
          </cell>
          <cell r="J167">
            <v>719170.45000000007</v>
          </cell>
          <cell r="K167">
            <v>678717.89</v>
          </cell>
          <cell r="L167">
            <v>673441.27</v>
          </cell>
          <cell r="M167">
            <v>686655.74</v>
          </cell>
          <cell r="N167">
            <v>642778.38</v>
          </cell>
          <cell r="O167">
            <v>682437.16999999993</v>
          </cell>
          <cell r="P167">
            <v>694323.63</v>
          </cell>
          <cell r="Q167">
            <v>7964232.8399999999</v>
          </cell>
        </row>
        <row r="169">
          <cell r="A169" t="str">
            <v>MRF Processing</v>
          </cell>
        </row>
        <row r="170">
          <cell r="A170">
            <v>40861</v>
          </cell>
          <cell r="B170" t="str">
            <v>Processing Fees MRF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</row>
        <row r="171">
          <cell r="A171">
            <v>40869</v>
          </cell>
          <cell r="B171" t="str">
            <v>Processing Fees MRF Intercompany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</row>
        <row r="172">
          <cell r="A172" t="str">
            <v>Total MRF Processing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</row>
        <row r="174">
          <cell r="A174" t="str">
            <v>Brokerage, Rebates and Taxes</v>
          </cell>
        </row>
        <row r="175">
          <cell r="A175">
            <v>41121</v>
          </cell>
          <cell r="B175" t="str">
            <v>Brokerage Cost</v>
          </cell>
          <cell r="E175">
            <v>0</v>
          </cell>
          <cell r="F175">
            <v>0</v>
          </cell>
          <cell r="G175">
            <v>0</v>
          </cell>
          <cell r="H175">
            <v>178.39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178.39</v>
          </cell>
        </row>
        <row r="176">
          <cell r="A176">
            <v>41129</v>
          </cell>
          <cell r="B176" t="str">
            <v>Brokerage Cost Intercompany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</row>
        <row r="177">
          <cell r="A177">
            <v>41131</v>
          </cell>
          <cell r="B177" t="str">
            <v>Rail Drayage Expenses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</row>
        <row r="178">
          <cell r="A178">
            <v>41135</v>
          </cell>
          <cell r="B178" t="str">
            <v>Resale Parts - Cost of Goods Sold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</row>
        <row r="179">
          <cell r="A179">
            <v>41139</v>
          </cell>
          <cell r="B179" t="str">
            <v>Rail Drayage Expenses - Intercompany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</row>
        <row r="180">
          <cell r="A180">
            <v>41141</v>
          </cell>
          <cell r="B180" t="str">
            <v>Truck Drayage Expenses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</row>
        <row r="181">
          <cell r="A181">
            <v>41149</v>
          </cell>
          <cell r="B181" t="str">
            <v>Truck Drayage Expenses - Intercompany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</row>
        <row r="182">
          <cell r="A182">
            <v>41151</v>
          </cell>
          <cell r="B182" t="str">
            <v>Intermodal Expenses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</row>
        <row r="183">
          <cell r="A183">
            <v>41201</v>
          </cell>
          <cell r="B183" t="str">
            <v>Rebates and Revenue Sharing</v>
          </cell>
          <cell r="E183">
            <v>521936.87</v>
          </cell>
          <cell r="F183">
            <v>516837.5</v>
          </cell>
          <cell r="G183">
            <v>526589.43999999994</v>
          </cell>
          <cell r="H183">
            <v>507133.7</v>
          </cell>
          <cell r="I183">
            <v>514778.73</v>
          </cell>
          <cell r="J183">
            <v>520529.95</v>
          </cell>
          <cell r="K183">
            <v>523325.23</v>
          </cell>
          <cell r="L183">
            <v>525169.91</v>
          </cell>
          <cell r="M183">
            <v>526242.24</v>
          </cell>
          <cell r="N183">
            <v>522492.7</v>
          </cell>
          <cell r="O183">
            <v>519798.37</v>
          </cell>
          <cell r="P183">
            <v>519523.19</v>
          </cell>
          <cell r="Q183">
            <v>6244357.830000001</v>
          </cell>
        </row>
        <row r="184">
          <cell r="A184">
            <v>43001</v>
          </cell>
          <cell r="B184" t="str">
            <v>Taxes and Pass Thru Fees</v>
          </cell>
          <cell r="E184">
            <v>41543.1</v>
          </cell>
          <cell r="F184">
            <v>40952.97</v>
          </cell>
          <cell r="G184">
            <v>42462.54</v>
          </cell>
          <cell r="H184">
            <v>45489.33</v>
          </cell>
          <cell r="I184">
            <v>48581.71</v>
          </cell>
          <cell r="J184">
            <v>53321.59</v>
          </cell>
          <cell r="K184">
            <v>51875.89</v>
          </cell>
          <cell r="L184">
            <v>52096.88</v>
          </cell>
          <cell r="M184">
            <v>52109.83</v>
          </cell>
          <cell r="N184">
            <v>51665.29</v>
          </cell>
          <cell r="O184">
            <v>51559.19</v>
          </cell>
          <cell r="P184">
            <v>51703.040000000001</v>
          </cell>
          <cell r="Q184">
            <v>583361.3600000001</v>
          </cell>
        </row>
        <row r="185">
          <cell r="A185">
            <v>43002</v>
          </cell>
          <cell r="B185" t="str">
            <v>WUTC Taxes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</row>
        <row r="186">
          <cell r="A186">
            <v>43090</v>
          </cell>
          <cell r="B186" t="str">
            <v>Pass Through Expenses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</row>
        <row r="187">
          <cell r="A187">
            <v>43099</v>
          </cell>
          <cell r="B187" t="str">
            <v>Pass Through Expenses Intercompany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</row>
        <row r="188">
          <cell r="A188" t="str">
            <v>Total Brokerage, Rebates and Taxes</v>
          </cell>
          <cell r="E188">
            <v>563479.97</v>
          </cell>
          <cell r="F188">
            <v>557790.47</v>
          </cell>
          <cell r="G188">
            <v>569051.98</v>
          </cell>
          <cell r="H188">
            <v>552801.42000000004</v>
          </cell>
          <cell r="I188">
            <v>563360.43999999994</v>
          </cell>
          <cell r="J188">
            <v>573851.54</v>
          </cell>
          <cell r="K188">
            <v>575201.12</v>
          </cell>
          <cell r="L188">
            <v>577266.79</v>
          </cell>
          <cell r="M188">
            <v>578352.06999999995</v>
          </cell>
          <cell r="N188">
            <v>574157.99</v>
          </cell>
          <cell r="O188">
            <v>571357.56000000006</v>
          </cell>
          <cell r="P188">
            <v>571226.23</v>
          </cell>
          <cell r="Q188">
            <v>6827897.580000001</v>
          </cell>
        </row>
        <row r="190">
          <cell r="A190" t="str">
            <v>Recycling Materials Expense</v>
          </cell>
        </row>
        <row r="191">
          <cell r="A191">
            <v>44161</v>
          </cell>
          <cell r="B191" t="str">
            <v>Cost of Materials - OCC</v>
          </cell>
          <cell r="E191">
            <v>2426.64</v>
          </cell>
          <cell r="F191">
            <v>2389.0700000000002</v>
          </cell>
          <cell r="G191">
            <v>2400.6</v>
          </cell>
          <cell r="H191">
            <v>2445.6799999999998</v>
          </cell>
          <cell r="I191">
            <v>2403.29</v>
          </cell>
          <cell r="J191">
            <v>2402.11</v>
          </cell>
          <cell r="K191">
            <v>437.67</v>
          </cell>
          <cell r="L191">
            <v>1356.93</v>
          </cell>
          <cell r="M191">
            <v>2409.56</v>
          </cell>
          <cell r="N191">
            <v>2530.52</v>
          </cell>
          <cell r="O191">
            <v>2633.11</v>
          </cell>
          <cell r="P191">
            <v>2651.26</v>
          </cell>
          <cell r="Q191">
            <v>26486.440000000002</v>
          </cell>
        </row>
        <row r="192">
          <cell r="A192">
            <v>44162</v>
          </cell>
          <cell r="B192" t="str">
            <v>Cost of Materials - ONP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</row>
        <row r="193">
          <cell r="A193">
            <v>44163</v>
          </cell>
          <cell r="B193" t="str">
            <v>Cost of Materials - Other Paper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</row>
        <row r="194">
          <cell r="A194">
            <v>44164</v>
          </cell>
          <cell r="B194" t="str">
            <v>Cost of Materials - Aluminum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</row>
        <row r="195">
          <cell r="A195">
            <v>44165</v>
          </cell>
          <cell r="B195" t="str">
            <v>Cost of Materials - Metal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</row>
        <row r="196">
          <cell r="A196">
            <v>44166</v>
          </cell>
          <cell r="B196" t="str">
            <v>Cost of Materials - Glass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</row>
        <row r="197">
          <cell r="A197">
            <v>44167</v>
          </cell>
          <cell r="B197" t="str">
            <v>Cost of Materials - Plastic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</row>
        <row r="198">
          <cell r="A198">
            <v>44168</v>
          </cell>
          <cell r="B198" t="str">
            <v>Cost of Materials - Other Recyclables</v>
          </cell>
          <cell r="E198">
            <v>0</v>
          </cell>
          <cell r="F198">
            <v>8</v>
          </cell>
          <cell r="G198">
            <v>8</v>
          </cell>
          <cell r="H198">
            <v>0</v>
          </cell>
          <cell r="I198">
            <v>8</v>
          </cell>
          <cell r="J198">
            <v>0</v>
          </cell>
          <cell r="K198">
            <v>8</v>
          </cell>
          <cell r="L198">
            <v>7</v>
          </cell>
          <cell r="M198">
            <v>0</v>
          </cell>
          <cell r="N198">
            <v>7</v>
          </cell>
          <cell r="O198">
            <v>15</v>
          </cell>
          <cell r="P198">
            <v>8</v>
          </cell>
          <cell r="Q198">
            <v>69</v>
          </cell>
        </row>
        <row r="199">
          <cell r="A199">
            <v>44169</v>
          </cell>
          <cell r="B199" t="str">
            <v>Cost of Materials - Intercompany</v>
          </cell>
          <cell r="E199">
            <v>1793.25</v>
          </cell>
          <cell r="F199">
            <v>1711</v>
          </cell>
          <cell r="G199">
            <v>2209.37</v>
          </cell>
          <cell r="H199">
            <v>2644.25</v>
          </cell>
          <cell r="I199">
            <v>3170</v>
          </cell>
          <cell r="J199">
            <v>2275.25</v>
          </cell>
          <cell r="K199">
            <v>1660.5</v>
          </cell>
          <cell r="L199">
            <v>2033.7</v>
          </cell>
          <cell r="M199">
            <v>1648</v>
          </cell>
          <cell r="N199">
            <v>2091.5500000000002</v>
          </cell>
          <cell r="O199">
            <v>2223.8000000000002</v>
          </cell>
          <cell r="P199">
            <v>2182.25</v>
          </cell>
          <cell r="Q199">
            <v>25642.92</v>
          </cell>
        </row>
        <row r="200">
          <cell r="A200">
            <v>44261</v>
          </cell>
          <cell r="B200" t="str">
            <v>Cost of Materials - Organics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</row>
        <row r="201">
          <cell r="A201">
            <v>44262</v>
          </cell>
          <cell r="B201" t="str">
            <v>Cost of Materials - Clean Wood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</row>
        <row r="202">
          <cell r="A202">
            <v>44263</v>
          </cell>
          <cell r="B202" t="str">
            <v>Cost of Materials - Landscaping Materials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</row>
        <row r="203">
          <cell r="A203" t="str">
            <v>Total Recycling Materials Expense</v>
          </cell>
          <cell r="E203">
            <v>4219.8899999999994</v>
          </cell>
          <cell r="F203">
            <v>4108.07</v>
          </cell>
          <cell r="G203">
            <v>4617.9699999999993</v>
          </cell>
          <cell r="H203">
            <v>5089.93</v>
          </cell>
          <cell r="I203">
            <v>5581.29</v>
          </cell>
          <cell r="J203">
            <v>4677.3600000000006</v>
          </cell>
          <cell r="K203">
            <v>2106.17</v>
          </cell>
          <cell r="L203">
            <v>3397.63</v>
          </cell>
          <cell r="M203">
            <v>4057.56</v>
          </cell>
          <cell r="N203">
            <v>4629.07</v>
          </cell>
          <cell r="O203">
            <v>4871.91</v>
          </cell>
          <cell r="P203">
            <v>4841.51</v>
          </cell>
          <cell r="Q203">
            <v>52198.36</v>
          </cell>
        </row>
        <row r="205">
          <cell r="A205" t="str">
            <v>Other Expense</v>
          </cell>
        </row>
        <row r="206">
          <cell r="A206">
            <v>47000</v>
          </cell>
          <cell r="B206" t="str">
            <v>Cost of Containers Sold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</row>
        <row r="207">
          <cell r="A207">
            <v>47001</v>
          </cell>
          <cell r="B207" t="str">
            <v>Cost of Equipment Sold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</row>
        <row r="208">
          <cell r="A208">
            <v>47010</v>
          </cell>
          <cell r="B208" t="str">
            <v>Tire Processing Expenses</v>
          </cell>
          <cell r="E208">
            <v>0</v>
          </cell>
          <cell r="F208">
            <v>0</v>
          </cell>
          <cell r="G208">
            <v>0</v>
          </cell>
          <cell r="H208">
            <v>205.8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205.8</v>
          </cell>
        </row>
        <row r="209">
          <cell r="A209">
            <v>47019</v>
          </cell>
          <cell r="B209" t="str">
            <v>Tire Processing Expenses - Intercompany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</row>
        <row r="210">
          <cell r="A210" t="str">
            <v>Total Other Expense</v>
          </cell>
          <cell r="E210">
            <v>0</v>
          </cell>
          <cell r="F210">
            <v>0</v>
          </cell>
          <cell r="G210">
            <v>0</v>
          </cell>
          <cell r="H210">
            <v>205.8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205.8</v>
          </cell>
        </row>
        <row r="212">
          <cell r="A212" t="str">
            <v>Total Revenue Reductions</v>
          </cell>
          <cell r="E212">
            <v>1189721.74</v>
          </cell>
          <cell r="F212">
            <v>1141626.44</v>
          </cell>
          <cell r="G212">
            <v>1253517.81</v>
          </cell>
          <cell r="H212">
            <v>1214626.3900000001</v>
          </cell>
          <cell r="I212">
            <v>1217523.1600000001</v>
          </cell>
          <cell r="J212">
            <v>1297699.3500000001</v>
          </cell>
          <cell r="K212">
            <v>1256025.1800000002</v>
          </cell>
          <cell r="L212">
            <v>1254105.69</v>
          </cell>
          <cell r="M212">
            <v>1269065.3700000001</v>
          </cell>
          <cell r="N212">
            <v>1221565.4399999999</v>
          </cell>
          <cell r="O212">
            <v>1258666.6400000001</v>
          </cell>
          <cell r="P212">
            <v>1270391.3700000001</v>
          </cell>
          <cell r="Q212">
            <v>14844534.580000002</v>
          </cell>
        </row>
        <row r="214">
          <cell r="A214" t="str">
            <v>Net Revenue</v>
          </cell>
          <cell r="E214">
            <v>1649704.8499999999</v>
          </cell>
          <cell r="F214">
            <v>1670090.42</v>
          </cell>
          <cell r="G214">
            <v>1660254.0099999998</v>
          </cell>
          <cell r="H214">
            <v>1709411.48</v>
          </cell>
          <cell r="I214">
            <v>1713337.4899999993</v>
          </cell>
          <cell r="J214">
            <v>1707541.0700000003</v>
          </cell>
          <cell r="K214">
            <v>1724323.2199999993</v>
          </cell>
          <cell r="L214">
            <v>1700976.4799999995</v>
          </cell>
          <cell r="M214">
            <v>1726553.38</v>
          </cell>
          <cell r="N214">
            <v>1737484.1700000004</v>
          </cell>
          <cell r="O214">
            <v>1724550.3099999996</v>
          </cell>
          <cell r="P214">
            <v>1708899.85</v>
          </cell>
          <cell r="Q214">
            <v>20433126.73</v>
          </cell>
        </row>
        <row r="216">
          <cell r="A216" t="str">
            <v>Cost of Operations</v>
          </cell>
        </row>
        <row r="217">
          <cell r="A217" t="str">
            <v>Labor</v>
          </cell>
        </row>
        <row r="218">
          <cell r="A218">
            <v>50010</v>
          </cell>
          <cell r="B218" t="str">
            <v>Salaries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</row>
        <row r="219">
          <cell r="A219">
            <v>50020</v>
          </cell>
          <cell r="B219" t="str">
            <v>Wages Regular</v>
          </cell>
          <cell r="E219">
            <v>164883.42000000001</v>
          </cell>
          <cell r="F219">
            <v>163593.57</v>
          </cell>
          <cell r="G219">
            <v>188109.33</v>
          </cell>
          <cell r="H219">
            <v>179849.71</v>
          </cell>
          <cell r="I219">
            <v>172347.9</v>
          </cell>
          <cell r="J219">
            <v>187859.47</v>
          </cell>
          <cell r="K219">
            <v>178348.24</v>
          </cell>
          <cell r="L219">
            <v>182091.36</v>
          </cell>
          <cell r="M219">
            <v>176392.37000000002</v>
          </cell>
          <cell r="N219">
            <v>178231.65999999997</v>
          </cell>
          <cell r="O219">
            <v>171402.89</v>
          </cell>
          <cell r="P219">
            <v>200565.78999999998</v>
          </cell>
          <cell r="Q219">
            <v>2143675.71</v>
          </cell>
        </row>
        <row r="220">
          <cell r="A220">
            <v>50025</v>
          </cell>
          <cell r="B220" t="str">
            <v>Wages O.T.</v>
          </cell>
          <cell r="E220">
            <v>32984.839999999997</v>
          </cell>
          <cell r="F220">
            <v>9544.4</v>
          </cell>
          <cell r="G220">
            <v>22471.78</v>
          </cell>
          <cell r="H220">
            <v>31363.030000000002</v>
          </cell>
          <cell r="I220">
            <v>49805.09</v>
          </cell>
          <cell r="J220">
            <v>35207.21</v>
          </cell>
          <cell r="K220">
            <v>36825.21</v>
          </cell>
          <cell r="L220">
            <v>33200.26</v>
          </cell>
          <cell r="M220">
            <v>40758.67</v>
          </cell>
          <cell r="N220">
            <v>31022.81</v>
          </cell>
          <cell r="O220">
            <v>51285.26</v>
          </cell>
          <cell r="P220">
            <v>33854.409999999996</v>
          </cell>
          <cell r="Q220">
            <v>408322.97</v>
          </cell>
        </row>
        <row r="221">
          <cell r="A221">
            <v>50035</v>
          </cell>
          <cell r="B221" t="str">
            <v>Safety Bonuses</v>
          </cell>
          <cell r="E221">
            <v>4800</v>
          </cell>
          <cell r="F221">
            <v>4800</v>
          </cell>
          <cell r="G221">
            <v>4800</v>
          </cell>
          <cell r="H221">
            <v>4800</v>
          </cell>
          <cell r="I221">
            <v>5550</v>
          </cell>
          <cell r="J221">
            <v>5550</v>
          </cell>
          <cell r="K221">
            <v>5550</v>
          </cell>
          <cell r="L221">
            <v>5550</v>
          </cell>
          <cell r="M221">
            <v>3500</v>
          </cell>
          <cell r="N221">
            <v>3500</v>
          </cell>
          <cell r="O221">
            <v>4800</v>
          </cell>
          <cell r="P221">
            <v>-8000</v>
          </cell>
          <cell r="Q221">
            <v>45200</v>
          </cell>
        </row>
        <row r="222">
          <cell r="A222">
            <v>50036</v>
          </cell>
          <cell r="B222" t="str">
            <v>Other Bonus/Commission - Non-Safety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</row>
        <row r="223">
          <cell r="A223">
            <v>50045</v>
          </cell>
          <cell r="B223" t="str">
            <v>Contract Labor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4788.33</v>
          </cell>
          <cell r="L223">
            <v>3663.38</v>
          </cell>
          <cell r="M223">
            <v>2786.12</v>
          </cell>
          <cell r="N223">
            <v>7835.02</v>
          </cell>
          <cell r="O223">
            <v>2360.66</v>
          </cell>
          <cell r="P223">
            <v>120.48</v>
          </cell>
          <cell r="Q223">
            <v>21553.989999999998</v>
          </cell>
        </row>
        <row r="224">
          <cell r="A224">
            <v>50050</v>
          </cell>
          <cell r="B224" t="str">
            <v>Payroll Taxes</v>
          </cell>
          <cell r="E224">
            <v>25189.960000000003</v>
          </cell>
          <cell r="F224">
            <v>18251.73</v>
          </cell>
          <cell r="G224">
            <v>20679.02</v>
          </cell>
          <cell r="H224">
            <v>21039.350000000002</v>
          </cell>
          <cell r="I224">
            <v>21060.63</v>
          </cell>
          <cell r="J224">
            <v>22770.019999999997</v>
          </cell>
          <cell r="K224">
            <v>23082.989999999998</v>
          </cell>
          <cell r="L224">
            <v>21413.860000000004</v>
          </cell>
          <cell r="M224">
            <v>22297.15</v>
          </cell>
          <cell r="N224">
            <v>19721.989999999998</v>
          </cell>
          <cell r="O224">
            <v>24041.16</v>
          </cell>
          <cell r="P224">
            <v>17044.59</v>
          </cell>
          <cell r="Q224">
            <v>256592.45</v>
          </cell>
        </row>
        <row r="225">
          <cell r="A225">
            <v>50060</v>
          </cell>
          <cell r="B225" t="str">
            <v>Group Insurance</v>
          </cell>
          <cell r="E225">
            <v>-52</v>
          </cell>
          <cell r="F225">
            <v>52</v>
          </cell>
          <cell r="G225">
            <v>400</v>
          </cell>
          <cell r="H225">
            <v>400</v>
          </cell>
          <cell r="I225">
            <v>400</v>
          </cell>
          <cell r="J225">
            <v>400</v>
          </cell>
          <cell r="K225">
            <v>400.77</v>
          </cell>
          <cell r="L225">
            <v>348</v>
          </cell>
          <cell r="M225">
            <v>400</v>
          </cell>
          <cell r="N225">
            <v>400</v>
          </cell>
          <cell r="O225">
            <v>1.54</v>
          </cell>
          <cell r="P225">
            <v>-913.13</v>
          </cell>
          <cell r="Q225">
            <v>2237.1799999999998</v>
          </cell>
        </row>
        <row r="226">
          <cell r="A226">
            <v>50065</v>
          </cell>
          <cell r="B226" t="str">
            <v>Vacation Pay</v>
          </cell>
          <cell r="E226">
            <v>19746.13</v>
          </cell>
          <cell r="F226">
            <v>10715.919999999998</v>
          </cell>
          <cell r="G226">
            <v>10164.220000000001</v>
          </cell>
          <cell r="H226">
            <v>13775.17</v>
          </cell>
          <cell r="I226">
            <v>12214.41</v>
          </cell>
          <cell r="J226">
            <v>9839.7799999999988</v>
          </cell>
          <cell r="K226">
            <v>16829.84</v>
          </cell>
          <cell r="L226">
            <v>10619.08</v>
          </cell>
          <cell r="M226">
            <v>20174.8</v>
          </cell>
          <cell r="N226">
            <v>7964.8900000000012</v>
          </cell>
          <cell r="O226">
            <v>28346.93</v>
          </cell>
          <cell r="P226">
            <v>21322.129999999997</v>
          </cell>
          <cell r="Q226">
            <v>181713.30000000002</v>
          </cell>
        </row>
        <row r="227">
          <cell r="A227">
            <v>50070</v>
          </cell>
          <cell r="B227" t="str">
            <v>Sick Pay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</row>
        <row r="228">
          <cell r="A228">
            <v>50086</v>
          </cell>
          <cell r="B228" t="str">
            <v>Safety and Training</v>
          </cell>
          <cell r="E228">
            <v>157.5</v>
          </cell>
          <cell r="F228">
            <v>172.5</v>
          </cell>
          <cell r="G228">
            <v>808.28</v>
          </cell>
          <cell r="H228">
            <v>-442.5</v>
          </cell>
          <cell r="I228">
            <v>965.32</v>
          </cell>
          <cell r="J228">
            <v>0</v>
          </cell>
          <cell r="K228">
            <v>0</v>
          </cell>
          <cell r="L228">
            <v>0</v>
          </cell>
          <cell r="M228">
            <v>25</v>
          </cell>
          <cell r="N228">
            <v>675</v>
          </cell>
          <cell r="O228">
            <v>0</v>
          </cell>
          <cell r="P228">
            <v>0</v>
          </cell>
          <cell r="Q228">
            <v>2361.1</v>
          </cell>
        </row>
        <row r="229">
          <cell r="A229">
            <v>50087</v>
          </cell>
          <cell r="B229" t="str">
            <v>Drug Testing</v>
          </cell>
          <cell r="E229">
            <v>60</v>
          </cell>
          <cell r="F229">
            <v>294</v>
          </cell>
          <cell r="G229">
            <v>180</v>
          </cell>
          <cell r="H229">
            <v>60</v>
          </cell>
          <cell r="I229">
            <v>180</v>
          </cell>
          <cell r="J229">
            <v>0</v>
          </cell>
          <cell r="K229">
            <v>660</v>
          </cell>
          <cell r="L229">
            <v>180</v>
          </cell>
          <cell r="M229">
            <v>480</v>
          </cell>
          <cell r="N229">
            <v>360</v>
          </cell>
          <cell r="O229">
            <v>180</v>
          </cell>
          <cell r="P229">
            <v>120</v>
          </cell>
          <cell r="Q229">
            <v>2754</v>
          </cell>
        </row>
        <row r="230">
          <cell r="A230">
            <v>50090</v>
          </cell>
          <cell r="B230" t="str">
            <v>Uniforms</v>
          </cell>
          <cell r="E230">
            <v>4074.6600000000003</v>
          </cell>
          <cell r="F230">
            <v>3623.04</v>
          </cell>
          <cell r="G230">
            <v>5198.9500000000007</v>
          </cell>
          <cell r="H230">
            <v>3689.49</v>
          </cell>
          <cell r="I230">
            <v>10448.56</v>
          </cell>
          <cell r="J230">
            <v>4504.9699999999993</v>
          </cell>
          <cell r="K230">
            <v>4758.2000000000007</v>
          </cell>
          <cell r="L230">
            <v>10818.759999999998</v>
          </cell>
          <cell r="M230">
            <v>4750.04</v>
          </cell>
          <cell r="N230">
            <v>7936.8100000000013</v>
          </cell>
          <cell r="O230">
            <v>4016.29</v>
          </cell>
          <cell r="P230">
            <v>3616.1000000000004</v>
          </cell>
          <cell r="Q230">
            <v>67435.87</v>
          </cell>
        </row>
        <row r="231">
          <cell r="A231">
            <v>50115</v>
          </cell>
          <cell r="B231" t="str">
            <v>Pension and Profit Sharing</v>
          </cell>
          <cell r="E231">
            <v>28983.06</v>
          </cell>
          <cell r="F231">
            <v>25738.78</v>
          </cell>
          <cell r="G231">
            <v>27512.51</v>
          </cell>
          <cell r="H231">
            <v>29149.510000000002</v>
          </cell>
          <cell r="I231">
            <v>28747.71</v>
          </cell>
          <cell r="J231">
            <v>30320.410000000003</v>
          </cell>
          <cell r="K231">
            <v>30592.95</v>
          </cell>
          <cell r="L231">
            <v>30361.019999999997</v>
          </cell>
          <cell r="M231">
            <v>30798.07</v>
          </cell>
          <cell r="N231">
            <v>28965.410000000003</v>
          </cell>
          <cell r="O231">
            <v>29195.13</v>
          </cell>
          <cell r="P231">
            <v>27681.32</v>
          </cell>
          <cell r="Q231">
            <v>348045.87999999995</v>
          </cell>
        </row>
        <row r="232">
          <cell r="A232">
            <v>50116</v>
          </cell>
          <cell r="B232" t="str">
            <v>Union Benefit Expense</v>
          </cell>
          <cell r="E232">
            <v>75002.37000000001</v>
          </cell>
          <cell r="F232">
            <v>76004.59</v>
          </cell>
          <cell r="G232">
            <v>72736.17</v>
          </cell>
          <cell r="H232">
            <v>70560.600000000006</v>
          </cell>
          <cell r="I232">
            <v>73715.539999999994</v>
          </cell>
          <cell r="J232">
            <v>76036.11</v>
          </cell>
          <cell r="K232">
            <v>76033.8</v>
          </cell>
          <cell r="L232">
            <v>76047.17</v>
          </cell>
          <cell r="M232">
            <v>75995.589999999982</v>
          </cell>
          <cell r="N232">
            <v>77106.5</v>
          </cell>
          <cell r="O232">
            <v>74405.170000000013</v>
          </cell>
          <cell r="P232">
            <v>74519.92</v>
          </cell>
          <cell r="Q232">
            <v>898163.53</v>
          </cell>
        </row>
        <row r="233">
          <cell r="A233">
            <v>50117</v>
          </cell>
          <cell r="B233" t="str">
            <v>Union Pension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</row>
        <row r="234">
          <cell r="A234">
            <v>50148</v>
          </cell>
          <cell r="B234" t="str">
            <v>Allocated Exp In - District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</row>
        <row r="235">
          <cell r="A235">
            <v>50149</v>
          </cell>
          <cell r="B235" t="str">
            <v>Allocated Exp In Out - District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</row>
        <row r="236">
          <cell r="A236">
            <v>50335</v>
          </cell>
          <cell r="B236" t="str">
            <v>Miscellaneous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</row>
        <row r="237">
          <cell r="A237">
            <v>50900</v>
          </cell>
          <cell r="B237" t="str">
            <v>Capitalized Costs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</row>
        <row r="238">
          <cell r="A238">
            <v>50998</v>
          </cell>
          <cell r="B238" t="str">
            <v>Allocation Out - District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</row>
        <row r="239">
          <cell r="A239">
            <v>50999</v>
          </cell>
          <cell r="B239" t="str">
            <v>Allocation Out - Out District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</row>
        <row r="240">
          <cell r="A240" t="str">
            <v>Total Labor</v>
          </cell>
          <cell r="E240">
            <v>355829.94</v>
          </cell>
          <cell r="F240">
            <v>312790.53000000003</v>
          </cell>
          <cell r="G240">
            <v>353060.25999999995</v>
          </cell>
          <cell r="H240">
            <v>354244.36</v>
          </cell>
          <cell r="I240">
            <v>375435.16</v>
          </cell>
          <cell r="J240">
            <v>372487.97</v>
          </cell>
          <cell r="K240">
            <v>377870.32999999996</v>
          </cell>
          <cell r="L240">
            <v>374292.89</v>
          </cell>
          <cell r="M240">
            <v>378357.81</v>
          </cell>
          <cell r="N240">
            <v>363720.08999999997</v>
          </cell>
          <cell r="O240">
            <v>390035.03</v>
          </cell>
          <cell r="P240">
            <v>369931.60999999993</v>
          </cell>
          <cell r="Q240">
            <v>4378055.9800000004</v>
          </cell>
        </row>
        <row r="242">
          <cell r="A242" t="str">
            <v>Truck Fixed Expenses</v>
          </cell>
        </row>
        <row r="243">
          <cell r="A243">
            <v>51148</v>
          </cell>
          <cell r="B243" t="str">
            <v>Allocation In - District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</row>
        <row r="244">
          <cell r="A244">
            <v>51149</v>
          </cell>
          <cell r="B244" t="str">
            <v>Allocation In - Out District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</row>
        <row r="245">
          <cell r="A245">
            <v>51175</v>
          </cell>
          <cell r="B245" t="str">
            <v>Equipment/Vehicle Rental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</row>
        <row r="246">
          <cell r="A246">
            <v>51275</v>
          </cell>
          <cell r="B246" t="str">
            <v>Property Taxes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</row>
        <row r="247">
          <cell r="A247">
            <v>51295</v>
          </cell>
          <cell r="B247" t="str">
            <v>Licenses</v>
          </cell>
          <cell r="E247">
            <v>7094.03</v>
          </cell>
          <cell r="F247">
            <v>5283.39</v>
          </cell>
          <cell r="G247">
            <v>6038.79</v>
          </cell>
          <cell r="H247">
            <v>6260.76</v>
          </cell>
          <cell r="I247">
            <v>7130.37</v>
          </cell>
          <cell r="J247">
            <v>6495.12</v>
          </cell>
          <cell r="K247">
            <v>7155.12</v>
          </cell>
          <cell r="L247">
            <v>8517.26</v>
          </cell>
          <cell r="M247">
            <v>6025.42</v>
          </cell>
          <cell r="N247">
            <v>6730.71</v>
          </cell>
          <cell r="O247">
            <v>6040.84</v>
          </cell>
          <cell r="P247">
            <v>7017.82</v>
          </cell>
          <cell r="Q247">
            <v>79789.63</v>
          </cell>
        </row>
        <row r="248">
          <cell r="A248">
            <v>51335</v>
          </cell>
          <cell r="B248" t="str">
            <v>Miscellaneous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</row>
        <row r="249">
          <cell r="A249">
            <v>51998</v>
          </cell>
          <cell r="B249" t="str">
            <v>Allocation Out - District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</row>
        <row r="250">
          <cell r="A250">
            <v>51999</v>
          </cell>
          <cell r="B250" t="str">
            <v>Allocation Out - Out District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</row>
        <row r="251">
          <cell r="A251" t="str">
            <v>Total Truck Fixed Expenses</v>
          </cell>
          <cell r="E251">
            <v>7094.03</v>
          </cell>
          <cell r="F251">
            <v>5283.39</v>
          </cell>
          <cell r="G251">
            <v>6038.79</v>
          </cell>
          <cell r="H251">
            <v>6260.76</v>
          </cell>
          <cell r="I251">
            <v>7130.37</v>
          </cell>
          <cell r="J251">
            <v>6495.12</v>
          </cell>
          <cell r="K251">
            <v>7155.12</v>
          </cell>
          <cell r="L251">
            <v>8517.26</v>
          </cell>
          <cell r="M251">
            <v>6025.42</v>
          </cell>
          <cell r="N251">
            <v>6730.71</v>
          </cell>
          <cell r="O251">
            <v>6040.84</v>
          </cell>
          <cell r="P251">
            <v>7017.82</v>
          </cell>
          <cell r="Q251">
            <v>79789.63</v>
          </cell>
        </row>
        <row r="253">
          <cell r="A253" t="str">
            <v>Truck Variable Expenses</v>
          </cell>
        </row>
        <row r="254">
          <cell r="A254">
            <v>52010</v>
          </cell>
          <cell r="B254" t="str">
            <v>Salaries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</row>
        <row r="255">
          <cell r="A255">
            <v>52020</v>
          </cell>
          <cell r="B255" t="str">
            <v>Wages Regular</v>
          </cell>
          <cell r="E255">
            <v>41831.43</v>
          </cell>
          <cell r="F255">
            <v>31547.360000000001</v>
          </cell>
          <cell r="G255">
            <v>41785.230000000003</v>
          </cell>
          <cell r="H255">
            <v>41270.26</v>
          </cell>
          <cell r="I255">
            <v>32339.71</v>
          </cell>
          <cell r="J255">
            <v>31241.200000000001</v>
          </cell>
          <cell r="K255">
            <v>37276.75</v>
          </cell>
          <cell r="L255">
            <v>38079.120000000003</v>
          </cell>
          <cell r="M255">
            <v>35899.410000000003</v>
          </cell>
          <cell r="N255">
            <v>39332.589999999997</v>
          </cell>
          <cell r="O255">
            <v>37890.239999999998</v>
          </cell>
          <cell r="P255">
            <v>44055.94</v>
          </cell>
          <cell r="Q255">
            <v>452549.24000000005</v>
          </cell>
        </row>
        <row r="256">
          <cell r="A256">
            <v>52025</v>
          </cell>
          <cell r="B256" t="str">
            <v>Wages O.T.</v>
          </cell>
          <cell r="E256">
            <v>7524.35</v>
          </cell>
          <cell r="F256">
            <v>4047.27</v>
          </cell>
          <cell r="G256">
            <v>4760.2299999999996</v>
          </cell>
          <cell r="H256">
            <v>4152.5200000000004</v>
          </cell>
          <cell r="I256">
            <v>5808.01</v>
          </cell>
          <cell r="J256">
            <v>4035.92</v>
          </cell>
          <cell r="K256">
            <v>11119.38</v>
          </cell>
          <cell r="L256">
            <v>2971.58</v>
          </cell>
          <cell r="M256">
            <v>6964.42</v>
          </cell>
          <cell r="N256">
            <v>4824.8500000000004</v>
          </cell>
          <cell r="O256">
            <v>7793.34</v>
          </cell>
          <cell r="P256">
            <v>5555.18</v>
          </cell>
          <cell r="Q256">
            <v>69557.049999999988</v>
          </cell>
        </row>
        <row r="257">
          <cell r="A257">
            <v>52035</v>
          </cell>
          <cell r="B257" t="str">
            <v>Safety Bonuses</v>
          </cell>
          <cell r="E257">
            <v>1250</v>
          </cell>
          <cell r="F257">
            <v>1250</v>
          </cell>
          <cell r="G257">
            <v>1250</v>
          </cell>
          <cell r="H257">
            <v>1250</v>
          </cell>
          <cell r="I257">
            <v>2000</v>
          </cell>
          <cell r="J257">
            <v>2000</v>
          </cell>
          <cell r="K257">
            <v>2000</v>
          </cell>
          <cell r="L257">
            <v>2000</v>
          </cell>
          <cell r="M257">
            <v>1000</v>
          </cell>
          <cell r="N257">
            <v>1000</v>
          </cell>
          <cell r="O257">
            <v>1200</v>
          </cell>
          <cell r="P257">
            <v>-2000</v>
          </cell>
          <cell r="Q257">
            <v>14200</v>
          </cell>
        </row>
        <row r="258">
          <cell r="A258">
            <v>52036</v>
          </cell>
          <cell r="B258" t="str">
            <v>Other Bonus/Commission - Non-Safety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</row>
        <row r="259">
          <cell r="A259">
            <v>52045</v>
          </cell>
          <cell r="B259" t="str">
            <v>Contract Labor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</row>
        <row r="260">
          <cell r="A260">
            <v>52050</v>
          </cell>
          <cell r="B260" t="str">
            <v>Payroll Taxes</v>
          </cell>
          <cell r="E260">
            <v>5936.87</v>
          </cell>
          <cell r="F260">
            <v>3515.19</v>
          </cell>
          <cell r="G260">
            <v>4535.6499999999996</v>
          </cell>
          <cell r="H260">
            <v>4653.75</v>
          </cell>
          <cell r="I260">
            <v>4561.24</v>
          </cell>
          <cell r="J260">
            <v>5119.2299999999996</v>
          </cell>
          <cell r="K260">
            <v>5503.32</v>
          </cell>
          <cell r="L260">
            <v>4465.1099999999997</v>
          </cell>
          <cell r="M260">
            <v>4260.3100000000004</v>
          </cell>
          <cell r="N260">
            <v>4002.25</v>
          </cell>
          <cell r="O260">
            <v>5640.4</v>
          </cell>
          <cell r="P260">
            <v>3070</v>
          </cell>
          <cell r="Q260">
            <v>55263.32</v>
          </cell>
        </row>
        <row r="261">
          <cell r="A261">
            <v>52060</v>
          </cell>
          <cell r="B261" t="str">
            <v>Group Insurance</v>
          </cell>
          <cell r="E261">
            <v>-159</v>
          </cell>
          <cell r="F261">
            <v>-159</v>
          </cell>
          <cell r="G261">
            <v>561.5</v>
          </cell>
          <cell r="H261">
            <v>720.5</v>
          </cell>
          <cell r="I261">
            <v>641</v>
          </cell>
          <cell r="J261">
            <v>641</v>
          </cell>
          <cell r="K261">
            <v>641</v>
          </cell>
          <cell r="L261">
            <v>641</v>
          </cell>
          <cell r="M261">
            <v>561.5</v>
          </cell>
          <cell r="N261">
            <v>720.5</v>
          </cell>
          <cell r="O261">
            <v>641</v>
          </cell>
          <cell r="P261">
            <v>511.58</v>
          </cell>
          <cell r="Q261">
            <v>5962.58</v>
          </cell>
        </row>
        <row r="262">
          <cell r="A262">
            <v>52065</v>
          </cell>
          <cell r="B262" t="str">
            <v>Vacation Pay</v>
          </cell>
          <cell r="E262">
            <v>5737.5</v>
          </cell>
          <cell r="F262">
            <v>2090.71</v>
          </cell>
          <cell r="G262">
            <v>1979.73</v>
          </cell>
          <cell r="H262">
            <v>3044.17</v>
          </cell>
          <cell r="I262">
            <v>1571.02</v>
          </cell>
          <cell r="J262">
            <v>4642.26</v>
          </cell>
          <cell r="K262">
            <v>3319.05</v>
          </cell>
          <cell r="L262">
            <v>1557.75</v>
          </cell>
          <cell r="M262">
            <v>5888.63</v>
          </cell>
          <cell r="N262">
            <v>2065.0500000000002</v>
          </cell>
          <cell r="O262">
            <v>3190.34</v>
          </cell>
          <cell r="P262">
            <v>2387</v>
          </cell>
          <cell r="Q262">
            <v>37473.21</v>
          </cell>
        </row>
        <row r="263">
          <cell r="A263">
            <v>52070</v>
          </cell>
          <cell r="B263" t="str">
            <v>Sick Pay</v>
          </cell>
          <cell r="E263">
            <v>0</v>
          </cell>
          <cell r="F263">
            <v>0</v>
          </cell>
          <cell r="G263">
            <v>111.2</v>
          </cell>
          <cell r="H263">
            <v>903.6</v>
          </cell>
          <cell r="I263">
            <v>-301.2</v>
          </cell>
          <cell r="J263">
            <v>114.8</v>
          </cell>
          <cell r="K263">
            <v>229.6</v>
          </cell>
          <cell r="L263">
            <v>-114.8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943.2</v>
          </cell>
        </row>
        <row r="264">
          <cell r="A264">
            <v>52086</v>
          </cell>
          <cell r="B264" t="str">
            <v>Safety and Training</v>
          </cell>
          <cell r="E264">
            <v>313.67</v>
          </cell>
          <cell r="F264">
            <v>337.9</v>
          </cell>
          <cell r="G264">
            <v>464.12</v>
          </cell>
          <cell r="H264">
            <v>898.81</v>
          </cell>
          <cell r="I264">
            <v>1000.19</v>
          </cell>
          <cell r="J264">
            <v>951.13</v>
          </cell>
          <cell r="K264">
            <v>348.03</v>
          </cell>
          <cell r="L264">
            <v>1085.5</v>
          </cell>
          <cell r="M264">
            <v>0</v>
          </cell>
          <cell r="N264">
            <v>252.45</v>
          </cell>
          <cell r="O264">
            <v>0</v>
          </cell>
          <cell r="P264">
            <v>1352.06</v>
          </cell>
          <cell r="Q264">
            <v>7003.8600000000006</v>
          </cell>
        </row>
        <row r="265">
          <cell r="A265">
            <v>52087</v>
          </cell>
          <cell r="B265" t="str">
            <v>Drug Screening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</row>
        <row r="266">
          <cell r="A266">
            <v>52090</v>
          </cell>
          <cell r="B266" t="str">
            <v>Uniforms</v>
          </cell>
          <cell r="E266">
            <v>300.83</v>
          </cell>
          <cell r="F266">
            <v>353.71</v>
          </cell>
          <cell r="G266">
            <v>389.7</v>
          </cell>
          <cell r="H266">
            <v>320.22000000000003</v>
          </cell>
          <cell r="I266">
            <v>296.99</v>
          </cell>
          <cell r="J266">
            <v>450.43</v>
          </cell>
          <cell r="K266">
            <v>428.66</v>
          </cell>
          <cell r="L266">
            <v>1034.03</v>
          </cell>
          <cell r="M266">
            <v>250.15</v>
          </cell>
          <cell r="N266">
            <v>3123.18</v>
          </cell>
          <cell r="O266">
            <v>276.32</v>
          </cell>
          <cell r="P266">
            <v>308.07</v>
          </cell>
          <cell r="Q266">
            <v>7532.2899999999991</v>
          </cell>
        </row>
        <row r="267">
          <cell r="A267">
            <v>52115</v>
          </cell>
          <cell r="B267" t="str">
            <v>Pension and Profit Sharing</v>
          </cell>
          <cell r="E267">
            <v>4010.46</v>
          </cell>
          <cell r="F267">
            <v>3565.56</v>
          </cell>
          <cell r="G267">
            <v>3834.74</v>
          </cell>
          <cell r="H267">
            <v>3873.02</v>
          </cell>
          <cell r="I267">
            <v>3977.37</v>
          </cell>
          <cell r="J267">
            <v>4220.3500000000004</v>
          </cell>
          <cell r="K267">
            <v>4228.8599999999997</v>
          </cell>
          <cell r="L267">
            <v>4197.5600000000004</v>
          </cell>
          <cell r="M267">
            <v>4257.6400000000003</v>
          </cell>
          <cell r="N267">
            <v>4035.58</v>
          </cell>
          <cell r="O267">
            <v>4052.24</v>
          </cell>
          <cell r="P267">
            <v>3832.52</v>
          </cell>
          <cell r="Q267">
            <v>48085.9</v>
          </cell>
        </row>
        <row r="268">
          <cell r="A268">
            <v>52116</v>
          </cell>
          <cell r="B268" t="str">
            <v>Union Benefit Expense</v>
          </cell>
          <cell r="E268">
            <v>11221.99</v>
          </cell>
          <cell r="F268">
            <v>11221.61</v>
          </cell>
          <cell r="G268">
            <v>8963.65</v>
          </cell>
          <cell r="H268">
            <v>10117.1</v>
          </cell>
          <cell r="I268">
            <v>10108.799999999999</v>
          </cell>
          <cell r="J268">
            <v>10108.799999999999</v>
          </cell>
          <cell r="K268">
            <v>10108.799999999999</v>
          </cell>
          <cell r="L268">
            <v>10108.799999999999</v>
          </cell>
          <cell r="M268">
            <v>10102.129999999999</v>
          </cell>
          <cell r="N268">
            <v>10118.73</v>
          </cell>
          <cell r="O268">
            <v>8978.93</v>
          </cell>
          <cell r="P268">
            <v>9916.0499999999993</v>
          </cell>
          <cell r="Q268">
            <v>121075.39</v>
          </cell>
        </row>
        <row r="269">
          <cell r="A269">
            <v>52117</v>
          </cell>
          <cell r="B269" t="str">
            <v>Union Pension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</row>
        <row r="270">
          <cell r="A270">
            <v>52120</v>
          </cell>
          <cell r="B270" t="str">
            <v>Parts and Materials</v>
          </cell>
          <cell r="E270">
            <v>41193.56</v>
          </cell>
          <cell r="F270">
            <v>42024.94</v>
          </cell>
          <cell r="G270">
            <v>38734.660000000003</v>
          </cell>
          <cell r="H270">
            <v>21757.73</v>
          </cell>
          <cell r="I270">
            <v>38676.519999999997</v>
          </cell>
          <cell r="J270">
            <v>21919.95</v>
          </cell>
          <cell r="K270">
            <v>34237.410000000003</v>
          </cell>
          <cell r="L270">
            <v>36723.200000000004</v>
          </cell>
          <cell r="M270">
            <v>30874.03</v>
          </cell>
          <cell r="N270">
            <v>23554.1</v>
          </cell>
          <cell r="O270">
            <v>38660.959999999999</v>
          </cell>
          <cell r="P270">
            <v>71007.829999999987</v>
          </cell>
          <cell r="Q270">
            <v>439364.89</v>
          </cell>
        </row>
        <row r="271">
          <cell r="A271">
            <v>52125</v>
          </cell>
          <cell r="B271" t="str">
            <v>Operating Supplies</v>
          </cell>
          <cell r="E271">
            <v>450.54</v>
          </cell>
          <cell r="F271">
            <v>864.08</v>
          </cell>
          <cell r="G271">
            <v>1556.99</v>
          </cell>
          <cell r="H271">
            <v>537.54</v>
          </cell>
          <cell r="I271">
            <v>1099.93</v>
          </cell>
          <cell r="J271">
            <v>712.27</v>
          </cell>
          <cell r="K271">
            <v>5197.97</v>
          </cell>
          <cell r="L271">
            <v>-137.46</v>
          </cell>
          <cell r="M271">
            <v>1851.48</v>
          </cell>
          <cell r="N271">
            <v>2157.91</v>
          </cell>
          <cell r="O271">
            <v>2427.54</v>
          </cell>
          <cell r="P271">
            <v>1259.3</v>
          </cell>
          <cell r="Q271">
            <v>17978.09</v>
          </cell>
        </row>
        <row r="272">
          <cell r="A272">
            <v>52135</v>
          </cell>
          <cell r="B272" t="str">
            <v>Equipment and Maint Repair</v>
          </cell>
          <cell r="E272">
            <v>1311.54</v>
          </cell>
          <cell r="F272">
            <v>0</v>
          </cell>
          <cell r="G272">
            <v>1331.95</v>
          </cell>
          <cell r="H272">
            <v>2045.95</v>
          </cell>
          <cell r="I272">
            <v>0</v>
          </cell>
          <cell r="J272">
            <v>829.81</v>
          </cell>
          <cell r="K272">
            <v>0</v>
          </cell>
          <cell r="L272">
            <v>606.65</v>
          </cell>
          <cell r="M272">
            <v>0</v>
          </cell>
          <cell r="N272">
            <v>19.89</v>
          </cell>
          <cell r="O272">
            <v>0</v>
          </cell>
          <cell r="P272">
            <v>4997.33</v>
          </cell>
          <cell r="Q272">
            <v>11143.119999999999</v>
          </cell>
        </row>
        <row r="273">
          <cell r="A273">
            <v>52140</v>
          </cell>
          <cell r="B273" t="str">
            <v>Tires</v>
          </cell>
          <cell r="E273">
            <v>10747.01</v>
          </cell>
          <cell r="F273">
            <v>20260.900000000001</v>
          </cell>
          <cell r="G273">
            <v>12967.76</v>
          </cell>
          <cell r="H273">
            <v>15725.04</v>
          </cell>
          <cell r="I273">
            <v>18198.22</v>
          </cell>
          <cell r="J273">
            <v>22108.07</v>
          </cell>
          <cell r="K273">
            <v>15799.4</v>
          </cell>
          <cell r="L273">
            <v>23775.3</v>
          </cell>
          <cell r="M273">
            <v>38329.33</v>
          </cell>
          <cell r="N273">
            <v>6596.26</v>
          </cell>
          <cell r="O273">
            <v>14714.42</v>
          </cell>
          <cell r="P273">
            <v>23906.22</v>
          </cell>
          <cell r="Q273">
            <v>223127.93</v>
          </cell>
        </row>
        <row r="274">
          <cell r="A274">
            <v>52142</v>
          </cell>
          <cell r="B274" t="str">
            <v>Fuel Expense</v>
          </cell>
          <cell r="E274">
            <v>90672.87</v>
          </cell>
          <cell r="F274">
            <v>84188.88</v>
          </cell>
          <cell r="G274">
            <v>96017.58</v>
          </cell>
          <cell r="H274">
            <v>104369.3</v>
          </cell>
          <cell r="I274">
            <v>97844</v>
          </cell>
          <cell r="J274">
            <v>100692.82</v>
          </cell>
          <cell r="K274">
            <v>101529.68</v>
          </cell>
          <cell r="L274">
            <v>100169.49</v>
          </cell>
          <cell r="M274">
            <v>104198.62999999999</v>
          </cell>
          <cell r="N274">
            <v>102536.13</v>
          </cell>
          <cell r="O274">
            <v>101351.78</v>
          </cell>
          <cell r="P274">
            <v>108470.82</v>
          </cell>
          <cell r="Q274">
            <v>1192041.98</v>
          </cell>
        </row>
        <row r="275">
          <cell r="A275">
            <v>52143</v>
          </cell>
          <cell r="B275" t="str">
            <v>Transmontagne Fuel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</row>
        <row r="276">
          <cell r="A276">
            <v>52144</v>
          </cell>
          <cell r="B276" t="str">
            <v>Urea Expense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</row>
        <row r="277">
          <cell r="A277">
            <v>52146</v>
          </cell>
          <cell r="B277" t="str">
            <v>Oil and Grease</v>
          </cell>
          <cell r="E277">
            <v>1875.42</v>
          </cell>
          <cell r="F277">
            <v>3140.6</v>
          </cell>
          <cell r="G277">
            <v>5599.47</v>
          </cell>
          <cell r="H277">
            <v>2698.4</v>
          </cell>
          <cell r="I277">
            <v>3948.29</v>
          </cell>
          <cell r="J277">
            <v>2749.6</v>
          </cell>
          <cell r="K277">
            <v>7146.81</v>
          </cell>
          <cell r="L277">
            <v>2889.82</v>
          </cell>
          <cell r="M277">
            <v>9639.18</v>
          </cell>
          <cell r="N277">
            <v>6672.23</v>
          </cell>
          <cell r="O277">
            <v>11463.27</v>
          </cell>
          <cell r="P277">
            <v>-1288.0899999999999</v>
          </cell>
          <cell r="Q277">
            <v>56535</v>
          </cell>
        </row>
        <row r="278">
          <cell r="A278">
            <v>52147</v>
          </cell>
          <cell r="B278" t="str">
            <v>Outside Repairs</v>
          </cell>
          <cell r="E278">
            <v>8076.3899999999994</v>
          </cell>
          <cell r="F278">
            <v>4057.67</v>
          </cell>
          <cell r="G278">
            <v>2887.37</v>
          </cell>
          <cell r="H278">
            <v>4718.95</v>
          </cell>
          <cell r="I278">
            <v>7256.5</v>
          </cell>
          <cell r="J278">
            <v>4191.84</v>
          </cell>
          <cell r="K278">
            <v>8112.14</v>
          </cell>
          <cell r="L278">
            <v>5106.9299999999994</v>
          </cell>
          <cell r="M278">
            <v>11697.4</v>
          </cell>
          <cell r="N278">
            <v>2871.95</v>
          </cell>
          <cell r="O278">
            <v>2463.9499999999998</v>
          </cell>
          <cell r="P278">
            <v>2818.3500000000004</v>
          </cell>
          <cell r="Q278">
            <v>64259.439999999995</v>
          </cell>
        </row>
        <row r="279">
          <cell r="A279">
            <v>52148</v>
          </cell>
          <cell r="B279" t="str">
            <v>Allocated Exp In - District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</row>
        <row r="280">
          <cell r="A280">
            <v>52149</v>
          </cell>
          <cell r="B280" t="str">
            <v>Allocated Exp In Out - District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</row>
        <row r="281">
          <cell r="A281">
            <v>52150</v>
          </cell>
          <cell r="B281" t="str">
            <v>Utilities</v>
          </cell>
          <cell r="E281">
            <v>3181.16</v>
          </cell>
          <cell r="F281">
            <v>2292.6799999999998</v>
          </cell>
          <cell r="G281">
            <v>2139.2399999999998</v>
          </cell>
          <cell r="H281">
            <v>1852.79</v>
          </cell>
          <cell r="I281">
            <v>1236.6600000000001</v>
          </cell>
          <cell r="J281">
            <v>1066.23</v>
          </cell>
          <cell r="K281">
            <v>890.6</v>
          </cell>
          <cell r="L281">
            <v>864.21</v>
          </cell>
          <cell r="M281">
            <v>875.77</v>
          </cell>
          <cell r="N281">
            <v>889.61</v>
          </cell>
          <cell r="O281">
            <v>1635.02</v>
          </cell>
          <cell r="P281">
            <v>2991.91</v>
          </cell>
          <cell r="Q281">
            <v>19915.88</v>
          </cell>
        </row>
        <row r="282">
          <cell r="A282">
            <v>52165</v>
          </cell>
          <cell r="B282" t="str">
            <v>Communications</v>
          </cell>
          <cell r="E282">
            <v>1324.81</v>
          </cell>
          <cell r="F282">
            <v>1312.75</v>
          </cell>
          <cell r="G282">
            <v>1300.6099999999999</v>
          </cell>
          <cell r="H282">
            <v>1324.91</v>
          </cell>
          <cell r="I282">
            <v>1652.06</v>
          </cell>
          <cell r="J282">
            <v>1336.3</v>
          </cell>
          <cell r="K282">
            <v>1291.19</v>
          </cell>
          <cell r="L282">
            <v>1252.44</v>
          </cell>
          <cell r="M282">
            <v>1871.82</v>
          </cell>
          <cell r="N282">
            <v>1105.6099999999999</v>
          </cell>
          <cell r="O282">
            <v>1351.41</v>
          </cell>
          <cell r="P282">
            <v>1424.14</v>
          </cell>
          <cell r="Q282">
            <v>16548.05</v>
          </cell>
        </row>
        <row r="283">
          <cell r="A283">
            <v>52170</v>
          </cell>
          <cell r="B283" t="str">
            <v>Real Estate Rentals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</row>
        <row r="284">
          <cell r="A284">
            <v>52172</v>
          </cell>
          <cell r="B284" t="str">
            <v>Chassis Lease Expense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</row>
        <row r="285">
          <cell r="A285">
            <v>52175</v>
          </cell>
          <cell r="B285" t="str">
            <v>Equip/Vehicle Rental</v>
          </cell>
          <cell r="E285">
            <v>230.74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230.74</v>
          </cell>
        </row>
        <row r="286">
          <cell r="A286">
            <v>52181</v>
          </cell>
          <cell r="B286" t="str">
            <v>Freight</v>
          </cell>
          <cell r="E286">
            <v>0</v>
          </cell>
          <cell r="F286">
            <v>0</v>
          </cell>
          <cell r="G286">
            <v>0</v>
          </cell>
          <cell r="H286">
            <v>16.23</v>
          </cell>
          <cell r="I286">
            <v>369.59000000000003</v>
          </cell>
          <cell r="J286">
            <v>0</v>
          </cell>
          <cell r="K286">
            <v>0</v>
          </cell>
          <cell r="L286">
            <v>95.38</v>
          </cell>
          <cell r="M286">
            <v>0</v>
          </cell>
          <cell r="N286">
            <v>0</v>
          </cell>
          <cell r="O286">
            <v>0</v>
          </cell>
          <cell r="P286">
            <v>103.97</v>
          </cell>
          <cell r="Q286">
            <v>585.17000000000007</v>
          </cell>
        </row>
        <row r="287">
          <cell r="A287">
            <v>52182</v>
          </cell>
          <cell r="B287" t="str">
            <v>Towing Expense</v>
          </cell>
          <cell r="E287">
            <v>455.28</v>
          </cell>
          <cell r="F287">
            <v>428.18</v>
          </cell>
          <cell r="G287">
            <v>195.12</v>
          </cell>
          <cell r="H287">
            <v>627.72</v>
          </cell>
          <cell r="I287">
            <v>1626</v>
          </cell>
          <cell r="J287">
            <v>0</v>
          </cell>
          <cell r="K287">
            <v>569.1</v>
          </cell>
          <cell r="L287">
            <v>0</v>
          </cell>
          <cell r="M287">
            <v>238.48</v>
          </cell>
          <cell r="N287">
            <v>0</v>
          </cell>
          <cell r="O287">
            <v>661.24</v>
          </cell>
          <cell r="P287">
            <v>514.9</v>
          </cell>
          <cell r="Q287">
            <v>5316.0199999999995</v>
          </cell>
        </row>
        <row r="288">
          <cell r="A288">
            <v>52185</v>
          </cell>
          <cell r="B288" t="str">
            <v>Travel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</row>
        <row r="289">
          <cell r="A289">
            <v>52200</v>
          </cell>
          <cell r="B289" t="str">
            <v>Office Supply and Equip</v>
          </cell>
          <cell r="E289">
            <v>302.27999999999997</v>
          </cell>
          <cell r="F289">
            <v>504.92</v>
          </cell>
          <cell r="G289">
            <v>245.31</v>
          </cell>
          <cell r="H289">
            <v>1615.6</v>
          </cell>
          <cell r="I289">
            <v>152.86000000000001</v>
          </cell>
          <cell r="J289">
            <v>155.44</v>
          </cell>
          <cell r="K289">
            <v>66.27</v>
          </cell>
          <cell r="L289">
            <v>678.01</v>
          </cell>
          <cell r="M289">
            <v>154.47999999999999</v>
          </cell>
          <cell r="N289">
            <v>1193.94</v>
          </cell>
          <cell r="O289">
            <v>147.13</v>
          </cell>
          <cell r="P289">
            <v>809.46</v>
          </cell>
          <cell r="Q289">
            <v>6025.7</v>
          </cell>
        </row>
        <row r="290">
          <cell r="A290">
            <v>52275</v>
          </cell>
          <cell r="B290" t="str">
            <v>Property Taxes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</row>
        <row r="291">
          <cell r="A291">
            <v>52335</v>
          </cell>
          <cell r="B291" t="str">
            <v>Miscellaneous</v>
          </cell>
          <cell r="E291">
            <v>27</v>
          </cell>
          <cell r="F291">
            <v>0</v>
          </cell>
          <cell r="G291">
            <v>13.5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40.5</v>
          </cell>
        </row>
        <row r="292">
          <cell r="A292">
            <v>52900</v>
          </cell>
          <cell r="B292" t="str">
            <v>Capitalized Costs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</row>
        <row r="293">
          <cell r="A293">
            <v>52901</v>
          </cell>
          <cell r="B293" t="str">
            <v>Costs Awaiting Capitilization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</row>
        <row r="294">
          <cell r="A294">
            <v>52998</v>
          </cell>
          <cell r="B294" t="str">
            <v>Allocation Out - District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</row>
        <row r="295">
          <cell r="A295">
            <v>52999</v>
          </cell>
          <cell r="B295" t="str">
            <v>Allocation Out - Out District</v>
          </cell>
          <cell r="E295">
            <v>-8839.42</v>
          </cell>
          <cell r="F295">
            <v>-11223.85</v>
          </cell>
          <cell r="G295">
            <v>-12345.57</v>
          </cell>
          <cell r="H295">
            <v>-17818.71</v>
          </cell>
          <cell r="I295">
            <v>-8260.7000000000007</v>
          </cell>
          <cell r="J295">
            <v>-18104.939999999999</v>
          </cell>
          <cell r="K295">
            <v>-8429.56</v>
          </cell>
          <cell r="L295">
            <v>-12829.3</v>
          </cell>
          <cell r="M295">
            <v>-6149.56</v>
          </cell>
          <cell r="N295">
            <v>-5808.26</v>
          </cell>
          <cell r="O295">
            <v>-5947.92</v>
          </cell>
          <cell r="P295">
            <v>-45343.87</v>
          </cell>
          <cell r="Q295">
            <v>-161101.66</v>
          </cell>
        </row>
        <row r="296">
          <cell r="A296" t="str">
            <v>Total Truck Variable</v>
          </cell>
          <cell r="E296">
            <v>228977.27999999997</v>
          </cell>
          <cell r="F296">
            <v>205622.06000000003</v>
          </cell>
          <cell r="G296">
            <v>219279.73999999996</v>
          </cell>
          <cell r="H296">
            <v>210675.40000000005</v>
          </cell>
          <cell r="I296">
            <v>225803.05999999997</v>
          </cell>
          <cell r="J296">
            <v>201182.51</v>
          </cell>
          <cell r="K296">
            <v>241614.46</v>
          </cell>
          <cell r="L296">
            <v>225220.32000000004</v>
          </cell>
          <cell r="M296">
            <v>262765.23</v>
          </cell>
          <cell r="N296">
            <v>211264.55</v>
          </cell>
          <cell r="O296">
            <v>238591.60999999996</v>
          </cell>
          <cell r="P296">
            <v>240660.66999999993</v>
          </cell>
          <cell r="Q296">
            <v>2711656.8899999997</v>
          </cell>
        </row>
        <row r="298">
          <cell r="A298" t="str">
            <v>Container</v>
          </cell>
        </row>
        <row r="299">
          <cell r="A299">
            <v>54148</v>
          </cell>
          <cell r="B299" t="str">
            <v>Allocation In - District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</row>
        <row r="300">
          <cell r="A300">
            <v>54149</v>
          </cell>
          <cell r="B300" t="str">
            <v>Allocation In - Out District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</row>
        <row r="301">
          <cell r="A301">
            <v>54175</v>
          </cell>
          <cell r="B301" t="str">
            <v>Equipment/Vehicle Rental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</row>
        <row r="302">
          <cell r="A302">
            <v>54275</v>
          </cell>
          <cell r="B302" t="str">
            <v>Property Taxes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</row>
        <row r="303">
          <cell r="A303">
            <v>54335</v>
          </cell>
          <cell r="B303" t="str">
            <v>Miscellaneous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</row>
        <row r="304">
          <cell r="A304">
            <v>54998</v>
          </cell>
          <cell r="B304" t="str">
            <v>Allocation Out - District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</row>
        <row r="305">
          <cell r="A305">
            <v>54999</v>
          </cell>
          <cell r="B305" t="str">
            <v>Allocation Out - Out District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</row>
        <row r="306">
          <cell r="A306">
            <v>55010</v>
          </cell>
          <cell r="B306" t="str">
            <v>Salaries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</row>
        <row r="307">
          <cell r="A307">
            <v>55020</v>
          </cell>
          <cell r="B307" t="str">
            <v>Wages Regular</v>
          </cell>
          <cell r="E307">
            <v>4237.87</v>
          </cell>
          <cell r="F307">
            <v>3645.1</v>
          </cell>
          <cell r="G307">
            <v>5053.71</v>
          </cell>
          <cell r="H307">
            <v>3782.98</v>
          </cell>
          <cell r="I307">
            <v>4116.55</v>
          </cell>
          <cell r="J307">
            <v>4866.5600000000004</v>
          </cell>
          <cell r="K307">
            <v>3450.41</v>
          </cell>
          <cell r="L307">
            <v>-895.79</v>
          </cell>
          <cell r="M307">
            <v>2790.36</v>
          </cell>
          <cell r="N307">
            <v>2211.17</v>
          </cell>
          <cell r="O307">
            <v>1382.48</v>
          </cell>
          <cell r="P307">
            <v>2606.41</v>
          </cell>
          <cell r="Q307">
            <v>37247.81</v>
          </cell>
        </row>
        <row r="308">
          <cell r="A308">
            <v>55025</v>
          </cell>
          <cell r="B308" t="str">
            <v>Wages O.T.</v>
          </cell>
          <cell r="E308">
            <v>207.52</v>
          </cell>
          <cell r="F308">
            <v>12.82</v>
          </cell>
          <cell r="G308">
            <v>38.619999999999997</v>
          </cell>
          <cell r="H308">
            <v>37.99</v>
          </cell>
          <cell r="I308">
            <v>485</v>
          </cell>
          <cell r="J308">
            <v>319.70999999999998</v>
          </cell>
          <cell r="K308">
            <v>215.61</v>
          </cell>
          <cell r="L308">
            <v>-99.64</v>
          </cell>
          <cell r="M308">
            <v>16.27</v>
          </cell>
          <cell r="N308">
            <v>59.9</v>
          </cell>
          <cell r="O308">
            <v>192.29</v>
          </cell>
          <cell r="P308">
            <v>-41.94</v>
          </cell>
          <cell r="Q308">
            <v>1444.1499999999999</v>
          </cell>
        </row>
        <row r="309">
          <cell r="A309">
            <v>55035</v>
          </cell>
          <cell r="B309" t="str">
            <v>Safety Bonuses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</row>
        <row r="310">
          <cell r="A310">
            <v>55036</v>
          </cell>
          <cell r="B310" t="str">
            <v>Other Bonus/Commission - Non-Safety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</row>
        <row r="311">
          <cell r="A311">
            <v>55045</v>
          </cell>
          <cell r="B311" t="str">
            <v>Contract Labor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</row>
        <row r="312">
          <cell r="A312">
            <v>55050</v>
          </cell>
          <cell r="B312" t="str">
            <v>Payroll Taxes</v>
          </cell>
          <cell r="E312">
            <v>526.11</v>
          </cell>
          <cell r="F312">
            <v>376.89</v>
          </cell>
          <cell r="G312">
            <v>487.16</v>
          </cell>
          <cell r="H312">
            <v>433.36</v>
          </cell>
          <cell r="I312">
            <v>441.95</v>
          </cell>
          <cell r="J312">
            <v>479.57</v>
          </cell>
          <cell r="K312">
            <v>386.21</v>
          </cell>
          <cell r="L312">
            <v>296.14999999999998</v>
          </cell>
          <cell r="M312">
            <v>200.44</v>
          </cell>
          <cell r="N312">
            <v>209.02</v>
          </cell>
          <cell r="O312">
            <v>287.25</v>
          </cell>
          <cell r="P312">
            <v>160.52000000000001</v>
          </cell>
          <cell r="Q312">
            <v>4284.630000000001</v>
          </cell>
        </row>
        <row r="313">
          <cell r="A313">
            <v>55060</v>
          </cell>
          <cell r="B313" t="str">
            <v>Group Insurance</v>
          </cell>
          <cell r="E313">
            <v>592</v>
          </cell>
          <cell r="F313">
            <v>592</v>
          </cell>
          <cell r="G313">
            <v>488</v>
          </cell>
          <cell r="H313">
            <v>696</v>
          </cell>
          <cell r="I313">
            <v>592</v>
          </cell>
          <cell r="J313">
            <v>592</v>
          </cell>
          <cell r="K313">
            <v>592</v>
          </cell>
          <cell r="L313">
            <v>592</v>
          </cell>
          <cell r="M313">
            <v>589</v>
          </cell>
          <cell r="N313">
            <v>693</v>
          </cell>
          <cell r="O313">
            <v>641</v>
          </cell>
          <cell r="P313">
            <v>641</v>
          </cell>
          <cell r="Q313">
            <v>7300</v>
          </cell>
        </row>
        <row r="314">
          <cell r="A314">
            <v>55065</v>
          </cell>
          <cell r="B314" t="str">
            <v>Vacation Pay</v>
          </cell>
          <cell r="E314">
            <v>1530.51</v>
          </cell>
          <cell r="F314">
            <v>299.68</v>
          </cell>
          <cell r="G314">
            <v>-333.52</v>
          </cell>
          <cell r="H314">
            <v>791.16</v>
          </cell>
          <cell r="I314">
            <v>342.62</v>
          </cell>
          <cell r="J314">
            <v>95.96</v>
          </cell>
          <cell r="K314">
            <v>412.42</v>
          </cell>
          <cell r="L314">
            <v>663.21</v>
          </cell>
          <cell r="M314">
            <v>-476.38</v>
          </cell>
          <cell r="N314">
            <v>100.96</v>
          </cell>
          <cell r="O314">
            <v>-21.16</v>
          </cell>
          <cell r="P314">
            <v>202.89</v>
          </cell>
          <cell r="Q314">
            <v>3608.35</v>
          </cell>
        </row>
        <row r="315">
          <cell r="A315">
            <v>55070</v>
          </cell>
          <cell r="B315" t="str">
            <v>Sick Pay</v>
          </cell>
          <cell r="E315">
            <v>0</v>
          </cell>
          <cell r="F315">
            <v>106.8</v>
          </cell>
          <cell r="G315">
            <v>0</v>
          </cell>
          <cell r="H315">
            <v>207</v>
          </cell>
          <cell r="I315">
            <v>107.64</v>
          </cell>
          <cell r="J315">
            <v>-66.239999999999995</v>
          </cell>
          <cell r="K315">
            <v>386.4</v>
          </cell>
          <cell r="L315">
            <v>0</v>
          </cell>
          <cell r="M315">
            <v>0</v>
          </cell>
          <cell r="N315">
            <v>0</v>
          </cell>
          <cell r="O315">
            <v>1048.8</v>
          </cell>
          <cell r="P315">
            <v>-386.4</v>
          </cell>
          <cell r="Q315">
            <v>1404</v>
          </cell>
        </row>
        <row r="316">
          <cell r="A316">
            <v>55086</v>
          </cell>
          <cell r="B316" t="str">
            <v>Safety and Training</v>
          </cell>
          <cell r="E316">
            <v>0</v>
          </cell>
          <cell r="F316">
            <v>0</v>
          </cell>
          <cell r="G316">
            <v>0</v>
          </cell>
          <cell r="H316">
            <v>102.92</v>
          </cell>
          <cell r="I316">
            <v>87.01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25</v>
          </cell>
          <cell r="O316">
            <v>0</v>
          </cell>
          <cell r="P316">
            <v>0</v>
          </cell>
          <cell r="Q316">
            <v>214.93</v>
          </cell>
        </row>
        <row r="317">
          <cell r="A317">
            <v>55090</v>
          </cell>
          <cell r="B317" t="str">
            <v>Uniforms</v>
          </cell>
          <cell r="E317">
            <v>150.38</v>
          </cell>
          <cell r="F317">
            <v>176.83</v>
          </cell>
          <cell r="G317">
            <v>194.81</v>
          </cell>
          <cell r="H317">
            <v>160.08000000000001</v>
          </cell>
          <cell r="I317">
            <v>148.47</v>
          </cell>
          <cell r="J317">
            <v>225.16</v>
          </cell>
          <cell r="K317">
            <v>214.31</v>
          </cell>
          <cell r="L317">
            <v>616.44000000000005</v>
          </cell>
          <cell r="M317">
            <v>125.04</v>
          </cell>
          <cell r="N317">
            <v>178.98</v>
          </cell>
          <cell r="O317">
            <v>138.13999999999999</v>
          </cell>
          <cell r="P317">
            <v>154.04</v>
          </cell>
          <cell r="Q317">
            <v>2482.6799999999998</v>
          </cell>
        </row>
        <row r="318">
          <cell r="A318">
            <v>55115</v>
          </cell>
          <cell r="B318" t="str">
            <v>Pension and Profit Sharing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</row>
        <row r="319">
          <cell r="A319">
            <v>55116</v>
          </cell>
          <cell r="B319" t="str">
            <v>Union Benefit Expense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</row>
        <row r="320">
          <cell r="A320">
            <v>55117</v>
          </cell>
          <cell r="B320" t="str">
            <v>Union Pension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</row>
        <row r="321">
          <cell r="A321">
            <v>55120</v>
          </cell>
          <cell r="B321" t="str">
            <v>Parts and Materials</v>
          </cell>
          <cell r="E321">
            <v>8487.7999999999993</v>
          </cell>
          <cell r="F321">
            <v>7446.84</v>
          </cell>
          <cell r="G321">
            <v>15850.27</v>
          </cell>
          <cell r="H321">
            <v>18201.75</v>
          </cell>
          <cell r="I321">
            <v>9184.14</v>
          </cell>
          <cell r="J321">
            <v>13165.81</v>
          </cell>
          <cell r="K321">
            <v>11588.02</v>
          </cell>
          <cell r="L321">
            <v>15366.43</v>
          </cell>
          <cell r="M321">
            <v>-29929.23</v>
          </cell>
          <cell r="N321">
            <v>8572.4699999999993</v>
          </cell>
          <cell r="O321">
            <v>2939.21</v>
          </cell>
          <cell r="P321">
            <v>7744.74</v>
          </cell>
          <cell r="Q321">
            <v>88618.250000000015</v>
          </cell>
        </row>
        <row r="322">
          <cell r="A322">
            <v>55125</v>
          </cell>
          <cell r="B322" t="str">
            <v>Operating Supplies</v>
          </cell>
          <cell r="E322">
            <v>625.29999999999995</v>
          </cell>
          <cell r="F322">
            <v>287.99</v>
          </cell>
          <cell r="G322">
            <v>0</v>
          </cell>
          <cell r="H322">
            <v>809.74</v>
          </cell>
          <cell r="I322">
            <v>404.7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64.819999999999993</v>
          </cell>
          <cell r="P322">
            <v>0</v>
          </cell>
          <cell r="Q322">
            <v>2192.5500000000002</v>
          </cell>
        </row>
        <row r="323">
          <cell r="A323">
            <v>55135</v>
          </cell>
          <cell r="B323" t="str">
            <v>Equipment and Maint Repair</v>
          </cell>
          <cell r="E323">
            <v>0</v>
          </cell>
          <cell r="F323">
            <v>321.35000000000002</v>
          </cell>
          <cell r="G323">
            <v>309.18</v>
          </cell>
          <cell r="H323">
            <v>826.48</v>
          </cell>
          <cell r="I323">
            <v>87.89</v>
          </cell>
          <cell r="J323">
            <v>0</v>
          </cell>
          <cell r="K323">
            <v>0</v>
          </cell>
          <cell r="L323">
            <v>0</v>
          </cell>
          <cell r="M323">
            <v>531.54999999999995</v>
          </cell>
          <cell r="N323">
            <v>172.24</v>
          </cell>
          <cell r="O323">
            <v>0</v>
          </cell>
          <cell r="P323">
            <v>250.34</v>
          </cell>
          <cell r="Q323">
            <v>2499.0299999999997</v>
          </cell>
        </row>
        <row r="324">
          <cell r="A324">
            <v>55140</v>
          </cell>
          <cell r="B324" t="str">
            <v>Tires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</row>
        <row r="325">
          <cell r="A325">
            <v>55142</v>
          </cell>
          <cell r="B325" t="str">
            <v>Fuel Expense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</row>
        <row r="326">
          <cell r="A326">
            <v>55143</v>
          </cell>
          <cell r="B326" t="str">
            <v>Corporate Medical Waste Supplies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</row>
        <row r="327">
          <cell r="A327">
            <v>55146</v>
          </cell>
          <cell r="B327" t="str">
            <v>Oil and Grease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</row>
        <row r="328">
          <cell r="A328">
            <v>55147</v>
          </cell>
          <cell r="B328" t="str">
            <v>Outside Repairs</v>
          </cell>
          <cell r="E328">
            <v>0</v>
          </cell>
          <cell r="F328">
            <v>292.57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292.57</v>
          </cell>
        </row>
        <row r="329">
          <cell r="A329">
            <v>55148</v>
          </cell>
          <cell r="B329" t="str">
            <v>Allocated Exp In - District</v>
          </cell>
          <cell r="E329">
            <v>0</v>
          </cell>
          <cell r="F329">
            <v>116.52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116.52</v>
          </cell>
        </row>
        <row r="330">
          <cell r="A330">
            <v>55149</v>
          </cell>
          <cell r="B330" t="str">
            <v>Allocated Exp In Out - District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</row>
        <row r="331">
          <cell r="A331">
            <v>55150</v>
          </cell>
          <cell r="B331" t="str">
            <v>Utilities</v>
          </cell>
          <cell r="E331">
            <v>437.73</v>
          </cell>
          <cell r="F331">
            <v>510</v>
          </cell>
          <cell r="G331">
            <v>480.44</v>
          </cell>
          <cell r="H331">
            <v>460.73</v>
          </cell>
          <cell r="I331">
            <v>398.31</v>
          </cell>
          <cell r="J331">
            <v>372.03</v>
          </cell>
          <cell r="K331">
            <v>329.33</v>
          </cell>
          <cell r="L331">
            <v>0</v>
          </cell>
          <cell r="M331">
            <v>370.51</v>
          </cell>
          <cell r="N331">
            <v>344.08</v>
          </cell>
          <cell r="O331">
            <v>368.05</v>
          </cell>
          <cell r="P331">
            <v>368.05</v>
          </cell>
          <cell r="Q331">
            <v>4439.26</v>
          </cell>
        </row>
        <row r="332">
          <cell r="A332">
            <v>55181</v>
          </cell>
          <cell r="B332" t="str">
            <v>Freight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</row>
        <row r="333">
          <cell r="A333">
            <v>55335</v>
          </cell>
          <cell r="B333" t="str">
            <v>Miscellaneous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</row>
        <row r="334">
          <cell r="A334">
            <v>55900</v>
          </cell>
          <cell r="B334" t="str">
            <v>Capitalized Costs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</row>
        <row r="335">
          <cell r="A335">
            <v>55998</v>
          </cell>
          <cell r="B335" t="str">
            <v>Allocation Out - District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</row>
        <row r="336">
          <cell r="A336">
            <v>55999</v>
          </cell>
          <cell r="B336" t="str">
            <v>Allocation Out - Out District</v>
          </cell>
          <cell r="E336">
            <v>-3211.72</v>
          </cell>
          <cell r="F336">
            <v>-1377.44</v>
          </cell>
          <cell r="G336">
            <v>-15514.36</v>
          </cell>
          <cell r="H336">
            <v>-20245.62</v>
          </cell>
          <cell r="I336">
            <v>-8044.68</v>
          </cell>
          <cell r="J336">
            <v>-1309.6400000000001</v>
          </cell>
          <cell r="K336">
            <v>-416.83</v>
          </cell>
          <cell r="L336">
            <v>-3864.87</v>
          </cell>
          <cell r="M336">
            <v>-3105</v>
          </cell>
          <cell r="N336">
            <v>-3070</v>
          </cell>
          <cell r="O336">
            <v>-7561.32</v>
          </cell>
          <cell r="P336">
            <v>-4472.33</v>
          </cell>
          <cell r="Q336">
            <v>-72193.810000000012</v>
          </cell>
        </row>
        <row r="337">
          <cell r="A337" t="str">
            <v>Total Container</v>
          </cell>
          <cell r="E337">
            <v>13583.499999999998</v>
          </cell>
          <cell r="F337">
            <v>12807.949999999999</v>
          </cell>
          <cell r="G337">
            <v>7054.3099999999977</v>
          </cell>
          <cell r="H337">
            <v>6264.57</v>
          </cell>
          <cell r="I337">
            <v>8351.6000000000022</v>
          </cell>
          <cell r="J337">
            <v>18740.919999999998</v>
          </cell>
          <cell r="K337">
            <v>17157.88</v>
          </cell>
          <cell r="L337">
            <v>12673.93</v>
          </cell>
          <cell r="M337">
            <v>-28887.440000000002</v>
          </cell>
          <cell r="N337">
            <v>9496.82</v>
          </cell>
          <cell r="O337">
            <v>-520.4399999999996</v>
          </cell>
          <cell r="P337">
            <v>7227.3199999999979</v>
          </cell>
          <cell r="Q337">
            <v>83950.92</v>
          </cell>
        </row>
        <row r="339">
          <cell r="A339" t="str">
            <v>Supervisor</v>
          </cell>
        </row>
        <row r="340">
          <cell r="A340">
            <v>56010</v>
          </cell>
          <cell r="B340" t="str">
            <v>Salaries</v>
          </cell>
          <cell r="E340">
            <v>8076.93</v>
          </cell>
          <cell r="F340">
            <v>7692.32</v>
          </cell>
          <cell r="G340">
            <v>8846.17</v>
          </cell>
          <cell r="H340">
            <v>8461.56</v>
          </cell>
          <cell r="I340">
            <v>8176.05</v>
          </cell>
          <cell r="J340">
            <v>8565.3799999999992</v>
          </cell>
          <cell r="K340">
            <v>8565.39</v>
          </cell>
          <cell r="L340">
            <v>8565.39</v>
          </cell>
          <cell r="M340">
            <v>8565.39</v>
          </cell>
          <cell r="N340">
            <v>8176.07</v>
          </cell>
          <cell r="O340">
            <v>8565.39</v>
          </cell>
          <cell r="P340">
            <v>8954.7199999999993</v>
          </cell>
          <cell r="Q340">
            <v>101210.76</v>
          </cell>
        </row>
        <row r="341">
          <cell r="A341">
            <v>56020</v>
          </cell>
          <cell r="B341" t="str">
            <v>Wages Regular</v>
          </cell>
          <cell r="E341">
            <v>2832.84</v>
          </cell>
          <cell r="F341">
            <v>5053.68</v>
          </cell>
          <cell r="G341">
            <v>4774.8999999999996</v>
          </cell>
          <cell r="H341">
            <v>4762.42</v>
          </cell>
          <cell r="I341">
            <v>2680.17</v>
          </cell>
          <cell r="J341">
            <v>3378.56</v>
          </cell>
          <cell r="K341">
            <v>5325.53</v>
          </cell>
          <cell r="L341">
            <v>3835.06</v>
          </cell>
          <cell r="M341">
            <v>4435.92</v>
          </cell>
          <cell r="N341">
            <v>4522.72</v>
          </cell>
          <cell r="O341">
            <v>4731.6499999999996</v>
          </cell>
          <cell r="P341">
            <v>4844.54</v>
          </cell>
          <cell r="Q341">
            <v>51177.990000000005</v>
          </cell>
        </row>
        <row r="342">
          <cell r="A342">
            <v>56025</v>
          </cell>
          <cell r="B342" t="str">
            <v>Wages O.T.</v>
          </cell>
          <cell r="E342">
            <v>274.88</v>
          </cell>
          <cell r="F342">
            <v>259.24</v>
          </cell>
          <cell r="G342">
            <v>649.44000000000005</v>
          </cell>
          <cell r="H342">
            <v>504.21</v>
          </cell>
          <cell r="I342">
            <v>341.07</v>
          </cell>
          <cell r="J342">
            <v>196.68</v>
          </cell>
          <cell r="K342">
            <v>716.35</v>
          </cell>
          <cell r="L342">
            <v>71.97</v>
          </cell>
          <cell r="M342">
            <v>716.15</v>
          </cell>
          <cell r="N342">
            <v>388.74</v>
          </cell>
          <cell r="O342">
            <v>560.69000000000005</v>
          </cell>
          <cell r="P342">
            <v>692.62</v>
          </cell>
          <cell r="Q342">
            <v>5372.04</v>
          </cell>
        </row>
        <row r="343">
          <cell r="A343">
            <v>56035</v>
          </cell>
          <cell r="B343" t="str">
            <v>Safety Bonuses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</row>
        <row r="344">
          <cell r="A344">
            <v>56036</v>
          </cell>
          <cell r="B344" t="str">
            <v>Other Bonus/Commission - Non-Safety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</row>
        <row r="345">
          <cell r="A345">
            <v>56037</v>
          </cell>
          <cell r="B345" t="str">
            <v>Termination Pay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</row>
        <row r="346">
          <cell r="A346">
            <v>56045</v>
          </cell>
          <cell r="B346" t="str">
            <v>Contract Labor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2127.6</v>
          </cell>
          <cell r="J346">
            <v>283.68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2411.2799999999997</v>
          </cell>
        </row>
        <row r="347">
          <cell r="A347">
            <v>56050</v>
          </cell>
          <cell r="B347" t="str">
            <v>Payroll Taxes</v>
          </cell>
          <cell r="E347">
            <v>1457.13</v>
          </cell>
          <cell r="F347">
            <v>1086.04</v>
          </cell>
          <cell r="G347">
            <v>1432.76</v>
          </cell>
          <cell r="H347">
            <v>1237.58</v>
          </cell>
          <cell r="I347">
            <v>1015.69</v>
          </cell>
          <cell r="J347">
            <v>1252.47</v>
          </cell>
          <cell r="K347">
            <v>1534.22</v>
          </cell>
          <cell r="L347">
            <v>1138.26</v>
          </cell>
          <cell r="M347">
            <v>1122.4100000000001</v>
          </cell>
          <cell r="N347">
            <v>1083.83</v>
          </cell>
          <cell r="O347">
            <v>1262.81</v>
          </cell>
          <cell r="P347">
            <v>1237.03</v>
          </cell>
          <cell r="Q347">
            <v>14860.230000000001</v>
          </cell>
        </row>
        <row r="348">
          <cell r="A348">
            <v>56060</v>
          </cell>
          <cell r="B348" t="str">
            <v>Group Insurance</v>
          </cell>
          <cell r="E348">
            <v>2260</v>
          </cell>
          <cell r="F348">
            <v>2260</v>
          </cell>
          <cell r="G348">
            <v>2015</v>
          </cell>
          <cell r="H348">
            <v>2505</v>
          </cell>
          <cell r="I348">
            <v>2286.75</v>
          </cell>
          <cell r="J348">
            <v>2260</v>
          </cell>
          <cell r="K348">
            <v>2233.2399999999998</v>
          </cell>
          <cell r="L348">
            <v>2260</v>
          </cell>
          <cell r="M348">
            <v>2015</v>
          </cell>
          <cell r="N348">
            <v>2505</v>
          </cell>
          <cell r="O348">
            <v>2260</v>
          </cell>
          <cell r="P348">
            <v>2260</v>
          </cell>
          <cell r="Q348">
            <v>27119.989999999998</v>
          </cell>
        </row>
        <row r="349">
          <cell r="A349">
            <v>56065</v>
          </cell>
          <cell r="B349" t="str">
            <v>Vacation Pay</v>
          </cell>
          <cell r="E349">
            <v>1525.21</v>
          </cell>
          <cell r="F349">
            <v>-107.25</v>
          </cell>
          <cell r="G349">
            <v>686</v>
          </cell>
          <cell r="H349">
            <v>651.78</v>
          </cell>
          <cell r="I349">
            <v>5006.99</v>
          </cell>
          <cell r="J349">
            <v>-77.53</v>
          </cell>
          <cell r="K349">
            <v>1031.8800000000001</v>
          </cell>
          <cell r="L349">
            <v>1229.18</v>
          </cell>
          <cell r="M349">
            <v>-193.57</v>
          </cell>
          <cell r="N349">
            <v>1097.0899999999999</v>
          </cell>
          <cell r="O349">
            <v>647.59</v>
          </cell>
          <cell r="P349">
            <v>92.16</v>
          </cell>
          <cell r="Q349">
            <v>11589.53</v>
          </cell>
        </row>
        <row r="350">
          <cell r="A350">
            <v>56070</v>
          </cell>
          <cell r="B350" t="str">
            <v>Sick Pay</v>
          </cell>
          <cell r="E350">
            <v>197.6</v>
          </cell>
          <cell r="F350">
            <v>-54.84</v>
          </cell>
          <cell r="G350">
            <v>58.3</v>
          </cell>
          <cell r="H350">
            <v>30.87</v>
          </cell>
          <cell r="I350">
            <v>0</v>
          </cell>
          <cell r="J350">
            <v>421.35</v>
          </cell>
          <cell r="K350">
            <v>0</v>
          </cell>
          <cell r="L350">
            <v>0</v>
          </cell>
          <cell r="M350">
            <v>371.67</v>
          </cell>
          <cell r="N350">
            <v>-106.19</v>
          </cell>
          <cell r="O350">
            <v>333.34</v>
          </cell>
          <cell r="P350">
            <v>-137.26</v>
          </cell>
          <cell r="Q350">
            <v>1114.8399999999999</v>
          </cell>
        </row>
        <row r="351">
          <cell r="A351">
            <v>56086</v>
          </cell>
          <cell r="B351" t="str">
            <v>Safety and Training</v>
          </cell>
          <cell r="E351">
            <v>259.02</v>
          </cell>
          <cell r="F351">
            <v>48.7</v>
          </cell>
          <cell r="G351">
            <v>93.68</v>
          </cell>
          <cell r="H351">
            <v>64.45</v>
          </cell>
          <cell r="I351">
            <v>0</v>
          </cell>
          <cell r="J351">
            <v>194.76</v>
          </cell>
          <cell r="K351">
            <v>1077.77</v>
          </cell>
          <cell r="L351">
            <v>241.93</v>
          </cell>
          <cell r="M351">
            <v>798.35</v>
          </cell>
          <cell r="N351">
            <v>821.91</v>
          </cell>
          <cell r="O351">
            <v>200.16</v>
          </cell>
          <cell r="P351">
            <v>135.97999999999999</v>
          </cell>
          <cell r="Q351">
            <v>3936.7099999999996</v>
          </cell>
        </row>
        <row r="352">
          <cell r="A352">
            <v>56090</v>
          </cell>
          <cell r="B352" t="str">
            <v>Uniforms</v>
          </cell>
          <cell r="E352">
            <v>1795.66</v>
          </cell>
          <cell r="F352">
            <v>143.75</v>
          </cell>
          <cell r="G352">
            <v>1117.68</v>
          </cell>
          <cell r="H352">
            <v>663</v>
          </cell>
          <cell r="I352">
            <v>503.29</v>
          </cell>
          <cell r="J352">
            <v>889.18</v>
          </cell>
          <cell r="K352">
            <v>1081.28</v>
          </cell>
          <cell r="L352">
            <v>680.36</v>
          </cell>
          <cell r="M352">
            <v>906.86</v>
          </cell>
          <cell r="N352">
            <v>144.98000000000002</v>
          </cell>
          <cell r="O352">
            <v>1093.78</v>
          </cell>
          <cell r="P352">
            <v>477.8</v>
          </cell>
          <cell r="Q352">
            <v>9497.619999999999</v>
          </cell>
        </row>
        <row r="353">
          <cell r="A353">
            <v>56095</v>
          </cell>
          <cell r="B353" t="str">
            <v>Empl &amp; Commun Activ</v>
          </cell>
          <cell r="E353">
            <v>727.54</v>
          </cell>
          <cell r="F353">
            <v>-266.95</v>
          </cell>
          <cell r="G353">
            <v>0</v>
          </cell>
          <cell r="H353">
            <v>92.48</v>
          </cell>
          <cell r="I353">
            <v>485.76</v>
          </cell>
          <cell r="J353">
            <v>463.36</v>
          </cell>
          <cell r="K353">
            <v>0</v>
          </cell>
          <cell r="L353">
            <v>0</v>
          </cell>
          <cell r="M353">
            <v>293.06</v>
          </cell>
          <cell r="N353">
            <v>28.73</v>
          </cell>
          <cell r="O353">
            <v>-181.04</v>
          </cell>
          <cell r="P353">
            <v>0</v>
          </cell>
          <cell r="Q353">
            <v>1642.94</v>
          </cell>
        </row>
        <row r="354">
          <cell r="A354">
            <v>56105</v>
          </cell>
          <cell r="B354" t="str">
            <v>Employee Relocation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</row>
        <row r="355">
          <cell r="A355">
            <v>56108</v>
          </cell>
          <cell r="B355" t="str">
            <v>School Tuition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</row>
        <row r="356">
          <cell r="A356">
            <v>56115</v>
          </cell>
          <cell r="B356" t="str">
            <v>Pension and Profit Sharing</v>
          </cell>
          <cell r="E356">
            <v>226.28</v>
          </cell>
          <cell r="F356">
            <v>217.62</v>
          </cell>
          <cell r="G356">
            <v>333.09</v>
          </cell>
          <cell r="H356">
            <v>220.44</v>
          </cell>
          <cell r="I356">
            <v>189.47</v>
          </cell>
          <cell r="J356">
            <v>211.84</v>
          </cell>
          <cell r="K356">
            <v>270.73</v>
          </cell>
          <cell r="L356">
            <v>224.38</v>
          </cell>
          <cell r="M356">
            <v>228.09</v>
          </cell>
          <cell r="N356">
            <v>329.68</v>
          </cell>
          <cell r="O356">
            <v>224.86</v>
          </cell>
          <cell r="P356">
            <v>246.21</v>
          </cell>
          <cell r="Q356">
            <v>2922.69</v>
          </cell>
        </row>
        <row r="357">
          <cell r="A357">
            <v>56116</v>
          </cell>
          <cell r="B357" t="str">
            <v>Union Benefit Expense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</row>
        <row r="358">
          <cell r="A358">
            <v>56117</v>
          </cell>
          <cell r="B358" t="str">
            <v>Union Pension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</row>
        <row r="359">
          <cell r="A359">
            <v>56125</v>
          </cell>
          <cell r="B359" t="str">
            <v>Operating Supplies</v>
          </cell>
          <cell r="E359">
            <v>1415.21</v>
          </cell>
          <cell r="F359">
            <v>1483.02</v>
          </cell>
          <cell r="G359">
            <v>1740.94</v>
          </cell>
          <cell r="H359">
            <v>445.37</v>
          </cell>
          <cell r="I359">
            <v>804.72</v>
          </cell>
          <cell r="J359">
            <v>164.82</v>
          </cell>
          <cell r="K359">
            <v>658.52</v>
          </cell>
          <cell r="L359">
            <v>1100.71</v>
          </cell>
          <cell r="M359">
            <v>1250.03</v>
          </cell>
          <cell r="N359">
            <v>1674.36</v>
          </cell>
          <cell r="O359">
            <v>765.8</v>
          </cell>
          <cell r="P359">
            <v>382.82</v>
          </cell>
          <cell r="Q359">
            <v>11886.32</v>
          </cell>
        </row>
        <row r="360">
          <cell r="A360">
            <v>56140</v>
          </cell>
          <cell r="B360" t="str">
            <v>Tires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</row>
        <row r="361">
          <cell r="A361">
            <v>56142</v>
          </cell>
          <cell r="B361" t="str">
            <v>Fuel Expense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20</v>
          </cell>
          <cell r="Q361">
            <v>20</v>
          </cell>
        </row>
        <row r="362">
          <cell r="A362">
            <v>56148</v>
          </cell>
          <cell r="B362" t="str">
            <v>Allocated Exp In - District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</row>
        <row r="363">
          <cell r="A363">
            <v>56149</v>
          </cell>
          <cell r="B363" t="str">
            <v>Allocated Exp In Out - District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</row>
        <row r="364">
          <cell r="A364">
            <v>56165</v>
          </cell>
          <cell r="B364" t="str">
            <v>Communications</v>
          </cell>
          <cell r="E364">
            <v>4606.6000000000004</v>
          </cell>
          <cell r="F364">
            <v>4350.2299999999996</v>
          </cell>
          <cell r="G364">
            <v>4615.41</v>
          </cell>
          <cell r="H364">
            <v>1003.34</v>
          </cell>
          <cell r="I364">
            <v>7555.03</v>
          </cell>
          <cell r="J364">
            <v>4491</v>
          </cell>
          <cell r="K364">
            <v>4590.99</v>
          </cell>
          <cell r="L364">
            <v>470.11</v>
          </cell>
          <cell r="M364">
            <v>4254.96</v>
          </cell>
          <cell r="N364">
            <v>4208.18</v>
          </cell>
          <cell r="O364">
            <v>512.84</v>
          </cell>
          <cell r="P364">
            <v>4070.45</v>
          </cell>
          <cell r="Q364">
            <v>44729.139999999992</v>
          </cell>
        </row>
        <row r="365">
          <cell r="A365">
            <v>56200</v>
          </cell>
          <cell r="B365" t="str">
            <v>Travel</v>
          </cell>
          <cell r="E365">
            <v>0</v>
          </cell>
          <cell r="F365">
            <v>69</v>
          </cell>
          <cell r="G365">
            <v>98.25</v>
          </cell>
          <cell r="H365">
            <v>52.88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5.62</v>
          </cell>
          <cell r="O365">
            <v>0</v>
          </cell>
          <cell r="P365">
            <v>0</v>
          </cell>
          <cell r="Q365">
            <v>225.75</v>
          </cell>
        </row>
        <row r="366">
          <cell r="A366">
            <v>56201</v>
          </cell>
          <cell r="B366" t="str">
            <v>Meal and Entertainment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103.1</v>
          </cell>
          <cell r="K366">
            <v>0</v>
          </cell>
          <cell r="L366">
            <v>0</v>
          </cell>
          <cell r="M366">
            <v>0</v>
          </cell>
          <cell r="N366">
            <v>44.52</v>
          </cell>
          <cell r="O366">
            <v>90.55</v>
          </cell>
          <cell r="P366">
            <v>110.62</v>
          </cell>
          <cell r="Q366">
            <v>348.79</v>
          </cell>
        </row>
        <row r="367">
          <cell r="A367">
            <v>56210</v>
          </cell>
          <cell r="B367" t="str">
            <v>Office Supply and Equip</v>
          </cell>
          <cell r="E367">
            <v>907.9</v>
          </cell>
          <cell r="F367">
            <v>1266.8599999999999</v>
          </cell>
          <cell r="G367">
            <v>1175.05</v>
          </cell>
          <cell r="H367">
            <v>2018.74</v>
          </cell>
          <cell r="I367">
            <v>1340.75</v>
          </cell>
          <cell r="J367">
            <v>1056.72</v>
          </cell>
          <cell r="K367">
            <v>1348.09</v>
          </cell>
          <cell r="L367">
            <v>2224.39</v>
          </cell>
          <cell r="M367">
            <v>1094.46</v>
          </cell>
          <cell r="N367">
            <v>1045.8699999999999</v>
          </cell>
          <cell r="O367">
            <v>1613.32</v>
          </cell>
          <cell r="P367">
            <v>1365.17</v>
          </cell>
          <cell r="Q367">
            <v>16457.32</v>
          </cell>
        </row>
        <row r="368">
          <cell r="A368">
            <v>56335</v>
          </cell>
          <cell r="B368" t="str">
            <v>Miscellaneous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</row>
        <row r="369">
          <cell r="A369">
            <v>56998</v>
          </cell>
          <cell r="B369" t="str">
            <v>Allocation Out - District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</row>
        <row r="370">
          <cell r="A370">
            <v>56999</v>
          </cell>
          <cell r="B370" t="str">
            <v>Allocation Out - Out District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</row>
        <row r="371">
          <cell r="A371" t="str">
            <v>Total Supervisor</v>
          </cell>
          <cell r="E371">
            <v>26562.799999999996</v>
          </cell>
          <cell r="F371">
            <v>23501.42</v>
          </cell>
          <cell r="G371">
            <v>27636.67</v>
          </cell>
          <cell r="H371">
            <v>22714.119999999995</v>
          </cell>
          <cell r="I371">
            <v>32513.34</v>
          </cell>
          <cell r="J371">
            <v>23855.37</v>
          </cell>
          <cell r="K371">
            <v>28433.989999999994</v>
          </cell>
          <cell r="L371">
            <v>22041.739999999998</v>
          </cell>
          <cell r="M371">
            <v>25858.779999999995</v>
          </cell>
          <cell r="N371">
            <v>25971.11</v>
          </cell>
          <cell r="O371">
            <v>22681.739999999998</v>
          </cell>
          <cell r="P371">
            <v>24752.86</v>
          </cell>
          <cell r="Q371">
            <v>306523.94</v>
          </cell>
        </row>
        <row r="373">
          <cell r="A373" t="str">
            <v>Other Operating Expense</v>
          </cell>
        </row>
        <row r="374">
          <cell r="A374">
            <v>46020</v>
          </cell>
          <cell r="B374" t="str">
            <v>Post Closure Amortization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</row>
        <row r="375">
          <cell r="A375">
            <v>57051</v>
          </cell>
          <cell r="B375" t="str">
            <v>AA Premiums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</row>
        <row r="376">
          <cell r="A376">
            <v>57125</v>
          </cell>
          <cell r="B376" t="str">
            <v>Operating Supplies</v>
          </cell>
          <cell r="E376">
            <v>0</v>
          </cell>
          <cell r="F376">
            <v>0</v>
          </cell>
          <cell r="G376">
            <v>0</v>
          </cell>
          <cell r="H376">
            <v>427.66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224.45</v>
          </cell>
          <cell r="O376">
            <v>3002.92</v>
          </cell>
          <cell r="P376">
            <v>0</v>
          </cell>
          <cell r="Q376">
            <v>3655.03</v>
          </cell>
        </row>
        <row r="377">
          <cell r="A377">
            <v>57147</v>
          </cell>
          <cell r="B377" t="str">
            <v>Bldg &amp; Property</v>
          </cell>
          <cell r="E377">
            <v>8063.84</v>
          </cell>
          <cell r="F377">
            <v>8169.88</v>
          </cell>
          <cell r="G377">
            <v>6041.82</v>
          </cell>
          <cell r="H377">
            <v>6588.54</v>
          </cell>
          <cell r="I377">
            <v>4365.71</v>
          </cell>
          <cell r="J377">
            <v>4713.99</v>
          </cell>
          <cell r="K377">
            <v>10806.84</v>
          </cell>
          <cell r="L377">
            <v>9251.0400000000009</v>
          </cell>
          <cell r="M377">
            <v>6193.48</v>
          </cell>
          <cell r="N377">
            <v>8759.64</v>
          </cell>
          <cell r="O377">
            <v>5195.24</v>
          </cell>
          <cell r="P377">
            <v>16632.82</v>
          </cell>
          <cell r="Q377">
            <v>94782.84</v>
          </cell>
        </row>
        <row r="378">
          <cell r="A378">
            <v>57148</v>
          </cell>
          <cell r="B378" t="str">
            <v>Allocated In - District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</row>
        <row r="379">
          <cell r="A379">
            <v>57149</v>
          </cell>
          <cell r="B379" t="str">
            <v>Allocated In - Out District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</row>
        <row r="380">
          <cell r="A380">
            <v>57150</v>
          </cell>
          <cell r="B380" t="str">
            <v>Utilities</v>
          </cell>
          <cell r="E380">
            <v>1384.3</v>
          </cell>
          <cell r="F380">
            <v>289.72000000000003</v>
          </cell>
          <cell r="G380">
            <v>352.8</v>
          </cell>
          <cell r="H380">
            <v>250.3</v>
          </cell>
          <cell r="I380">
            <v>272.69</v>
          </cell>
          <cell r="J380">
            <v>171.46</v>
          </cell>
          <cell r="K380">
            <v>268.27</v>
          </cell>
          <cell r="L380">
            <v>157.77000000000001</v>
          </cell>
          <cell r="M380">
            <v>921.26</v>
          </cell>
          <cell r="N380">
            <v>178.68</v>
          </cell>
          <cell r="O380">
            <v>1625.08</v>
          </cell>
          <cell r="P380">
            <v>312.62</v>
          </cell>
          <cell r="Q380">
            <v>6184.95</v>
          </cell>
        </row>
        <row r="381">
          <cell r="A381">
            <v>57165</v>
          </cell>
          <cell r="B381" t="str">
            <v>Communications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</row>
        <row r="382">
          <cell r="A382">
            <v>57166</v>
          </cell>
          <cell r="B382" t="str">
            <v>Leachate Treatment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</row>
        <row r="383">
          <cell r="A383">
            <v>57170</v>
          </cell>
          <cell r="B383" t="str">
            <v>Real Estate Rentals</v>
          </cell>
          <cell r="E383">
            <v>17643.07</v>
          </cell>
          <cell r="F383">
            <v>17035.48</v>
          </cell>
          <cell r="G383">
            <v>17673.07</v>
          </cell>
          <cell r="H383">
            <v>17402.849999999999</v>
          </cell>
          <cell r="I383">
            <v>17402.849999999999</v>
          </cell>
          <cell r="J383">
            <v>17402.849999999999</v>
          </cell>
          <cell r="K383">
            <v>17402.849999999999</v>
          </cell>
          <cell r="L383">
            <v>17402.849999999999</v>
          </cell>
          <cell r="M383">
            <v>18791.8</v>
          </cell>
          <cell r="N383">
            <v>17402.849999999999</v>
          </cell>
          <cell r="O383">
            <v>18791.8</v>
          </cell>
          <cell r="P383">
            <v>2852.62</v>
          </cell>
          <cell r="Q383">
            <v>197204.94</v>
          </cell>
        </row>
        <row r="384">
          <cell r="A384">
            <v>57175</v>
          </cell>
          <cell r="B384" t="str">
            <v>Equipment Vehicle Rental</v>
          </cell>
          <cell r="E384">
            <v>328.66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2091.2399999999998</v>
          </cell>
          <cell r="P384">
            <v>397.36</v>
          </cell>
          <cell r="Q384">
            <v>2817.2599999999998</v>
          </cell>
        </row>
        <row r="385">
          <cell r="A385">
            <v>57185</v>
          </cell>
          <cell r="B385" t="str">
            <v>Postage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</row>
        <row r="386">
          <cell r="A386">
            <v>57252</v>
          </cell>
          <cell r="B386" t="str">
            <v>Subcontract Expense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</row>
        <row r="387">
          <cell r="A387">
            <v>57254</v>
          </cell>
          <cell r="B387" t="str">
            <v>Drive Cam Fees</v>
          </cell>
          <cell r="E387">
            <v>5737.5</v>
          </cell>
          <cell r="F387">
            <v>5737.5</v>
          </cell>
          <cell r="G387">
            <v>5737.5</v>
          </cell>
          <cell r="H387">
            <v>5737.5</v>
          </cell>
          <cell r="I387">
            <v>3780</v>
          </cell>
          <cell r="J387">
            <v>3780</v>
          </cell>
          <cell r="K387">
            <v>3780</v>
          </cell>
          <cell r="L387">
            <v>3780</v>
          </cell>
          <cell r="M387">
            <v>3780</v>
          </cell>
          <cell r="N387">
            <v>3780</v>
          </cell>
          <cell r="O387">
            <v>3780</v>
          </cell>
          <cell r="P387">
            <v>3780</v>
          </cell>
          <cell r="Q387">
            <v>53190</v>
          </cell>
        </row>
        <row r="388">
          <cell r="A388">
            <v>57255</v>
          </cell>
          <cell r="B388" t="str">
            <v>Other Prof Fees</v>
          </cell>
          <cell r="E388">
            <v>0</v>
          </cell>
          <cell r="F388">
            <v>0</v>
          </cell>
          <cell r="G388">
            <v>13.5</v>
          </cell>
          <cell r="H388">
            <v>13.5</v>
          </cell>
          <cell r="I388">
            <v>13.5</v>
          </cell>
          <cell r="J388">
            <v>13.5</v>
          </cell>
          <cell r="K388">
            <v>0</v>
          </cell>
          <cell r="L388">
            <v>13.5</v>
          </cell>
          <cell r="M388">
            <v>13.5</v>
          </cell>
          <cell r="N388">
            <v>13.5</v>
          </cell>
          <cell r="O388">
            <v>13.5</v>
          </cell>
          <cell r="P388">
            <v>0</v>
          </cell>
          <cell r="Q388">
            <v>108</v>
          </cell>
        </row>
        <row r="389">
          <cell r="A389">
            <v>57256</v>
          </cell>
          <cell r="B389" t="str">
            <v>Laboratory Fees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</row>
        <row r="390">
          <cell r="A390">
            <v>57257</v>
          </cell>
          <cell r="B390" t="str">
            <v>Engineering Fees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54300.08</v>
          </cell>
          <cell r="K390">
            <v>3763.13</v>
          </cell>
          <cell r="L390">
            <v>4344.38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62407.59</v>
          </cell>
        </row>
        <row r="391">
          <cell r="A391">
            <v>57275</v>
          </cell>
          <cell r="B391" t="str">
            <v>Property Taxes</v>
          </cell>
          <cell r="E391">
            <v>648.66999999999996</v>
          </cell>
          <cell r="F391">
            <v>748.26</v>
          </cell>
          <cell r="G391">
            <v>748.26</v>
          </cell>
          <cell r="H391">
            <v>931.59</v>
          </cell>
          <cell r="I391">
            <v>931.59</v>
          </cell>
          <cell r="J391">
            <v>931.61</v>
          </cell>
          <cell r="K391">
            <v>676.33</v>
          </cell>
          <cell r="L391">
            <v>676.33</v>
          </cell>
          <cell r="M391">
            <v>676.33</v>
          </cell>
          <cell r="N391">
            <v>676.33</v>
          </cell>
          <cell r="O391">
            <v>676.33</v>
          </cell>
          <cell r="P391">
            <v>676.33</v>
          </cell>
          <cell r="Q391">
            <v>8997.9599999999991</v>
          </cell>
        </row>
        <row r="392">
          <cell r="A392">
            <v>57280</v>
          </cell>
          <cell r="B392" t="str">
            <v>Other Taxes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</row>
        <row r="393">
          <cell r="A393">
            <v>57324</v>
          </cell>
          <cell r="B393" t="str">
            <v>Penalties and Violations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266.95</v>
          </cell>
          <cell r="O393">
            <v>266.95</v>
          </cell>
          <cell r="P393">
            <v>0</v>
          </cell>
          <cell r="Q393">
            <v>533.9</v>
          </cell>
        </row>
        <row r="394">
          <cell r="A394">
            <v>57335</v>
          </cell>
          <cell r="B394" t="str">
            <v>Miscellaneous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-33322.47</v>
          </cell>
          <cell r="K394">
            <v>33322.47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</row>
        <row r="395">
          <cell r="A395">
            <v>57345</v>
          </cell>
          <cell r="B395" t="str">
            <v>Secruity Services</v>
          </cell>
          <cell r="E395">
            <v>187.5</v>
          </cell>
          <cell r="F395">
            <v>187.5</v>
          </cell>
          <cell r="G395">
            <v>187.5</v>
          </cell>
          <cell r="H395">
            <v>187.5</v>
          </cell>
          <cell r="I395">
            <v>187.5</v>
          </cell>
          <cell r="J395">
            <v>187.5</v>
          </cell>
          <cell r="K395">
            <v>187.5</v>
          </cell>
          <cell r="L395">
            <v>187.5</v>
          </cell>
          <cell r="M395">
            <v>187.5</v>
          </cell>
          <cell r="N395">
            <v>187.5</v>
          </cell>
          <cell r="O395">
            <v>187.5</v>
          </cell>
          <cell r="P395">
            <v>250</v>
          </cell>
          <cell r="Q395">
            <v>2312.5</v>
          </cell>
        </row>
        <row r="396">
          <cell r="A396">
            <v>57353</v>
          </cell>
          <cell r="B396" t="str">
            <v>Monitoring and Maint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</row>
        <row r="397">
          <cell r="A397">
            <v>57356</v>
          </cell>
          <cell r="B397" t="str">
            <v>Cover Cost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</row>
        <row r="398">
          <cell r="A398">
            <v>57357</v>
          </cell>
          <cell r="B398" t="str">
            <v>Permits</v>
          </cell>
          <cell r="E398">
            <v>65</v>
          </cell>
          <cell r="F398">
            <v>0</v>
          </cell>
          <cell r="G398">
            <v>132.5</v>
          </cell>
          <cell r="H398">
            <v>0</v>
          </cell>
          <cell r="I398">
            <v>0</v>
          </cell>
          <cell r="J398">
            <v>132.5</v>
          </cell>
          <cell r="K398">
            <v>0</v>
          </cell>
          <cell r="L398">
            <v>0</v>
          </cell>
          <cell r="M398">
            <v>132.5</v>
          </cell>
          <cell r="N398">
            <v>1975</v>
          </cell>
          <cell r="O398">
            <v>0</v>
          </cell>
          <cell r="P398">
            <v>132.5</v>
          </cell>
          <cell r="Q398">
            <v>2570</v>
          </cell>
        </row>
        <row r="399">
          <cell r="A399">
            <v>57360</v>
          </cell>
          <cell r="B399" t="str">
            <v>Royalties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</row>
        <row r="400">
          <cell r="A400">
            <v>57370</v>
          </cell>
          <cell r="B400" t="str">
            <v>Bonds Expense</v>
          </cell>
          <cell r="E400">
            <v>4619.28</v>
          </cell>
          <cell r="F400">
            <v>6292.28</v>
          </cell>
          <cell r="G400">
            <v>6547.28</v>
          </cell>
          <cell r="H400">
            <v>5761.53</v>
          </cell>
          <cell r="I400">
            <v>5761.53</v>
          </cell>
          <cell r="J400">
            <v>5761.53</v>
          </cell>
          <cell r="K400">
            <v>5761.49</v>
          </cell>
          <cell r="L400">
            <v>5761.53</v>
          </cell>
          <cell r="M400">
            <v>5761.53</v>
          </cell>
          <cell r="N400">
            <v>5761.53</v>
          </cell>
          <cell r="O400">
            <v>6186.53</v>
          </cell>
          <cell r="P400">
            <v>4741.53</v>
          </cell>
          <cell r="Q400">
            <v>68717.569999999992</v>
          </cell>
        </row>
        <row r="401">
          <cell r="A401">
            <v>57900</v>
          </cell>
          <cell r="B401" t="str">
            <v>Capitalized Costs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</row>
        <row r="402">
          <cell r="A402">
            <v>57998</v>
          </cell>
          <cell r="B402" t="str">
            <v>Allocation Out - District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</row>
        <row r="403">
          <cell r="A403">
            <v>57999</v>
          </cell>
          <cell r="B403" t="str">
            <v>Allocation Out - Out District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</row>
        <row r="404">
          <cell r="A404">
            <v>70265</v>
          </cell>
          <cell r="B404" t="str">
            <v>Amortization of Long Term Contracts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</row>
        <row r="405">
          <cell r="A405">
            <v>80050</v>
          </cell>
          <cell r="B405" t="str">
            <v>Interest Expense Closure/Post Closure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</row>
        <row r="406">
          <cell r="A406" t="str">
            <v>Total Other Operating Expense</v>
          </cell>
          <cell r="E406">
            <v>38677.819999999992</v>
          </cell>
          <cell r="F406">
            <v>38460.620000000003</v>
          </cell>
          <cell r="G406">
            <v>37434.229999999996</v>
          </cell>
          <cell r="H406">
            <v>37300.97</v>
          </cell>
          <cell r="I406">
            <v>32715.37</v>
          </cell>
          <cell r="J406">
            <v>54072.55</v>
          </cell>
          <cell r="K406">
            <v>75968.88</v>
          </cell>
          <cell r="L406">
            <v>41574.9</v>
          </cell>
          <cell r="M406">
            <v>36457.9</v>
          </cell>
          <cell r="N406">
            <v>39226.43</v>
          </cell>
          <cell r="O406">
            <v>41817.089999999997</v>
          </cell>
          <cell r="P406">
            <v>29775.78</v>
          </cell>
          <cell r="Q406">
            <v>503482.54000000004</v>
          </cell>
        </row>
        <row r="408">
          <cell r="A408" t="str">
            <v>Insurance</v>
          </cell>
        </row>
        <row r="409">
          <cell r="A409">
            <v>59148</v>
          </cell>
          <cell r="B409" t="str">
            <v>Allocation In - District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</row>
        <row r="410">
          <cell r="A410">
            <v>59149</v>
          </cell>
          <cell r="B410" t="str">
            <v>Allocation In - Out District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</row>
        <row r="411">
          <cell r="A411">
            <v>59271</v>
          </cell>
          <cell r="B411" t="str">
            <v>Property and Liability Insurance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</row>
        <row r="412">
          <cell r="A412">
            <v>59326</v>
          </cell>
          <cell r="B412" t="str">
            <v>Deductible - Current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</row>
        <row r="413">
          <cell r="A413">
            <v>59327</v>
          </cell>
          <cell r="B413" t="str">
            <v>Deductible - Damage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</row>
        <row r="414">
          <cell r="A414">
            <v>59328</v>
          </cell>
          <cell r="B414" t="str">
            <v>Claim Recoveries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</row>
        <row r="415">
          <cell r="A415">
            <v>59330</v>
          </cell>
          <cell r="B415" t="str">
            <v>Deduct - Prior Year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</row>
        <row r="416">
          <cell r="A416">
            <v>59331</v>
          </cell>
          <cell r="B416" t="str">
            <v>RM Fixed Costs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</row>
        <row r="417">
          <cell r="A417">
            <v>59340</v>
          </cell>
          <cell r="B417" t="str">
            <v>Self Insurance Premium</v>
          </cell>
          <cell r="E417">
            <v>10091.379999999999</v>
          </cell>
          <cell r="F417">
            <v>10091.379999999999</v>
          </cell>
          <cell r="G417">
            <v>10091.379999999999</v>
          </cell>
          <cell r="H417">
            <v>10091.379999999999</v>
          </cell>
          <cell r="I417">
            <v>10091.379999999999</v>
          </cell>
          <cell r="J417">
            <v>10091.379999999999</v>
          </cell>
          <cell r="K417">
            <v>10091.379999999999</v>
          </cell>
          <cell r="L417">
            <v>10091.379999999999</v>
          </cell>
          <cell r="M417">
            <v>10091.379999999999</v>
          </cell>
          <cell r="N417">
            <v>10091.379999999999</v>
          </cell>
          <cell r="O417">
            <v>10091.379999999999</v>
          </cell>
          <cell r="P417">
            <v>10091.379999999999</v>
          </cell>
          <cell r="Q417">
            <v>121096.56000000001</v>
          </cell>
        </row>
        <row r="418">
          <cell r="A418">
            <v>59341</v>
          </cell>
          <cell r="B418" t="str">
            <v>A&amp;L - Current Year Claims</v>
          </cell>
          <cell r="E418">
            <v>-6142.07</v>
          </cell>
          <cell r="F418">
            <v>-2400</v>
          </cell>
          <cell r="G418">
            <v>400</v>
          </cell>
          <cell r="H418">
            <v>9853.9</v>
          </cell>
          <cell r="I418">
            <v>0</v>
          </cell>
          <cell r="J418">
            <v>0</v>
          </cell>
          <cell r="K418">
            <v>0</v>
          </cell>
          <cell r="L418">
            <v>4250</v>
          </cell>
          <cell r="M418">
            <v>8924.2000000000007</v>
          </cell>
          <cell r="N418">
            <v>751</v>
          </cell>
          <cell r="O418">
            <v>2071.27</v>
          </cell>
          <cell r="P418">
            <v>24430</v>
          </cell>
          <cell r="Q418">
            <v>42138.3</v>
          </cell>
        </row>
        <row r="419">
          <cell r="A419">
            <v>59342</v>
          </cell>
          <cell r="B419" t="str">
            <v>A&amp;L - Prior Year Claims</v>
          </cell>
          <cell r="E419">
            <v>0</v>
          </cell>
          <cell r="F419">
            <v>0</v>
          </cell>
          <cell r="G419">
            <v>0</v>
          </cell>
          <cell r="H419">
            <v>-10802.07</v>
          </cell>
          <cell r="I419">
            <v>-2004.25</v>
          </cell>
          <cell r="J419">
            <v>1249.05</v>
          </cell>
          <cell r="K419">
            <v>6999.75</v>
          </cell>
          <cell r="L419">
            <v>0</v>
          </cell>
          <cell r="M419">
            <v>0</v>
          </cell>
          <cell r="N419">
            <v>2499.5</v>
          </cell>
          <cell r="O419">
            <v>0</v>
          </cell>
          <cell r="P419">
            <v>0</v>
          </cell>
          <cell r="Q419">
            <v>-2058.0200000000004</v>
          </cell>
        </row>
        <row r="420">
          <cell r="A420">
            <v>59343</v>
          </cell>
          <cell r="B420" t="str">
            <v>WC - Current Year Claims</v>
          </cell>
          <cell r="E420">
            <v>7290.88</v>
          </cell>
          <cell r="F420">
            <v>-17465.98</v>
          </cell>
          <cell r="G420">
            <v>13819.28</v>
          </cell>
          <cell r="H420">
            <v>8553.6</v>
          </cell>
          <cell r="I420">
            <v>5696</v>
          </cell>
          <cell r="J420">
            <v>3275.7</v>
          </cell>
          <cell r="K420">
            <v>6448.16</v>
          </cell>
          <cell r="L420">
            <v>2722</v>
          </cell>
          <cell r="M420">
            <v>820</v>
          </cell>
          <cell r="N420">
            <v>-18388.02</v>
          </cell>
          <cell r="O420">
            <v>-1818.92</v>
          </cell>
          <cell r="P420">
            <v>2266.29</v>
          </cell>
          <cell r="Q420">
            <v>13218.990000000002</v>
          </cell>
        </row>
        <row r="421">
          <cell r="A421">
            <v>59344</v>
          </cell>
          <cell r="B421" t="str">
            <v>WC - Prior Year Claims</v>
          </cell>
          <cell r="E421">
            <v>0</v>
          </cell>
          <cell r="F421">
            <v>0</v>
          </cell>
          <cell r="G421">
            <v>0</v>
          </cell>
          <cell r="H421">
            <v>-9078.02</v>
          </cell>
          <cell r="I421">
            <v>16579.04</v>
          </cell>
          <cell r="J421">
            <v>98644.06</v>
          </cell>
          <cell r="K421">
            <v>-15344.09</v>
          </cell>
          <cell r="L421">
            <v>-28729.19</v>
          </cell>
          <cell r="M421">
            <v>17918.650000000001</v>
          </cell>
          <cell r="N421">
            <v>-103.64</v>
          </cell>
          <cell r="O421">
            <v>1197.08</v>
          </cell>
          <cell r="P421">
            <v>-19684.740000000002</v>
          </cell>
          <cell r="Q421">
            <v>61399.150000000009</v>
          </cell>
        </row>
        <row r="422">
          <cell r="A422">
            <v>59350</v>
          </cell>
          <cell r="B422" t="str">
            <v>Self Isurance IBNR Estimates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</row>
        <row r="423">
          <cell r="A423">
            <v>59400</v>
          </cell>
          <cell r="B423" t="str">
            <v>Damages paid by District</v>
          </cell>
          <cell r="E423">
            <v>5142.99</v>
          </cell>
          <cell r="F423">
            <v>1000</v>
          </cell>
          <cell r="G423">
            <v>2757.56</v>
          </cell>
          <cell r="H423">
            <v>0</v>
          </cell>
          <cell r="I423">
            <v>1701.74</v>
          </cell>
          <cell r="J423">
            <v>6490.95</v>
          </cell>
          <cell r="K423">
            <v>104.97</v>
          </cell>
          <cell r="L423">
            <v>48.7</v>
          </cell>
          <cell r="M423">
            <v>0</v>
          </cell>
          <cell r="N423">
            <v>11054.22</v>
          </cell>
          <cell r="O423">
            <v>655.83</v>
          </cell>
          <cell r="P423">
            <v>11383.6</v>
          </cell>
          <cell r="Q423">
            <v>40340.559999999998</v>
          </cell>
        </row>
        <row r="424">
          <cell r="A424">
            <v>59401</v>
          </cell>
          <cell r="B424" t="str">
            <v>Insurance claim repairs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10000</v>
          </cell>
          <cell r="O424">
            <v>31.43</v>
          </cell>
          <cell r="P424">
            <v>-10904.79</v>
          </cell>
          <cell r="Q424">
            <v>-873.36000000000058</v>
          </cell>
        </row>
        <row r="425">
          <cell r="A425">
            <v>59500</v>
          </cell>
          <cell r="B425" t="str">
            <v>Workers Comp Prem</v>
          </cell>
          <cell r="E425">
            <v>4000</v>
          </cell>
          <cell r="F425">
            <v>2000</v>
          </cell>
          <cell r="G425">
            <v>2000</v>
          </cell>
          <cell r="H425">
            <v>2000</v>
          </cell>
          <cell r="I425">
            <v>1000</v>
          </cell>
          <cell r="J425">
            <v>2000</v>
          </cell>
          <cell r="K425">
            <v>2000</v>
          </cell>
          <cell r="L425">
            <v>2000</v>
          </cell>
          <cell r="M425">
            <v>3000</v>
          </cell>
          <cell r="N425">
            <v>3000</v>
          </cell>
          <cell r="O425">
            <v>3000</v>
          </cell>
          <cell r="P425">
            <v>0</v>
          </cell>
          <cell r="Q425">
            <v>26000</v>
          </cell>
        </row>
        <row r="426">
          <cell r="A426">
            <v>59998</v>
          </cell>
          <cell r="B426" t="str">
            <v>Allocation Out - District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</row>
        <row r="427">
          <cell r="A427">
            <v>59999</v>
          </cell>
          <cell r="B427" t="str">
            <v>Allocation Out - Out District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</row>
        <row r="428">
          <cell r="A428" t="str">
            <v>Total Insurance</v>
          </cell>
          <cell r="E428">
            <v>20383.18</v>
          </cell>
          <cell r="F428">
            <v>-6774.6</v>
          </cell>
          <cell r="G428">
            <v>29068.22</v>
          </cell>
          <cell r="H428">
            <v>10618.789999999997</v>
          </cell>
          <cell r="I428">
            <v>33063.910000000003</v>
          </cell>
          <cell r="J428">
            <v>121751.14</v>
          </cell>
          <cell r="K428">
            <v>10300.169999999996</v>
          </cell>
          <cell r="L428">
            <v>-9617.11</v>
          </cell>
          <cell r="M428">
            <v>40754.230000000003</v>
          </cell>
          <cell r="N428">
            <v>18904.439999999999</v>
          </cell>
          <cell r="O428">
            <v>15228.07</v>
          </cell>
          <cell r="P428">
            <v>17581.739999999998</v>
          </cell>
          <cell r="Q428">
            <v>301262.18000000005</v>
          </cell>
        </row>
        <row r="430">
          <cell r="A430" t="str">
            <v>Disposal of Assets and Operations</v>
          </cell>
        </row>
        <row r="431">
          <cell r="A431">
            <v>72000</v>
          </cell>
          <cell r="B431" t="str">
            <v>Gain/Loss on Disposal of Operations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</row>
        <row r="432">
          <cell r="A432">
            <v>91010</v>
          </cell>
          <cell r="B432" t="str">
            <v>Gain/Loss on Sale of Asset</v>
          </cell>
          <cell r="E432">
            <v>0</v>
          </cell>
          <cell r="F432">
            <v>0</v>
          </cell>
          <cell r="G432">
            <v>0</v>
          </cell>
          <cell r="H432">
            <v>1319.45</v>
          </cell>
          <cell r="I432">
            <v>0</v>
          </cell>
          <cell r="J432">
            <v>24949.35</v>
          </cell>
          <cell r="K432">
            <v>-33354.22</v>
          </cell>
          <cell r="L432">
            <v>-3080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-10165.420000000002</v>
          </cell>
        </row>
        <row r="433">
          <cell r="A433" t="str">
            <v>Total Disposal of Assets and Operations</v>
          </cell>
          <cell r="E433">
            <v>0</v>
          </cell>
          <cell r="F433">
            <v>0</v>
          </cell>
          <cell r="G433">
            <v>0</v>
          </cell>
          <cell r="H433">
            <v>1319.45</v>
          </cell>
          <cell r="I433">
            <v>0</v>
          </cell>
          <cell r="J433">
            <v>24949.35</v>
          </cell>
          <cell r="K433">
            <v>-33354.22</v>
          </cell>
          <cell r="L433">
            <v>-3080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-10165.420000000002</v>
          </cell>
        </row>
        <row r="435">
          <cell r="A435" t="str">
            <v>Total Operating Costs</v>
          </cell>
          <cell r="E435">
            <v>691108.55</v>
          </cell>
          <cell r="F435">
            <v>591691.37000000011</v>
          </cell>
          <cell r="G435">
            <v>679572.21999999986</v>
          </cell>
          <cell r="H435">
            <v>649398.42000000004</v>
          </cell>
          <cell r="I435">
            <v>715012.80999999994</v>
          </cell>
          <cell r="J435">
            <v>823534.92999999993</v>
          </cell>
          <cell r="K435">
            <v>725146.60999999987</v>
          </cell>
          <cell r="L435">
            <v>671623.93</v>
          </cell>
          <cell r="M435">
            <v>721331.92999999993</v>
          </cell>
          <cell r="N435">
            <v>675314.14999999991</v>
          </cell>
          <cell r="O435">
            <v>713873.94</v>
          </cell>
          <cell r="P435">
            <v>696947.79999999981</v>
          </cell>
          <cell r="Q435">
            <v>8354556.6600000001</v>
          </cell>
        </row>
        <row r="437">
          <cell r="A437" t="str">
            <v>Gross Profit</v>
          </cell>
          <cell r="E437">
            <v>958596.29999999981</v>
          </cell>
          <cell r="F437">
            <v>1078399.0499999998</v>
          </cell>
          <cell r="G437">
            <v>980681.78999999992</v>
          </cell>
          <cell r="H437">
            <v>1060013.06</v>
          </cell>
          <cell r="I437">
            <v>998324.67999999935</v>
          </cell>
          <cell r="J437">
            <v>884006.14000000036</v>
          </cell>
          <cell r="K437">
            <v>999176.6099999994</v>
          </cell>
          <cell r="L437">
            <v>1029352.5499999995</v>
          </cell>
          <cell r="M437">
            <v>1005221.45</v>
          </cell>
          <cell r="N437">
            <v>1062170.0200000005</v>
          </cell>
          <cell r="O437">
            <v>1010676.3699999996</v>
          </cell>
          <cell r="P437">
            <v>1011952.0500000003</v>
          </cell>
          <cell r="Q437">
            <v>12078570.07</v>
          </cell>
        </row>
        <row r="439">
          <cell r="A439" t="str">
            <v>SG&amp;A</v>
          </cell>
        </row>
        <row r="440">
          <cell r="A440" t="str">
            <v>Sales</v>
          </cell>
        </row>
        <row r="441">
          <cell r="A441">
            <v>60010</v>
          </cell>
          <cell r="B441" t="str">
            <v>Salaries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</row>
        <row r="442">
          <cell r="A442">
            <v>60020</v>
          </cell>
          <cell r="B442" t="str">
            <v>Wages Regular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</row>
        <row r="443">
          <cell r="A443">
            <v>60025</v>
          </cell>
          <cell r="B443" t="str">
            <v>Wages O.T.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</row>
        <row r="444">
          <cell r="A444">
            <v>60030</v>
          </cell>
          <cell r="B444" t="str">
            <v>Bonuses and Commissions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</row>
        <row r="445">
          <cell r="A445">
            <v>60035</v>
          </cell>
          <cell r="B445" t="str">
            <v>Safety Bonuses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</row>
        <row r="446">
          <cell r="A446">
            <v>60037</v>
          </cell>
          <cell r="B446" t="str">
            <v>Termination Pay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</row>
        <row r="447">
          <cell r="A447">
            <v>60045</v>
          </cell>
          <cell r="B447" t="str">
            <v>Contract Labor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</row>
        <row r="448">
          <cell r="A448">
            <v>60050</v>
          </cell>
          <cell r="B448" t="str">
            <v>Payroll Taxes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</row>
        <row r="449">
          <cell r="A449">
            <v>60060</v>
          </cell>
          <cell r="B449" t="str">
            <v>Group Insurance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</row>
        <row r="450">
          <cell r="A450">
            <v>60065</v>
          </cell>
          <cell r="B450" t="str">
            <v>Vacation Pay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8.23</v>
          </cell>
          <cell r="M450">
            <v>-8.23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</row>
        <row r="451">
          <cell r="A451">
            <v>60070</v>
          </cell>
          <cell r="B451" t="str">
            <v>Sick Pay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</row>
        <row r="452">
          <cell r="A452">
            <v>60086</v>
          </cell>
          <cell r="B452" t="str">
            <v>Safety and Training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</row>
        <row r="453">
          <cell r="A453">
            <v>60095</v>
          </cell>
          <cell r="B453" t="str">
            <v>Empl &amp; Commun Activ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</row>
        <row r="454">
          <cell r="A454">
            <v>60105</v>
          </cell>
          <cell r="B454" t="str">
            <v>Employee Relocation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</row>
        <row r="455">
          <cell r="A455">
            <v>60115</v>
          </cell>
          <cell r="B455" t="str">
            <v>School Tuition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</row>
        <row r="456">
          <cell r="A456">
            <v>60116</v>
          </cell>
          <cell r="B456" t="str">
            <v>Pension and Profit Sharing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</row>
        <row r="457">
          <cell r="A457">
            <v>60117</v>
          </cell>
          <cell r="B457" t="str">
            <v>Union Pension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</row>
        <row r="458">
          <cell r="A458">
            <v>60148</v>
          </cell>
          <cell r="B458" t="str">
            <v>Allocated Exp In - District</v>
          </cell>
          <cell r="E458">
            <v>2300</v>
          </cell>
          <cell r="F458">
            <v>2448</v>
          </cell>
          <cell r="G458">
            <v>2391</v>
          </cell>
          <cell r="H458">
            <v>2584.5</v>
          </cell>
          <cell r="I458">
            <v>2565</v>
          </cell>
          <cell r="J458">
            <v>3535</v>
          </cell>
          <cell r="K458">
            <v>2899</v>
          </cell>
          <cell r="L458">
            <v>2443</v>
          </cell>
          <cell r="M458">
            <v>1800</v>
          </cell>
          <cell r="N458">
            <v>2326</v>
          </cell>
          <cell r="O458">
            <v>2339</v>
          </cell>
          <cell r="P458">
            <v>0</v>
          </cell>
          <cell r="Q458">
            <v>27630.5</v>
          </cell>
        </row>
        <row r="459">
          <cell r="A459">
            <v>60149</v>
          </cell>
          <cell r="B459" t="str">
            <v>Allocated Exp In Out - District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</row>
        <row r="460">
          <cell r="A460">
            <v>60165</v>
          </cell>
          <cell r="B460" t="str">
            <v>Communications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</row>
        <row r="461">
          <cell r="A461">
            <v>60170</v>
          </cell>
          <cell r="B461" t="str">
            <v>Real Estate Rentals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</row>
        <row r="462">
          <cell r="A462">
            <v>60175</v>
          </cell>
          <cell r="B462" t="str">
            <v>Equip/Vehicle Rental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</row>
        <row r="463">
          <cell r="A463">
            <v>60185</v>
          </cell>
          <cell r="B463" t="str">
            <v>Postage</v>
          </cell>
          <cell r="E463">
            <v>198.54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198.54</v>
          </cell>
        </row>
        <row r="464">
          <cell r="A464">
            <v>60195</v>
          </cell>
          <cell r="B464" t="str">
            <v>Dues and Subscriptions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</row>
        <row r="465">
          <cell r="A465">
            <v>60196</v>
          </cell>
          <cell r="B465" t="str">
            <v>Club Dues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</row>
        <row r="466">
          <cell r="A466">
            <v>60200</v>
          </cell>
          <cell r="B466" t="str">
            <v>Travel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</row>
        <row r="467">
          <cell r="A467">
            <v>60201</v>
          </cell>
          <cell r="B467" t="str">
            <v>Entertainment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</row>
        <row r="468">
          <cell r="A468">
            <v>60205</v>
          </cell>
          <cell r="B468" t="str">
            <v>Travel - Auto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58.5</v>
          </cell>
          <cell r="L468">
            <v>177.74</v>
          </cell>
          <cell r="M468">
            <v>-77.739999999999995</v>
          </cell>
          <cell r="N468">
            <v>0</v>
          </cell>
          <cell r="O468">
            <v>75.52</v>
          </cell>
          <cell r="P468">
            <v>23.74</v>
          </cell>
          <cell r="Q468">
            <v>257.76</v>
          </cell>
        </row>
        <row r="469">
          <cell r="A469">
            <v>60210</v>
          </cell>
          <cell r="B469" t="str">
            <v>Office Supplies and Equip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</row>
        <row r="470">
          <cell r="A470">
            <v>60225</v>
          </cell>
          <cell r="B470" t="str">
            <v>Advertising and Promotions</v>
          </cell>
          <cell r="E470">
            <v>12977.33</v>
          </cell>
          <cell r="F470">
            <v>949.64</v>
          </cell>
          <cell r="G470">
            <v>5900.84</v>
          </cell>
          <cell r="H470">
            <v>4161.1099999999997</v>
          </cell>
          <cell r="I470">
            <v>3165.78</v>
          </cell>
          <cell r="J470">
            <v>4520.0600000000004</v>
          </cell>
          <cell r="K470">
            <v>1806.35</v>
          </cell>
          <cell r="L470">
            <v>955.59</v>
          </cell>
          <cell r="M470">
            <v>28827.18</v>
          </cell>
          <cell r="N470">
            <v>25999.119999999999</v>
          </cell>
          <cell r="O470">
            <v>1245.2</v>
          </cell>
          <cell r="P470">
            <v>38523.21</v>
          </cell>
          <cell r="Q470">
            <v>129031.41</v>
          </cell>
        </row>
        <row r="471">
          <cell r="A471">
            <v>60234</v>
          </cell>
          <cell r="B471" t="str">
            <v>O/S Sales Exp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</row>
        <row r="472">
          <cell r="A472">
            <v>60255</v>
          </cell>
          <cell r="B472" t="str">
            <v>Other Prof Fees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</row>
        <row r="473">
          <cell r="A473">
            <v>60326</v>
          </cell>
          <cell r="B473" t="str">
            <v>Deduct - Current Yr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A474">
            <v>60327</v>
          </cell>
          <cell r="B474" t="str">
            <v>Deduct - Damage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</row>
        <row r="475">
          <cell r="A475">
            <v>60328</v>
          </cell>
          <cell r="B475" t="str">
            <v>Claim Recoveries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</row>
        <row r="476">
          <cell r="A476">
            <v>60330</v>
          </cell>
          <cell r="B476" t="str">
            <v>Deduct Prior Year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</row>
        <row r="477">
          <cell r="A477">
            <v>60335</v>
          </cell>
          <cell r="B477" t="str">
            <v>Miscellaneous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</row>
        <row r="478">
          <cell r="A478">
            <v>60998</v>
          </cell>
          <cell r="B478" t="str">
            <v>Allocation Out - District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60999</v>
          </cell>
          <cell r="B479" t="str">
            <v>Allocation Out - Out District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</row>
        <row r="480">
          <cell r="A480" t="str">
            <v>Total Sales</v>
          </cell>
          <cell r="E480">
            <v>15475.869999999999</v>
          </cell>
          <cell r="F480">
            <v>3397.64</v>
          </cell>
          <cell r="G480">
            <v>8291.84</v>
          </cell>
          <cell r="H480">
            <v>6745.61</v>
          </cell>
          <cell r="I480">
            <v>5730.7800000000007</v>
          </cell>
          <cell r="J480">
            <v>8055.06</v>
          </cell>
          <cell r="K480">
            <v>4763.8500000000004</v>
          </cell>
          <cell r="L480">
            <v>3584.5600000000004</v>
          </cell>
          <cell r="M480">
            <v>30541.21</v>
          </cell>
          <cell r="N480">
            <v>28325.119999999999</v>
          </cell>
          <cell r="O480">
            <v>3659.7200000000003</v>
          </cell>
          <cell r="P480">
            <v>38546.949999999997</v>
          </cell>
          <cell r="Q480">
            <v>157118.21</v>
          </cell>
        </row>
        <row r="482">
          <cell r="A482" t="str">
            <v>G&amp;A</v>
          </cell>
        </row>
        <row r="483">
          <cell r="A483">
            <v>70010</v>
          </cell>
          <cell r="B483" t="str">
            <v>Salaries</v>
          </cell>
          <cell r="E483">
            <v>31950.25</v>
          </cell>
          <cell r="F483">
            <v>29217.37</v>
          </cell>
          <cell r="G483">
            <v>34993.21</v>
          </cell>
          <cell r="H483">
            <v>32805.65</v>
          </cell>
          <cell r="I483">
            <v>33117.839999999997</v>
          </cell>
          <cell r="J483">
            <v>36102.11</v>
          </cell>
          <cell r="K483">
            <v>36862.230000000003</v>
          </cell>
          <cell r="L483">
            <v>32246.880000000001</v>
          </cell>
          <cell r="M483">
            <v>35474.660000000003</v>
          </cell>
          <cell r="N483">
            <v>34757.17</v>
          </cell>
          <cell r="O483">
            <v>34601.15</v>
          </cell>
          <cell r="P483">
            <v>36751.879999999997</v>
          </cell>
          <cell r="Q483">
            <v>408880.39999999997</v>
          </cell>
        </row>
        <row r="484">
          <cell r="A484">
            <v>70015</v>
          </cell>
          <cell r="B484" t="str">
            <v>Deferred Comp Earnings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</row>
        <row r="485">
          <cell r="A485">
            <v>70020</v>
          </cell>
          <cell r="B485" t="str">
            <v>Wages Regular</v>
          </cell>
          <cell r="E485">
            <v>39238.25</v>
          </cell>
          <cell r="F485">
            <v>41055.800000000003</v>
          </cell>
          <cell r="G485">
            <v>43441.67</v>
          </cell>
          <cell r="H485">
            <v>43159.68</v>
          </cell>
          <cell r="I485">
            <v>40707.99</v>
          </cell>
          <cell r="J485">
            <v>44340.75</v>
          </cell>
          <cell r="K485">
            <v>44034.15</v>
          </cell>
          <cell r="L485">
            <v>37123.65</v>
          </cell>
          <cell r="M485">
            <v>40606.129999999997</v>
          </cell>
          <cell r="N485">
            <v>42194.06</v>
          </cell>
          <cell r="O485">
            <v>45471.69</v>
          </cell>
          <cell r="P485">
            <v>48949.11</v>
          </cell>
          <cell r="Q485">
            <v>510322.93</v>
          </cell>
        </row>
        <row r="486">
          <cell r="A486">
            <v>70025</v>
          </cell>
          <cell r="B486" t="str">
            <v>Wages O.T.</v>
          </cell>
          <cell r="E486">
            <v>2096.58</v>
          </cell>
          <cell r="F486">
            <v>2256.92</v>
          </cell>
          <cell r="G486">
            <v>520.88</v>
          </cell>
          <cell r="H486">
            <v>1862.34</v>
          </cell>
          <cell r="I486">
            <v>3126.98</v>
          </cell>
          <cell r="J486">
            <v>1540.45</v>
          </cell>
          <cell r="K486">
            <v>2442.46</v>
          </cell>
          <cell r="L486">
            <v>2985.84</v>
          </cell>
          <cell r="M486">
            <v>1455.97</v>
          </cell>
          <cell r="N486">
            <v>1845.98</v>
          </cell>
          <cell r="O486">
            <v>2373.81</v>
          </cell>
          <cell r="P486">
            <v>1626.79</v>
          </cell>
          <cell r="Q486">
            <v>24135.000000000004</v>
          </cell>
        </row>
        <row r="487">
          <cell r="A487">
            <v>70030</v>
          </cell>
          <cell r="B487" t="str">
            <v>Corp Allocated Bonus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</row>
        <row r="488">
          <cell r="A488">
            <v>70035</v>
          </cell>
          <cell r="B488" t="str">
            <v>Safety Bonuses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</row>
        <row r="489">
          <cell r="A489">
            <v>70036</v>
          </cell>
          <cell r="B489" t="str">
            <v>Other Bonus/Commission - Non-Safety</v>
          </cell>
          <cell r="E489">
            <v>4809.7700000000004</v>
          </cell>
          <cell r="F489">
            <v>2140.23</v>
          </cell>
          <cell r="G489">
            <v>5107.6499999999996</v>
          </cell>
          <cell r="H489">
            <v>4226.5600000000004</v>
          </cell>
          <cell r="I489">
            <v>1425.85</v>
          </cell>
          <cell r="J489">
            <v>387.84</v>
          </cell>
          <cell r="K489">
            <v>100</v>
          </cell>
          <cell r="L489">
            <v>3426.61</v>
          </cell>
          <cell r="M489">
            <v>665.4</v>
          </cell>
          <cell r="N489">
            <v>-1015.84</v>
          </cell>
          <cell r="O489">
            <v>581.19000000000005</v>
          </cell>
          <cell r="P489">
            <v>5025.8500000000004</v>
          </cell>
          <cell r="Q489">
            <v>26881.11</v>
          </cell>
        </row>
        <row r="490">
          <cell r="A490">
            <v>70037</v>
          </cell>
          <cell r="B490" t="str">
            <v>Termination Pay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</row>
        <row r="491">
          <cell r="A491">
            <v>70045</v>
          </cell>
          <cell r="B491" t="str">
            <v>Contract Labor</v>
          </cell>
          <cell r="E491">
            <v>6680.67</v>
          </cell>
          <cell r="F491">
            <v>232.03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10440.92</v>
          </cell>
          <cell r="M491">
            <v>7401.37</v>
          </cell>
          <cell r="N491">
            <v>14152.75</v>
          </cell>
          <cell r="O491">
            <v>1820.49</v>
          </cell>
          <cell r="P491">
            <v>6453.68</v>
          </cell>
          <cell r="Q491">
            <v>47181.909999999996</v>
          </cell>
        </row>
        <row r="492">
          <cell r="A492">
            <v>70050</v>
          </cell>
          <cell r="B492" t="str">
            <v>Payroll Taxes</v>
          </cell>
          <cell r="E492">
            <v>9179.65</v>
          </cell>
          <cell r="F492">
            <v>6291.4</v>
          </cell>
          <cell r="G492">
            <v>7661.43</v>
          </cell>
          <cell r="H492">
            <v>6697.51</v>
          </cell>
          <cell r="I492">
            <v>6629.71</v>
          </cell>
          <cell r="J492">
            <v>7324.51</v>
          </cell>
          <cell r="K492">
            <v>5887.85</v>
          </cell>
          <cell r="L492">
            <v>5608.72</v>
          </cell>
          <cell r="M492">
            <v>5768.98</v>
          </cell>
          <cell r="N492">
            <v>5999.27</v>
          </cell>
          <cell r="O492">
            <v>6190.7</v>
          </cell>
          <cell r="P492">
            <v>6776.28</v>
          </cell>
          <cell r="Q492">
            <v>80016.009999999995</v>
          </cell>
        </row>
        <row r="493">
          <cell r="A493">
            <v>70060</v>
          </cell>
          <cell r="B493" t="str">
            <v>Group Insurance</v>
          </cell>
          <cell r="E493">
            <v>10365.61</v>
          </cell>
          <cell r="F493">
            <v>10230.65</v>
          </cell>
          <cell r="G493">
            <v>8851.43</v>
          </cell>
          <cell r="H493">
            <v>12049.32</v>
          </cell>
          <cell r="I493">
            <v>9943.51</v>
          </cell>
          <cell r="J493">
            <v>9742.43</v>
          </cell>
          <cell r="K493">
            <v>9734.74</v>
          </cell>
          <cell r="L493">
            <v>9561.06</v>
          </cell>
          <cell r="M493">
            <v>8494.4699999999993</v>
          </cell>
          <cell r="N493">
            <v>11177.83</v>
          </cell>
          <cell r="O493">
            <v>11411.65</v>
          </cell>
          <cell r="P493">
            <v>11731.69</v>
          </cell>
          <cell r="Q493">
            <v>123294.39</v>
          </cell>
        </row>
        <row r="494">
          <cell r="A494">
            <v>70065</v>
          </cell>
          <cell r="B494" t="str">
            <v>Vacation Pay</v>
          </cell>
          <cell r="E494">
            <v>5445.15</v>
          </cell>
          <cell r="F494">
            <v>2867.53</v>
          </cell>
          <cell r="G494">
            <v>2000.31</v>
          </cell>
          <cell r="H494">
            <v>3981.39</v>
          </cell>
          <cell r="I494">
            <v>4870.18</v>
          </cell>
          <cell r="J494">
            <v>3114.5</v>
          </cell>
          <cell r="K494">
            <v>4765.6099999999997</v>
          </cell>
          <cell r="L494">
            <v>2058.0100000000002</v>
          </cell>
          <cell r="M494">
            <v>3147.12</v>
          </cell>
          <cell r="N494">
            <v>4048.56</v>
          </cell>
          <cell r="O494">
            <v>2256.75</v>
          </cell>
          <cell r="P494">
            <v>3468.68</v>
          </cell>
          <cell r="Q494">
            <v>42023.79</v>
          </cell>
        </row>
        <row r="495">
          <cell r="A495">
            <v>70070</v>
          </cell>
          <cell r="B495" t="str">
            <v>Sick Pay</v>
          </cell>
          <cell r="E495">
            <v>334.55</v>
          </cell>
          <cell r="F495">
            <v>550.89</v>
          </cell>
          <cell r="G495">
            <v>1270.23</v>
          </cell>
          <cell r="H495">
            <v>745.77</v>
          </cell>
          <cell r="I495">
            <v>1246.57</v>
          </cell>
          <cell r="J495">
            <v>334.08</v>
          </cell>
          <cell r="K495">
            <v>365.29</v>
          </cell>
          <cell r="L495">
            <v>1258.6099999999999</v>
          </cell>
          <cell r="M495">
            <v>594.48</v>
          </cell>
          <cell r="N495">
            <v>799.28</v>
          </cell>
          <cell r="O495">
            <v>359.64</v>
          </cell>
          <cell r="P495">
            <v>428.72</v>
          </cell>
          <cell r="Q495">
            <v>8288.1099999999988</v>
          </cell>
        </row>
        <row r="496">
          <cell r="A496">
            <v>70086</v>
          </cell>
          <cell r="B496" t="str">
            <v>Safety and Training</v>
          </cell>
          <cell r="E496">
            <v>307.08999999999997</v>
          </cell>
          <cell r="F496">
            <v>-262.68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146.11000000000001</v>
          </cell>
          <cell r="N496">
            <v>550</v>
          </cell>
          <cell r="O496">
            <v>70</v>
          </cell>
          <cell r="P496">
            <v>2091.2399999999998</v>
          </cell>
          <cell r="Q496">
            <v>2901.7599999999998</v>
          </cell>
        </row>
        <row r="497">
          <cell r="A497">
            <v>70090</v>
          </cell>
          <cell r="B497" t="str">
            <v>WCN Training</v>
          </cell>
          <cell r="E497">
            <v>0</v>
          </cell>
          <cell r="F497">
            <v>912.78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912.78</v>
          </cell>
        </row>
        <row r="498">
          <cell r="A498">
            <v>70095</v>
          </cell>
          <cell r="B498" t="str">
            <v>Empl &amp; Commun Activ</v>
          </cell>
          <cell r="E498">
            <v>14055.36</v>
          </cell>
          <cell r="F498">
            <v>3129.49</v>
          </cell>
          <cell r="G498">
            <v>-8366.42</v>
          </cell>
          <cell r="H498">
            <v>1482.03</v>
          </cell>
          <cell r="I498">
            <v>4740.3999999999996</v>
          </cell>
          <cell r="J498">
            <v>5688.11</v>
          </cell>
          <cell r="K498">
            <v>11283.12</v>
          </cell>
          <cell r="L498">
            <v>21266.09</v>
          </cell>
          <cell r="M498">
            <v>1553.42</v>
          </cell>
          <cell r="N498">
            <v>3453.38</v>
          </cell>
          <cell r="O498">
            <v>4558.05</v>
          </cell>
          <cell r="P498">
            <v>3947.63</v>
          </cell>
          <cell r="Q498">
            <v>66790.659999999989</v>
          </cell>
        </row>
        <row r="499">
          <cell r="A499">
            <v>70105</v>
          </cell>
          <cell r="B499" t="str">
            <v>Employee Relocation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</row>
        <row r="500">
          <cell r="A500">
            <v>70107</v>
          </cell>
          <cell r="B500" t="str">
            <v>Housing Subsidy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</row>
        <row r="501">
          <cell r="A501">
            <v>70108</v>
          </cell>
          <cell r="B501" t="str">
            <v>School Tuition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</row>
        <row r="502">
          <cell r="A502">
            <v>70110</v>
          </cell>
          <cell r="B502" t="str">
            <v>Contributions</v>
          </cell>
          <cell r="E502">
            <v>937.5</v>
          </cell>
          <cell r="F502">
            <v>-1250</v>
          </cell>
          <cell r="G502">
            <v>500</v>
          </cell>
          <cell r="H502">
            <v>2250</v>
          </cell>
          <cell r="I502">
            <v>250</v>
          </cell>
          <cell r="J502">
            <v>500</v>
          </cell>
          <cell r="K502">
            <v>1191.54</v>
          </cell>
          <cell r="L502">
            <v>500</v>
          </cell>
          <cell r="M502">
            <v>0</v>
          </cell>
          <cell r="N502">
            <v>0</v>
          </cell>
          <cell r="O502">
            <v>500</v>
          </cell>
          <cell r="P502">
            <v>0</v>
          </cell>
          <cell r="Q502">
            <v>5379.04</v>
          </cell>
        </row>
        <row r="503">
          <cell r="A503">
            <v>70111</v>
          </cell>
          <cell r="B503" t="str">
            <v>Non Cash Charitable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</row>
        <row r="504">
          <cell r="A504">
            <v>70112</v>
          </cell>
          <cell r="B504" t="str">
            <v>Political Contributions</v>
          </cell>
          <cell r="E504">
            <v>0</v>
          </cell>
          <cell r="F504">
            <v>0</v>
          </cell>
          <cell r="G504">
            <v>0</v>
          </cell>
          <cell r="H504">
            <v>1250</v>
          </cell>
          <cell r="I504">
            <v>0</v>
          </cell>
          <cell r="J504">
            <v>0</v>
          </cell>
          <cell r="K504">
            <v>1250</v>
          </cell>
          <cell r="L504">
            <v>0</v>
          </cell>
          <cell r="M504">
            <v>500</v>
          </cell>
          <cell r="N504">
            <v>250</v>
          </cell>
          <cell r="O504">
            <v>0</v>
          </cell>
          <cell r="P504">
            <v>0</v>
          </cell>
          <cell r="Q504">
            <v>3250</v>
          </cell>
        </row>
        <row r="505">
          <cell r="A505">
            <v>70116</v>
          </cell>
          <cell r="B505" t="str">
            <v>Pension and Profit Sharing</v>
          </cell>
          <cell r="E505">
            <v>991.8</v>
          </cell>
          <cell r="F505">
            <v>1061.8</v>
          </cell>
          <cell r="G505">
            <v>1561.6</v>
          </cell>
          <cell r="H505">
            <v>1001.55</v>
          </cell>
          <cell r="I505">
            <v>1064.48</v>
          </cell>
          <cell r="J505">
            <v>880.04</v>
          </cell>
          <cell r="K505">
            <v>837.46</v>
          </cell>
          <cell r="L505">
            <v>818.44</v>
          </cell>
          <cell r="M505">
            <v>814.08</v>
          </cell>
          <cell r="N505">
            <v>1291.5999999999999</v>
          </cell>
          <cell r="O505">
            <v>832.75</v>
          </cell>
          <cell r="P505">
            <v>978.78</v>
          </cell>
          <cell r="Q505">
            <v>12134.380000000001</v>
          </cell>
        </row>
        <row r="506">
          <cell r="A506">
            <v>70117</v>
          </cell>
          <cell r="B506" t="str">
            <v>Union Pension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</row>
        <row r="507">
          <cell r="A507">
            <v>70142</v>
          </cell>
          <cell r="B507" t="str">
            <v>Fuel Expense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</row>
        <row r="508">
          <cell r="A508">
            <v>70145</v>
          </cell>
          <cell r="B508" t="str">
            <v>Outside Repairs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</row>
        <row r="509">
          <cell r="A509">
            <v>70147</v>
          </cell>
          <cell r="B509" t="str">
            <v>Bldg &amp; Property Maint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</row>
        <row r="510">
          <cell r="A510">
            <v>70148</v>
          </cell>
          <cell r="B510" t="str">
            <v>Allocated Exp In - District</v>
          </cell>
          <cell r="E510">
            <v>9455.33</v>
          </cell>
          <cell r="F510">
            <v>10366.76</v>
          </cell>
          <cell r="G510">
            <v>12777.28</v>
          </cell>
          <cell r="H510">
            <v>9429.9599999999991</v>
          </cell>
          <cell r="I510">
            <v>4111.67</v>
          </cell>
          <cell r="J510">
            <v>13752.97</v>
          </cell>
          <cell r="K510">
            <v>28825.42</v>
          </cell>
          <cell r="L510">
            <v>23366.78</v>
          </cell>
          <cell r="M510">
            <v>-1234.82</v>
          </cell>
          <cell r="N510">
            <v>8735.3799999999992</v>
          </cell>
          <cell r="O510">
            <v>11153.09</v>
          </cell>
          <cell r="P510">
            <v>9005.61</v>
          </cell>
          <cell r="Q510">
            <v>139745.43</v>
          </cell>
        </row>
        <row r="511">
          <cell r="A511">
            <v>70150</v>
          </cell>
          <cell r="B511" t="str">
            <v>Utilities</v>
          </cell>
          <cell r="E511">
            <v>1142.2</v>
          </cell>
          <cell r="F511">
            <v>1092.4000000000001</v>
          </cell>
          <cell r="G511">
            <v>1092.57</v>
          </cell>
          <cell r="H511">
            <v>1056.2</v>
          </cell>
          <cell r="I511">
            <v>971.23</v>
          </cell>
          <cell r="J511">
            <v>927.16</v>
          </cell>
          <cell r="K511">
            <v>0</v>
          </cell>
          <cell r="L511">
            <v>869.77</v>
          </cell>
          <cell r="M511">
            <v>868.91</v>
          </cell>
          <cell r="N511">
            <v>878.75</v>
          </cell>
          <cell r="O511">
            <v>973.97</v>
          </cell>
          <cell r="P511">
            <v>1678.97</v>
          </cell>
          <cell r="Q511">
            <v>11552.13</v>
          </cell>
        </row>
        <row r="512">
          <cell r="A512">
            <v>70165</v>
          </cell>
          <cell r="B512" t="str">
            <v>Communications</v>
          </cell>
          <cell r="E512">
            <v>1837.34</v>
          </cell>
          <cell r="F512">
            <v>1811.33</v>
          </cell>
          <cell r="G512">
            <v>2247.1</v>
          </cell>
          <cell r="H512">
            <v>1908.93</v>
          </cell>
          <cell r="I512">
            <v>2066.65</v>
          </cell>
          <cell r="J512">
            <v>2198.11</v>
          </cell>
          <cell r="K512">
            <v>2042.44</v>
          </cell>
          <cell r="L512">
            <v>2129.4</v>
          </cell>
          <cell r="M512">
            <v>2270.06</v>
          </cell>
          <cell r="N512">
            <v>2682.39</v>
          </cell>
          <cell r="O512">
            <v>1762.11</v>
          </cell>
          <cell r="P512">
            <v>2834.19</v>
          </cell>
          <cell r="Q512">
            <v>25790.05</v>
          </cell>
        </row>
        <row r="513">
          <cell r="A513">
            <v>70166</v>
          </cell>
          <cell r="B513" t="str">
            <v>Office Telephone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</row>
        <row r="514">
          <cell r="A514">
            <v>70167</v>
          </cell>
          <cell r="B514" t="str">
            <v>Cellular Telephone</v>
          </cell>
          <cell r="E514">
            <v>156.94999999999999</v>
          </cell>
          <cell r="F514">
            <v>186.7</v>
          </cell>
          <cell r="G514">
            <v>355.41</v>
          </cell>
          <cell r="H514">
            <v>205.54</v>
          </cell>
          <cell r="I514">
            <v>168.04</v>
          </cell>
          <cell r="J514">
            <v>205.54</v>
          </cell>
          <cell r="K514">
            <v>356.92</v>
          </cell>
          <cell r="L514">
            <v>187.5</v>
          </cell>
          <cell r="M514">
            <v>75</v>
          </cell>
          <cell r="N514">
            <v>223.5</v>
          </cell>
          <cell r="O514">
            <v>226.5</v>
          </cell>
          <cell r="P514">
            <v>150</v>
          </cell>
          <cell r="Q514">
            <v>2497.6</v>
          </cell>
        </row>
        <row r="515">
          <cell r="A515">
            <v>70170</v>
          </cell>
          <cell r="B515" t="str">
            <v>Real Estate Rentals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</row>
        <row r="516">
          <cell r="A516">
            <v>70175</v>
          </cell>
          <cell r="B516" t="str">
            <v>Equip/Vehicle Rental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</row>
        <row r="517">
          <cell r="A517">
            <v>70185</v>
          </cell>
          <cell r="B517" t="str">
            <v>Postage</v>
          </cell>
          <cell r="E517">
            <v>1663.37</v>
          </cell>
          <cell r="F517">
            <v>1464.26</v>
          </cell>
          <cell r="G517">
            <v>492.87</v>
          </cell>
          <cell r="H517">
            <v>1792.31</v>
          </cell>
          <cell r="I517">
            <v>1736.3</v>
          </cell>
          <cell r="J517">
            <v>1600.37</v>
          </cell>
          <cell r="K517">
            <v>417.65</v>
          </cell>
          <cell r="L517">
            <v>1589.73</v>
          </cell>
          <cell r="M517">
            <v>1686.05</v>
          </cell>
          <cell r="N517">
            <v>1653.87</v>
          </cell>
          <cell r="O517">
            <v>1642.82</v>
          </cell>
          <cell r="P517">
            <v>1641.55</v>
          </cell>
          <cell r="Q517">
            <v>17381.149999999998</v>
          </cell>
        </row>
        <row r="518">
          <cell r="A518">
            <v>70190</v>
          </cell>
          <cell r="B518" t="str">
            <v>Registration Fees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244</v>
          </cell>
          <cell r="K518">
            <v>-244</v>
          </cell>
          <cell r="L518">
            <v>0</v>
          </cell>
          <cell r="M518">
            <v>0</v>
          </cell>
          <cell r="N518">
            <v>450</v>
          </cell>
          <cell r="O518">
            <v>80</v>
          </cell>
          <cell r="P518">
            <v>5</v>
          </cell>
          <cell r="Q518">
            <v>535</v>
          </cell>
        </row>
        <row r="519">
          <cell r="A519">
            <v>70195</v>
          </cell>
          <cell r="B519" t="str">
            <v>Dues and Subscriptions</v>
          </cell>
          <cell r="E519">
            <v>734.67</v>
          </cell>
          <cell r="F519">
            <v>3500</v>
          </cell>
          <cell r="G519">
            <v>654.66999999999996</v>
          </cell>
          <cell r="H519">
            <v>3788.33</v>
          </cell>
          <cell r="I519">
            <v>831.17</v>
          </cell>
          <cell r="J519">
            <v>2522.33</v>
          </cell>
          <cell r="K519">
            <v>3255.67</v>
          </cell>
          <cell r="L519">
            <v>3419.03</v>
          </cell>
          <cell r="M519">
            <v>1208.23</v>
          </cell>
          <cell r="N519">
            <v>2099.1799999999998</v>
          </cell>
          <cell r="O519">
            <v>3420.89</v>
          </cell>
          <cell r="P519">
            <v>1716.89</v>
          </cell>
          <cell r="Q519">
            <v>27151.059999999998</v>
          </cell>
        </row>
        <row r="520">
          <cell r="A520">
            <v>70196</v>
          </cell>
          <cell r="B520" t="str">
            <v>Club Dues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</row>
        <row r="521">
          <cell r="A521">
            <v>70200</v>
          </cell>
          <cell r="B521" t="str">
            <v>Travel</v>
          </cell>
          <cell r="E521">
            <v>225.54</v>
          </cell>
          <cell r="F521">
            <v>769.5</v>
          </cell>
          <cell r="G521">
            <v>907.05</v>
          </cell>
          <cell r="H521">
            <v>0</v>
          </cell>
          <cell r="I521">
            <v>627.9</v>
          </cell>
          <cell r="J521">
            <v>18.75</v>
          </cell>
          <cell r="K521">
            <v>51</v>
          </cell>
          <cell r="L521">
            <v>-46.5</v>
          </cell>
          <cell r="M521">
            <v>1021.88</v>
          </cell>
          <cell r="N521">
            <v>876</v>
          </cell>
          <cell r="O521">
            <v>92.25</v>
          </cell>
          <cell r="P521">
            <v>339.6</v>
          </cell>
          <cell r="Q521">
            <v>4882.97</v>
          </cell>
        </row>
        <row r="522">
          <cell r="A522">
            <v>70201</v>
          </cell>
          <cell r="B522" t="str">
            <v>Entertainment</v>
          </cell>
          <cell r="E522">
            <v>0</v>
          </cell>
          <cell r="F522">
            <v>23.53</v>
          </cell>
          <cell r="G522">
            <v>0</v>
          </cell>
          <cell r="H522">
            <v>321.41000000000003</v>
          </cell>
          <cell r="I522">
            <v>0</v>
          </cell>
          <cell r="J522">
            <v>341.1</v>
          </cell>
          <cell r="K522">
            <v>728.42</v>
          </cell>
          <cell r="L522">
            <v>-72.099999999999994</v>
          </cell>
          <cell r="M522">
            <v>0</v>
          </cell>
          <cell r="N522">
            <v>41.89</v>
          </cell>
          <cell r="O522">
            <v>0</v>
          </cell>
          <cell r="P522">
            <v>0</v>
          </cell>
          <cell r="Q522">
            <v>1384.2500000000002</v>
          </cell>
        </row>
        <row r="523">
          <cell r="A523">
            <v>70202</v>
          </cell>
          <cell r="B523" t="str">
            <v>Excursions Meetings</v>
          </cell>
          <cell r="E523">
            <v>300</v>
          </cell>
          <cell r="F523">
            <v>345.51</v>
          </cell>
          <cell r="G523">
            <v>0</v>
          </cell>
          <cell r="H523">
            <v>0</v>
          </cell>
          <cell r="I523">
            <v>485</v>
          </cell>
          <cell r="J523">
            <v>1248.75</v>
          </cell>
          <cell r="K523">
            <v>0</v>
          </cell>
          <cell r="L523">
            <v>288.39999999999998</v>
          </cell>
          <cell r="M523">
            <v>0</v>
          </cell>
          <cell r="N523">
            <v>0</v>
          </cell>
          <cell r="O523">
            <v>279</v>
          </cell>
          <cell r="P523">
            <v>0</v>
          </cell>
          <cell r="Q523">
            <v>2946.6600000000003</v>
          </cell>
        </row>
        <row r="524">
          <cell r="A524">
            <v>70203</v>
          </cell>
          <cell r="B524" t="str">
            <v>Lodging</v>
          </cell>
          <cell r="E524">
            <v>462.54</v>
          </cell>
          <cell r="F524">
            <v>0</v>
          </cell>
          <cell r="G524">
            <v>0</v>
          </cell>
          <cell r="H524">
            <v>653.4</v>
          </cell>
          <cell r="I524">
            <v>579</v>
          </cell>
          <cell r="J524">
            <v>0</v>
          </cell>
          <cell r="K524">
            <v>797.67</v>
          </cell>
          <cell r="L524">
            <v>618.57000000000005</v>
          </cell>
          <cell r="M524">
            <v>382.5</v>
          </cell>
          <cell r="N524">
            <v>140.19999999999999</v>
          </cell>
          <cell r="O524">
            <v>457.4</v>
          </cell>
          <cell r="P524">
            <v>1133.44</v>
          </cell>
          <cell r="Q524">
            <v>5224.72</v>
          </cell>
        </row>
        <row r="525">
          <cell r="A525">
            <v>70204</v>
          </cell>
          <cell r="B525" t="str">
            <v>Gifts to Customers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</row>
        <row r="526">
          <cell r="A526">
            <v>70205</v>
          </cell>
          <cell r="B526" t="str">
            <v>Travel - Auto</v>
          </cell>
          <cell r="E526">
            <v>592.16</v>
          </cell>
          <cell r="F526">
            <v>812.81</v>
          </cell>
          <cell r="G526">
            <v>372.79</v>
          </cell>
          <cell r="H526">
            <v>924.67</v>
          </cell>
          <cell r="I526">
            <v>591.26</v>
          </cell>
          <cell r="J526">
            <v>614.52</v>
          </cell>
          <cell r="K526">
            <v>370.59</v>
          </cell>
          <cell r="L526">
            <v>811.62</v>
          </cell>
          <cell r="M526">
            <v>291.60000000000002</v>
          </cell>
          <cell r="N526">
            <v>789.52</v>
          </cell>
          <cell r="O526">
            <v>730.2</v>
          </cell>
          <cell r="P526">
            <v>523.23</v>
          </cell>
          <cell r="Q526">
            <v>7424.9699999999993</v>
          </cell>
        </row>
        <row r="527">
          <cell r="A527">
            <v>70206</v>
          </cell>
          <cell r="B527" t="str">
            <v>Meals</v>
          </cell>
          <cell r="E527">
            <v>155.22</v>
          </cell>
          <cell r="F527">
            <v>199.8</v>
          </cell>
          <cell r="G527">
            <v>112.98</v>
          </cell>
          <cell r="H527">
            <v>115.92</v>
          </cell>
          <cell r="I527">
            <v>277.83</v>
          </cell>
          <cell r="J527">
            <v>270.38</v>
          </cell>
          <cell r="K527">
            <v>579.17999999999995</v>
          </cell>
          <cell r="L527">
            <v>-136.55000000000001</v>
          </cell>
          <cell r="M527">
            <v>50</v>
          </cell>
          <cell r="N527">
            <v>287</v>
          </cell>
          <cell r="O527">
            <v>150.02000000000001</v>
          </cell>
          <cell r="P527">
            <v>59.7</v>
          </cell>
          <cell r="Q527">
            <v>2121.48</v>
          </cell>
        </row>
        <row r="528">
          <cell r="A528">
            <v>70207</v>
          </cell>
          <cell r="B528" t="str">
            <v>Meals with Customers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3.75</v>
          </cell>
          <cell r="O528">
            <v>0</v>
          </cell>
          <cell r="P528">
            <v>0</v>
          </cell>
          <cell r="Q528">
            <v>3.75</v>
          </cell>
        </row>
        <row r="529">
          <cell r="A529">
            <v>70209</v>
          </cell>
          <cell r="B529" t="str">
            <v>Photo Supplies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</row>
        <row r="530">
          <cell r="A530">
            <v>70210</v>
          </cell>
          <cell r="B530" t="str">
            <v>Office Supplies and Equip</v>
          </cell>
          <cell r="E530">
            <v>7068.1</v>
          </cell>
          <cell r="F530">
            <v>6155.01</v>
          </cell>
          <cell r="G530">
            <v>3868.92</v>
          </cell>
          <cell r="H530">
            <v>3782.02</v>
          </cell>
          <cell r="I530">
            <v>2862.22</v>
          </cell>
          <cell r="J530">
            <v>4721.92</v>
          </cell>
          <cell r="K530">
            <v>5210.1099999999997</v>
          </cell>
          <cell r="L530">
            <v>4854.1400000000003</v>
          </cell>
          <cell r="M530">
            <v>4059.64</v>
          </cell>
          <cell r="N530">
            <v>7017.47</v>
          </cell>
          <cell r="O530">
            <v>1056.94</v>
          </cell>
          <cell r="P530">
            <v>7841.63</v>
          </cell>
          <cell r="Q530">
            <v>58498.12</v>
          </cell>
        </row>
        <row r="531">
          <cell r="A531">
            <v>70213</v>
          </cell>
          <cell r="B531" t="str">
            <v>P-Card Rebate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</row>
        <row r="532">
          <cell r="A532">
            <v>70214</v>
          </cell>
          <cell r="B532" t="str">
            <v>Credit Card Fees</v>
          </cell>
          <cell r="E532">
            <v>7453.96</v>
          </cell>
          <cell r="F532">
            <v>8072.47</v>
          </cell>
          <cell r="G532">
            <v>8471.26</v>
          </cell>
          <cell r="H532">
            <v>7487.53</v>
          </cell>
          <cell r="I532">
            <v>7402.35</v>
          </cell>
          <cell r="J532">
            <v>8604.07</v>
          </cell>
          <cell r="K532">
            <v>8742.07</v>
          </cell>
          <cell r="L532">
            <v>9298.84</v>
          </cell>
          <cell r="M532">
            <v>9731.43</v>
          </cell>
          <cell r="N532">
            <v>9257.65</v>
          </cell>
          <cell r="O532">
            <v>10120.43</v>
          </cell>
          <cell r="P532">
            <v>9008.27</v>
          </cell>
          <cell r="Q532">
            <v>103650.33</v>
          </cell>
        </row>
        <row r="533">
          <cell r="A533">
            <v>70215</v>
          </cell>
          <cell r="B533" t="str">
            <v>Bank Charges</v>
          </cell>
          <cell r="E533">
            <v>520.58000000000004</v>
          </cell>
          <cell r="F533">
            <v>527.17999999999995</v>
          </cell>
          <cell r="G533">
            <v>539.19000000000005</v>
          </cell>
          <cell r="H533">
            <v>530.33000000000004</v>
          </cell>
          <cell r="I533">
            <v>471.57</v>
          </cell>
          <cell r="J533">
            <v>491.42</v>
          </cell>
          <cell r="K533">
            <v>465.31</v>
          </cell>
          <cell r="L533">
            <v>559.30999999999995</v>
          </cell>
          <cell r="M533">
            <v>476.99</v>
          </cell>
          <cell r="N533">
            <v>385.37</v>
          </cell>
          <cell r="O533">
            <v>367.56</v>
          </cell>
          <cell r="P533">
            <v>638.20000000000005</v>
          </cell>
          <cell r="Q533">
            <v>5973.01</v>
          </cell>
        </row>
        <row r="534">
          <cell r="A534">
            <v>70216</v>
          </cell>
          <cell r="B534" t="str">
            <v>Outside Storages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</row>
        <row r="535">
          <cell r="A535">
            <v>70217</v>
          </cell>
          <cell r="B535" t="str">
            <v>Invoice Printing Costs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</row>
        <row r="536">
          <cell r="A536">
            <v>70225</v>
          </cell>
          <cell r="B536" t="str">
            <v>Advertising and Promotions</v>
          </cell>
          <cell r="E536">
            <v>2100</v>
          </cell>
          <cell r="F536">
            <v>-679.79</v>
          </cell>
          <cell r="G536">
            <v>0</v>
          </cell>
          <cell r="H536">
            <v>31.64</v>
          </cell>
          <cell r="I536">
            <v>0</v>
          </cell>
          <cell r="J536">
            <v>0</v>
          </cell>
          <cell r="K536">
            <v>500</v>
          </cell>
          <cell r="L536">
            <v>710.94</v>
          </cell>
          <cell r="M536">
            <v>0</v>
          </cell>
          <cell r="N536">
            <v>3049.29</v>
          </cell>
          <cell r="O536">
            <v>5336.83</v>
          </cell>
          <cell r="P536">
            <v>0</v>
          </cell>
          <cell r="Q536">
            <v>11048.91</v>
          </cell>
        </row>
        <row r="537">
          <cell r="A537">
            <v>70230</v>
          </cell>
          <cell r="B537" t="str">
            <v>External Recruiter Fees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</row>
        <row r="538">
          <cell r="A538">
            <v>70231</v>
          </cell>
          <cell r="B538" t="str">
            <v>Recruitment Advertising &amp; Expenses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25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25</v>
          </cell>
        </row>
        <row r="539">
          <cell r="A539">
            <v>70232</v>
          </cell>
          <cell r="B539" t="str">
            <v>Recruitment Travel Expenses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</row>
        <row r="540">
          <cell r="A540">
            <v>70235</v>
          </cell>
          <cell r="B540" t="str">
            <v>Legal</v>
          </cell>
          <cell r="E540">
            <v>134.16</v>
          </cell>
          <cell r="F540">
            <v>0</v>
          </cell>
          <cell r="G540">
            <v>198.36</v>
          </cell>
          <cell r="H540">
            <v>3699.71</v>
          </cell>
          <cell r="I540">
            <v>1056.02</v>
          </cell>
          <cell r="J540">
            <v>682.19</v>
          </cell>
          <cell r="K540">
            <v>3008.78</v>
          </cell>
          <cell r="L540">
            <v>-2300.2800000000002</v>
          </cell>
          <cell r="M540">
            <v>3301.28</v>
          </cell>
          <cell r="N540">
            <v>0.2</v>
          </cell>
          <cell r="O540">
            <v>-0.2</v>
          </cell>
          <cell r="P540">
            <v>1207.32</v>
          </cell>
          <cell r="Q540">
            <v>10987.54</v>
          </cell>
        </row>
        <row r="541">
          <cell r="A541">
            <v>70240</v>
          </cell>
          <cell r="B541" t="str">
            <v>Accounting Professional Fees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</row>
        <row r="542">
          <cell r="A542">
            <v>70245</v>
          </cell>
          <cell r="B542" t="str">
            <v>Payroll Processing Fees</v>
          </cell>
          <cell r="E542">
            <v>324.20999999999998</v>
          </cell>
          <cell r="F542">
            <v>333.23</v>
          </cell>
          <cell r="G542">
            <v>333.23</v>
          </cell>
          <cell r="H542">
            <v>333.23</v>
          </cell>
          <cell r="I542">
            <v>333.23</v>
          </cell>
          <cell r="J542">
            <v>333.23</v>
          </cell>
          <cell r="K542">
            <v>333.23</v>
          </cell>
          <cell r="L542">
            <v>300.73</v>
          </cell>
          <cell r="M542">
            <v>300.73</v>
          </cell>
          <cell r="N542">
            <v>300.73</v>
          </cell>
          <cell r="O542">
            <v>300.86</v>
          </cell>
          <cell r="P542">
            <v>300.86</v>
          </cell>
          <cell r="Q542">
            <v>3827.5000000000005</v>
          </cell>
        </row>
        <row r="543">
          <cell r="A543">
            <v>70250</v>
          </cell>
          <cell r="B543" t="str">
            <v>Acquisition Cost Write Off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</row>
        <row r="544">
          <cell r="A544">
            <v>70254</v>
          </cell>
          <cell r="B544" t="str">
            <v>Corporate Capitalized Expenses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</row>
        <row r="545">
          <cell r="A545">
            <v>70255</v>
          </cell>
          <cell r="B545" t="str">
            <v>Other Prof Fees</v>
          </cell>
          <cell r="E545">
            <v>0</v>
          </cell>
          <cell r="F545">
            <v>659.25</v>
          </cell>
          <cell r="G545">
            <v>168.64</v>
          </cell>
          <cell r="H545">
            <v>0</v>
          </cell>
          <cell r="I545">
            <v>900</v>
          </cell>
          <cell r="J545">
            <v>168.64</v>
          </cell>
          <cell r="K545">
            <v>-900</v>
          </cell>
          <cell r="L545">
            <v>0</v>
          </cell>
          <cell r="M545">
            <v>168.64</v>
          </cell>
          <cell r="N545">
            <v>0</v>
          </cell>
          <cell r="O545">
            <v>548.44000000000005</v>
          </cell>
          <cell r="P545">
            <v>243.29</v>
          </cell>
          <cell r="Q545">
            <v>1956.8999999999996</v>
          </cell>
        </row>
        <row r="546">
          <cell r="A546">
            <v>70271</v>
          </cell>
          <cell r="B546" t="str">
            <v>Property and Liability Insurance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</row>
        <row r="547">
          <cell r="A547">
            <v>70272</v>
          </cell>
          <cell r="B547" t="str">
            <v>Keyman Life Insurance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</row>
        <row r="548">
          <cell r="A548">
            <v>70273</v>
          </cell>
          <cell r="B548" t="str">
            <v>Directors and Officers Insurance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</row>
        <row r="549">
          <cell r="A549">
            <v>70275</v>
          </cell>
          <cell r="B549" t="str">
            <v>Property Taxes</v>
          </cell>
          <cell r="E549">
            <v>3633</v>
          </cell>
          <cell r="F549">
            <v>3633</v>
          </cell>
          <cell r="G549">
            <v>4280.66</v>
          </cell>
          <cell r="H549">
            <v>5100.2</v>
          </cell>
          <cell r="I549">
            <v>5100.2</v>
          </cell>
          <cell r="J549">
            <v>5100.2</v>
          </cell>
          <cell r="K549">
            <v>6353.54</v>
          </cell>
          <cell r="L549">
            <v>4787.74</v>
          </cell>
          <cell r="M549">
            <v>4507.07</v>
          </cell>
          <cell r="N549">
            <v>4985.55</v>
          </cell>
          <cell r="O549">
            <v>5021.75</v>
          </cell>
          <cell r="P549">
            <v>4949.34</v>
          </cell>
          <cell r="Q549">
            <v>57452.25</v>
          </cell>
        </row>
        <row r="550">
          <cell r="A550">
            <v>70280</v>
          </cell>
          <cell r="B550" t="str">
            <v>Other Taxes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</row>
        <row r="551">
          <cell r="A551">
            <v>70300</v>
          </cell>
          <cell r="B551" t="str">
            <v>Data Processing</v>
          </cell>
          <cell r="E551">
            <v>3053.24</v>
          </cell>
          <cell r="F551">
            <v>27123.4</v>
          </cell>
          <cell r="G551">
            <v>1994.05</v>
          </cell>
          <cell r="H551">
            <v>25497.25</v>
          </cell>
          <cell r="I551">
            <v>4148.7299999999996</v>
          </cell>
          <cell r="J551">
            <v>12634.95</v>
          </cell>
          <cell r="K551">
            <v>2733.27</v>
          </cell>
          <cell r="L551">
            <v>28900.27</v>
          </cell>
          <cell r="M551">
            <v>2744.08</v>
          </cell>
          <cell r="N551">
            <v>23341.62</v>
          </cell>
          <cell r="O551">
            <v>2653.19</v>
          </cell>
          <cell r="P551">
            <v>25630.6</v>
          </cell>
          <cell r="Q551">
            <v>160454.65000000002</v>
          </cell>
        </row>
        <row r="552">
          <cell r="A552">
            <v>70301</v>
          </cell>
          <cell r="B552" t="str">
            <v>Computer Software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</row>
        <row r="553">
          <cell r="A553">
            <v>70302</v>
          </cell>
          <cell r="B553" t="str">
            <v>Computer Supplies</v>
          </cell>
          <cell r="E553">
            <v>0</v>
          </cell>
          <cell r="F553">
            <v>435.77</v>
          </cell>
          <cell r="G553">
            <v>693.82</v>
          </cell>
          <cell r="H553">
            <v>0</v>
          </cell>
          <cell r="I553">
            <v>0</v>
          </cell>
          <cell r="J553">
            <v>0</v>
          </cell>
          <cell r="K553">
            <v>71.819999999999993</v>
          </cell>
          <cell r="L553">
            <v>73.77</v>
          </cell>
          <cell r="M553">
            <v>0</v>
          </cell>
          <cell r="N553">
            <v>0</v>
          </cell>
          <cell r="O553">
            <v>0</v>
          </cell>
          <cell r="P553">
            <v>561.86</v>
          </cell>
          <cell r="Q553">
            <v>1837.04</v>
          </cell>
        </row>
        <row r="554">
          <cell r="A554">
            <v>70310</v>
          </cell>
          <cell r="B554" t="str">
            <v>Bad Debt Provision</v>
          </cell>
          <cell r="E554">
            <v>-38144.620000000003</v>
          </cell>
          <cell r="F554">
            <v>34133.97</v>
          </cell>
          <cell r="G554">
            <v>-43595.040000000001</v>
          </cell>
          <cell r="H554">
            <v>39178.03</v>
          </cell>
          <cell r="I554">
            <v>-23435.439999999999</v>
          </cell>
          <cell r="J554">
            <v>54303.69</v>
          </cell>
          <cell r="K554">
            <v>-33171.480000000003</v>
          </cell>
          <cell r="L554">
            <v>54213.2</v>
          </cell>
          <cell r="M554">
            <v>-34096.239999999998</v>
          </cell>
          <cell r="N554">
            <v>57772.45</v>
          </cell>
          <cell r="O554">
            <v>-39518.949999999997</v>
          </cell>
          <cell r="P554">
            <v>53267.67</v>
          </cell>
          <cell r="Q554">
            <v>80907.239999999991</v>
          </cell>
        </row>
        <row r="555">
          <cell r="A555">
            <v>70315</v>
          </cell>
          <cell r="B555" t="str">
            <v>Bad Debt Recoveries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</row>
        <row r="556">
          <cell r="A556">
            <v>70320</v>
          </cell>
          <cell r="B556" t="str">
            <v>Credit and Collection</v>
          </cell>
          <cell r="E556">
            <v>6198.28</v>
          </cell>
          <cell r="F556">
            <v>9319.4599999999991</v>
          </cell>
          <cell r="G556">
            <v>5273.3</v>
          </cell>
          <cell r="H556">
            <v>8215.32</v>
          </cell>
          <cell r="I556">
            <v>5615.84</v>
          </cell>
          <cell r="J556">
            <v>3201.73</v>
          </cell>
          <cell r="K556">
            <v>4767.67</v>
          </cell>
          <cell r="L556">
            <v>2810.14</v>
          </cell>
          <cell r="M556">
            <v>5490.95</v>
          </cell>
          <cell r="N556">
            <v>4968.87</v>
          </cell>
          <cell r="O556">
            <v>5918.1</v>
          </cell>
          <cell r="P556">
            <v>0</v>
          </cell>
          <cell r="Q556">
            <v>61779.659999999996</v>
          </cell>
        </row>
        <row r="557">
          <cell r="A557">
            <v>70324</v>
          </cell>
          <cell r="B557" t="str">
            <v>Penalties and Violations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</row>
        <row r="558">
          <cell r="A558">
            <v>70325</v>
          </cell>
          <cell r="B558" t="str">
            <v>Legal Settlement Payments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</row>
        <row r="559">
          <cell r="A559">
            <v>70326</v>
          </cell>
          <cell r="B559" t="str">
            <v>Deductible Current Year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</row>
        <row r="560">
          <cell r="A560">
            <v>70327</v>
          </cell>
          <cell r="B560" t="str">
            <v>Deductible Dammage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</row>
        <row r="561">
          <cell r="A561">
            <v>70328</v>
          </cell>
          <cell r="B561" t="str">
            <v>Claim Recoveries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</row>
        <row r="562">
          <cell r="A562">
            <v>70330</v>
          </cell>
          <cell r="B562" t="str">
            <v>Deductible Prior Year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</row>
        <row r="563">
          <cell r="A563">
            <v>70335</v>
          </cell>
          <cell r="B563" t="str">
            <v>Miscellaneous</v>
          </cell>
          <cell r="E563">
            <v>0</v>
          </cell>
          <cell r="F563">
            <v>-78.28</v>
          </cell>
          <cell r="G563">
            <v>0</v>
          </cell>
          <cell r="H563">
            <v>-123.75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-202.03</v>
          </cell>
        </row>
        <row r="564">
          <cell r="A564">
            <v>70336</v>
          </cell>
          <cell r="B564" t="str">
            <v>Coffe Bar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38.020000000000003</v>
          </cell>
          <cell r="M564">
            <v>0</v>
          </cell>
          <cell r="N564">
            <v>-38.020000000000003</v>
          </cell>
          <cell r="O564">
            <v>0</v>
          </cell>
          <cell r="P564">
            <v>0</v>
          </cell>
          <cell r="Q564">
            <v>0</v>
          </cell>
        </row>
        <row r="565">
          <cell r="A565">
            <v>70345</v>
          </cell>
          <cell r="B565" t="str">
            <v>Security Services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</row>
        <row r="566">
          <cell r="A566">
            <v>70357</v>
          </cell>
          <cell r="B566" t="str">
            <v>Permits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</row>
        <row r="567">
          <cell r="A567">
            <v>70370</v>
          </cell>
          <cell r="B567" t="str">
            <v>Bonds Expense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</row>
        <row r="568">
          <cell r="A568">
            <v>70371</v>
          </cell>
          <cell r="B568" t="str">
            <v>Board of Directors Fees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</row>
        <row r="569">
          <cell r="A569">
            <v>70372</v>
          </cell>
          <cell r="B569" t="str">
            <v>Board of Directors Expense Report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</row>
        <row r="570">
          <cell r="A570">
            <v>70475</v>
          </cell>
          <cell r="B570" t="str">
            <v>Trade Shows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</row>
        <row r="571">
          <cell r="A571">
            <v>70900</v>
          </cell>
          <cell r="B571" t="str">
            <v>Entitiy Formation Costs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</row>
        <row r="572">
          <cell r="A572">
            <v>70998</v>
          </cell>
          <cell r="B572" t="str">
            <v>Allocation Out - District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</row>
        <row r="573">
          <cell r="A573">
            <v>70999</v>
          </cell>
          <cell r="B573" t="str">
            <v>Allocation Out - Out District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</row>
        <row r="574">
          <cell r="A574">
            <v>71000</v>
          </cell>
          <cell r="B574" t="str">
            <v>Stock Comp Expense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</row>
        <row r="575">
          <cell r="A575" t="str">
            <v>Total G&amp;A</v>
          </cell>
          <cell r="E575">
            <v>135458.46000000002</v>
          </cell>
          <cell r="F575">
            <v>208641.47999999992</v>
          </cell>
          <cell r="G575">
            <v>98781.099999999962</v>
          </cell>
          <cell r="H575">
            <v>225439.98</v>
          </cell>
          <cell r="I575">
            <v>124024.28</v>
          </cell>
          <cell r="J575">
            <v>224140.84000000008</v>
          </cell>
          <cell r="K575">
            <v>154049.73000000004</v>
          </cell>
          <cell r="L575">
            <v>264592.3</v>
          </cell>
          <cell r="M575">
            <v>109926.17</v>
          </cell>
          <cell r="N575">
            <v>249406.65000000005</v>
          </cell>
          <cell r="O575">
            <v>123801.06999999996</v>
          </cell>
          <cell r="P575">
            <v>250967.55000000005</v>
          </cell>
          <cell r="Q575">
            <v>2169229.61</v>
          </cell>
        </row>
        <row r="577">
          <cell r="A577" t="str">
            <v>Overhead</v>
          </cell>
        </row>
        <row r="578">
          <cell r="A578">
            <v>70149</v>
          </cell>
          <cell r="B578" t="str">
            <v>Corporate Overhead Allocation In</v>
          </cell>
          <cell r="E578">
            <v>95576.95</v>
          </cell>
          <cell r="F578">
            <v>93754.57</v>
          </cell>
          <cell r="G578">
            <v>96892.32</v>
          </cell>
          <cell r="H578">
            <v>96287.7</v>
          </cell>
          <cell r="I578">
            <v>98950.95</v>
          </cell>
          <cell r="J578">
            <v>99254.64</v>
          </cell>
          <cell r="K578">
            <v>97352.26</v>
          </cell>
          <cell r="L578">
            <v>97777.96</v>
          </cell>
          <cell r="M578">
            <v>98592.93</v>
          </cell>
          <cell r="N578">
            <v>101400.48</v>
          </cell>
          <cell r="O578">
            <v>100544.01</v>
          </cell>
          <cell r="P578">
            <v>100617.72</v>
          </cell>
          <cell r="Q578">
            <v>1177002.49</v>
          </cell>
        </row>
        <row r="579">
          <cell r="A579">
            <v>70159</v>
          </cell>
          <cell r="B579" t="str">
            <v>Region Overhead Allocation In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</row>
        <row r="580">
          <cell r="A580" t="str">
            <v>Total Overhead</v>
          </cell>
          <cell r="E580">
            <v>95576.95</v>
          </cell>
          <cell r="F580">
            <v>93754.57</v>
          </cell>
          <cell r="G580">
            <v>96892.32</v>
          </cell>
          <cell r="H580">
            <v>96287.7</v>
          </cell>
          <cell r="I580">
            <v>98950.95</v>
          </cell>
          <cell r="J580">
            <v>99254.64</v>
          </cell>
          <cell r="K580">
            <v>97352.26</v>
          </cell>
          <cell r="L580">
            <v>97777.96</v>
          </cell>
          <cell r="M580">
            <v>98592.93</v>
          </cell>
          <cell r="N580">
            <v>101400.48</v>
          </cell>
          <cell r="O580">
            <v>100544.01</v>
          </cell>
          <cell r="P580">
            <v>100617.72</v>
          </cell>
          <cell r="Q580">
            <v>1177002.49</v>
          </cell>
        </row>
        <row r="582">
          <cell r="A582" t="str">
            <v>Total SG&amp;A</v>
          </cell>
          <cell r="E582">
            <v>246511.28000000003</v>
          </cell>
          <cell r="F582">
            <v>305793.68999999994</v>
          </cell>
          <cell r="G582">
            <v>203965.25999999998</v>
          </cell>
          <cell r="H582">
            <v>328473.28999999998</v>
          </cell>
          <cell r="I582">
            <v>228706.00999999998</v>
          </cell>
          <cell r="J582">
            <v>331450.5400000001</v>
          </cell>
          <cell r="K582">
            <v>256165.84000000005</v>
          </cell>
          <cell r="L582">
            <v>365954.82</v>
          </cell>
          <cell r="M582">
            <v>239060.30999999997</v>
          </cell>
          <cell r="N582">
            <v>379132.25000000006</v>
          </cell>
          <cell r="O582">
            <v>228004.79999999996</v>
          </cell>
          <cell r="P582">
            <v>390132.22000000003</v>
          </cell>
          <cell r="Q582">
            <v>3503350.3099999996</v>
          </cell>
        </row>
        <row r="584">
          <cell r="A584" t="str">
            <v>EBITDA</v>
          </cell>
          <cell r="E584">
            <v>712085.01999999979</v>
          </cell>
          <cell r="F584">
            <v>772605.35999999987</v>
          </cell>
          <cell r="G584">
            <v>776716.52999999991</v>
          </cell>
          <cell r="H584">
            <v>731539.77</v>
          </cell>
          <cell r="I584">
            <v>769618.66999999934</v>
          </cell>
          <cell r="J584">
            <v>552555.60000000033</v>
          </cell>
          <cell r="K584">
            <v>743010.76999999932</v>
          </cell>
          <cell r="L584">
            <v>663397.72999999952</v>
          </cell>
          <cell r="M584">
            <v>766161.14</v>
          </cell>
          <cell r="N584">
            <v>683037.77000000048</v>
          </cell>
          <cell r="O584">
            <v>782671.56999999972</v>
          </cell>
          <cell r="P584">
            <v>621819.83000000031</v>
          </cell>
          <cell r="Q584">
            <v>8575219.7600000016</v>
          </cell>
        </row>
        <row r="586">
          <cell r="A586" t="str">
            <v>DD&amp;A</v>
          </cell>
        </row>
        <row r="587">
          <cell r="A587" t="str">
            <v>Depreciation</v>
          </cell>
        </row>
        <row r="588">
          <cell r="A588">
            <v>51260</v>
          </cell>
          <cell r="B588" t="str">
            <v>Depreciation</v>
          </cell>
          <cell r="E588">
            <v>128653.02</v>
          </cell>
          <cell r="F588">
            <v>131370.81</v>
          </cell>
          <cell r="G588">
            <v>131344.75</v>
          </cell>
          <cell r="H588">
            <v>130833.62</v>
          </cell>
          <cell r="I588">
            <v>128898.54</v>
          </cell>
          <cell r="J588">
            <v>124756.98</v>
          </cell>
          <cell r="K588">
            <v>129780.01</v>
          </cell>
          <cell r="L588">
            <v>124499.33</v>
          </cell>
          <cell r="M588">
            <v>116250.86</v>
          </cell>
          <cell r="N588">
            <v>116469.34</v>
          </cell>
          <cell r="O588">
            <v>115552.67</v>
          </cell>
          <cell r="P588">
            <v>115400.84</v>
          </cell>
          <cell r="Q588">
            <v>1493810.77</v>
          </cell>
        </row>
        <row r="589">
          <cell r="A589">
            <v>54260</v>
          </cell>
          <cell r="B589" t="str">
            <v>Depreciation</v>
          </cell>
          <cell r="E589">
            <v>44644.21</v>
          </cell>
          <cell r="F589">
            <v>45130.14</v>
          </cell>
          <cell r="G589">
            <v>45176.2</v>
          </cell>
          <cell r="H589">
            <v>45736.24</v>
          </cell>
          <cell r="I589">
            <v>45872.49</v>
          </cell>
          <cell r="J589">
            <v>46097.22</v>
          </cell>
          <cell r="K589">
            <v>46974.19</v>
          </cell>
          <cell r="L589">
            <v>47668</v>
          </cell>
          <cell r="M589">
            <v>47777.17</v>
          </cell>
          <cell r="N589">
            <v>47529.919999999998</v>
          </cell>
          <cell r="O589">
            <v>47583.6</v>
          </cell>
          <cell r="P589">
            <v>47682.03</v>
          </cell>
          <cell r="Q589">
            <v>557871.40999999992</v>
          </cell>
        </row>
        <row r="590">
          <cell r="A590">
            <v>56260</v>
          </cell>
          <cell r="B590" t="str">
            <v>Depreciation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</row>
        <row r="591">
          <cell r="A591">
            <v>57260</v>
          </cell>
          <cell r="B591" t="str">
            <v>Depreciation</v>
          </cell>
          <cell r="E591">
            <v>5579.13</v>
          </cell>
          <cell r="F591">
            <v>5579.15</v>
          </cell>
          <cell r="G591">
            <v>5579.14</v>
          </cell>
          <cell r="H591">
            <v>5579.12</v>
          </cell>
          <cell r="I591">
            <v>5579.14</v>
          </cell>
          <cell r="J591">
            <v>5579.19</v>
          </cell>
          <cell r="K591">
            <v>5579.09</v>
          </cell>
          <cell r="L591">
            <v>5579.1</v>
          </cell>
          <cell r="M591">
            <v>5521.44</v>
          </cell>
          <cell r="N591">
            <v>5521.33</v>
          </cell>
          <cell r="O591">
            <v>5521.37</v>
          </cell>
          <cell r="P591">
            <v>5521.3</v>
          </cell>
          <cell r="Q591">
            <v>66718.5</v>
          </cell>
        </row>
        <row r="592">
          <cell r="A592">
            <v>60260</v>
          </cell>
          <cell r="B592" t="str">
            <v>Depreciation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</row>
        <row r="593">
          <cell r="A593">
            <v>70257</v>
          </cell>
          <cell r="B593" t="str">
            <v>Depreciation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</row>
        <row r="594">
          <cell r="A594">
            <v>70260</v>
          </cell>
          <cell r="B594" t="str">
            <v>Depreciation</v>
          </cell>
          <cell r="E594">
            <v>819.53</v>
          </cell>
          <cell r="F594">
            <v>819.52</v>
          </cell>
          <cell r="G594">
            <v>819.52</v>
          </cell>
          <cell r="H594">
            <v>819.45</v>
          </cell>
          <cell r="I594">
            <v>622.97</v>
          </cell>
          <cell r="J594">
            <v>622.99</v>
          </cell>
          <cell r="K594">
            <v>622.98</v>
          </cell>
          <cell r="L594">
            <v>622.91</v>
          </cell>
          <cell r="M594">
            <v>451.09</v>
          </cell>
          <cell r="N594">
            <v>451.1</v>
          </cell>
          <cell r="O594">
            <v>430.18</v>
          </cell>
          <cell r="P594">
            <v>386.57</v>
          </cell>
          <cell r="Q594">
            <v>7488.8099999999995</v>
          </cell>
        </row>
        <row r="595">
          <cell r="A595" t="str">
            <v>Total Depreciation</v>
          </cell>
          <cell r="E595">
            <v>179695.89</v>
          </cell>
          <cell r="F595">
            <v>182899.62</v>
          </cell>
          <cell r="G595">
            <v>182919.61000000002</v>
          </cell>
          <cell r="H595">
            <v>182968.43</v>
          </cell>
          <cell r="I595">
            <v>180973.14</v>
          </cell>
          <cell r="J595">
            <v>177056.38</v>
          </cell>
          <cell r="K595">
            <v>182956.27000000002</v>
          </cell>
          <cell r="L595">
            <v>178369.34000000003</v>
          </cell>
          <cell r="M595">
            <v>170000.56</v>
          </cell>
          <cell r="N595">
            <v>169971.69</v>
          </cell>
          <cell r="O595">
            <v>169087.81999999998</v>
          </cell>
          <cell r="P595">
            <v>168990.74</v>
          </cell>
          <cell r="Q595">
            <v>2125889.4899999998</v>
          </cell>
        </row>
        <row r="597">
          <cell r="A597" t="str">
            <v>Depletion</v>
          </cell>
        </row>
        <row r="598">
          <cell r="A598">
            <v>46000</v>
          </cell>
          <cell r="B598" t="str">
            <v>Depletion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</row>
        <row r="599">
          <cell r="A599">
            <v>46010</v>
          </cell>
          <cell r="B599" t="str">
            <v>Closure Amortization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</row>
        <row r="600">
          <cell r="A600">
            <v>57261</v>
          </cell>
          <cell r="B600" t="str">
            <v>Airspace Amortization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</row>
        <row r="601">
          <cell r="A601" t="str">
            <v>Total Depletion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</row>
        <row r="603">
          <cell r="A603" t="str">
            <v>Amortization</v>
          </cell>
        </row>
        <row r="604">
          <cell r="A604">
            <v>70264</v>
          </cell>
          <cell r="B604" t="str">
            <v>Amortization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</row>
        <row r="605">
          <cell r="A605">
            <v>70266</v>
          </cell>
          <cell r="B605" t="str">
            <v>Cov. Not to Compete</v>
          </cell>
          <cell r="E605">
            <v>1987.84</v>
          </cell>
          <cell r="F605">
            <v>1987.84</v>
          </cell>
          <cell r="G605">
            <v>1987.83</v>
          </cell>
          <cell r="H605">
            <v>1987.84</v>
          </cell>
          <cell r="I605">
            <v>1987.83</v>
          </cell>
          <cell r="J605">
            <v>1987.83</v>
          </cell>
          <cell r="K605">
            <v>1987.84</v>
          </cell>
          <cell r="L605">
            <v>1987.8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15902.65</v>
          </cell>
        </row>
        <row r="606">
          <cell r="A606">
            <v>70267</v>
          </cell>
          <cell r="B606" t="str">
            <v>Amortization of Goodwill - Taxable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</row>
        <row r="607">
          <cell r="A607">
            <v>70268</v>
          </cell>
          <cell r="B607" t="str">
            <v>Amortization of Goodwill - Non-Taxable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</row>
        <row r="608">
          <cell r="A608">
            <v>70269</v>
          </cell>
          <cell r="B608" t="str">
            <v>Long Term Contract Amort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</row>
        <row r="609">
          <cell r="A609" t="str">
            <v>Total Amortization</v>
          </cell>
          <cell r="E609">
            <v>1987.84</v>
          </cell>
          <cell r="F609">
            <v>1987.84</v>
          </cell>
          <cell r="G609">
            <v>1987.83</v>
          </cell>
          <cell r="H609">
            <v>1987.84</v>
          </cell>
          <cell r="I609">
            <v>1987.83</v>
          </cell>
          <cell r="J609">
            <v>1987.83</v>
          </cell>
          <cell r="K609">
            <v>1987.84</v>
          </cell>
          <cell r="L609">
            <v>1987.8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15902.65</v>
          </cell>
        </row>
        <row r="611">
          <cell r="A611" t="str">
            <v>Total DDA</v>
          </cell>
          <cell r="E611">
            <v>181683.73</v>
          </cell>
          <cell r="F611">
            <v>184887.46</v>
          </cell>
          <cell r="G611">
            <v>184907.44</v>
          </cell>
          <cell r="H611">
            <v>184956.27</v>
          </cell>
          <cell r="I611">
            <v>182960.97</v>
          </cell>
          <cell r="J611">
            <v>179044.21</v>
          </cell>
          <cell r="K611">
            <v>184944.11000000002</v>
          </cell>
          <cell r="L611">
            <v>180357.14</v>
          </cell>
          <cell r="M611">
            <v>170000.56</v>
          </cell>
          <cell r="N611">
            <v>169971.69</v>
          </cell>
          <cell r="O611">
            <v>169087.81999999998</v>
          </cell>
          <cell r="P611">
            <v>168990.74</v>
          </cell>
          <cell r="Q611">
            <v>2141792.1399999997</v>
          </cell>
        </row>
        <row r="613">
          <cell r="A613" t="str">
            <v>EBIT</v>
          </cell>
          <cell r="E613">
            <v>530401.2899999998</v>
          </cell>
          <cell r="F613">
            <v>587717.89999999991</v>
          </cell>
          <cell r="G613">
            <v>591809.08999999985</v>
          </cell>
          <cell r="H613">
            <v>546583.5</v>
          </cell>
          <cell r="I613">
            <v>586657.69999999937</v>
          </cell>
          <cell r="J613">
            <v>373511.39000000036</v>
          </cell>
          <cell r="K613">
            <v>558066.65999999933</v>
          </cell>
          <cell r="L613">
            <v>483040.5899999995</v>
          </cell>
          <cell r="M613">
            <v>596160.58000000007</v>
          </cell>
          <cell r="N613">
            <v>513066.08000000048</v>
          </cell>
          <cell r="O613">
            <v>613583.74999999977</v>
          </cell>
          <cell r="P613">
            <v>452829.09000000032</v>
          </cell>
          <cell r="Q613">
            <v>6433427.620000002</v>
          </cell>
        </row>
        <row r="615">
          <cell r="A615" t="str">
            <v>Interest Expense</v>
          </cell>
        </row>
        <row r="616">
          <cell r="A616">
            <v>80000</v>
          </cell>
          <cell r="B616" t="str">
            <v>Interest Expense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</row>
        <row r="617">
          <cell r="A617">
            <v>80001</v>
          </cell>
          <cell r="B617" t="str">
            <v>Debt Accretion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</row>
        <row r="618">
          <cell r="A618">
            <v>80009</v>
          </cell>
          <cell r="B618" t="str">
            <v>Capitalized Interest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</row>
        <row r="619">
          <cell r="A619">
            <v>80099</v>
          </cell>
          <cell r="B619" t="str">
            <v>Interest Allocation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</row>
        <row r="620">
          <cell r="A620" t="str">
            <v>Total Interest Expense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</row>
        <row r="622">
          <cell r="A622" t="str">
            <v>Interest Income</v>
          </cell>
        </row>
        <row r="623">
          <cell r="A623">
            <v>80010</v>
          </cell>
          <cell r="B623" t="str">
            <v>Interest Income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</row>
        <row r="624">
          <cell r="A624" t="str">
            <v>Total Interest Income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</row>
        <row r="626">
          <cell r="A626" t="str">
            <v>Other (Income) and Expense</v>
          </cell>
        </row>
        <row r="627">
          <cell r="A627">
            <v>70901</v>
          </cell>
          <cell r="B627" t="str">
            <v>Pooling Costs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</row>
        <row r="628">
          <cell r="A628">
            <v>91000</v>
          </cell>
          <cell r="B628" t="str">
            <v>Unusual Gain/Loss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</row>
        <row r="629">
          <cell r="A629">
            <v>91001</v>
          </cell>
          <cell r="B629" t="str">
            <v>Investment Distribution Income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</row>
        <row r="630">
          <cell r="A630">
            <v>91002</v>
          </cell>
          <cell r="B630" t="str">
            <v>NSF Fees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</row>
        <row r="631">
          <cell r="A631" t="str">
            <v>Total Other (Income) and Expense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</row>
        <row r="633">
          <cell r="A633" t="str">
            <v>Income Before Taxes and Extraordinary Items</v>
          </cell>
          <cell r="E633">
            <v>530401.2899999998</v>
          </cell>
          <cell r="F633">
            <v>587717.89999999991</v>
          </cell>
          <cell r="G633">
            <v>591809.08999999985</v>
          </cell>
          <cell r="H633">
            <v>546583.5</v>
          </cell>
          <cell r="I633">
            <v>586657.69999999937</v>
          </cell>
          <cell r="J633">
            <v>373511.39000000036</v>
          </cell>
          <cell r="K633">
            <v>558066.65999999933</v>
          </cell>
          <cell r="L633">
            <v>483040.5899999995</v>
          </cell>
          <cell r="M633">
            <v>596160.58000000007</v>
          </cell>
          <cell r="N633">
            <v>513066.08000000048</v>
          </cell>
          <cell r="O633">
            <v>613583.74999999977</v>
          </cell>
          <cell r="P633">
            <v>452829.09000000032</v>
          </cell>
          <cell r="Q633">
            <v>6433427.620000002</v>
          </cell>
        </row>
        <row r="635">
          <cell r="A635" t="str">
            <v>Extraordinary Income and Expense</v>
          </cell>
        </row>
        <row r="636">
          <cell r="A636">
            <v>92999</v>
          </cell>
          <cell r="B636" t="str">
            <v>Extraordinary Gain/Loss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</row>
        <row r="637">
          <cell r="A637" t="str">
            <v>Total Extraordinary Income and Expense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</row>
        <row r="639">
          <cell r="A639" t="str">
            <v>Net Income Before Taxes</v>
          </cell>
          <cell r="E639">
            <v>530401.2899999998</v>
          </cell>
          <cell r="F639">
            <v>587717.89999999991</v>
          </cell>
          <cell r="G639">
            <v>591809.08999999985</v>
          </cell>
          <cell r="H639">
            <v>546583.5</v>
          </cell>
          <cell r="I639">
            <v>586657.69999999937</v>
          </cell>
          <cell r="J639">
            <v>373511.39000000036</v>
          </cell>
          <cell r="K639">
            <v>558066.65999999933</v>
          </cell>
          <cell r="L639">
            <v>483040.5899999995</v>
          </cell>
          <cell r="M639">
            <v>596160.58000000007</v>
          </cell>
          <cell r="N639">
            <v>513066.08000000048</v>
          </cell>
          <cell r="O639">
            <v>613583.74999999977</v>
          </cell>
          <cell r="P639">
            <v>452829.09000000032</v>
          </cell>
          <cell r="Q639">
            <v>6433427.620000002</v>
          </cell>
        </row>
        <row r="641">
          <cell r="A641" t="str">
            <v>Income Taxes</v>
          </cell>
        </row>
        <row r="642">
          <cell r="A642">
            <v>90000</v>
          </cell>
          <cell r="B642" t="str">
            <v>Taxes -Federal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</row>
        <row r="643">
          <cell r="A643">
            <v>90010</v>
          </cell>
          <cell r="B643" t="str">
            <v>Taxes - State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</row>
        <row r="644">
          <cell r="A644" t="str">
            <v>Total Income Taxes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</row>
        <row r="646">
          <cell r="A646" t="str">
            <v>Net Income</v>
          </cell>
          <cell r="E646">
            <v>530401.2899999998</v>
          </cell>
          <cell r="F646">
            <v>587717.89999999991</v>
          </cell>
          <cell r="G646">
            <v>591809.08999999985</v>
          </cell>
          <cell r="H646">
            <v>546583.5</v>
          </cell>
          <cell r="I646">
            <v>586657.69999999937</v>
          </cell>
          <cell r="J646">
            <v>373511.39000000036</v>
          </cell>
          <cell r="K646">
            <v>558066.65999999933</v>
          </cell>
          <cell r="L646">
            <v>483040.5899999995</v>
          </cell>
          <cell r="M646">
            <v>596160.58000000007</v>
          </cell>
          <cell r="N646">
            <v>513066.08000000048</v>
          </cell>
          <cell r="O646">
            <v>613583.74999999977</v>
          </cell>
          <cell r="P646">
            <v>452829.09000000032</v>
          </cell>
          <cell r="Q646">
            <v>6433427.620000002</v>
          </cell>
        </row>
        <row r="648">
          <cell r="A648" t="str">
            <v>Noncontrolling Interests Expense</v>
          </cell>
        </row>
        <row r="649">
          <cell r="A649">
            <v>92000</v>
          </cell>
          <cell r="B649" t="str">
            <v>Noncontrolling interests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</row>
        <row r="650">
          <cell r="A650" t="str">
            <v>Total Noncontrolling Interests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</row>
        <row r="652">
          <cell r="A652" t="str">
            <v>Net Income Attributable to Waste Connections</v>
          </cell>
          <cell r="E652">
            <v>530401.2899999998</v>
          </cell>
          <cell r="F652">
            <v>587717.89999999991</v>
          </cell>
          <cell r="G652">
            <v>591809.08999999985</v>
          </cell>
          <cell r="H652">
            <v>546583.5</v>
          </cell>
          <cell r="I652">
            <v>586657.69999999937</v>
          </cell>
          <cell r="J652">
            <v>373511.39000000036</v>
          </cell>
          <cell r="K652">
            <v>558066.65999999933</v>
          </cell>
          <cell r="L652">
            <v>483040.5899999995</v>
          </cell>
          <cell r="M652">
            <v>596160.58000000007</v>
          </cell>
          <cell r="N652">
            <v>513066.08000000048</v>
          </cell>
          <cell r="O652">
            <v>613583.74999999977</v>
          </cell>
          <cell r="P652">
            <v>452829.09000000032</v>
          </cell>
          <cell r="Q652">
            <v>6433427.620000002</v>
          </cell>
        </row>
        <row r="654">
          <cell r="A654" t="str">
            <v>Net Income Attributable to Waste Connections per categories</v>
          </cell>
          <cell r="E654">
            <v>530401.29</v>
          </cell>
          <cell r="F654">
            <v>587717.9</v>
          </cell>
          <cell r="G654">
            <v>591809.09</v>
          </cell>
          <cell r="H654">
            <v>546583.5</v>
          </cell>
          <cell r="I654">
            <v>586657.69999999995</v>
          </cell>
          <cell r="J654">
            <v>373511.39</v>
          </cell>
          <cell r="K654">
            <v>558066.66</v>
          </cell>
          <cell r="L654">
            <v>483040.59</v>
          </cell>
          <cell r="M654">
            <v>596160.57999999996</v>
          </cell>
          <cell r="N654">
            <v>513066.08</v>
          </cell>
          <cell r="O654">
            <v>613583.75</v>
          </cell>
          <cell r="P654">
            <v>452829.09</v>
          </cell>
        </row>
      </sheetData>
      <sheetData sheetId="6" refreshError="1"/>
      <sheetData sheetId="7" refreshError="1">
        <row r="18">
          <cell r="Z18">
            <v>0.33073677436726834</v>
          </cell>
        </row>
        <row r="20">
          <cell r="AC20">
            <v>0.2095860832011289</v>
          </cell>
          <cell r="AK20">
            <v>0.43549015768657823</v>
          </cell>
        </row>
        <row r="39">
          <cell r="AC39">
            <v>0.37964780853584096</v>
          </cell>
        </row>
        <row r="40">
          <cell r="AC40">
            <v>0.36547527560558957</v>
          </cell>
        </row>
        <row r="120">
          <cell r="AE120">
            <v>0.43886061148837213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PL_ActReview"/>
      <sheetName val="PL_ActReview2"/>
      <sheetName val="BS_Close"/>
      <sheetName val="PL_ActTranx"/>
      <sheetName val="IS200PL"/>
      <sheetName val="IS210PL"/>
      <sheetName val="ProjRevCheck"/>
      <sheetName val="BDebtCheck"/>
      <sheetName val="52901Check"/>
      <sheetName val="ICCheck"/>
      <sheetName val="BSCheck"/>
      <sheetName val="BadJECheck"/>
      <sheetName val="JE_Review"/>
      <sheetName val="Proj1"/>
      <sheetName val="Proj2"/>
    </sheetNames>
    <sheetDataSet>
      <sheetData sheetId="0"/>
      <sheetData sheetId="1" refreshError="1">
        <row r="2">
          <cell r="S2" t="str">
            <v>P&amp;L Close Report</v>
          </cell>
        </row>
        <row r="3">
          <cell r="S3" t="str">
            <v>P&amp;L Close Report 2</v>
          </cell>
        </row>
        <row r="4">
          <cell r="S4" t="str">
            <v>BS Close Report</v>
          </cell>
        </row>
        <row r="5">
          <cell r="S5" t="str">
            <v>IS 200 - PL Review</v>
          </cell>
        </row>
        <row r="6">
          <cell r="S6" t="str">
            <v>IS 210 - PL Review</v>
          </cell>
        </row>
        <row r="7">
          <cell r="S7" t="str">
            <v>P&amp;L Tranx Report</v>
          </cell>
        </row>
        <row r="8">
          <cell r="S8" t="str">
            <v>JE Review Report</v>
          </cell>
        </row>
        <row r="9">
          <cell r="S9" t="str">
            <v>Corp: Rev/Proj Check</v>
          </cell>
        </row>
        <row r="10">
          <cell r="S10" t="str">
            <v>Corp: 52901 Check</v>
          </cell>
        </row>
        <row r="11">
          <cell r="S11" t="str">
            <v>Corp: BS Check</v>
          </cell>
        </row>
        <row r="12">
          <cell r="S12" t="str">
            <v>Corp: Bad Debt Check</v>
          </cell>
        </row>
        <row r="13">
          <cell r="S13" t="str">
            <v>Corp: IC Check</v>
          </cell>
        </row>
        <row r="14">
          <cell r="S14" t="str">
            <v>Corp: JE Neg Check</v>
          </cell>
        </row>
        <row r="15">
          <cell r="S15" t="str">
            <v>Proj Review Report</v>
          </cell>
        </row>
        <row r="16">
          <cell r="S16" t="str">
            <v>Proj Review Report 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A, Certification"/>
      <sheetName val="OrgControl"/>
      <sheetName val="InsuranceAccident"/>
      <sheetName val="bsasset"/>
      <sheetName val="bsliab"/>
      <sheetName val="FixedAssets"/>
      <sheetName val="RetainedEarnings"/>
      <sheetName val="Income Statement"/>
      <sheetName val="RevenuesCust"/>
      <sheetName val="Recycle"/>
      <sheetName val="contracts"/>
      <sheetName val="GarbageDisp"/>
      <sheetName val="RecycleProcessing"/>
      <sheetName val="Payroll"/>
      <sheetName val="FeeCal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A, Certification"/>
      <sheetName val="OrgControl"/>
      <sheetName val="InsuranceAccident"/>
      <sheetName val="bsasset"/>
      <sheetName val="bsliab"/>
      <sheetName val="FixedAssets"/>
      <sheetName val="RetainedEarnings"/>
      <sheetName val="Income Statement"/>
      <sheetName val="RevenuesCust"/>
      <sheetName val="Recycle"/>
      <sheetName val="contracts"/>
      <sheetName val="GarbageDisp"/>
      <sheetName val="RecycleProcessing"/>
      <sheetName val="Payroll"/>
      <sheetName val="FeeCal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A, Certification"/>
      <sheetName val="OrgControl"/>
      <sheetName val="InsuranceAccident"/>
      <sheetName val="bsasset"/>
      <sheetName val="bsliab"/>
      <sheetName val="FixedAssets"/>
      <sheetName val="RetainedEarnings"/>
      <sheetName val="Income Statement"/>
      <sheetName val="RevenuesCust"/>
      <sheetName val="Recycle"/>
      <sheetName val="contracts"/>
      <sheetName val="GarbageDisp"/>
      <sheetName val="RecycleProcessing"/>
      <sheetName val="Payroll"/>
      <sheetName val="FeeCal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ttyCash-10110"/>
      <sheetName val="10200"/>
      <sheetName val="10210"/>
      <sheetName val="10250_RECON"/>
      <sheetName val="10250_MVPSS"/>
      <sheetName val="10250_Recy Chkg"/>
      <sheetName val="10250_Reimb Accts"/>
      <sheetName val="10250_Rollfwd"/>
      <sheetName val="10410_Rollfwd"/>
      <sheetName val="10410_Recon"/>
      <sheetName val="10410_Trade"/>
      <sheetName val="10410_Lodi"/>
      <sheetName val="10410_Sac Co"/>
      <sheetName val="10410_Brokered"/>
      <sheetName val="10420_Rollfwd"/>
      <sheetName val="10420 RECON"/>
      <sheetName val="Rollfwd_10550"/>
      <sheetName val="Recon_10550"/>
      <sheetName val="Recon_10555"/>
      <sheetName val="Recon_10610"/>
      <sheetName val="A170XX-October"/>
      <sheetName val="Recon_10760"/>
      <sheetName val="Rollfwd_10820"/>
      <sheetName val="PPXXC_10830"/>
      <sheetName val="Schedule_10830"/>
      <sheetName val="Recon_10830"/>
      <sheetName val="Rollfwd_10850"/>
      <sheetName val="Recon_10850"/>
      <sheetName val="ReconSumm_10890"/>
      <sheetName val="ASSETS 11XXX"/>
      <sheetName val="ACC DEP 12XXX"/>
      <sheetName val="GOODWILL_15120"/>
      <sheetName val="Rollfwd_15450"/>
      <sheetName val="15450_92 bond"/>
      <sheetName val="15450_94 Bond "/>
      <sheetName val="Recon_15450"/>
      <sheetName val="Rollfwd_15320_15500"/>
      <sheetName val="16100_Rollfwd"/>
      <sheetName val="A180543"/>
      <sheetName val="A20110"/>
      <sheetName val="Rollfwd_20120"/>
      <sheetName val="Recon_20120"/>
      <sheetName val="Recon_20130"/>
      <sheetName val="Recon_20133"/>
      <sheetName val="Recon_20135"/>
      <sheetName val="Recon_20137"/>
      <sheetName val="A20140"/>
      <sheetName val="SALES TAX RETURN_20140"/>
      <sheetName val="Rollfwd_20170"/>
      <sheetName val="Recon_20170"/>
      <sheetName val="Recon_20175"/>
      <sheetName val="Recon_20177"/>
      <sheetName val="Detail_20320"/>
      <sheetName val="Rollfwd_20325"/>
      <sheetName val="Recon_20325"/>
      <sheetName val="A20330"/>
      <sheetName val="RECON 20335"/>
      <sheetName val="RECON_20340"/>
      <sheetName val="DETAILED 20360"/>
      <sheetName val="recon 20365"/>
      <sheetName val="recon 20375"/>
      <sheetName val="A21100 &amp; A21250"/>
      <sheetName val="21250_92 Bond"/>
      <sheetName val="21250_94 Bond"/>
      <sheetName val="21250_R. Vaccarezza"/>
      <sheetName val="21250_BOND DIS AMORT"/>
      <sheetName val="A21390"/>
      <sheetName val="Recon 22104"/>
      <sheetName val="Recon 22105"/>
      <sheetName val="Recon 22109"/>
      <sheetName val="Recon 22205 "/>
      <sheetName val="Recon 22206"/>
      <sheetName val="Recon_30XXXX"/>
      <sheetName val="Recon 150543 Revised"/>
      <sheetName val="170001 DL 121999"/>
      <sheetName val="Rollfwd_170001"/>
      <sheetName val="A170001"/>
      <sheetName val="Rollfwd_170050"/>
      <sheetName val="A170050"/>
      <sheetName val="Rollfwd_171170"/>
      <sheetName val="A171170"/>
      <sheetName val="Rollfwd_171500"/>
      <sheetName val="A171500"/>
      <sheetName val="A171504"/>
      <sheetName val="A171531"/>
      <sheetName val="A172216"/>
      <sheetName val="A172220"/>
      <sheetName val="A172355"/>
      <sheetName val="Dec_99 DL_RAW"/>
      <sheetName val="Dec_99 DL_"/>
      <sheetName val="DEC_98 DL RAW"/>
      <sheetName val="DEC_98 DL "/>
      <sheetName val="Sheet4"/>
      <sheetName val="Sheet4 (2)"/>
      <sheetName val="XXXXXX"/>
      <sheetName val="BU NAMES"/>
      <sheetName val="PS BS ACCOU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Truck Schedule"/>
      <sheetName val="Jun 2011 FAR"/>
      <sheetName val="Scrap List"/>
      <sheetName val="Sheet1"/>
      <sheetName val="Sheet2"/>
      <sheetName val="Sheet3"/>
      <sheetName val="Sheet4"/>
      <sheetName val="Feb'12 FAR Data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Truck Schedule"/>
      <sheetName val="Jun 2011 FAR"/>
      <sheetName val="Scrap List"/>
      <sheetName val="Sheet1"/>
      <sheetName val="Sheet2"/>
      <sheetName val="Sheet3"/>
      <sheetName val="Sheet4"/>
      <sheetName val="Feb'12 FAR Data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Truck Schedule"/>
      <sheetName val="Jun 2011 FAR"/>
      <sheetName val="Scrap List"/>
      <sheetName val="Sheet1"/>
      <sheetName val="Sheet2"/>
      <sheetName val="Sheet3"/>
      <sheetName val="Sheet4"/>
      <sheetName val="Feb'12 FAR Data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4MthProj1"/>
      <sheetName val="4MthProj2"/>
      <sheetName val="PL_ActReview"/>
      <sheetName val="PL_ActReview2"/>
      <sheetName val="BS_Close"/>
      <sheetName val="IS200PL"/>
      <sheetName val="PL_ActTranx"/>
      <sheetName val="IS210PL"/>
      <sheetName val="ProjRevCheck"/>
      <sheetName val="BDebtCheck"/>
      <sheetName val="52901Check"/>
      <sheetName val="ICCheck"/>
      <sheetName val="BSCheck"/>
      <sheetName val="BadJECheck"/>
      <sheetName val="JE_Review"/>
      <sheetName val="Proj1"/>
      <sheetName val="Proj2"/>
    </sheetNames>
    <sheetDataSet>
      <sheetData sheetId="0"/>
      <sheetData sheetId="1">
        <row r="2">
          <cell r="S2" t="str">
            <v>P&amp;L Close Report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 Summary"/>
      <sheetName val="Customer Count Summary"/>
      <sheetName val="2010_IS210"/>
      <sheetName val="Clark Co"/>
      <sheetName val="UTC Non-REg"/>
      <sheetName val="Camas Non-Reg"/>
      <sheetName val="Ridgefield Non-Reg"/>
      <sheetName val="Vancouver Non-Reg"/>
      <sheetName val="Washougal Non-Reg"/>
      <sheetName val="West Van Non-Reg"/>
      <sheetName val="Shred Non-Reg"/>
      <sheetName val="Data Pivots"/>
      <sheetName val="JE Query - Commercial"/>
      <sheetName val="JE Query - Commingle Pilot "/>
      <sheetName val="JE Query - Non-MM001 Rev"/>
      <sheetName val="10-2016 through 12-2016 DATA"/>
      <sheetName val="1-2017 through 9-2017 DATA"/>
    </sheetNames>
    <sheetDataSet>
      <sheetData sheetId="0">
        <row r="14">
          <cell r="B14">
            <v>2315814.08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erences"/>
      <sheetName val="Regulated"/>
      <sheetName val="Non-Regulated"/>
    </sheetNames>
    <sheetDataSet>
      <sheetData sheetId="0">
        <row r="3">
          <cell r="C3">
            <v>21.65</v>
          </cell>
        </row>
        <row r="4">
          <cell r="C4">
            <v>17.32</v>
          </cell>
        </row>
        <row r="5">
          <cell r="C5">
            <v>12.99</v>
          </cell>
        </row>
        <row r="6">
          <cell r="C6">
            <v>8.66</v>
          </cell>
        </row>
        <row r="7">
          <cell r="C7">
            <v>4.33</v>
          </cell>
          <cell r="D7">
            <v>8.66</v>
          </cell>
          <cell r="E7">
            <v>12.99</v>
          </cell>
          <cell r="F7">
            <v>17.32</v>
          </cell>
        </row>
        <row r="8">
          <cell r="C8">
            <v>2.17</v>
          </cell>
        </row>
        <row r="9">
          <cell r="C9">
            <v>1</v>
          </cell>
        </row>
        <row r="10">
          <cell r="C10">
            <v>1</v>
          </cell>
        </row>
        <row r="13">
          <cell r="C13">
            <v>20</v>
          </cell>
        </row>
        <row r="14">
          <cell r="C14">
            <v>34</v>
          </cell>
        </row>
        <row r="15">
          <cell r="C15">
            <v>51</v>
          </cell>
        </row>
        <row r="16">
          <cell r="C16">
            <v>77</v>
          </cell>
        </row>
        <row r="17">
          <cell r="C17">
            <v>97</v>
          </cell>
        </row>
        <row r="18">
          <cell r="C18">
            <v>117</v>
          </cell>
        </row>
        <row r="21">
          <cell r="C21">
            <v>40</v>
          </cell>
        </row>
        <row r="23">
          <cell r="C23">
            <v>51</v>
          </cell>
        </row>
        <row r="24">
          <cell r="C24">
            <v>68</v>
          </cell>
        </row>
        <row r="25">
          <cell r="C25">
            <v>77</v>
          </cell>
        </row>
        <row r="27">
          <cell r="C27">
            <v>34</v>
          </cell>
        </row>
        <row r="29">
          <cell r="C29">
            <v>29</v>
          </cell>
        </row>
        <row r="30">
          <cell r="C30">
            <v>125</v>
          </cell>
        </row>
        <row r="31">
          <cell r="C31">
            <v>175</v>
          </cell>
        </row>
        <row r="32">
          <cell r="C32">
            <v>250</v>
          </cell>
        </row>
        <row r="33">
          <cell r="C33">
            <v>324</v>
          </cell>
        </row>
        <row r="34">
          <cell r="C34">
            <v>473</v>
          </cell>
        </row>
        <row r="35">
          <cell r="C35">
            <v>613</v>
          </cell>
        </row>
        <row r="36">
          <cell r="C36">
            <v>728</v>
          </cell>
        </row>
        <row r="37">
          <cell r="C37">
            <v>840</v>
          </cell>
        </row>
        <row r="38">
          <cell r="C38">
            <v>980</v>
          </cell>
        </row>
        <row r="49">
          <cell r="C49">
            <v>1000</v>
          </cell>
        </row>
        <row r="50">
          <cell r="C50">
            <v>1296</v>
          </cell>
        </row>
        <row r="51">
          <cell r="C51">
            <v>1892</v>
          </cell>
        </row>
      </sheetData>
      <sheetData sheetId="1">
        <row r="115">
          <cell r="C115">
            <v>0.787091510730904</v>
          </cell>
        </row>
      </sheetData>
      <sheetData sheetId="2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0_IS210"/>
      <sheetName val="Vancouver Consolidated IS"/>
      <sheetName val="LG Regulated"/>
      <sheetName val="Ratios"/>
      <sheetName val="Restating Adj's"/>
      <sheetName val="Pro-forma Adj's"/>
      <sheetName val="Proposed Rates"/>
      <sheetName val="Price Out"/>
      <sheetName val="Total Depreciation Summary"/>
      <sheetName val="Disposal"/>
      <sheetName val="WCI P&amp;L"/>
      <sheetName val="WCI BS"/>
      <sheetName val="Corp OH"/>
      <sheetName val="Region OH Calc"/>
    </sheetNames>
    <sheetDataSet>
      <sheetData sheetId="0"/>
      <sheetData sheetId="1">
        <row r="1">
          <cell r="A1" t="str">
            <v>Waste Connections of Washington, G-253</v>
          </cell>
        </row>
        <row r="3">
          <cell r="A3" t="str">
            <v>Test Period Ending 9-30-2017</v>
          </cell>
        </row>
        <row r="17">
          <cell r="E17">
            <v>6625525.0600000005</v>
          </cell>
        </row>
        <row r="160">
          <cell r="C160">
            <v>20486867.590000004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 IS"/>
      <sheetName val="2183 IS"/>
      <sheetName val="2184 IS"/>
      <sheetName val="2185 IS"/>
      <sheetName val="Consolidated IS"/>
      <sheetName val="Ratios Thurston"/>
      <sheetName val="2183 Pro forma"/>
      <sheetName val="2183 Ratios"/>
      <sheetName val="Restating Expl"/>
      <sheetName val="Pro forma Expl"/>
      <sheetName val="Pacific Regulated - Price Out"/>
      <sheetName val="Total Matrix"/>
      <sheetName val="Packer_RO Matrix"/>
      <sheetName val="COS Packer_RO"/>
      <sheetName val="Res YW Matix"/>
      <sheetName val="Res Recy Matrix"/>
      <sheetName val="MF Recy Matrix"/>
      <sheetName val="COS RR YW MFR"/>
      <sheetName val="Total Pac,Rural"/>
      <sheetName val="Rural"/>
      <sheetName val="LG-Pacific Pckr Rts"/>
      <sheetName val="LG-RO"/>
      <sheetName val="Res Recycl"/>
      <sheetName val="MF Recycl"/>
      <sheetName val="YW"/>
      <sheetName val="Depr Summary 2183"/>
      <sheetName val="Trucks 2183"/>
      <sheetName val="Containers 2183"/>
      <sheetName val="OTHER EQUIP 2183"/>
      <sheetName val="LeMay Global"/>
      <sheetName val="Fuel"/>
      <sheetName val="DF Schedule"/>
      <sheetName val="2183 Payroll"/>
      <sheetName val="2184 Payroll"/>
      <sheetName val="2185 Payroll"/>
      <sheetName val="Cust Cnt"/>
      <sheetName val="Unit Cnt"/>
      <sheetName val="70148 Summary"/>
      <sheetName val="Time Study"/>
      <sheetName val="Corp O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49">
          <cell r="M49">
            <v>8000432.4617248299</v>
          </cell>
        </row>
        <row r="50">
          <cell r="F50">
            <v>8158680.0299999993</v>
          </cell>
        </row>
        <row r="58">
          <cell r="M58">
            <v>2625393.5068796892</v>
          </cell>
        </row>
        <row r="59">
          <cell r="F59">
            <v>2119461.4499999997</v>
          </cell>
        </row>
        <row r="69">
          <cell r="M69">
            <v>1361744.4391882615</v>
          </cell>
        </row>
        <row r="70">
          <cell r="F70">
            <v>1347163.92</v>
          </cell>
        </row>
        <row r="213">
          <cell r="M213">
            <v>4757117.5866496488</v>
          </cell>
        </row>
        <row r="214">
          <cell r="F214">
            <v>4859462.2200000007</v>
          </cell>
        </row>
        <row r="221">
          <cell r="M221">
            <v>395543.82663328515</v>
          </cell>
        </row>
        <row r="222">
          <cell r="F222">
            <v>332798.89999999997</v>
          </cell>
        </row>
        <row r="281">
          <cell r="M281">
            <v>1187221.5155152699</v>
          </cell>
        </row>
        <row r="282">
          <cell r="F282">
            <v>744277.47999999975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 IS"/>
      <sheetName val="2183 IS"/>
      <sheetName val="2184 IS"/>
      <sheetName val="2185 IS"/>
      <sheetName val="Consolidated IS"/>
      <sheetName val="Ratios Thurston"/>
      <sheetName val="2183 Pro forma"/>
      <sheetName val="2183 Ratios"/>
      <sheetName val="Restating Expl"/>
      <sheetName val="Pro forma Expl"/>
      <sheetName val="Pacific Regulated - Price Out"/>
      <sheetName val="Total Matrix"/>
      <sheetName val="Packer_RO Matrix"/>
      <sheetName val="COS Packer_RO"/>
      <sheetName val="Res YW Matix"/>
      <sheetName val="Res Recy Matrix"/>
      <sheetName val="MF Recy Matrix"/>
      <sheetName val="COS RR YW MFR"/>
      <sheetName val="Total Pac,Rural"/>
      <sheetName val="Rural"/>
      <sheetName val="LG-Pacific Pckr Rts"/>
      <sheetName val="LG-RO"/>
      <sheetName val="Res Recycl"/>
      <sheetName val="MF Recycl"/>
      <sheetName val="YW"/>
      <sheetName val="Depr Summary 2183"/>
      <sheetName val="Trucks 2183"/>
      <sheetName val="Containers 2183"/>
      <sheetName val="OTHER EQUIP 2183"/>
      <sheetName val="LeMay Global"/>
      <sheetName val="Fuel"/>
      <sheetName val="DF Schedule"/>
      <sheetName val="2183 Payroll"/>
      <sheetName val="2184 Payroll"/>
      <sheetName val="2185 Payroll"/>
      <sheetName val="Cust Cnt"/>
      <sheetName val="Unit Cnt"/>
      <sheetName val="70148 Summary"/>
      <sheetName val="Time Study"/>
      <sheetName val="Corp O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9">
          <cell r="M49">
            <v>8000432.4617248299</v>
          </cell>
        </row>
        <row r="50">
          <cell r="F50">
            <v>8158680.0299999993</v>
          </cell>
        </row>
        <row r="58">
          <cell r="M58">
            <v>2625393.5068796892</v>
          </cell>
        </row>
        <row r="59">
          <cell r="F59">
            <v>2119461.4499999997</v>
          </cell>
        </row>
        <row r="69">
          <cell r="M69">
            <v>1361744.4391882615</v>
          </cell>
        </row>
        <row r="70">
          <cell r="F70">
            <v>1347163.92</v>
          </cell>
        </row>
        <row r="213">
          <cell r="M213">
            <v>4757117.5866496488</v>
          </cell>
        </row>
        <row r="214">
          <cell r="F214">
            <v>4859462.2200000007</v>
          </cell>
        </row>
        <row r="221">
          <cell r="M221">
            <v>395543.82663328515</v>
          </cell>
        </row>
        <row r="222">
          <cell r="F222">
            <v>332798.89999999997</v>
          </cell>
        </row>
        <row r="281">
          <cell r="M281">
            <v>1187221.5155152699</v>
          </cell>
        </row>
        <row r="282">
          <cell r="F282">
            <v>744277.47999999975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 IS"/>
      <sheetName val="2183 IS"/>
      <sheetName val="2184 IS"/>
      <sheetName val="2185 IS"/>
      <sheetName val="Consolidated IS"/>
      <sheetName val="Ratios Thurston"/>
      <sheetName val="2183 Pro forma"/>
      <sheetName val="2183 Ratios"/>
      <sheetName val="Restating Expl"/>
      <sheetName val="Pro forma Expl"/>
      <sheetName val="Pacific Regulated - Price Out"/>
      <sheetName val="Total Matrix"/>
      <sheetName val="Packer_RO Matrix"/>
      <sheetName val="COS Packer_RO"/>
      <sheetName val="Res YW Matix"/>
      <sheetName val="Res Recy Matrix"/>
      <sheetName val="MF Recy Matrix"/>
      <sheetName val="COS RR YW MFR"/>
      <sheetName val="Total Pac,Rural"/>
      <sheetName val="Rural"/>
      <sheetName val="LG-Pacific Pckr Rts"/>
      <sheetName val="LG-RO"/>
      <sheetName val="Res Recycl"/>
      <sheetName val="MF Recycl"/>
      <sheetName val="YW"/>
      <sheetName val="Depr Summary 2183"/>
      <sheetName val="Trucks 2183"/>
      <sheetName val="Containers 2183"/>
      <sheetName val="OTHER EQUIP 2183"/>
      <sheetName val="LeMay Global"/>
      <sheetName val="Fuel"/>
      <sheetName val="DF Schedule"/>
      <sheetName val="2183 Payroll"/>
      <sheetName val="2184 Payroll"/>
      <sheetName val="2185 Payroll"/>
      <sheetName val="Cust Cnt"/>
      <sheetName val="Unit Cnt"/>
      <sheetName val="70148 Summary"/>
      <sheetName val="Time Study"/>
      <sheetName val="Corp O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9">
          <cell r="M49">
            <v>8000432.4617248299</v>
          </cell>
        </row>
        <row r="50">
          <cell r="F50">
            <v>8158680.0299999993</v>
          </cell>
        </row>
        <row r="58">
          <cell r="M58">
            <v>2625393.5068796892</v>
          </cell>
        </row>
        <row r="59">
          <cell r="F59">
            <v>2119461.4499999997</v>
          </cell>
        </row>
        <row r="69">
          <cell r="M69">
            <v>1361744.4391882615</v>
          </cell>
        </row>
        <row r="70">
          <cell r="F70">
            <v>1347163.92</v>
          </cell>
        </row>
        <row r="213">
          <cell r="M213">
            <v>4757117.5866496488</v>
          </cell>
        </row>
        <row r="214">
          <cell r="F214">
            <v>4859462.2200000007</v>
          </cell>
        </row>
        <row r="221">
          <cell r="M221">
            <v>395543.82663328515</v>
          </cell>
        </row>
        <row r="222">
          <cell r="F222">
            <v>332798.89999999997</v>
          </cell>
        </row>
        <row r="281">
          <cell r="M281">
            <v>1187221.5155152699</v>
          </cell>
        </row>
        <row r="282">
          <cell r="F282">
            <v>744277.47999999975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29"/>
  <sheetViews>
    <sheetView showGridLines="0" tabSelected="1" view="pageBreakPreview" zoomScale="80" zoomScaleNormal="100" zoomScaleSheetLayoutView="80" workbookViewId="0">
      <selection activeCell="F117" sqref="F117"/>
    </sheetView>
  </sheetViews>
  <sheetFormatPr defaultRowHeight="15" outlineLevelCol="1"/>
  <cols>
    <col min="1" max="1" width="11.140625" style="2" customWidth="1"/>
    <col min="2" max="2" width="23.42578125" style="2" customWidth="1"/>
    <col min="3" max="3" width="2.5703125" style="3" customWidth="1"/>
    <col min="4" max="4" width="10" style="3" bestFit="1" customWidth="1"/>
    <col min="5" max="5" width="14" style="185" bestFit="1" customWidth="1" outlineLevel="1"/>
    <col min="6" max="6" width="2.7109375" style="3" customWidth="1" outlineLevel="1"/>
    <col min="7" max="7" width="14.7109375" style="3" bestFit="1" customWidth="1" outlineLevel="1"/>
    <col min="8" max="8" width="2.7109375" style="3" customWidth="1" outlineLevel="1"/>
    <col min="9" max="9" width="13.28515625" style="3" customWidth="1"/>
    <col min="10" max="10" width="14.5703125" style="3" customWidth="1" outlineLevel="1"/>
    <col min="11" max="11" width="13.85546875" style="3" bestFit="1" customWidth="1" outlineLevel="1"/>
    <col min="12" max="12" width="16.42578125" style="3" bestFit="1" customWidth="1" outlineLevel="1"/>
    <col min="13" max="13" width="18.5703125" style="3" bestFit="1" customWidth="1" outlineLevel="1"/>
    <col min="14" max="14" width="13" style="3" bestFit="1" customWidth="1" outlineLevel="1"/>
    <col min="15" max="15" width="18.42578125" style="3" bestFit="1" customWidth="1" outlineLevel="1"/>
    <col min="16" max="16" width="9" style="3" bestFit="1" customWidth="1"/>
    <col min="17" max="17" width="15" style="3" bestFit="1" customWidth="1"/>
    <col min="18" max="18" width="13.140625" style="3" bestFit="1" customWidth="1"/>
    <col min="19" max="19" width="12.85546875" style="3" bestFit="1" customWidth="1"/>
    <col min="20" max="20" width="18.5703125" style="3" bestFit="1" customWidth="1"/>
    <col min="21" max="21" width="14.42578125" style="3" bestFit="1" customWidth="1"/>
    <col min="22" max="22" width="10" style="3" bestFit="1" customWidth="1"/>
    <col min="23" max="23" width="12" style="3" bestFit="1" customWidth="1"/>
    <col min="24" max="16384" width="9.140625" style="3"/>
  </cols>
  <sheetData>
    <row r="1" spans="1:22">
      <c r="A1" s="1" t="s">
        <v>75</v>
      </c>
      <c r="B1" s="14"/>
      <c r="C1" s="15"/>
      <c r="D1" s="15"/>
      <c r="E1" s="21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</row>
    <row r="2" spans="1:22">
      <c r="A2" s="1" t="s">
        <v>632</v>
      </c>
      <c r="B2" s="14"/>
      <c r="C2" s="15"/>
      <c r="D2" s="15"/>
      <c r="E2" s="21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</row>
    <row r="3" spans="1:22">
      <c r="A3" s="244" t="s">
        <v>633</v>
      </c>
      <c r="B3" s="244"/>
      <c r="C3" s="15"/>
      <c r="D3" s="15"/>
      <c r="E3" s="21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2">
      <c r="A4" s="244"/>
      <c r="B4" s="244"/>
      <c r="C4" s="15"/>
      <c r="D4" s="15"/>
      <c r="E4" s="21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22">
      <c r="A5" s="242"/>
      <c r="B5" s="242"/>
      <c r="C5" s="15"/>
      <c r="D5" s="15"/>
      <c r="E5" s="21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2" ht="26.25">
      <c r="A6" s="17"/>
      <c r="B6" s="18"/>
      <c r="C6" s="15"/>
      <c r="D6" s="159" t="s">
        <v>77</v>
      </c>
      <c r="E6" s="203" t="s">
        <v>78</v>
      </c>
      <c r="F6" s="160"/>
      <c r="G6" s="161" t="s">
        <v>79</v>
      </c>
      <c r="H6" s="160"/>
      <c r="I6" s="161" t="s">
        <v>80</v>
      </c>
      <c r="J6" s="159" t="s">
        <v>81</v>
      </c>
      <c r="K6" s="161" t="s">
        <v>17</v>
      </c>
      <c r="L6" s="161" t="s">
        <v>82</v>
      </c>
      <c r="M6" s="161" t="s">
        <v>83</v>
      </c>
      <c r="N6" s="161" t="s">
        <v>65</v>
      </c>
      <c r="O6" s="161" t="s">
        <v>338</v>
      </c>
      <c r="P6" s="161" t="s">
        <v>339</v>
      </c>
      <c r="Q6" s="161" t="s">
        <v>340</v>
      </c>
      <c r="R6" s="161" t="s">
        <v>343</v>
      </c>
      <c r="S6" s="161" t="s">
        <v>344</v>
      </c>
      <c r="T6" s="161" t="s">
        <v>348</v>
      </c>
      <c r="U6" s="161" t="s">
        <v>349</v>
      </c>
    </row>
    <row r="7" spans="1:22" ht="6.75" customHeight="1">
      <c r="A7" s="4"/>
      <c r="B7" s="5"/>
      <c r="D7" s="11"/>
      <c r="E7" s="204"/>
      <c r="G7" s="12"/>
      <c r="I7" s="13"/>
      <c r="J7" s="13"/>
      <c r="K7" s="13"/>
      <c r="L7" s="12"/>
      <c r="M7" s="12"/>
      <c r="N7" s="12"/>
      <c r="O7" s="12"/>
      <c r="P7" s="12"/>
      <c r="Q7" s="12"/>
      <c r="R7" s="12"/>
      <c r="S7" s="12"/>
      <c r="T7" s="12"/>
      <c r="U7" s="12"/>
    </row>
    <row r="8" spans="1:22">
      <c r="A8" s="6" t="s">
        <v>84</v>
      </c>
      <c r="B8" s="7"/>
      <c r="C8" s="7"/>
      <c r="D8" s="7"/>
      <c r="E8" s="205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</row>
    <row r="9" spans="1:22">
      <c r="A9" s="4"/>
      <c r="B9" s="5"/>
    </row>
    <row r="10" spans="1:22">
      <c r="A10" s="8" t="s">
        <v>85</v>
      </c>
      <c r="B10" s="8"/>
      <c r="C10" s="8"/>
      <c r="D10" s="8"/>
      <c r="E10" s="206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2" s="15" customFormat="1" ht="12.75">
      <c r="A11" s="9" t="s">
        <v>86</v>
      </c>
      <c r="B11" s="9" t="s">
        <v>87</v>
      </c>
      <c r="D11" s="64">
        <f>+'Proposed Rates'!B15</f>
        <v>7.73</v>
      </c>
      <c r="E11" s="220">
        <v>21515.950000000004</v>
      </c>
      <c r="G11" s="21">
        <f>+IFERROR(E11/D11,0)</f>
        <v>2783.43467011643</v>
      </c>
      <c r="I11" s="22">
        <f>+References!C12</f>
        <v>2.17</v>
      </c>
      <c r="J11" s="183">
        <f>+G11*I11</f>
        <v>6040.0532341526532</v>
      </c>
      <c r="K11" s="228">
        <f>+References!C17</f>
        <v>20</v>
      </c>
      <c r="L11" s="21">
        <f>+J11*K11</f>
        <v>120801.06468305306</v>
      </c>
      <c r="M11" s="21">
        <f t="shared" ref="M11:M26" si="0">+L11*$J$111</f>
        <v>95567.67226044221</v>
      </c>
      <c r="N11" s="64">
        <f>+M11*References!$D$67</f>
        <v>207.38184880515942</v>
      </c>
      <c r="O11" s="64">
        <f>+N11/References!$F$76</f>
        <v>211.45769589350678</v>
      </c>
      <c r="P11" s="64">
        <f t="shared" ref="P11:P26" si="1">+O11/G11</f>
        <v>7.5970058921721192E-2</v>
      </c>
      <c r="Q11" s="64">
        <f t="shared" ref="Q11:Q26" si="2">+D11</f>
        <v>7.73</v>
      </c>
      <c r="R11" s="64">
        <f>+Q11+P11</f>
        <v>7.805970058921722</v>
      </c>
      <c r="S11" s="64">
        <f>+'Proposed Rates'!F15</f>
        <v>7.805970058921722</v>
      </c>
      <c r="T11" s="64">
        <f t="shared" ref="T11:T26" si="3">+G11*R11</f>
        <v>21727.407695893511</v>
      </c>
      <c r="U11" s="64">
        <f t="shared" ref="U11:U26" si="4">+T11-E11</f>
        <v>211.45769589350675</v>
      </c>
      <c r="V11" s="22"/>
    </row>
    <row r="12" spans="1:22" s="15" customFormat="1" ht="12.75">
      <c r="A12" s="9" t="s">
        <v>88</v>
      </c>
      <c r="B12" s="9" t="s">
        <v>89</v>
      </c>
      <c r="D12" s="64">
        <f>+'Proposed Rates'!B14</f>
        <v>10.24</v>
      </c>
      <c r="E12" s="220">
        <v>77073.25</v>
      </c>
      <c r="G12" s="21">
        <f t="shared" ref="G12:G26" si="5">+IFERROR(E12/D12,0)</f>
        <v>7526.6845703125</v>
      </c>
      <c r="I12" s="22">
        <f>+References!C11</f>
        <v>4.33</v>
      </c>
      <c r="J12" s="183">
        <f t="shared" ref="J12:J26" si="6">+G12*I12</f>
        <v>32590.544189453125</v>
      </c>
      <c r="K12" s="228">
        <f>+References!C17</f>
        <v>20</v>
      </c>
      <c r="L12" s="21">
        <f t="shared" ref="L12:L26" si="7">+J12*K12</f>
        <v>651810.8837890625</v>
      </c>
      <c r="M12" s="21">
        <f t="shared" si="0"/>
        <v>515658.11179875419</v>
      </c>
      <c r="N12" s="64">
        <f>+M12*References!$D$67</f>
        <v>1118.9781026032958</v>
      </c>
      <c r="O12" s="64">
        <f>+N12/References!$F$76</f>
        <v>1140.970305236734</v>
      </c>
      <c r="P12" s="64">
        <f t="shared" si="1"/>
        <v>0.15159002540601513</v>
      </c>
      <c r="Q12" s="64">
        <f t="shared" si="2"/>
        <v>10.24</v>
      </c>
      <c r="R12" s="64">
        <f t="shared" ref="R12:R26" si="8">+Q12+P12</f>
        <v>10.391590025406016</v>
      </c>
      <c r="S12" s="64">
        <f>+'Proposed Rates'!F14</f>
        <v>10.391590025406016</v>
      </c>
      <c r="T12" s="64">
        <f t="shared" si="3"/>
        <v>78214.22030523674</v>
      </c>
      <c r="U12" s="64">
        <f t="shared" si="4"/>
        <v>1140.9703052367404</v>
      </c>
    </row>
    <row r="13" spans="1:22" s="15" customFormat="1" ht="12.75">
      <c r="A13" s="9" t="s">
        <v>90</v>
      </c>
      <c r="B13" s="9" t="s">
        <v>91</v>
      </c>
      <c r="D13" s="64">
        <f>+'Proposed Rates'!B27</f>
        <v>8.84</v>
      </c>
      <c r="E13" s="220">
        <v>901835.3600000001</v>
      </c>
      <c r="G13" s="21">
        <f t="shared" si="5"/>
        <v>102017.5746606335</v>
      </c>
      <c r="I13" s="22">
        <f>+References!C12</f>
        <v>2.17</v>
      </c>
      <c r="J13" s="183">
        <f t="shared" si="6"/>
        <v>221378.13701357468</v>
      </c>
      <c r="K13" s="228">
        <f>+References!C18</f>
        <v>34</v>
      </c>
      <c r="L13" s="21">
        <f t="shared" si="7"/>
        <v>7526856.6584615391</v>
      </c>
      <c r="M13" s="21">
        <f t="shared" si="0"/>
        <v>5954617.802206276</v>
      </c>
      <c r="N13" s="64">
        <f>+M13*References!$D$67</f>
        <v>12921.520630787609</v>
      </c>
      <c r="O13" s="64">
        <f>+N13/References!$F$76</f>
        <v>13175.477968633011</v>
      </c>
      <c r="P13" s="64">
        <f t="shared" si="1"/>
        <v>0.12914910016692605</v>
      </c>
      <c r="Q13" s="64">
        <f t="shared" si="2"/>
        <v>8.84</v>
      </c>
      <c r="R13" s="64">
        <f t="shared" si="8"/>
        <v>8.9691491001669252</v>
      </c>
      <c r="S13" s="64">
        <f>+'Proposed Rates'!F27</f>
        <v>8.9691491001669252</v>
      </c>
      <c r="T13" s="64">
        <f t="shared" si="3"/>
        <v>915010.83796863304</v>
      </c>
      <c r="U13" s="64">
        <f t="shared" si="4"/>
        <v>13175.477968632942</v>
      </c>
    </row>
    <row r="14" spans="1:22" s="15" customFormat="1" ht="12.75">
      <c r="A14" s="9" t="s">
        <v>92</v>
      </c>
      <c r="B14" s="9" t="s">
        <v>93</v>
      </c>
      <c r="D14" s="64">
        <f>+'Proposed Rates'!B26</f>
        <v>4.8</v>
      </c>
      <c r="E14" s="220">
        <v>77229.990000000005</v>
      </c>
      <c r="G14" s="21">
        <f t="shared" si="5"/>
        <v>16089.581250000001</v>
      </c>
      <c r="I14" s="22">
        <f>+References!C13</f>
        <v>1</v>
      </c>
      <c r="J14" s="183">
        <f t="shared" si="6"/>
        <v>16089.581250000001</v>
      </c>
      <c r="K14" s="228">
        <f>+References!C18</f>
        <v>34</v>
      </c>
      <c r="L14" s="21">
        <f t="shared" si="7"/>
        <v>547045.76250000007</v>
      </c>
      <c r="M14" s="21">
        <f t="shared" si="0"/>
        <v>432776.73321200418</v>
      </c>
      <c r="N14" s="64">
        <f>+M14*References!$D$67</f>
        <v>939.12551107004833</v>
      </c>
      <c r="O14" s="64">
        <f>+N14/References!$F$76</f>
        <v>957.58292188946791</v>
      </c>
      <c r="P14" s="64">
        <f t="shared" si="1"/>
        <v>5.9515714362638729E-2</v>
      </c>
      <c r="Q14" s="64">
        <f t="shared" si="2"/>
        <v>4.8</v>
      </c>
      <c r="R14" s="64">
        <f t="shared" si="8"/>
        <v>4.8595157143626384</v>
      </c>
      <c r="S14" s="64">
        <f>+'Proposed Rates'!F26</f>
        <v>4.8595157143626384</v>
      </c>
      <c r="T14" s="64">
        <f t="shared" si="3"/>
        <v>78187.57292188947</v>
      </c>
      <c r="U14" s="64">
        <f t="shared" si="4"/>
        <v>957.58292188946507</v>
      </c>
    </row>
    <row r="15" spans="1:22" s="15" customFormat="1" ht="12.75">
      <c r="A15" s="9" t="s">
        <v>94</v>
      </c>
      <c r="B15" s="9" t="s">
        <v>95</v>
      </c>
      <c r="D15" s="64">
        <f>+'Proposed Rates'!B16</f>
        <v>13.01</v>
      </c>
      <c r="E15" s="220">
        <v>6659357.0099999998</v>
      </c>
      <c r="G15" s="21">
        <f t="shared" si="5"/>
        <v>511864.48962336662</v>
      </c>
      <c r="I15" s="22">
        <f>+References!C11</f>
        <v>4.33</v>
      </c>
      <c r="J15" s="183">
        <f t="shared" si="6"/>
        <v>2216373.2400691775</v>
      </c>
      <c r="K15" s="228">
        <f>+References!C18</f>
        <v>34</v>
      </c>
      <c r="L15" s="21">
        <f t="shared" si="7"/>
        <v>75356690.16235204</v>
      </c>
      <c r="M15" s="21">
        <f t="shared" si="0"/>
        <v>59615894.006914794</v>
      </c>
      <c r="N15" s="64">
        <f>+M15*References!$D$67</f>
        <v>129366.489995005</v>
      </c>
      <c r="O15" s="64">
        <f>+N15/References!$F$76</f>
        <v>131909.03667695328</v>
      </c>
      <c r="P15" s="64">
        <f t="shared" si="1"/>
        <v>0.25770304319022569</v>
      </c>
      <c r="Q15" s="64">
        <f t="shared" si="2"/>
        <v>13.01</v>
      </c>
      <c r="R15" s="64">
        <f t="shared" si="8"/>
        <v>13.267703043190226</v>
      </c>
      <c r="S15" s="64">
        <f>+'Proposed Rates'!F16</f>
        <v>13.267703043190226</v>
      </c>
      <c r="T15" s="64">
        <f t="shared" si="3"/>
        <v>6791266.0466769533</v>
      </c>
      <c r="U15" s="64">
        <f t="shared" si="4"/>
        <v>131909.03667695355</v>
      </c>
    </row>
    <row r="16" spans="1:22" s="15" customFormat="1" ht="12.75">
      <c r="A16" s="9" t="s">
        <v>96</v>
      </c>
      <c r="B16" s="9" t="s">
        <v>97</v>
      </c>
      <c r="D16" s="64">
        <f>+'Proposed Rates'!B17</f>
        <v>18.940000000000001</v>
      </c>
      <c r="E16" s="220">
        <v>2396517.1999999997</v>
      </c>
      <c r="G16" s="21">
        <f t="shared" si="5"/>
        <v>126532.05913410768</v>
      </c>
      <c r="I16" s="22">
        <f>+References!C11</f>
        <v>4.33</v>
      </c>
      <c r="J16" s="183">
        <f t="shared" si="6"/>
        <v>547883.81605068629</v>
      </c>
      <c r="K16" s="228">
        <f>+References!C19</f>
        <v>51</v>
      </c>
      <c r="L16" s="21">
        <f t="shared" si="7"/>
        <v>27942074.618585002</v>
      </c>
      <c r="M16" s="21">
        <f t="shared" si="0"/>
        <v>22105426.27610112</v>
      </c>
      <c r="N16" s="64">
        <f>+M16*References!$D$67</f>
        <v>47968.775019139393</v>
      </c>
      <c r="O16" s="64">
        <f>+N16/References!$F$76</f>
        <v>48911.545049977714</v>
      </c>
      <c r="P16" s="64">
        <f t="shared" si="1"/>
        <v>0.38655456478533856</v>
      </c>
      <c r="Q16" s="64">
        <f t="shared" si="2"/>
        <v>18.940000000000001</v>
      </c>
      <c r="R16" s="64">
        <f t="shared" si="8"/>
        <v>19.32655456478534</v>
      </c>
      <c r="S16" s="64">
        <f>+'Proposed Rates'!F17</f>
        <v>19.32655456478534</v>
      </c>
      <c r="T16" s="64">
        <f t="shared" si="3"/>
        <v>2445428.7450499772</v>
      </c>
      <c r="U16" s="64">
        <f t="shared" si="4"/>
        <v>48911.545049977489</v>
      </c>
    </row>
    <row r="17" spans="1:21" s="15" customFormat="1" ht="12.75">
      <c r="A17" s="9" t="s">
        <v>98</v>
      </c>
      <c r="B17" s="9" t="s">
        <v>99</v>
      </c>
      <c r="D17" s="64">
        <f>+'Proposed Rates'!B18</f>
        <v>28.07</v>
      </c>
      <c r="E17" s="220">
        <v>232291.3</v>
      </c>
      <c r="G17" s="21">
        <f t="shared" si="5"/>
        <v>8275.4292839330246</v>
      </c>
      <c r="I17" s="22">
        <f>+References!C11</f>
        <v>4.33</v>
      </c>
      <c r="J17" s="183">
        <f t="shared" si="6"/>
        <v>35832.608799429996</v>
      </c>
      <c r="K17" s="228">
        <f>+References!C20</f>
        <v>77</v>
      </c>
      <c r="L17" s="21">
        <f t="shared" si="7"/>
        <v>2759110.8775561098</v>
      </c>
      <c r="M17" s="21">
        <f t="shared" si="0"/>
        <v>2182777.1532339384</v>
      </c>
      <c r="N17" s="64">
        <f>+M17*References!$D$67</f>
        <v>4736.6264225176428</v>
      </c>
      <c r="O17" s="64">
        <f>+N17/References!$F$76</f>
        <v>4829.7192612787921</v>
      </c>
      <c r="P17" s="64">
        <f t="shared" si="1"/>
        <v>0.58362159781315825</v>
      </c>
      <c r="Q17" s="64">
        <f t="shared" si="2"/>
        <v>28.07</v>
      </c>
      <c r="R17" s="64">
        <f t="shared" si="8"/>
        <v>28.65362159781316</v>
      </c>
      <c r="S17" s="64">
        <f>+'Proposed Rates'!F18</f>
        <v>28.65362159781316</v>
      </c>
      <c r="T17" s="64">
        <f t="shared" si="3"/>
        <v>237121.01926127879</v>
      </c>
      <c r="U17" s="64">
        <f t="shared" si="4"/>
        <v>4829.7192612788058</v>
      </c>
    </row>
    <row r="18" spans="1:21" s="15" customFormat="1" ht="12.75">
      <c r="A18" s="9" t="s">
        <v>100</v>
      </c>
      <c r="B18" s="9" t="s">
        <v>101</v>
      </c>
      <c r="D18" s="64">
        <f>+'Proposed Rates'!B19</f>
        <v>34.880000000000003</v>
      </c>
      <c r="E18" s="220">
        <v>51410.560000000005</v>
      </c>
      <c r="G18" s="21">
        <f t="shared" si="5"/>
        <v>1473.9266055045871</v>
      </c>
      <c r="I18" s="22">
        <f>+References!C11</f>
        <v>4.33</v>
      </c>
      <c r="J18" s="183">
        <f t="shared" si="6"/>
        <v>6382.1022018348622</v>
      </c>
      <c r="K18" s="228">
        <f>+References!C21</f>
        <v>97</v>
      </c>
      <c r="L18" s="21">
        <f t="shared" si="7"/>
        <v>619063.91357798164</v>
      </c>
      <c r="M18" s="21">
        <f t="shared" si="0"/>
        <v>489751.45505805349</v>
      </c>
      <c r="N18" s="64">
        <f>+M18*References!$D$67</f>
        <v>1062.7606574759752</v>
      </c>
      <c r="O18" s="64">
        <f>+N18/References!$F$76</f>
        <v>1083.6479721389535</v>
      </c>
      <c r="P18" s="64">
        <f t="shared" si="1"/>
        <v>0.73521162321917322</v>
      </c>
      <c r="Q18" s="64">
        <f t="shared" si="2"/>
        <v>34.880000000000003</v>
      </c>
      <c r="R18" s="64">
        <f t="shared" si="8"/>
        <v>35.615211623219174</v>
      </c>
      <c r="S18" s="64">
        <f>+'Proposed Rates'!F19</f>
        <v>35.615211623219174</v>
      </c>
      <c r="T18" s="64">
        <f t="shared" si="3"/>
        <v>52494.207972138953</v>
      </c>
      <c r="U18" s="64">
        <f t="shared" si="4"/>
        <v>1083.6479721389478</v>
      </c>
    </row>
    <row r="19" spans="1:21" s="15" customFormat="1" ht="12.75">
      <c r="A19" s="9" t="s">
        <v>102</v>
      </c>
      <c r="B19" s="9" t="s">
        <v>103</v>
      </c>
      <c r="D19" s="64">
        <f>+'Proposed Rates'!B20</f>
        <v>43.54</v>
      </c>
      <c r="E19" s="220">
        <v>8185.53</v>
      </c>
      <c r="G19" s="21">
        <f t="shared" si="5"/>
        <v>188.00022967386312</v>
      </c>
      <c r="I19" s="22">
        <f>+References!C11</f>
        <v>4.33</v>
      </c>
      <c r="J19" s="183">
        <f t="shared" si="6"/>
        <v>814.04099448782733</v>
      </c>
      <c r="K19" s="228">
        <f>+References!C22</f>
        <v>117</v>
      </c>
      <c r="L19" s="21">
        <f t="shared" si="7"/>
        <v>95242.7963550758</v>
      </c>
      <c r="M19" s="21">
        <f t="shared" si="0"/>
        <v>75348.113620614837</v>
      </c>
      <c r="N19" s="64">
        <f>+M19*References!$D$67</f>
        <v>163.50540655673407</v>
      </c>
      <c r="O19" s="64">
        <f>+N19/References!$F$76</f>
        <v>166.71891361669589</v>
      </c>
      <c r="P19" s="64">
        <f t="shared" si="1"/>
        <v>0.8868016486251884</v>
      </c>
      <c r="Q19" s="64">
        <f t="shared" si="2"/>
        <v>43.54</v>
      </c>
      <c r="R19" s="64">
        <f t="shared" si="8"/>
        <v>44.426801648625187</v>
      </c>
      <c r="S19" s="64">
        <f>+'Proposed Rates'!F20</f>
        <v>44.426801648625187</v>
      </c>
      <c r="T19" s="64">
        <f t="shared" si="3"/>
        <v>8352.2489136166951</v>
      </c>
      <c r="U19" s="64">
        <f t="shared" si="4"/>
        <v>166.71891361669532</v>
      </c>
    </row>
    <row r="20" spans="1:21" s="15" customFormat="1" ht="12.75">
      <c r="A20" s="9" t="s">
        <v>104</v>
      </c>
      <c r="B20" s="9" t="s">
        <v>105</v>
      </c>
      <c r="D20" s="64">
        <f>+'Proposed Rates'!B21</f>
        <v>52.29</v>
      </c>
      <c r="E20" s="220">
        <v>2954.38</v>
      </c>
      <c r="G20" s="21">
        <f t="shared" si="5"/>
        <v>56.499904379422453</v>
      </c>
      <c r="I20" s="22">
        <f>+References!C11</f>
        <v>4.33</v>
      </c>
      <c r="J20" s="183">
        <f t="shared" si="6"/>
        <v>244.64458596289921</v>
      </c>
      <c r="K20" s="228">
        <f>+References!C23</f>
        <v>137</v>
      </c>
      <c r="L20" s="21">
        <f t="shared" si="7"/>
        <v>33516.308276917189</v>
      </c>
      <c r="M20" s="21">
        <f t="shared" si="0"/>
        <v>26515.292503359215</v>
      </c>
      <c r="N20" s="64">
        <f>+M20*References!$D$67</f>
        <v>57.538184732289452</v>
      </c>
      <c r="O20" s="64">
        <f>+N20/References!$F$76</f>
        <v>58.669030291151394</v>
      </c>
      <c r="P20" s="64">
        <f t="shared" si="1"/>
        <v>1.0383916740312034</v>
      </c>
      <c r="Q20" s="64">
        <f t="shared" si="2"/>
        <v>52.29</v>
      </c>
      <c r="R20" s="64">
        <f t="shared" si="8"/>
        <v>53.328391674031202</v>
      </c>
      <c r="S20" s="64">
        <f>+'Proposed Rates'!F21</f>
        <v>53.328391674031202</v>
      </c>
      <c r="T20" s="64">
        <f t="shared" si="3"/>
        <v>3013.0490302911512</v>
      </c>
      <c r="U20" s="64">
        <f t="shared" si="4"/>
        <v>58.669030291151103</v>
      </c>
    </row>
    <row r="21" spans="1:21" s="15" customFormat="1" ht="12.75">
      <c r="A21" s="9" t="s">
        <v>106</v>
      </c>
      <c r="B21" s="9" t="s">
        <v>107</v>
      </c>
      <c r="D21" s="64">
        <f>+'Proposed Rates'!B22</f>
        <v>60.59</v>
      </c>
      <c r="E21" s="220">
        <v>1711.67</v>
      </c>
      <c r="G21" s="21">
        <f t="shared" si="5"/>
        <v>28.250041260934147</v>
      </c>
      <c r="I21" s="22">
        <f>+References!C11</f>
        <v>4.33</v>
      </c>
      <c r="J21" s="183">
        <f t="shared" si="6"/>
        <v>122.32267865984485</v>
      </c>
      <c r="K21" s="229">
        <f>+(((References!C23-References!C22)/References!C22)*References!C23)+References!C23</f>
        <v>160.41880341880341</v>
      </c>
      <c r="L21" s="21">
        <f t="shared" si="7"/>
        <v>19622.857741595111</v>
      </c>
      <c r="M21" s="21">
        <f t="shared" si="0"/>
        <v>15523.959514614497</v>
      </c>
      <c r="N21" s="64">
        <f>+M21*References!$D$67</f>
        <v>33.686992146713429</v>
      </c>
      <c r="O21" s="64">
        <f>+N21/References!$F$76</f>
        <v>34.349070480219666</v>
      </c>
      <c r="P21" s="64">
        <f t="shared" si="1"/>
        <v>1.2158945242929475</v>
      </c>
      <c r="Q21" s="64">
        <f t="shared" si="2"/>
        <v>60.59</v>
      </c>
      <c r="R21" s="64">
        <f t="shared" si="8"/>
        <v>61.805894524292952</v>
      </c>
      <c r="S21" s="64">
        <f>+'Proposed Rates'!F22</f>
        <v>61.805894524292952</v>
      </c>
      <c r="T21" s="64">
        <f t="shared" si="3"/>
        <v>1746.0190704802199</v>
      </c>
      <c r="U21" s="64">
        <f t="shared" si="4"/>
        <v>34.34907048021978</v>
      </c>
    </row>
    <row r="22" spans="1:21" s="15" customFormat="1" ht="12.75">
      <c r="A22" s="9" t="s">
        <v>108</v>
      </c>
      <c r="B22" s="9" t="s">
        <v>109</v>
      </c>
      <c r="D22" s="64">
        <f>+'Proposed Rates'!B23</f>
        <v>66.540000000000006</v>
      </c>
      <c r="E22" s="220">
        <v>3193.92</v>
      </c>
      <c r="G22" s="21">
        <f t="shared" si="5"/>
        <v>48</v>
      </c>
      <c r="I22" s="22">
        <f>+References!C11</f>
        <v>4.33</v>
      </c>
      <c r="J22" s="183">
        <f t="shared" si="6"/>
        <v>207.84</v>
      </c>
      <c r="K22" s="228">
        <f>+References!C24</f>
        <v>177</v>
      </c>
      <c r="L22" s="21">
        <f t="shared" si="7"/>
        <v>36787.68</v>
      </c>
      <c r="M22" s="21">
        <f t="shared" si="0"/>
        <v>29103.327480484011</v>
      </c>
      <c r="N22" s="64">
        <f>+M22*References!$D$67</f>
        <v>63.154220632650258</v>
      </c>
      <c r="O22" s="64">
        <f>+N22/References!$F$76</f>
        <v>64.395442792475222</v>
      </c>
      <c r="P22" s="64">
        <f t="shared" si="1"/>
        <v>1.3415717248432337</v>
      </c>
      <c r="Q22" s="64">
        <f t="shared" si="2"/>
        <v>66.540000000000006</v>
      </c>
      <c r="R22" s="64">
        <f t="shared" si="8"/>
        <v>67.881571724843241</v>
      </c>
      <c r="S22" s="64">
        <f>+'Proposed Rates'!F23</f>
        <v>67.881571724843241</v>
      </c>
      <c r="T22" s="64">
        <f t="shared" si="3"/>
        <v>3258.3154427924756</v>
      </c>
      <c r="U22" s="64">
        <f t="shared" si="4"/>
        <v>64.395442792475478</v>
      </c>
    </row>
    <row r="23" spans="1:21" s="15" customFormat="1" ht="12.75">
      <c r="A23" s="9" t="s">
        <v>111</v>
      </c>
      <c r="B23" s="9" t="s">
        <v>112</v>
      </c>
      <c r="D23" s="64">
        <f>+'Proposed Rates'!B30</f>
        <v>3.59</v>
      </c>
      <c r="E23" s="220">
        <v>472838.69000000006</v>
      </c>
      <c r="G23" s="21">
        <f t="shared" si="5"/>
        <v>131709.94150417831</v>
      </c>
      <c r="I23" s="22">
        <f>+References!C14</f>
        <v>1</v>
      </c>
      <c r="J23" s="183">
        <f t="shared" si="6"/>
        <v>131709.94150417831</v>
      </c>
      <c r="K23" s="228">
        <f>+References!C31</f>
        <v>34</v>
      </c>
      <c r="L23" s="21">
        <f t="shared" si="7"/>
        <v>4478138.011142062</v>
      </c>
      <c r="M23" s="21">
        <f t="shared" si="0"/>
        <v>3542727.2674186248</v>
      </c>
      <c r="N23" s="64">
        <f>+M23*References!$D$67</f>
        <v>7687.7181702984099</v>
      </c>
      <c r="O23" s="64">
        <f>+N23/References!$F$76</f>
        <v>7838.8112572825312</v>
      </c>
      <c r="P23" s="64">
        <f t="shared" si="1"/>
        <v>5.9515714362638722E-2</v>
      </c>
      <c r="Q23" s="64">
        <f t="shared" si="2"/>
        <v>3.59</v>
      </c>
      <c r="R23" s="64">
        <f t="shared" si="8"/>
        <v>3.6495157143626384</v>
      </c>
      <c r="S23" s="64">
        <f>+'Proposed Rates'!F30</f>
        <v>3.6495157143626384</v>
      </c>
      <c r="T23" s="64">
        <f t="shared" si="3"/>
        <v>480677.50125728262</v>
      </c>
      <c r="U23" s="64">
        <f t="shared" si="4"/>
        <v>7838.811257282563</v>
      </c>
    </row>
    <row r="24" spans="1:21" s="15" customFormat="1" ht="12.75">
      <c r="A24" s="9" t="s">
        <v>113</v>
      </c>
      <c r="B24" s="9" t="s">
        <v>114</v>
      </c>
      <c r="D24" s="64">
        <f>+'Proposed Rates'!B35</f>
        <v>4.8</v>
      </c>
      <c r="E24" s="220">
        <v>19978.34</v>
      </c>
      <c r="G24" s="21">
        <f t="shared" si="5"/>
        <v>4162.1541666666672</v>
      </c>
      <c r="I24" s="22">
        <f>+References!C14</f>
        <v>1</v>
      </c>
      <c r="J24" s="183">
        <f t="shared" si="6"/>
        <v>4162.1541666666672</v>
      </c>
      <c r="K24" s="228">
        <f>+References!C31</f>
        <v>34</v>
      </c>
      <c r="L24" s="21">
        <f t="shared" si="7"/>
        <v>141513.2416666667</v>
      </c>
      <c r="M24" s="21">
        <f t="shared" si="0"/>
        <v>111953.40981137913</v>
      </c>
      <c r="N24" s="64">
        <f>+M24*References!$D$67</f>
        <v>242.93889929069252</v>
      </c>
      <c r="O24" s="64">
        <f>+N24/References!$F$76</f>
        <v>247.71357851659999</v>
      </c>
      <c r="P24" s="64">
        <f t="shared" si="1"/>
        <v>5.9515714362638729E-2</v>
      </c>
      <c r="Q24" s="64">
        <f t="shared" si="2"/>
        <v>4.8</v>
      </c>
      <c r="R24" s="64">
        <f t="shared" si="8"/>
        <v>4.8595157143626384</v>
      </c>
      <c r="S24" s="64">
        <f>+'Proposed Rates'!F35</f>
        <v>4.8595157143626384</v>
      </c>
      <c r="T24" s="64">
        <f t="shared" si="3"/>
        <v>20226.053578516599</v>
      </c>
      <c r="U24" s="64">
        <f t="shared" si="4"/>
        <v>247.71357851659923</v>
      </c>
    </row>
    <row r="25" spans="1:21" s="15" customFormat="1" ht="12.75">
      <c r="A25" s="9" t="s">
        <v>115</v>
      </c>
      <c r="B25" s="9" t="s">
        <v>116</v>
      </c>
      <c r="D25" s="64">
        <f>+'Proposed Rates'!B11</f>
        <v>4.66</v>
      </c>
      <c r="E25" s="220">
        <v>53240.5</v>
      </c>
      <c r="G25" s="21">
        <f t="shared" si="5"/>
        <v>11425</v>
      </c>
      <c r="I25" s="22">
        <f>+References!C14</f>
        <v>1</v>
      </c>
      <c r="J25" s="183">
        <f t="shared" si="6"/>
        <v>11425</v>
      </c>
      <c r="K25" s="228">
        <f>+References!C31</f>
        <v>34</v>
      </c>
      <c r="L25" s="21">
        <f t="shared" si="7"/>
        <v>388450</v>
      </c>
      <c r="M25" s="21">
        <f t="shared" si="0"/>
        <v>307309.0654206521</v>
      </c>
      <c r="N25" s="64">
        <f>+M25*References!$D$67</f>
        <v>666.86067196281454</v>
      </c>
      <c r="O25" s="64">
        <f>+N25/References!$F$76</f>
        <v>679.96703659314744</v>
      </c>
      <c r="P25" s="64">
        <f t="shared" si="1"/>
        <v>5.9515714362638729E-2</v>
      </c>
      <c r="Q25" s="64">
        <f t="shared" si="2"/>
        <v>4.66</v>
      </c>
      <c r="R25" s="64">
        <f t="shared" si="8"/>
        <v>4.7195157143626387</v>
      </c>
      <c r="S25" s="64">
        <f>+'Proposed Rates'!F11</f>
        <v>4.7195157143626387</v>
      </c>
      <c r="T25" s="64">
        <f t="shared" si="3"/>
        <v>53920.467036593145</v>
      </c>
      <c r="U25" s="64">
        <f t="shared" si="4"/>
        <v>679.96703659314517</v>
      </c>
    </row>
    <row r="26" spans="1:21" s="15" customFormat="1" ht="12.75">
      <c r="A26" s="9" t="s">
        <v>117</v>
      </c>
      <c r="B26" s="9" t="s">
        <v>116</v>
      </c>
      <c r="D26" s="64">
        <f>+'Proposed Rates'!B11</f>
        <v>4.66</v>
      </c>
      <c r="E26" s="220">
        <v>438.04</v>
      </c>
      <c r="G26" s="21">
        <f t="shared" si="5"/>
        <v>94</v>
      </c>
      <c r="I26" s="22">
        <f>+References!C14</f>
        <v>1</v>
      </c>
      <c r="J26" s="183">
        <f t="shared" si="6"/>
        <v>94</v>
      </c>
      <c r="K26" s="228">
        <f>+References!C31</f>
        <v>34</v>
      </c>
      <c r="L26" s="21">
        <f t="shared" si="7"/>
        <v>3196</v>
      </c>
      <c r="M26" s="21">
        <f t="shared" si="0"/>
        <v>2528.4071903318422</v>
      </c>
      <c r="N26" s="64">
        <f>+M26*References!$D$67</f>
        <v>5.4866436030200934</v>
      </c>
      <c r="O26" s="64">
        <f>+N26/References!$F$76</f>
        <v>5.5944771500880401</v>
      </c>
      <c r="P26" s="64">
        <f t="shared" si="1"/>
        <v>5.9515714362638722E-2</v>
      </c>
      <c r="Q26" s="64">
        <f t="shared" si="2"/>
        <v>4.66</v>
      </c>
      <c r="R26" s="64">
        <f t="shared" si="8"/>
        <v>4.7195157143626387</v>
      </c>
      <c r="S26" s="64">
        <f>+'Proposed Rates'!F11</f>
        <v>4.7195157143626387</v>
      </c>
      <c r="T26" s="64">
        <f t="shared" si="3"/>
        <v>443.63447715008806</v>
      </c>
      <c r="U26" s="64">
        <f t="shared" si="4"/>
        <v>5.5944771500880393</v>
      </c>
    </row>
    <row r="27" spans="1:21" s="15" customFormat="1" ht="12.75">
      <c r="A27" s="23"/>
      <c r="B27" s="23"/>
      <c r="D27" s="64"/>
      <c r="E27" s="220"/>
    </row>
    <row r="28" spans="1:21" s="15" customFormat="1" ht="12.75">
      <c r="A28" s="24"/>
      <c r="B28" s="25" t="s">
        <v>118</v>
      </c>
      <c r="D28" s="151"/>
      <c r="E28" s="221">
        <f>+SUM(E11:E27)</f>
        <v>10979771.689999999</v>
      </c>
      <c r="F28" s="19"/>
      <c r="G28" s="26">
        <f>+SUM(G11:G27)</f>
        <v>924275.02564413345</v>
      </c>
      <c r="H28" s="26"/>
      <c r="I28" s="26"/>
      <c r="J28" s="26">
        <f>+SUM(J11:J27)</f>
        <v>3231350.0267382646</v>
      </c>
      <c r="K28" s="26"/>
      <c r="L28" s="26">
        <f t="shared" ref="L28:U28" si="9">+SUM(L11:L27)</f>
        <v>120719920.83668712</v>
      </c>
      <c r="M28" s="26">
        <f t="shared" si="9"/>
        <v>95503478.053745449</v>
      </c>
      <c r="N28" s="151">
        <f t="shared" si="9"/>
        <v>207242.54737662745</v>
      </c>
      <c r="O28" s="151">
        <f t="shared" si="9"/>
        <v>211315.65665872439</v>
      </c>
      <c r="P28" s="151"/>
      <c r="Q28" s="151"/>
      <c r="R28" s="151"/>
      <c r="S28" s="151"/>
      <c r="T28" s="151">
        <f t="shared" si="9"/>
        <v>11191087.346658722</v>
      </c>
      <c r="U28" s="151">
        <f t="shared" si="9"/>
        <v>211315.65665872439</v>
      </c>
    </row>
    <row r="29" spans="1:21">
      <c r="A29" s="10"/>
      <c r="B29" s="10"/>
    </row>
    <row r="30" spans="1:21">
      <c r="A30" s="6" t="s">
        <v>119</v>
      </c>
      <c r="B30" s="7"/>
      <c r="C30" s="7"/>
      <c r="D30" s="7"/>
      <c r="E30" s="205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pans="1:21">
      <c r="A31" s="4"/>
      <c r="B31" s="4"/>
    </row>
    <row r="32" spans="1:21">
      <c r="A32" s="8" t="s">
        <v>120</v>
      </c>
      <c r="B32" s="8"/>
      <c r="C32" s="8"/>
      <c r="D32" s="8"/>
      <c r="E32" s="206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</row>
    <row r="33" spans="1:22" s="15" customFormat="1" ht="12.75">
      <c r="A33" s="9" t="s">
        <v>121</v>
      </c>
      <c r="B33" s="9" t="s">
        <v>122</v>
      </c>
      <c r="D33" s="184">
        <f>+ROUND('Proposed Rates'!B77*References!C11,2)</f>
        <v>73.180000000000007</v>
      </c>
      <c r="E33" s="220">
        <v>290433.82</v>
      </c>
      <c r="G33" s="21">
        <f>+IFERROR(E33/D33,0)</f>
        <v>3968.7594971303633</v>
      </c>
      <c r="I33" s="22">
        <f>+References!C11</f>
        <v>4.33</v>
      </c>
      <c r="J33" s="183">
        <f t="shared" ref="J33:J96" si="10">+G33*I33</f>
        <v>17184.728622574472</v>
      </c>
      <c r="K33" s="15">
        <f>+References!C35</f>
        <v>175</v>
      </c>
      <c r="L33" s="21">
        <f t="shared" ref="L33:L96" si="11">+J33*K33</f>
        <v>3007327.5089505324</v>
      </c>
      <c r="M33" s="21">
        <f t="shared" ref="M33:M64" si="12">+L33*$J$111</f>
        <v>2379145.3370817499</v>
      </c>
      <c r="N33" s="64">
        <f>+M33*References!$D$67</f>
        <v>5162.7453814673936</v>
      </c>
      <c r="O33" s="64">
        <f>+N33/References!$F$76</f>
        <v>5264.2130887531102</v>
      </c>
      <c r="P33" s="64">
        <f t="shared" ref="P33:P64" si="13">+O33/J33</f>
        <v>0.30633088274887577</v>
      </c>
      <c r="Q33" s="64">
        <f>+'Proposed Rates'!B77</f>
        <v>16.899999999999999</v>
      </c>
      <c r="R33" s="64">
        <f t="shared" ref="R33:R96" si="14">+Q33+P33</f>
        <v>17.206330882748873</v>
      </c>
      <c r="S33" s="64">
        <f>+'Proposed Rates'!F77</f>
        <v>17.206330882748873</v>
      </c>
      <c r="T33" s="64">
        <f t="shared" ref="T33:T64" si="15">+G33*R33*I33</f>
        <v>295686.12681026169</v>
      </c>
      <c r="U33" s="64">
        <f t="shared" ref="U33:U64" si="16">+T33-E33</f>
        <v>5252.3068102616817</v>
      </c>
      <c r="V33" s="20"/>
    </row>
    <row r="34" spans="1:22" s="15" customFormat="1" ht="12.75">
      <c r="A34" s="9" t="s">
        <v>123</v>
      </c>
      <c r="B34" s="9" t="s">
        <v>124</v>
      </c>
      <c r="D34" s="64">
        <f>+ROUND('Proposed Rates'!B77*References!C10,2)</f>
        <v>146.35</v>
      </c>
      <c r="E34" s="220">
        <v>10976.33</v>
      </c>
      <c r="G34" s="21">
        <f t="shared" ref="G34:G96" si="17">+IFERROR(E34/D34,0)</f>
        <v>75.000546634779639</v>
      </c>
      <c r="I34" s="22">
        <f>+References!C10</f>
        <v>8.66</v>
      </c>
      <c r="J34" s="230">
        <f>+G34*I34</f>
        <v>649.5047338571917</v>
      </c>
      <c r="K34" s="15">
        <f>+References!C35</f>
        <v>175</v>
      </c>
      <c r="L34" s="21">
        <f t="shared" si="11"/>
        <v>113663.32842500854</v>
      </c>
      <c r="M34" s="21">
        <f t="shared" si="12"/>
        <v>89920.893888248203</v>
      </c>
      <c r="N34" s="64">
        <f>+M34*References!$D$67</f>
        <v>195.12833973749846</v>
      </c>
      <c r="O34" s="64">
        <f>+N34/References!$F$76</f>
        <v>198.96335847204719</v>
      </c>
      <c r="P34" s="64">
        <f t="shared" si="13"/>
        <v>0.30633088274887582</v>
      </c>
      <c r="Q34" s="64">
        <f>+'Proposed Rates'!B77</f>
        <v>16.899999999999999</v>
      </c>
      <c r="R34" s="64">
        <f t="shared" si="14"/>
        <v>17.206330882748876</v>
      </c>
      <c r="S34" s="64">
        <f>+'Proposed Rates'!F77</f>
        <v>17.206330882748873</v>
      </c>
      <c r="T34" s="64">
        <f t="shared" si="15"/>
        <v>11175.593360658588</v>
      </c>
      <c r="U34" s="64">
        <f t="shared" si="16"/>
        <v>199.26336065858777</v>
      </c>
      <c r="V34" s="20"/>
    </row>
    <row r="35" spans="1:22" s="15" customFormat="1" ht="12.75">
      <c r="A35" s="9" t="s">
        <v>125</v>
      </c>
      <c r="B35" s="9" t="s">
        <v>126</v>
      </c>
      <c r="D35" s="64">
        <f>+ROUND('Proposed Rates'!B77*References!C12,2)</f>
        <v>36.67</v>
      </c>
      <c r="E35" s="220">
        <v>314280.62</v>
      </c>
      <c r="G35" s="21">
        <f t="shared" si="17"/>
        <v>8570.5104990455402</v>
      </c>
      <c r="I35" s="22">
        <f>+References!C12</f>
        <v>2.17</v>
      </c>
      <c r="J35" s="230">
        <f t="shared" si="10"/>
        <v>18598.00778292882</v>
      </c>
      <c r="K35" s="15">
        <f>+References!C35</f>
        <v>175</v>
      </c>
      <c r="L35" s="21">
        <f t="shared" si="11"/>
        <v>3254651.3620125437</v>
      </c>
      <c r="M35" s="21">
        <f t="shared" si="12"/>
        <v>2574807.229579424</v>
      </c>
      <c r="N35" s="64">
        <f>+M35*References!$D$67</f>
        <v>5587.3316881873461</v>
      </c>
      <c r="O35" s="64">
        <f>+N35/References!$F$76</f>
        <v>5697.1441415150493</v>
      </c>
      <c r="P35" s="64">
        <f t="shared" si="13"/>
        <v>0.30633088274887588</v>
      </c>
      <c r="Q35" s="64">
        <f>+'Proposed Rates'!B77</f>
        <v>16.899999999999999</v>
      </c>
      <c r="R35" s="64">
        <f t="shared" si="14"/>
        <v>17.206330882748876</v>
      </c>
      <c r="S35" s="64">
        <f>+'Proposed Rates'!F77</f>
        <v>17.206330882748873</v>
      </c>
      <c r="T35" s="64">
        <f t="shared" si="15"/>
        <v>320003.47567301214</v>
      </c>
      <c r="U35" s="64">
        <f t="shared" si="16"/>
        <v>5722.8556730121491</v>
      </c>
      <c r="V35" s="20"/>
    </row>
    <row r="36" spans="1:22" s="15" customFormat="1" ht="12.75">
      <c r="A36" s="9" t="s">
        <v>127</v>
      </c>
      <c r="B36" s="9" t="s">
        <v>128</v>
      </c>
      <c r="D36" s="64">
        <f>+ROUND('Proposed Rates'!B78*References!C11,2)</f>
        <v>98.59</v>
      </c>
      <c r="E36" s="220">
        <v>126453.20999999999</v>
      </c>
      <c r="G36" s="21">
        <f t="shared" si="17"/>
        <v>1282.6169996957094</v>
      </c>
      <c r="I36" s="22">
        <f>+References!C11</f>
        <v>4.33</v>
      </c>
      <c r="J36" s="230">
        <f t="shared" si="10"/>
        <v>5553.7316086824221</v>
      </c>
      <c r="K36" s="15">
        <f>+References!C36</f>
        <v>250</v>
      </c>
      <c r="L36" s="21">
        <f t="shared" si="11"/>
        <v>1388432.9021706055</v>
      </c>
      <c r="M36" s="21">
        <f t="shared" si="12"/>
        <v>1098411.6812082184</v>
      </c>
      <c r="N36" s="64">
        <f>+M36*References!$D$67</f>
        <v>2383.553348221832</v>
      </c>
      <c r="O36" s="64">
        <f>+N36/References!$F$76</f>
        <v>2430.3992946257436</v>
      </c>
      <c r="P36" s="64">
        <f t="shared" si="13"/>
        <v>0.4376155467841083</v>
      </c>
      <c r="Q36" s="64">
        <f>+'Proposed Rates'!B78</f>
        <v>22.77</v>
      </c>
      <c r="R36" s="64">
        <f t="shared" si="14"/>
        <v>23.207615546784108</v>
      </c>
      <c r="S36" s="64">
        <f>+'Proposed Rates'!F78</f>
        <v>23.207615546784108</v>
      </c>
      <c r="T36" s="64">
        <f t="shared" si="15"/>
        <v>128888.86802432449</v>
      </c>
      <c r="U36" s="64">
        <f t="shared" si="16"/>
        <v>2435.6580243244971</v>
      </c>
      <c r="V36" s="20"/>
    </row>
    <row r="37" spans="1:22" s="15" customFormat="1" ht="12.75">
      <c r="A37" s="9" t="s">
        <v>129</v>
      </c>
      <c r="B37" s="9" t="s">
        <v>130</v>
      </c>
      <c r="D37" s="154">
        <f>+ROUND('Proposed Rates'!B78*References!C10,2)</f>
        <v>197.19</v>
      </c>
      <c r="E37" s="220">
        <v>3056.45</v>
      </c>
      <c r="G37" s="21">
        <f t="shared" si="17"/>
        <v>15.500025356255387</v>
      </c>
      <c r="I37" s="22">
        <f>+References!C10</f>
        <v>8.66</v>
      </c>
      <c r="J37" s="230">
        <f t="shared" si="10"/>
        <v>134.23021958517165</v>
      </c>
      <c r="K37" s="15">
        <f>+References!C36</f>
        <v>250</v>
      </c>
      <c r="L37" s="21">
        <f t="shared" si="11"/>
        <v>33557.554896292917</v>
      </c>
      <c r="M37" s="21">
        <f t="shared" si="12"/>
        <v>26547.923369756736</v>
      </c>
      <c r="N37" s="64">
        <f>+M37*References!$D$67</f>
        <v>57.608993712372076</v>
      </c>
      <c r="O37" s="64">
        <f>+N37/References!$F$76</f>
        <v>58.741230938715823</v>
      </c>
      <c r="P37" s="64">
        <f t="shared" si="13"/>
        <v>0.43761554678410836</v>
      </c>
      <c r="Q37" s="154">
        <f>+'Proposed Rates'!B78</f>
        <v>22.77</v>
      </c>
      <c r="R37" s="64">
        <f t="shared" si="14"/>
        <v>23.207615546784108</v>
      </c>
      <c r="S37" s="154">
        <f>+'Proposed Rates'!F78</f>
        <v>23.207615546784108</v>
      </c>
      <c r="T37" s="64">
        <f t="shared" si="15"/>
        <v>3115.1633308930741</v>
      </c>
      <c r="U37" s="64">
        <f t="shared" si="16"/>
        <v>58.713330893074271</v>
      </c>
      <c r="V37" s="20"/>
    </row>
    <row r="38" spans="1:22" s="15" customFormat="1" ht="12.75">
      <c r="A38" s="9" t="s">
        <v>131</v>
      </c>
      <c r="B38" s="9" t="s">
        <v>132</v>
      </c>
      <c r="D38" s="64">
        <f>+ROUND('Proposed Rates'!B78*References!C12,2)</f>
        <v>49.41</v>
      </c>
      <c r="E38" s="220">
        <v>99548.959999999992</v>
      </c>
      <c r="G38" s="21">
        <f t="shared" si="17"/>
        <v>2014.7532888079336</v>
      </c>
      <c r="I38" s="22">
        <f>+References!C12</f>
        <v>2.17</v>
      </c>
      <c r="J38" s="230">
        <f t="shared" si="10"/>
        <v>4372.0146367132156</v>
      </c>
      <c r="K38" s="15">
        <f>+References!C36</f>
        <v>250</v>
      </c>
      <c r="L38" s="21">
        <f t="shared" si="11"/>
        <v>1093003.659178304</v>
      </c>
      <c r="M38" s="21">
        <f t="shared" si="12"/>
        <v>864692.83821196435</v>
      </c>
      <c r="N38" s="64">
        <f>+M38*References!$D$67</f>
        <v>1876.3834589199612</v>
      </c>
      <c r="O38" s="64">
        <f>+N38/References!$F$76</f>
        <v>1913.2615757933786</v>
      </c>
      <c r="P38" s="64">
        <f t="shared" si="13"/>
        <v>0.43761554678410836</v>
      </c>
      <c r="Q38" s="64">
        <f>+'Proposed Rates'!B78</f>
        <v>22.77</v>
      </c>
      <c r="R38" s="64">
        <f t="shared" si="14"/>
        <v>23.207615546784108</v>
      </c>
      <c r="S38" s="64">
        <f>+'Proposed Rates'!F78</f>
        <v>23.207615546784108</v>
      </c>
      <c r="T38" s="64">
        <f t="shared" si="15"/>
        <v>101464.0348537533</v>
      </c>
      <c r="U38" s="64">
        <f t="shared" si="16"/>
        <v>1915.0748537533073</v>
      </c>
      <c r="V38" s="20"/>
    </row>
    <row r="39" spans="1:22" s="15" customFormat="1" ht="12.75">
      <c r="A39" s="9" t="s">
        <v>133</v>
      </c>
      <c r="B39" s="9" t="s">
        <v>134</v>
      </c>
      <c r="D39" s="64">
        <f>+ROUND('Proposed Rates'!$B$79*References!C11,2)</f>
        <v>117.17</v>
      </c>
      <c r="E39" s="220">
        <v>575026.48</v>
      </c>
      <c r="G39" s="21">
        <f t="shared" si="17"/>
        <v>4907.6255014082099</v>
      </c>
      <c r="I39" s="22">
        <f>+References!C11</f>
        <v>4.33</v>
      </c>
      <c r="J39" s="230">
        <f t="shared" si="10"/>
        <v>21250.018421097549</v>
      </c>
      <c r="K39" s="15">
        <f>+References!C37</f>
        <v>324</v>
      </c>
      <c r="L39" s="21">
        <f t="shared" si="11"/>
        <v>6885005.968435606</v>
      </c>
      <c r="M39" s="21">
        <f t="shared" si="12"/>
        <v>5446839.3604725385</v>
      </c>
      <c r="N39" s="64">
        <f>+M39*References!$D$67</f>
        <v>11819.641412225399</v>
      </c>
      <c r="O39" s="64">
        <f>+N39/References!$F$76</f>
        <v>12051.942605955186</v>
      </c>
      <c r="P39" s="64">
        <f t="shared" si="13"/>
        <v>0.56714974863220435</v>
      </c>
      <c r="Q39" s="64">
        <f>+'Proposed Rates'!$B$79</f>
        <v>27.06</v>
      </c>
      <c r="R39" s="64">
        <f t="shared" si="14"/>
        <v>27.627149748632203</v>
      </c>
      <c r="S39" s="64">
        <f>+'Proposed Rates'!$F$79</f>
        <v>27.627149748632203</v>
      </c>
      <c r="T39" s="64">
        <f t="shared" si="15"/>
        <v>587077.44108085486</v>
      </c>
      <c r="U39" s="64">
        <f t="shared" si="16"/>
        <v>12050.961080854875</v>
      </c>
      <c r="V39" s="20"/>
    </row>
    <row r="40" spans="1:22" s="15" customFormat="1" ht="12.75">
      <c r="A40" s="9" t="s">
        <v>135</v>
      </c>
      <c r="B40" s="9" t="s">
        <v>136</v>
      </c>
      <c r="D40" s="64">
        <f>+ROUND('Proposed Rates'!$B$79*References!C10,2)</f>
        <v>234.34</v>
      </c>
      <c r="E40" s="220">
        <v>142037.50999999998</v>
      </c>
      <c r="G40" s="21">
        <f t="shared" si="17"/>
        <v>606.11722283861047</v>
      </c>
      <c r="I40" s="22">
        <f>+References!C10</f>
        <v>8.66</v>
      </c>
      <c r="J40" s="230">
        <f t="shared" si="10"/>
        <v>5248.9751497823672</v>
      </c>
      <c r="K40" s="15">
        <f>+References!C37</f>
        <v>324</v>
      </c>
      <c r="L40" s="21">
        <f t="shared" si="11"/>
        <v>1700667.948529487</v>
      </c>
      <c r="M40" s="21">
        <f t="shared" si="12"/>
        <v>1345425.8665296803</v>
      </c>
      <c r="N40" s="64">
        <f>+M40*References!$D$67</f>
        <v>2919.574130369404</v>
      </c>
      <c r="O40" s="64">
        <f>+N40/References!$F$76</f>
        <v>2976.9549367757568</v>
      </c>
      <c r="P40" s="64">
        <f t="shared" si="13"/>
        <v>0.56714974863220435</v>
      </c>
      <c r="Q40" s="64">
        <f>+'Proposed Rates'!$B$79</f>
        <v>27.06</v>
      </c>
      <c r="R40" s="64">
        <f t="shared" si="14"/>
        <v>27.627149748632203</v>
      </c>
      <c r="S40" s="64">
        <f>+'Proposed Rates'!$F$79</f>
        <v>27.627149748632203</v>
      </c>
      <c r="T40" s="64">
        <f t="shared" si="15"/>
        <v>145014.2224898866</v>
      </c>
      <c r="U40" s="64">
        <f t="shared" si="16"/>
        <v>2976.7124898866168</v>
      </c>
      <c r="V40" s="20"/>
    </row>
    <row r="41" spans="1:22" s="15" customFormat="1" ht="12.75">
      <c r="A41" s="9" t="s">
        <v>137</v>
      </c>
      <c r="B41" s="9" t="s">
        <v>138</v>
      </c>
      <c r="D41" s="64">
        <f>+ROUND('Proposed Rates'!$B$79*References!C9,2)</f>
        <v>351.51</v>
      </c>
      <c r="E41" s="220">
        <v>24815.26</v>
      </c>
      <c r="G41" s="21">
        <f t="shared" si="17"/>
        <v>70.596170805951459</v>
      </c>
      <c r="I41" s="22">
        <f>+References!C9</f>
        <v>12.99</v>
      </c>
      <c r="J41" s="230">
        <f t="shared" si="10"/>
        <v>917.04425876930952</v>
      </c>
      <c r="K41" s="15">
        <f>+References!C37</f>
        <v>324</v>
      </c>
      <c r="L41" s="21">
        <f t="shared" si="11"/>
        <v>297122.33984125627</v>
      </c>
      <c r="M41" s="21">
        <f t="shared" si="12"/>
        <v>235058.27924369634</v>
      </c>
      <c r="N41" s="64">
        <f>+M41*References!$D$67</f>
        <v>510.07646595882068</v>
      </c>
      <c r="O41" s="64">
        <f>+N41/References!$F$76</f>
        <v>520.10142084562005</v>
      </c>
      <c r="P41" s="64">
        <f t="shared" si="13"/>
        <v>0.56714974863220435</v>
      </c>
      <c r="Q41" s="64">
        <f>+'Proposed Rates'!$B$79</f>
        <v>27.06</v>
      </c>
      <c r="R41" s="64">
        <f t="shared" si="14"/>
        <v>27.627149748632203</v>
      </c>
      <c r="S41" s="64">
        <f>+'Proposed Rates'!$F$79</f>
        <v>27.627149748632203</v>
      </c>
      <c r="T41" s="64">
        <f t="shared" si="15"/>
        <v>25335.319063143132</v>
      </c>
      <c r="U41" s="64">
        <f t="shared" si="16"/>
        <v>520.05906314313324</v>
      </c>
      <c r="V41" s="20"/>
    </row>
    <row r="42" spans="1:22" s="15" customFormat="1" ht="12.75">
      <c r="A42" s="9" t="s">
        <v>139</v>
      </c>
      <c r="B42" s="9" t="s">
        <v>140</v>
      </c>
      <c r="D42" s="64">
        <f>+ROUND('Proposed Rates'!$B$79*References!C8,2)</f>
        <v>468.68</v>
      </c>
      <c r="E42" s="220">
        <v>5038.3099999999995</v>
      </c>
      <c r="G42" s="21">
        <f t="shared" si="17"/>
        <v>10.749999999999998</v>
      </c>
      <c r="I42" s="22">
        <f>+References!C8</f>
        <v>17.32</v>
      </c>
      <c r="J42" s="183">
        <f t="shared" si="10"/>
        <v>186.18999999999997</v>
      </c>
      <c r="K42" s="15">
        <f>+References!C37</f>
        <v>324</v>
      </c>
      <c r="L42" s="21">
        <f t="shared" si="11"/>
        <v>60325.55999999999</v>
      </c>
      <c r="M42" s="21">
        <f t="shared" si="12"/>
        <v>47724.524300624194</v>
      </c>
      <c r="N42" s="64">
        <f>+M42*References!$D$67</f>
        <v>103.56221773235443</v>
      </c>
      <c r="O42" s="64">
        <f>+N42/References!$F$76</f>
        <v>105.5976116978301</v>
      </c>
      <c r="P42" s="64">
        <f t="shared" si="13"/>
        <v>0.56714974863220435</v>
      </c>
      <c r="Q42" s="64">
        <f>+'Proposed Rates'!$B$79</f>
        <v>27.06</v>
      </c>
      <c r="R42" s="64">
        <f t="shared" si="14"/>
        <v>27.627149748632203</v>
      </c>
      <c r="S42" s="64">
        <f>+'Proposed Rates'!$F$79</f>
        <v>27.627149748632203</v>
      </c>
      <c r="T42" s="64">
        <f t="shared" si="15"/>
        <v>5143.8990116978284</v>
      </c>
      <c r="U42" s="64">
        <f t="shared" si="16"/>
        <v>105.58901169782894</v>
      </c>
      <c r="V42" s="20"/>
    </row>
    <row r="43" spans="1:22" s="15" customFormat="1" ht="12.75">
      <c r="A43" s="14" t="s">
        <v>141</v>
      </c>
      <c r="B43" s="9" t="s">
        <v>142</v>
      </c>
      <c r="D43" s="64">
        <f>+ROUND('Proposed Rates'!$B$79*References!C7,2)</f>
        <v>585.85</v>
      </c>
      <c r="E43" s="220">
        <v>937.37</v>
      </c>
      <c r="G43" s="21">
        <f t="shared" si="17"/>
        <v>1.6000170692156694</v>
      </c>
      <c r="I43" s="22">
        <f>+References!C7</f>
        <v>21.65</v>
      </c>
      <c r="J43" s="183">
        <f t="shared" si="10"/>
        <v>34.640369548519239</v>
      </c>
      <c r="K43" s="15">
        <f>+References!C37</f>
        <v>324</v>
      </c>
      <c r="L43" s="21">
        <f t="shared" si="11"/>
        <v>11223.479733720233</v>
      </c>
      <c r="M43" s="21">
        <f t="shared" si="12"/>
        <v>8879.0759885112475</v>
      </c>
      <c r="N43" s="64">
        <f>+M43*References!$D$67</f>
        <v>19.267594895069394</v>
      </c>
      <c r="O43" s="64">
        <f>+N43/References!$F$76</f>
        <v>19.646276881969353</v>
      </c>
      <c r="P43" s="64">
        <f t="shared" si="13"/>
        <v>0.56714974863220435</v>
      </c>
      <c r="Q43" s="64">
        <f>+'Proposed Rates'!$B$79</f>
        <v>27.06</v>
      </c>
      <c r="R43" s="64">
        <f t="shared" si="14"/>
        <v>27.627149748632203</v>
      </c>
      <c r="S43" s="64">
        <f>+'Proposed Rates'!$F$79</f>
        <v>27.627149748632203</v>
      </c>
      <c r="T43" s="64">
        <f t="shared" si="15"/>
        <v>957.01467686489991</v>
      </c>
      <c r="U43" s="64">
        <f t="shared" si="16"/>
        <v>19.644676864899907</v>
      </c>
      <c r="V43" s="20"/>
    </row>
    <row r="44" spans="1:22" s="15" customFormat="1" ht="12.75">
      <c r="A44" s="9" t="s">
        <v>143</v>
      </c>
      <c r="B44" s="9" t="s">
        <v>144</v>
      </c>
      <c r="D44" s="64">
        <f>+ROUND('Proposed Rates'!B79*References!C12,2)</f>
        <v>58.72</v>
      </c>
      <c r="E44" s="220">
        <v>230641.67</v>
      </c>
      <c r="G44" s="21">
        <f t="shared" si="17"/>
        <v>3927.8213555858315</v>
      </c>
      <c r="I44" s="22">
        <f>+References!C12</f>
        <v>2.17</v>
      </c>
      <c r="J44" s="183">
        <f t="shared" si="10"/>
        <v>8523.3723416212542</v>
      </c>
      <c r="K44" s="15">
        <f>+References!C37</f>
        <v>324</v>
      </c>
      <c r="L44" s="21">
        <f t="shared" si="11"/>
        <v>2761572.6386852865</v>
      </c>
      <c r="M44" s="21">
        <f t="shared" si="12"/>
        <v>2184724.6922013629</v>
      </c>
      <c r="N44" s="64">
        <f>+M44*References!$D$67</f>
        <v>4740.8525820769537</v>
      </c>
      <c r="O44" s="64">
        <f>+N44/References!$F$76</f>
        <v>4834.0284810491767</v>
      </c>
      <c r="P44" s="64">
        <f t="shared" si="13"/>
        <v>0.56714974863220424</v>
      </c>
      <c r="Q44" s="64">
        <f>+'Proposed Rates'!B79</f>
        <v>27.06</v>
      </c>
      <c r="R44" s="64">
        <f t="shared" si="14"/>
        <v>27.627149748632203</v>
      </c>
      <c r="S44" s="64">
        <f>+'Proposed Rates'!F79</f>
        <v>27.627149748632203</v>
      </c>
      <c r="T44" s="64">
        <f t="shared" si="15"/>
        <v>235476.48404532031</v>
      </c>
      <c r="U44" s="64">
        <f t="shared" si="16"/>
        <v>4834.8140453202941</v>
      </c>
      <c r="V44" s="20"/>
    </row>
    <row r="45" spans="1:22" s="15" customFormat="1" ht="12.75">
      <c r="A45" s="9" t="s">
        <v>145</v>
      </c>
      <c r="B45" s="9" t="s">
        <v>146</v>
      </c>
      <c r="D45" s="64">
        <f>+ROUND('Proposed Rates'!$B$80*References!C11,2)</f>
        <v>163.33000000000001</v>
      </c>
      <c r="E45" s="220">
        <v>363866.63</v>
      </c>
      <c r="G45" s="21">
        <f t="shared" si="17"/>
        <v>2227.80034286414</v>
      </c>
      <c r="I45" s="22">
        <f>+References!C11</f>
        <v>4.33</v>
      </c>
      <c r="J45" s="183">
        <f t="shared" si="10"/>
        <v>9646.3754846017273</v>
      </c>
      <c r="K45" s="15">
        <f>+References!C38</f>
        <v>473</v>
      </c>
      <c r="L45" s="21">
        <f t="shared" si="11"/>
        <v>4562735.6042166166</v>
      </c>
      <c r="M45" s="21">
        <f t="shared" si="12"/>
        <v>3609653.7888874831</v>
      </c>
      <c r="N45" s="64">
        <f>+M45*References!$D$67</f>
        <v>7832.9487218858321</v>
      </c>
      <c r="O45" s="64">
        <f>+N45/References!$F$76</f>
        <v>7986.8961450822935</v>
      </c>
      <c r="P45" s="64">
        <f t="shared" si="13"/>
        <v>0.82796861451553283</v>
      </c>
      <c r="Q45" s="64">
        <f>+'Proposed Rates'!$B$80</f>
        <v>37.72</v>
      </c>
      <c r="R45" s="64">
        <f t="shared" si="14"/>
        <v>38.547968614515533</v>
      </c>
      <c r="S45" s="64">
        <f>+'Proposed Rates'!$F$80</f>
        <v>38.547968614515533</v>
      </c>
      <c r="T45" s="64">
        <f t="shared" si="15"/>
        <v>371848.17942425946</v>
      </c>
      <c r="U45" s="64">
        <f t="shared" si="16"/>
        <v>7981.5494242594577</v>
      </c>
      <c r="V45" s="20"/>
    </row>
    <row r="46" spans="1:22" s="15" customFormat="1" ht="12.75">
      <c r="A46" s="9" t="s">
        <v>147</v>
      </c>
      <c r="B46" s="9" t="s">
        <v>148</v>
      </c>
      <c r="D46" s="64">
        <f>+ROUND('Proposed Rates'!$B$80*References!C10,2)</f>
        <v>326.66000000000003</v>
      </c>
      <c r="E46" s="220">
        <v>216689.93999999997</v>
      </c>
      <c r="G46" s="21">
        <f t="shared" si="17"/>
        <v>663.35008877732184</v>
      </c>
      <c r="I46" s="22">
        <f>+References!C10</f>
        <v>8.66</v>
      </c>
      <c r="J46" s="183">
        <f t="shared" si="10"/>
        <v>5744.6117688116074</v>
      </c>
      <c r="K46" s="15">
        <f>+References!C38</f>
        <v>473</v>
      </c>
      <c r="L46" s="21">
        <f t="shared" si="11"/>
        <v>2717201.3666478903</v>
      </c>
      <c r="M46" s="21">
        <f t="shared" si="12"/>
        <v>2149621.8626445662</v>
      </c>
      <c r="N46" s="64">
        <f>+M46*References!$D$67</f>
        <v>4664.6794419387052</v>
      </c>
      <c r="O46" s="64">
        <f>+N46/References!$F$76</f>
        <v>4756.3582471525715</v>
      </c>
      <c r="P46" s="64">
        <f t="shared" si="13"/>
        <v>0.82796861451553294</v>
      </c>
      <c r="Q46" s="64">
        <f>+'Proposed Rates'!$B$80</f>
        <v>37.72</v>
      </c>
      <c r="R46" s="64">
        <f t="shared" si="14"/>
        <v>38.547968614515533</v>
      </c>
      <c r="S46" s="64">
        <f>+'Proposed Rates'!$F$80</f>
        <v>38.547968614515533</v>
      </c>
      <c r="T46" s="64">
        <f t="shared" si="15"/>
        <v>221443.11416672642</v>
      </c>
      <c r="U46" s="64">
        <f t="shared" si="16"/>
        <v>4753.1741667264432</v>
      </c>
      <c r="V46" s="20"/>
    </row>
    <row r="47" spans="1:22" s="15" customFormat="1" ht="12.75">
      <c r="A47" s="9" t="s">
        <v>149</v>
      </c>
      <c r="B47" s="9" t="s">
        <v>150</v>
      </c>
      <c r="D47" s="64">
        <f>+ROUND('Proposed Rates'!$B$80*References!C9,2)</f>
        <v>489.98</v>
      </c>
      <c r="E47" s="220">
        <v>66351.459999999992</v>
      </c>
      <c r="G47" s="21">
        <f t="shared" si="17"/>
        <v>135.41667006816601</v>
      </c>
      <c r="I47" s="22">
        <f>+References!C9</f>
        <v>12.99</v>
      </c>
      <c r="J47" s="183">
        <f t="shared" si="10"/>
        <v>1759.0625441854766</v>
      </c>
      <c r="K47" s="15">
        <f>+References!C38</f>
        <v>473</v>
      </c>
      <c r="L47" s="21">
        <f t="shared" si="11"/>
        <v>832036.58339973039</v>
      </c>
      <c r="M47" s="21">
        <f t="shared" si="12"/>
        <v>658237.57199218322</v>
      </c>
      <c r="N47" s="64">
        <f>+M47*References!$D$67</f>
        <v>1428.3755312230364</v>
      </c>
      <c r="O47" s="64">
        <f>+N47/References!$F$76</f>
        <v>1456.4485775554172</v>
      </c>
      <c r="P47" s="64">
        <f t="shared" si="13"/>
        <v>0.82796861451553272</v>
      </c>
      <c r="Q47" s="64">
        <f>+'Proposed Rates'!$B$80</f>
        <v>37.72</v>
      </c>
      <c r="R47" s="64">
        <f t="shared" si="14"/>
        <v>38.547968614515533</v>
      </c>
      <c r="S47" s="64">
        <f>+'Proposed Rates'!$F$80</f>
        <v>38.547968614515533</v>
      </c>
      <c r="T47" s="64">
        <f t="shared" si="15"/>
        <v>67808.287744231595</v>
      </c>
      <c r="U47" s="64">
        <f t="shared" si="16"/>
        <v>1456.827744231603</v>
      </c>
      <c r="V47" s="20"/>
    </row>
    <row r="48" spans="1:22" s="15" customFormat="1" ht="12.75">
      <c r="A48" s="9" t="s">
        <v>151</v>
      </c>
      <c r="B48" s="9" t="s">
        <v>152</v>
      </c>
      <c r="D48" s="64">
        <f>+ROUND('Proposed Rates'!$B$80*References!C8,2)</f>
        <v>653.30999999999995</v>
      </c>
      <c r="E48" s="220">
        <v>10942.939999999999</v>
      </c>
      <c r="G48" s="21">
        <f t="shared" si="17"/>
        <v>16.749996173332722</v>
      </c>
      <c r="I48" s="22">
        <f>+References!C8</f>
        <v>17.32</v>
      </c>
      <c r="J48" s="183">
        <f t="shared" si="10"/>
        <v>290.10993372212272</v>
      </c>
      <c r="K48" s="15">
        <f>+References!C38</f>
        <v>473</v>
      </c>
      <c r="L48" s="21">
        <f t="shared" si="11"/>
        <v>137221.99865056406</v>
      </c>
      <c r="M48" s="21">
        <f t="shared" si="12"/>
        <v>108558.53819142444</v>
      </c>
      <c r="N48" s="64">
        <f>+M48*References!$D$67</f>
        <v>235.57202787539083</v>
      </c>
      <c r="O48" s="64">
        <f>+N48/References!$F$76</f>
        <v>240.20191988109903</v>
      </c>
      <c r="P48" s="64">
        <f t="shared" si="13"/>
        <v>0.82796861451553294</v>
      </c>
      <c r="Q48" s="64">
        <f>+'Proposed Rates'!$B$80</f>
        <v>37.72</v>
      </c>
      <c r="R48" s="64">
        <f t="shared" si="14"/>
        <v>38.547968614515533</v>
      </c>
      <c r="S48" s="64">
        <f>+'Proposed Rates'!$F$80</f>
        <v>38.547968614515533</v>
      </c>
      <c r="T48" s="64">
        <f t="shared" si="15"/>
        <v>11183.14861987957</v>
      </c>
      <c r="U48" s="64">
        <f t="shared" si="16"/>
        <v>240.20861987957142</v>
      </c>
      <c r="V48" s="20"/>
    </row>
    <row r="49" spans="1:22" s="15" customFormat="1" ht="12.75">
      <c r="A49" s="9" t="s">
        <v>153</v>
      </c>
      <c r="B49" s="9" t="s">
        <v>154</v>
      </c>
      <c r="D49" s="64">
        <f>+ROUND('Proposed Rates'!$B$80*References!C7,2)</f>
        <v>816.64</v>
      </c>
      <c r="E49" s="220">
        <v>4899.84</v>
      </c>
      <c r="G49" s="21">
        <f t="shared" si="17"/>
        <v>6</v>
      </c>
      <c r="I49" s="22">
        <f>+References!C7</f>
        <v>21.65</v>
      </c>
      <c r="J49" s="183">
        <f t="shared" si="10"/>
        <v>129.89999999999998</v>
      </c>
      <c r="K49" s="15">
        <f>+References!C38</f>
        <v>473</v>
      </c>
      <c r="L49" s="21">
        <f t="shared" si="11"/>
        <v>61442.69999999999</v>
      </c>
      <c r="M49" s="21">
        <f t="shared" si="12"/>
        <v>48608.311787672792</v>
      </c>
      <c r="N49" s="64">
        <f>+M49*References!$D$67</f>
        <v>105.48003657924988</v>
      </c>
      <c r="O49" s="64">
        <f>+N49/References!$F$76</f>
        <v>107.5531230255677</v>
      </c>
      <c r="P49" s="64">
        <f t="shared" si="13"/>
        <v>0.82796861451553283</v>
      </c>
      <c r="Q49" s="64">
        <f>+'Proposed Rates'!$B$80</f>
        <v>37.72</v>
      </c>
      <c r="R49" s="64">
        <f t="shared" si="14"/>
        <v>38.547968614515533</v>
      </c>
      <c r="S49" s="64">
        <f>+'Proposed Rates'!$F$80</f>
        <v>38.547968614515533</v>
      </c>
      <c r="T49" s="64">
        <f t="shared" si="15"/>
        <v>5007.3811230255678</v>
      </c>
      <c r="U49" s="64">
        <f t="shared" si="16"/>
        <v>107.54112302556769</v>
      </c>
      <c r="V49" s="20"/>
    </row>
    <row r="50" spans="1:22" s="15" customFormat="1" ht="12.75">
      <c r="A50" s="9" t="s">
        <v>155</v>
      </c>
      <c r="B50" s="9" t="s">
        <v>156</v>
      </c>
      <c r="D50" s="64">
        <f>+ROUND('Proposed Rates'!B80*References!C12,2)</f>
        <v>81.849999999999994</v>
      </c>
      <c r="E50" s="220">
        <v>31888.17</v>
      </c>
      <c r="G50" s="21">
        <f t="shared" si="17"/>
        <v>389.59279169211976</v>
      </c>
      <c r="I50" s="22">
        <f>+References!C12</f>
        <v>2.17</v>
      </c>
      <c r="J50" s="183">
        <f t="shared" si="10"/>
        <v>845.41635797189986</v>
      </c>
      <c r="K50" s="15">
        <f>+References!C38</f>
        <v>473</v>
      </c>
      <c r="L50" s="21">
        <f t="shared" si="11"/>
        <v>399881.93732070865</v>
      </c>
      <c r="M50" s="21">
        <f t="shared" si="12"/>
        <v>316353.05557118484</v>
      </c>
      <c r="N50" s="64">
        <f>+M50*References!$D$67</f>
        <v>686.48613058947058</v>
      </c>
      <c r="O50" s="64">
        <f>+N50/References!$F$76</f>
        <v>699.97821059876173</v>
      </c>
      <c r="P50" s="64">
        <f t="shared" si="13"/>
        <v>0.82796861451553294</v>
      </c>
      <c r="Q50" s="64">
        <f>+'Proposed Rates'!B80</f>
        <v>37.72</v>
      </c>
      <c r="R50" s="64">
        <f t="shared" si="14"/>
        <v>38.547968614515533</v>
      </c>
      <c r="S50" s="64">
        <f>+'Proposed Rates'!F80</f>
        <v>38.547968614515533</v>
      </c>
      <c r="T50" s="64">
        <f t="shared" si="15"/>
        <v>32589.083233298825</v>
      </c>
      <c r="U50" s="64">
        <f t="shared" si="16"/>
        <v>700.91323329882653</v>
      </c>
      <c r="V50" s="20"/>
    </row>
    <row r="51" spans="1:22" s="15" customFormat="1" ht="12.75">
      <c r="A51" s="9" t="s">
        <v>157</v>
      </c>
      <c r="B51" s="9" t="s">
        <v>158</v>
      </c>
      <c r="D51" s="64">
        <f>+ROUND('Proposed Rates'!$B$81*References!C11,2)</f>
        <v>211.39</v>
      </c>
      <c r="E51" s="220">
        <v>439636.82999999996</v>
      </c>
      <c r="G51" s="21">
        <f t="shared" si="17"/>
        <v>2079.7427976725485</v>
      </c>
      <c r="I51" s="22">
        <f>+References!C11</f>
        <v>4.33</v>
      </c>
      <c r="J51" s="183">
        <f t="shared" si="10"/>
        <v>9005.2863139221354</v>
      </c>
      <c r="K51" s="15">
        <f>+References!C39</f>
        <v>613</v>
      </c>
      <c r="L51" s="21">
        <f t="shared" si="11"/>
        <v>5520240.510434269</v>
      </c>
      <c r="M51" s="21">
        <f t="shared" si="12"/>
        <v>4367151.3763902141</v>
      </c>
      <c r="N51" s="64">
        <f>+M51*References!$D$67</f>
        <v>9476.7184867667565</v>
      </c>
      <c r="O51" s="64">
        <f>+N51/References!$F$76</f>
        <v>9662.97227741391</v>
      </c>
      <c r="P51" s="64">
        <f t="shared" si="13"/>
        <v>1.0730333207146334</v>
      </c>
      <c r="Q51" s="64">
        <f>+'Proposed Rates'!$B$81</f>
        <v>48.82</v>
      </c>
      <c r="R51" s="64">
        <f t="shared" si="14"/>
        <v>49.893033320714636</v>
      </c>
      <c r="S51" s="64">
        <f>+'Proposed Rates'!$F$81</f>
        <v>49.893033320714636</v>
      </c>
      <c r="T51" s="64">
        <f t="shared" si="15"/>
        <v>449301.0501230926</v>
      </c>
      <c r="U51" s="64">
        <f t="shared" si="16"/>
        <v>9664.2201230926439</v>
      </c>
      <c r="V51" s="20"/>
    </row>
    <row r="52" spans="1:22" s="15" customFormat="1" ht="12.75">
      <c r="A52" s="9" t="s">
        <v>159</v>
      </c>
      <c r="B52" s="9" t="s">
        <v>160</v>
      </c>
      <c r="D52" s="64">
        <f>+ROUND('Proposed Rates'!$B$81*References!C10,2)</f>
        <v>422.78</v>
      </c>
      <c r="E52" s="220">
        <v>400496.08999999997</v>
      </c>
      <c r="G52" s="21">
        <f t="shared" si="17"/>
        <v>947.29194853115098</v>
      </c>
      <c r="I52" s="22">
        <f>+References!C10</f>
        <v>8.66</v>
      </c>
      <c r="J52" s="183">
        <f t="shared" si="10"/>
        <v>8203.5482742797685</v>
      </c>
      <c r="K52" s="15">
        <f>+References!C39</f>
        <v>613</v>
      </c>
      <c r="L52" s="21">
        <f t="shared" si="11"/>
        <v>5028775.0921334978</v>
      </c>
      <c r="M52" s="21">
        <f t="shared" si="12"/>
        <v>3978345.1506608282</v>
      </c>
      <c r="N52" s="64">
        <f>+M52*References!$D$67</f>
        <v>8633.0089769339902</v>
      </c>
      <c r="O52" s="64">
        <f>+N52/References!$F$76</f>
        <v>8802.6806463932207</v>
      </c>
      <c r="P52" s="64">
        <f t="shared" si="13"/>
        <v>1.0730333207146334</v>
      </c>
      <c r="Q52" s="64">
        <f>+'Proposed Rates'!$B$81</f>
        <v>48.82</v>
      </c>
      <c r="R52" s="64">
        <f t="shared" si="14"/>
        <v>49.893033320714636</v>
      </c>
      <c r="S52" s="64">
        <f>+'Proposed Rates'!$F$81</f>
        <v>49.893033320714636</v>
      </c>
      <c r="T52" s="64">
        <f t="shared" si="15"/>
        <v>409299.90739673149</v>
      </c>
      <c r="U52" s="64">
        <f t="shared" si="16"/>
        <v>8803.8173967315233</v>
      </c>
      <c r="V52" s="20"/>
    </row>
    <row r="53" spans="1:22" s="15" customFormat="1" ht="12.75">
      <c r="A53" s="9" t="s">
        <v>161</v>
      </c>
      <c r="B53" s="9" t="s">
        <v>162</v>
      </c>
      <c r="D53" s="64">
        <f>+ROUND('Proposed Rates'!$B$81*References!C9,2)</f>
        <v>634.16999999999996</v>
      </c>
      <c r="E53" s="220">
        <v>189730.59000000003</v>
      </c>
      <c r="G53" s="21">
        <f t="shared" si="17"/>
        <v>299.17938407682487</v>
      </c>
      <c r="I53" s="22">
        <f>+References!C9</f>
        <v>12.99</v>
      </c>
      <c r="J53" s="183">
        <f t="shared" si="10"/>
        <v>3886.3401991579553</v>
      </c>
      <c r="K53" s="15">
        <f>+References!C39</f>
        <v>613</v>
      </c>
      <c r="L53" s="21">
        <f t="shared" si="11"/>
        <v>2382326.5420838268</v>
      </c>
      <c r="M53" s="21">
        <f t="shared" si="12"/>
        <v>1884696.9833301443</v>
      </c>
      <c r="N53" s="64">
        <f>+M53*References!$D$67</f>
        <v>4089.7924538264101</v>
      </c>
      <c r="O53" s="64">
        <f>+N53/References!$F$76</f>
        <v>4170.1725293292311</v>
      </c>
      <c r="P53" s="64">
        <f t="shared" si="13"/>
        <v>1.0730333207146336</v>
      </c>
      <c r="Q53" s="64">
        <f>+'Proposed Rates'!$B$81</f>
        <v>48.82</v>
      </c>
      <c r="R53" s="64">
        <f t="shared" si="14"/>
        <v>49.893033320714636</v>
      </c>
      <c r="S53" s="64">
        <f>+'Proposed Rates'!$F$81</f>
        <v>49.893033320714636</v>
      </c>
      <c r="T53" s="64">
        <f t="shared" si="15"/>
        <v>193901.3010522206</v>
      </c>
      <c r="U53" s="64">
        <f t="shared" si="16"/>
        <v>4170.7110522205767</v>
      </c>
      <c r="V53" s="20"/>
    </row>
    <row r="54" spans="1:22" s="15" customFormat="1" ht="12.75">
      <c r="A54" s="9" t="s">
        <v>163</v>
      </c>
      <c r="B54" s="9" t="s">
        <v>164</v>
      </c>
      <c r="D54" s="64">
        <f>+ROUND('Proposed Rates'!$B$81*References!C8,2)</f>
        <v>845.56</v>
      </c>
      <c r="E54" s="220">
        <v>40586.87999999999</v>
      </c>
      <c r="G54" s="21">
        <f t="shared" si="17"/>
        <v>47.999999999999993</v>
      </c>
      <c r="I54" s="22">
        <f>+References!C8</f>
        <v>17.32</v>
      </c>
      <c r="J54" s="183">
        <f t="shared" si="10"/>
        <v>831.3599999999999</v>
      </c>
      <c r="K54" s="15">
        <f>+References!C39</f>
        <v>613</v>
      </c>
      <c r="L54" s="21">
        <f t="shared" si="11"/>
        <v>509623.67999999993</v>
      </c>
      <c r="M54" s="21">
        <f t="shared" si="12"/>
        <v>403171.51967314567</v>
      </c>
      <c r="N54" s="64">
        <f>+M54*References!$D$67</f>
        <v>874.88219769072543</v>
      </c>
      <c r="O54" s="64">
        <f>+N54/References!$F$76</f>
        <v>892.07698150931753</v>
      </c>
      <c r="P54" s="64">
        <f t="shared" si="13"/>
        <v>1.0730333207146334</v>
      </c>
      <c r="Q54" s="64">
        <f>+'Proposed Rates'!$B$81</f>
        <v>48.82</v>
      </c>
      <c r="R54" s="64">
        <f t="shared" si="14"/>
        <v>49.893033320714636</v>
      </c>
      <c r="S54" s="64">
        <f>+'Proposed Rates'!$F$81</f>
        <v>49.893033320714636</v>
      </c>
      <c r="T54" s="64">
        <f t="shared" si="15"/>
        <v>41479.072181509313</v>
      </c>
      <c r="U54" s="64">
        <f t="shared" si="16"/>
        <v>892.19218150932284</v>
      </c>
      <c r="V54" s="20"/>
    </row>
    <row r="55" spans="1:22" s="15" customFormat="1" ht="12.75">
      <c r="A55" s="9" t="s">
        <v>165</v>
      </c>
      <c r="B55" s="9" t="s">
        <v>166</v>
      </c>
      <c r="D55" s="64">
        <f>+ROUND('Proposed Rates'!$B$81*References!C7,2)</f>
        <v>1056.95</v>
      </c>
      <c r="E55" s="220">
        <v>35724.909999999996</v>
      </c>
      <c r="G55" s="21">
        <f t="shared" si="17"/>
        <v>33.799999999999997</v>
      </c>
      <c r="I55" s="22">
        <f>+References!C7</f>
        <v>21.65</v>
      </c>
      <c r="J55" s="183">
        <f t="shared" si="10"/>
        <v>731.76999999999987</v>
      </c>
      <c r="K55" s="15">
        <f>+References!C39</f>
        <v>613</v>
      </c>
      <c r="L55" s="21">
        <f t="shared" si="11"/>
        <v>448575.00999999989</v>
      </c>
      <c r="M55" s="21">
        <f t="shared" si="12"/>
        <v>354874.93137896672</v>
      </c>
      <c r="N55" s="64">
        <f>+M55*References!$D$67</f>
        <v>770.07860109235719</v>
      </c>
      <c r="O55" s="64">
        <f>+N55/References!$F$76</f>
        <v>785.21359309934712</v>
      </c>
      <c r="P55" s="64">
        <f t="shared" si="13"/>
        <v>1.0730333207146334</v>
      </c>
      <c r="Q55" s="64">
        <f>+'Proposed Rates'!$B$81</f>
        <v>48.82</v>
      </c>
      <c r="R55" s="64">
        <f t="shared" si="14"/>
        <v>49.893033320714636</v>
      </c>
      <c r="S55" s="64">
        <f>+'Proposed Rates'!$F$81</f>
        <v>49.893033320714636</v>
      </c>
      <c r="T55" s="64">
        <f t="shared" si="15"/>
        <v>36510.224993099342</v>
      </c>
      <c r="U55" s="64">
        <f t="shared" si="16"/>
        <v>785.31499309934588</v>
      </c>
      <c r="V55" s="20"/>
    </row>
    <row r="56" spans="1:22" s="15" customFormat="1" ht="12.75">
      <c r="A56" s="9" t="s">
        <v>167</v>
      </c>
      <c r="B56" s="9" t="s">
        <v>168</v>
      </c>
      <c r="D56" s="64">
        <f>+ROUND('Proposed Rates'!$B$81*(References!C11*6),2)</f>
        <v>1268.3399999999999</v>
      </c>
      <c r="E56" s="220">
        <v>27903.479999999996</v>
      </c>
      <c r="G56" s="21">
        <f t="shared" si="17"/>
        <v>21.999999999999996</v>
      </c>
      <c r="I56" s="20">
        <f>+References!C11*6</f>
        <v>25.98</v>
      </c>
      <c r="J56" s="183">
        <f t="shared" si="10"/>
        <v>571.55999999999995</v>
      </c>
      <c r="K56" s="15">
        <f>+References!C39</f>
        <v>613</v>
      </c>
      <c r="L56" s="21">
        <f t="shared" si="11"/>
        <v>350366.27999999997</v>
      </c>
      <c r="M56" s="21">
        <f t="shared" si="12"/>
        <v>277180.41977528768</v>
      </c>
      <c r="N56" s="64">
        <f>+M56*References!$D$67</f>
        <v>601.48151091237378</v>
      </c>
      <c r="O56" s="64">
        <f>+N56/References!$F$76</f>
        <v>613.30292478765591</v>
      </c>
      <c r="P56" s="64">
        <f t="shared" si="13"/>
        <v>1.0730333207146336</v>
      </c>
      <c r="Q56" s="64">
        <f>+'Proposed Rates'!$B$81</f>
        <v>48.82</v>
      </c>
      <c r="R56" s="64">
        <f t="shared" si="14"/>
        <v>49.893033320714636</v>
      </c>
      <c r="S56" s="64">
        <f>+'Proposed Rates'!$F$81</f>
        <v>49.893033320714636</v>
      </c>
      <c r="T56" s="64">
        <f t="shared" si="15"/>
        <v>28516.862124787654</v>
      </c>
      <c r="U56" s="64">
        <f t="shared" si="16"/>
        <v>613.38212478765854</v>
      </c>
      <c r="V56" s="20"/>
    </row>
    <row r="57" spans="1:22" s="15" customFormat="1" ht="12.75">
      <c r="A57" s="9" t="s">
        <v>169</v>
      </c>
      <c r="B57" s="9" t="s">
        <v>170</v>
      </c>
      <c r="D57" s="64">
        <f>+ROUND('Proposed Rates'!B81*References!C12,2)</f>
        <v>105.94</v>
      </c>
      <c r="E57" s="220">
        <v>28497.86</v>
      </c>
      <c r="G57" s="21">
        <f t="shared" si="17"/>
        <v>269</v>
      </c>
      <c r="I57" s="22">
        <f>+References!C12</f>
        <v>2.17</v>
      </c>
      <c r="J57" s="183">
        <f t="shared" si="10"/>
        <v>583.73</v>
      </c>
      <c r="K57" s="15">
        <f>+References!C39</f>
        <v>613</v>
      </c>
      <c r="L57" s="21">
        <f t="shared" si="11"/>
        <v>357826.49</v>
      </c>
      <c r="M57" s="21">
        <f t="shared" si="12"/>
        <v>283082.31233016425</v>
      </c>
      <c r="N57" s="64">
        <f>+M57*References!$D$67</f>
        <v>614.28861775645589</v>
      </c>
      <c r="O57" s="64">
        <f>+N57/References!$F$76</f>
        <v>626.3617403007529</v>
      </c>
      <c r="P57" s="64">
        <f t="shared" si="13"/>
        <v>1.0730333207146332</v>
      </c>
      <c r="Q57" s="64">
        <f>+'Proposed Rates'!B81</f>
        <v>48.82</v>
      </c>
      <c r="R57" s="64">
        <f t="shared" si="14"/>
        <v>49.893033320714636</v>
      </c>
      <c r="S57" s="64">
        <f>+'Proposed Rates'!F81</f>
        <v>49.893033320714636</v>
      </c>
      <c r="T57" s="64">
        <f t="shared" si="15"/>
        <v>29124.060340300755</v>
      </c>
      <c r="U57" s="64">
        <f t="shared" si="16"/>
        <v>626.20034030075476</v>
      </c>
      <c r="V57" s="20"/>
    </row>
    <row r="58" spans="1:22" s="15" customFormat="1" ht="12.75">
      <c r="A58" s="9" t="s">
        <v>171</v>
      </c>
      <c r="B58" s="9" t="s">
        <v>172</v>
      </c>
      <c r="D58" s="64">
        <f>+ROUND('Proposed Rates'!$B$82*References!C11,2)</f>
        <v>259.63</v>
      </c>
      <c r="E58" s="220">
        <v>15577.8</v>
      </c>
      <c r="G58" s="21">
        <f t="shared" si="17"/>
        <v>60</v>
      </c>
      <c r="I58" s="22">
        <f>+References!C11</f>
        <v>4.33</v>
      </c>
      <c r="J58" s="183">
        <f t="shared" si="10"/>
        <v>259.8</v>
      </c>
      <c r="K58" s="15">
        <f>+References!C40</f>
        <v>728</v>
      </c>
      <c r="L58" s="21">
        <f t="shared" si="11"/>
        <v>189134.4</v>
      </c>
      <c r="M58" s="21">
        <f t="shared" si="12"/>
        <v>149627.27687706469</v>
      </c>
      <c r="N58" s="64">
        <f>+M58*References!$D$67</f>
        <v>324.69119082323016</v>
      </c>
      <c r="O58" s="64">
        <f>+N58/References!$F$76</f>
        <v>331.07261548673705</v>
      </c>
      <c r="P58" s="64">
        <f t="shared" si="13"/>
        <v>1.2743364722353234</v>
      </c>
      <c r="Q58" s="64">
        <f>+'Proposed Rates'!$B$82</f>
        <v>59.96</v>
      </c>
      <c r="R58" s="64">
        <f t="shared" si="14"/>
        <v>61.234336472235327</v>
      </c>
      <c r="S58" s="64">
        <f>+'Proposed Rates'!$F$82</f>
        <v>61.234336472235327</v>
      </c>
      <c r="T58" s="64">
        <f t="shared" si="15"/>
        <v>15908.680615486739</v>
      </c>
      <c r="U58" s="64">
        <f t="shared" si="16"/>
        <v>330.88061548673977</v>
      </c>
      <c r="V58" s="20"/>
    </row>
    <row r="59" spans="1:22" s="15" customFormat="1" ht="12.75">
      <c r="A59" s="9" t="s">
        <v>173</v>
      </c>
      <c r="B59" s="9" t="s">
        <v>174</v>
      </c>
      <c r="D59" s="64">
        <f>+ROUND('Proposed Rates'!B82*References!C12,2)</f>
        <v>130.11000000000001</v>
      </c>
      <c r="E59" s="220">
        <v>1496.27</v>
      </c>
      <c r="G59" s="21">
        <f t="shared" si="17"/>
        <v>11.500038429021595</v>
      </c>
      <c r="I59" s="22">
        <f>+References!C12</f>
        <v>2.17</v>
      </c>
      <c r="J59" s="183">
        <f t="shared" si="10"/>
        <v>24.95508339097686</v>
      </c>
      <c r="K59" s="15">
        <f>+References!C40</f>
        <v>728</v>
      </c>
      <c r="L59" s="21">
        <f t="shared" si="11"/>
        <v>18167.300708631155</v>
      </c>
      <c r="M59" s="21">
        <f t="shared" si="12"/>
        <v>14372.444850007441</v>
      </c>
      <c r="N59" s="64">
        <f>+M59*References!$D$67</f>
        <v>31.188205324516122</v>
      </c>
      <c r="O59" s="64">
        <f>+N59/References!$F$76</f>
        <v>31.801172932795762</v>
      </c>
      <c r="P59" s="64">
        <f t="shared" si="13"/>
        <v>1.2743364722353234</v>
      </c>
      <c r="Q59" s="64">
        <f>+'Proposed Rates'!B82</f>
        <v>59.96</v>
      </c>
      <c r="R59" s="64">
        <f t="shared" si="14"/>
        <v>61.234336472235327</v>
      </c>
      <c r="S59" s="64">
        <f>+'Proposed Rates'!F82</f>
        <v>61.234336472235327</v>
      </c>
      <c r="T59" s="64">
        <f t="shared" si="15"/>
        <v>1528.1079730557683</v>
      </c>
      <c r="U59" s="64">
        <f t="shared" si="16"/>
        <v>31.837973055768316</v>
      </c>
      <c r="V59" s="20"/>
    </row>
    <row r="60" spans="1:22" s="15" customFormat="1" ht="12.75">
      <c r="A60" s="9" t="s">
        <v>175</v>
      </c>
      <c r="B60" s="9" t="s">
        <v>176</v>
      </c>
      <c r="D60" s="64">
        <f>+ROUND('Proposed Rates'!$B$83*References!C11,2)</f>
        <v>307.47000000000003</v>
      </c>
      <c r="E60" s="220">
        <v>340584.57</v>
      </c>
      <c r="G60" s="21">
        <f t="shared" si="17"/>
        <v>1107.7001658698409</v>
      </c>
      <c r="I60" s="22">
        <f>+References!C11</f>
        <v>4.33</v>
      </c>
      <c r="J60" s="183">
        <f t="shared" si="10"/>
        <v>4796.3417182164112</v>
      </c>
      <c r="K60" s="15">
        <f>+References!C41</f>
        <v>840</v>
      </c>
      <c r="L60" s="21">
        <f t="shared" si="11"/>
        <v>4028927.0433017854</v>
      </c>
      <c r="M60" s="21">
        <f t="shared" si="12"/>
        <v>3187349.2195264841</v>
      </c>
      <c r="N60" s="64">
        <f>+M60*References!$D$67</f>
        <v>6916.5478063724649</v>
      </c>
      <c r="O60" s="64">
        <f>+N60/References!$F$76</f>
        <v>7052.4844440311663</v>
      </c>
      <c r="P60" s="64">
        <f t="shared" si="13"/>
        <v>1.4703882371946038</v>
      </c>
      <c r="Q60" s="64">
        <f>+'Proposed Rates'!$B$83</f>
        <v>71.010000000000005</v>
      </c>
      <c r="R60" s="64">
        <f t="shared" si="14"/>
        <v>72.480388237194603</v>
      </c>
      <c r="S60" s="64">
        <f>+'Proposed Rates'!$F$83</f>
        <v>72.480388237194603</v>
      </c>
      <c r="T60" s="64">
        <f t="shared" si="15"/>
        <v>347640.70985457854</v>
      </c>
      <c r="U60" s="64">
        <f t="shared" si="16"/>
        <v>7056.1398545785341</v>
      </c>
      <c r="V60" s="20"/>
    </row>
    <row r="61" spans="1:22" s="15" customFormat="1" ht="12.75">
      <c r="A61" s="9" t="s">
        <v>177</v>
      </c>
      <c r="B61" s="9" t="s">
        <v>178</v>
      </c>
      <c r="D61" s="64">
        <f>+ROUND('Proposed Rates'!$B$83*References!C10,2)</f>
        <v>614.95000000000005</v>
      </c>
      <c r="E61" s="220">
        <v>169171.07</v>
      </c>
      <c r="G61" s="21">
        <f t="shared" si="17"/>
        <v>275.09727620131719</v>
      </c>
      <c r="I61" s="22">
        <f>+References!C10</f>
        <v>8.66</v>
      </c>
      <c r="J61" s="183">
        <f t="shared" si="10"/>
        <v>2382.3424119034071</v>
      </c>
      <c r="K61" s="15">
        <f>+References!C41</f>
        <v>840</v>
      </c>
      <c r="L61" s="21">
        <f t="shared" si="11"/>
        <v>2001167.6259988619</v>
      </c>
      <c r="M61" s="21">
        <f t="shared" si="12"/>
        <v>1583156.0120884934</v>
      </c>
      <c r="N61" s="64">
        <f>+M61*References!$D$67</f>
        <v>3435.4485462320281</v>
      </c>
      <c r="O61" s="64">
        <f>+N61/References!$F$76</f>
        <v>3502.9682594325914</v>
      </c>
      <c r="P61" s="64">
        <f t="shared" si="13"/>
        <v>1.4703882371946038</v>
      </c>
      <c r="Q61" s="64">
        <f>+'Proposed Rates'!$B$83</f>
        <v>71.010000000000005</v>
      </c>
      <c r="R61" s="64">
        <f t="shared" si="14"/>
        <v>72.480388237194603</v>
      </c>
      <c r="S61" s="64">
        <f>+'Proposed Rates'!$F$83</f>
        <v>72.480388237194603</v>
      </c>
      <c r="T61" s="64">
        <f t="shared" si="15"/>
        <v>172673.10292869349</v>
      </c>
      <c r="U61" s="64">
        <f t="shared" si="16"/>
        <v>3502.0329286934866</v>
      </c>
      <c r="V61" s="20"/>
    </row>
    <row r="62" spans="1:22" s="15" customFormat="1" ht="12.75">
      <c r="A62" s="9" t="s">
        <v>179</v>
      </c>
      <c r="B62" s="9" t="s">
        <v>180</v>
      </c>
      <c r="D62" s="64">
        <f>+ROUND('Proposed Rates'!$B$83*References!C9,2)</f>
        <v>922.42</v>
      </c>
      <c r="E62" s="220">
        <v>83869.220000000016</v>
      </c>
      <c r="G62" s="21">
        <f t="shared" si="17"/>
        <v>90.923028555321892</v>
      </c>
      <c r="I62" s="22">
        <f>+References!C9</f>
        <v>12.99</v>
      </c>
      <c r="J62" s="183">
        <f t="shared" si="10"/>
        <v>1181.0901409336313</v>
      </c>
      <c r="K62" s="15">
        <f>+References!C41</f>
        <v>840</v>
      </c>
      <c r="L62" s="21">
        <f t="shared" si="11"/>
        <v>992115.7183842503</v>
      </c>
      <c r="M62" s="21">
        <f t="shared" si="12"/>
        <v>784878.75970086968</v>
      </c>
      <c r="N62" s="64">
        <f>+M62*References!$D$67</f>
        <v>1703.1869085508858</v>
      </c>
      <c r="O62" s="64">
        <f>+N62/References!$F$76</f>
        <v>1736.6610502953283</v>
      </c>
      <c r="P62" s="64">
        <f t="shared" si="13"/>
        <v>1.4703882371946038</v>
      </c>
      <c r="Q62" s="64">
        <f>+'Proposed Rates'!$B$83</f>
        <v>71.010000000000005</v>
      </c>
      <c r="R62" s="64">
        <f t="shared" si="14"/>
        <v>72.480388237194603</v>
      </c>
      <c r="S62" s="64">
        <f>+'Proposed Rates'!$F$83</f>
        <v>72.480388237194603</v>
      </c>
      <c r="T62" s="64">
        <f t="shared" si="15"/>
        <v>85605.871957992495</v>
      </c>
      <c r="U62" s="64">
        <f t="shared" si="16"/>
        <v>1736.6519579924789</v>
      </c>
      <c r="V62" s="20"/>
    </row>
    <row r="63" spans="1:22" s="15" customFormat="1" ht="12.75">
      <c r="A63" s="9" t="s">
        <v>181</v>
      </c>
      <c r="B63" s="9" t="s">
        <v>182</v>
      </c>
      <c r="D63" s="64">
        <f>+ROUND('Proposed Rates'!B83*References!C7,2)</f>
        <v>1537.37</v>
      </c>
      <c r="E63" s="220">
        <v>24597.919999999998</v>
      </c>
      <c r="G63" s="21">
        <f t="shared" si="17"/>
        <v>16</v>
      </c>
      <c r="I63" s="22">
        <f>+References!C7</f>
        <v>21.65</v>
      </c>
      <c r="J63" s="183">
        <f t="shared" si="10"/>
        <v>346.4</v>
      </c>
      <c r="K63" s="15">
        <f>+References!C41</f>
        <v>840</v>
      </c>
      <c r="L63" s="21">
        <f t="shared" si="11"/>
        <v>290976</v>
      </c>
      <c r="M63" s="21">
        <f t="shared" si="12"/>
        <v>230195.81058009953</v>
      </c>
      <c r="N63" s="64">
        <f>+M63*References!$D$67</f>
        <v>499.52490895881556</v>
      </c>
      <c r="O63" s="64">
        <f>+N63/References!$F$76</f>
        <v>509.34248536421075</v>
      </c>
      <c r="P63" s="64">
        <f t="shared" si="13"/>
        <v>1.4703882371946038</v>
      </c>
      <c r="Q63" s="64">
        <f>+'Proposed Rates'!B83</f>
        <v>71.010000000000005</v>
      </c>
      <c r="R63" s="64">
        <f t="shared" si="14"/>
        <v>72.480388237194603</v>
      </c>
      <c r="S63" s="64">
        <f>+'Proposed Rates'!F83</f>
        <v>72.480388237194603</v>
      </c>
      <c r="T63" s="64">
        <f t="shared" si="15"/>
        <v>25107.206485364208</v>
      </c>
      <c r="U63" s="64">
        <f t="shared" si="16"/>
        <v>509.28648536420951</v>
      </c>
      <c r="V63" s="20"/>
    </row>
    <row r="64" spans="1:22" s="15" customFormat="1" ht="12.75">
      <c r="A64" s="9" t="s">
        <v>183</v>
      </c>
      <c r="B64" s="9" t="s">
        <v>184</v>
      </c>
      <c r="D64" s="64">
        <f>+ROUND('Proposed Rates'!B83*References!C12,2)</f>
        <v>154.09</v>
      </c>
      <c r="E64" s="220">
        <v>34593.219999999994</v>
      </c>
      <c r="G64" s="21">
        <f t="shared" si="17"/>
        <v>224.50009734570702</v>
      </c>
      <c r="I64" s="22">
        <f>+References!C12</f>
        <v>2.17</v>
      </c>
      <c r="J64" s="183">
        <f t="shared" si="10"/>
        <v>487.16521124018419</v>
      </c>
      <c r="K64" s="15">
        <f>+References!C41</f>
        <v>840</v>
      </c>
      <c r="L64" s="21">
        <f t="shared" si="11"/>
        <v>409218.7774417547</v>
      </c>
      <c r="M64" s="21">
        <f t="shared" si="12"/>
        <v>323739.58050767786</v>
      </c>
      <c r="N64" s="64">
        <f>+M64*References!$D$67</f>
        <v>702.51488970166042</v>
      </c>
      <c r="O64" s="64">
        <f>+N64/References!$F$76</f>
        <v>716.3219961779912</v>
      </c>
      <c r="P64" s="64">
        <f t="shared" si="13"/>
        <v>1.4703882371946038</v>
      </c>
      <c r="Q64" s="64">
        <f>+'Proposed Rates'!B83</f>
        <v>71.010000000000005</v>
      </c>
      <c r="R64" s="64">
        <f t="shared" si="14"/>
        <v>72.480388237194603</v>
      </c>
      <c r="S64" s="64">
        <f>+'Proposed Rates'!F83</f>
        <v>72.480388237194603</v>
      </c>
      <c r="T64" s="64">
        <f t="shared" si="15"/>
        <v>35309.923646343472</v>
      </c>
      <c r="U64" s="64">
        <f t="shared" si="16"/>
        <v>716.70364634347789</v>
      </c>
      <c r="V64" s="20"/>
    </row>
    <row r="65" spans="1:22" s="15" customFormat="1" ht="12.75">
      <c r="A65" s="9" t="s">
        <v>185</v>
      </c>
      <c r="B65" s="9" t="s">
        <v>186</v>
      </c>
      <c r="D65" s="64">
        <f>+ROUND('Proposed Rates'!$B$84*References!C11,2)</f>
        <v>402.56</v>
      </c>
      <c r="E65" s="220">
        <v>194829.30000000002</v>
      </c>
      <c r="G65" s="21">
        <f t="shared" si="17"/>
        <v>483.97580484896667</v>
      </c>
      <c r="I65" s="22">
        <f>+References!C11</f>
        <v>4.33</v>
      </c>
      <c r="J65" s="183">
        <f t="shared" si="10"/>
        <v>2095.6152349960257</v>
      </c>
      <c r="K65" s="15">
        <f>+References!C42</f>
        <v>980</v>
      </c>
      <c r="L65" s="21">
        <f t="shared" si="11"/>
        <v>2053702.9302961051</v>
      </c>
      <c r="M65" s="21">
        <f t="shared" ref="M65:M96" si="18">+L65*$J$111</f>
        <v>1624717.5393511408</v>
      </c>
      <c r="N65" s="64">
        <f>+M65*References!$D$67</f>
        <v>3525.6370603919727</v>
      </c>
      <c r="O65" s="64">
        <f>+N65/References!$F$76</f>
        <v>3594.9293230946219</v>
      </c>
      <c r="P65" s="64">
        <f t="shared" ref="P65:P96" si="19">+O65/J65</f>
        <v>1.7154529433937045</v>
      </c>
      <c r="Q65" s="64">
        <f>+'Proposed Rates'!$B$84</f>
        <v>92.97</v>
      </c>
      <c r="R65" s="64">
        <f t="shared" si="14"/>
        <v>94.685452943393699</v>
      </c>
      <c r="S65" s="64">
        <f>+'Proposed Rates'!$F$84</f>
        <v>94.685452943393699</v>
      </c>
      <c r="T65" s="64">
        <f t="shared" ref="T65:T88" si="20">+G65*R65*I65</f>
        <v>198424.27772067511</v>
      </c>
      <c r="U65" s="64">
        <f t="shared" ref="U65:U96" si="21">+T65-E65</f>
        <v>3594.9777206750878</v>
      </c>
      <c r="V65" s="20"/>
    </row>
    <row r="66" spans="1:22" s="15" customFormat="1" ht="12.75">
      <c r="A66" s="9" t="s">
        <v>187</v>
      </c>
      <c r="B66" s="9" t="s">
        <v>188</v>
      </c>
      <c r="D66" s="64">
        <f>+ROUND('Proposed Rates'!$B$84*References!C10,2)</f>
        <v>805.12</v>
      </c>
      <c r="E66" s="220">
        <v>126001.28</v>
      </c>
      <c r="G66" s="21">
        <f t="shared" si="17"/>
        <v>156.5</v>
      </c>
      <c r="I66" s="22">
        <f>+References!C10</f>
        <v>8.66</v>
      </c>
      <c r="J66" s="183">
        <f t="shared" si="10"/>
        <v>1355.29</v>
      </c>
      <c r="K66" s="15">
        <f>+References!C42</f>
        <v>980</v>
      </c>
      <c r="L66" s="21">
        <f t="shared" si="11"/>
        <v>1328184.2</v>
      </c>
      <c r="M66" s="21">
        <f t="shared" si="18"/>
        <v>1050747.9603770792</v>
      </c>
      <c r="N66" s="64">
        <f>+M66*References!$D$67</f>
        <v>2280.12307401826</v>
      </c>
      <c r="O66" s="64">
        <f>+N66/References!$F$76</f>
        <v>2324.9362196520533</v>
      </c>
      <c r="P66" s="64">
        <f t="shared" si="19"/>
        <v>1.7154529433937042</v>
      </c>
      <c r="Q66" s="64">
        <f>+'Proposed Rates'!$B$84</f>
        <v>92.97</v>
      </c>
      <c r="R66" s="64">
        <f t="shared" si="14"/>
        <v>94.685452943393699</v>
      </c>
      <c r="S66" s="64">
        <f>+'Proposed Rates'!$F$84</f>
        <v>94.685452943393699</v>
      </c>
      <c r="T66" s="64">
        <f t="shared" si="20"/>
        <v>128326.24751965205</v>
      </c>
      <c r="U66" s="64">
        <f t="shared" si="21"/>
        <v>2324.9675196520548</v>
      </c>
      <c r="V66" s="20"/>
    </row>
    <row r="67" spans="1:22" s="15" customFormat="1" ht="12.75">
      <c r="A67" s="9" t="s">
        <v>189</v>
      </c>
      <c r="B67" s="9" t="s">
        <v>190</v>
      </c>
      <c r="D67" s="64">
        <f>+ROUND('Proposed Rates'!$B$84*References!C9,2)</f>
        <v>1207.68</v>
      </c>
      <c r="E67" s="220">
        <v>57968.639999999999</v>
      </c>
      <c r="G67" s="21">
        <f t="shared" si="17"/>
        <v>48</v>
      </c>
      <c r="I67" s="22">
        <f>+References!C9</f>
        <v>12.99</v>
      </c>
      <c r="J67" s="183">
        <f t="shared" si="10"/>
        <v>623.52</v>
      </c>
      <c r="K67" s="15">
        <f>+References!C42</f>
        <v>980</v>
      </c>
      <c r="L67" s="21">
        <f t="shared" si="11"/>
        <v>611049.6</v>
      </c>
      <c r="M67" s="21">
        <f t="shared" si="18"/>
        <v>483411.20221820899</v>
      </c>
      <c r="N67" s="64">
        <f>+M67*References!$D$67</f>
        <v>1049.0023088135126</v>
      </c>
      <c r="O67" s="64">
        <f>+N67/References!$F$76</f>
        <v>1069.6192192648425</v>
      </c>
      <c r="P67" s="64">
        <f t="shared" si="19"/>
        <v>1.7154529433937045</v>
      </c>
      <c r="Q67" s="64">
        <f>+'Proposed Rates'!$B$84</f>
        <v>92.97</v>
      </c>
      <c r="R67" s="64">
        <f t="shared" si="14"/>
        <v>94.685452943393699</v>
      </c>
      <c r="S67" s="64">
        <f>+'Proposed Rates'!$F$84</f>
        <v>94.685452943393699</v>
      </c>
      <c r="T67" s="64">
        <f t="shared" si="20"/>
        <v>59038.273619264844</v>
      </c>
      <c r="U67" s="64">
        <f t="shared" si="21"/>
        <v>1069.633619264845</v>
      </c>
      <c r="V67" s="20"/>
    </row>
    <row r="68" spans="1:22" s="15" customFormat="1" ht="12.75">
      <c r="A68" s="9" t="s">
        <v>191</v>
      </c>
      <c r="B68" s="9" t="s">
        <v>192</v>
      </c>
      <c r="D68" s="64">
        <f>+ROUND('Proposed Rates'!$B$84*References!C8,2)</f>
        <v>1610.24</v>
      </c>
      <c r="E68" s="220">
        <v>19322.88</v>
      </c>
      <c r="G68" s="21">
        <f t="shared" si="17"/>
        <v>12</v>
      </c>
      <c r="I68" s="22">
        <f>+References!C8</f>
        <v>17.32</v>
      </c>
      <c r="J68" s="183">
        <f t="shared" si="10"/>
        <v>207.84</v>
      </c>
      <c r="K68" s="15">
        <f>+References!C42</f>
        <v>980</v>
      </c>
      <c r="L68" s="21">
        <f t="shared" si="11"/>
        <v>203683.20000000001</v>
      </c>
      <c r="M68" s="21">
        <f t="shared" si="18"/>
        <v>161137.06740606966</v>
      </c>
      <c r="N68" s="64">
        <f>+M68*References!$D$67</f>
        <v>349.66743627117091</v>
      </c>
      <c r="O68" s="64">
        <f>+N68/References!$F$76</f>
        <v>356.53973975494756</v>
      </c>
      <c r="P68" s="64">
        <f t="shared" si="19"/>
        <v>1.7154529433937045</v>
      </c>
      <c r="Q68" s="64">
        <f>+'Proposed Rates'!$B$84</f>
        <v>92.97</v>
      </c>
      <c r="R68" s="64">
        <f t="shared" si="14"/>
        <v>94.685452943393699</v>
      </c>
      <c r="S68" s="64">
        <f>+'Proposed Rates'!$F$84</f>
        <v>94.685452943393699</v>
      </c>
      <c r="T68" s="64">
        <f t="shared" si="20"/>
        <v>19679.424539754949</v>
      </c>
      <c r="U68" s="64">
        <f t="shared" si="21"/>
        <v>356.54453975494835</v>
      </c>
      <c r="V68" s="20"/>
    </row>
    <row r="69" spans="1:22" s="15" customFormat="1" ht="12.75">
      <c r="A69" s="9" t="s">
        <v>193</v>
      </c>
      <c r="B69" s="9" t="s">
        <v>194</v>
      </c>
      <c r="D69" s="64">
        <f>+ROUND('Proposed Rates'!B84*References!C12,2)</f>
        <v>201.74</v>
      </c>
      <c r="E69" s="220">
        <v>8271.34</v>
      </c>
      <c r="G69" s="21">
        <f t="shared" si="17"/>
        <v>41</v>
      </c>
      <c r="I69" s="22">
        <f>+References!C12</f>
        <v>2.17</v>
      </c>
      <c r="J69" s="183">
        <f t="shared" si="10"/>
        <v>88.97</v>
      </c>
      <c r="K69" s="15">
        <f>+References!C42</f>
        <v>980</v>
      </c>
      <c r="L69" s="21">
        <f t="shared" si="11"/>
        <v>87190.6</v>
      </c>
      <c r="M69" s="21">
        <f t="shared" si="18"/>
        <v>68977.891104301481</v>
      </c>
      <c r="N69" s="64">
        <f>+M69*References!$D$67</f>
        <v>149.68202369633408</v>
      </c>
      <c r="O69" s="64">
        <f>+N69/References!$F$76</f>
        <v>152.6238483737379</v>
      </c>
      <c r="P69" s="64">
        <f t="shared" si="19"/>
        <v>1.7154529433937047</v>
      </c>
      <c r="Q69" s="64">
        <f>+'Proposed Rates'!B84</f>
        <v>92.97</v>
      </c>
      <c r="R69" s="64">
        <f t="shared" si="14"/>
        <v>94.685452943393699</v>
      </c>
      <c r="S69" s="64">
        <f>+'Proposed Rates'!F84</f>
        <v>94.685452943393699</v>
      </c>
      <c r="T69" s="64">
        <f t="shared" si="20"/>
        <v>8424.1647483737379</v>
      </c>
      <c r="U69" s="64">
        <f t="shared" si="21"/>
        <v>152.82474837373775</v>
      </c>
      <c r="V69" s="20"/>
    </row>
    <row r="70" spans="1:22" s="198" customFormat="1" ht="12.75">
      <c r="A70" s="218" t="s">
        <v>195</v>
      </c>
      <c r="B70" s="218" t="s">
        <v>196</v>
      </c>
      <c r="D70" s="226">
        <f>+ROUND('Proposed Rates'!B118*References!C11,2)</f>
        <v>244.77</v>
      </c>
      <c r="E70" s="227">
        <v>2937.2400000000002</v>
      </c>
      <c r="G70" s="217">
        <f t="shared" si="17"/>
        <v>12</v>
      </c>
      <c r="I70" s="207">
        <f>+References!C11</f>
        <v>4.33</v>
      </c>
      <c r="J70" s="230">
        <f t="shared" si="10"/>
        <v>51.96</v>
      </c>
      <c r="K70" s="217">
        <f>References!$C$54</f>
        <v>1296</v>
      </c>
      <c r="L70" s="217">
        <f t="shared" si="11"/>
        <v>67340.160000000003</v>
      </c>
      <c r="M70" s="217">
        <f t="shared" si="18"/>
        <v>53273.887591394465</v>
      </c>
      <c r="N70" s="226">
        <f>+M70*References!$D$67</f>
        <v>115.6043360733259</v>
      </c>
      <c r="O70" s="226">
        <f>+N70/References!$F$76</f>
        <v>117.87640375571735</v>
      </c>
      <c r="P70" s="226">
        <f t="shared" si="19"/>
        <v>2.2685989945288174</v>
      </c>
      <c r="Q70" s="226">
        <f>+'Proposed Rates'!B118</f>
        <v>56.53</v>
      </c>
      <c r="R70" s="226">
        <f t="shared" si="14"/>
        <v>58.798598994528817</v>
      </c>
      <c r="S70" s="226">
        <f>+'Proposed Rates'!F118</f>
        <v>58.798598994528817</v>
      </c>
      <c r="T70" s="226">
        <f t="shared" si="20"/>
        <v>3055.1752037557176</v>
      </c>
      <c r="U70" s="226">
        <f t="shared" si="21"/>
        <v>117.93520375571734</v>
      </c>
      <c r="V70" s="208"/>
    </row>
    <row r="71" spans="1:22" s="15" customFormat="1" ht="12.75">
      <c r="A71" s="9" t="s">
        <v>197</v>
      </c>
      <c r="B71" s="9" t="s">
        <v>198</v>
      </c>
      <c r="D71" s="64">
        <f>ROUND('Proposed Rates'!B119*References!C11,2)</f>
        <v>334.75</v>
      </c>
      <c r="E71" s="220">
        <v>7364.5</v>
      </c>
      <c r="G71" s="21">
        <f t="shared" si="17"/>
        <v>22</v>
      </c>
      <c r="I71" s="22">
        <f>+References!C11</f>
        <v>4.33</v>
      </c>
      <c r="J71" s="183">
        <f t="shared" si="10"/>
        <v>95.26</v>
      </c>
      <c r="K71" s="27">
        <f>+References!C55</f>
        <v>1892</v>
      </c>
      <c r="L71" s="21">
        <f t="shared" si="11"/>
        <v>180231.92</v>
      </c>
      <c r="M71" s="21">
        <f t="shared" si="18"/>
        <v>142584.38124384024</v>
      </c>
      <c r="N71" s="64">
        <f>+M71*References!$D$67</f>
        <v>309.40810729913306</v>
      </c>
      <c r="O71" s="64">
        <f>+N71/References!$F$76</f>
        <v>315.48916087499867</v>
      </c>
      <c r="P71" s="64">
        <f t="shared" si="19"/>
        <v>3.3118744580621318</v>
      </c>
      <c r="Q71" s="64">
        <f>+'Proposed Rates'!B119</f>
        <v>77.31</v>
      </c>
      <c r="R71" s="64">
        <f t="shared" si="14"/>
        <v>80.621874458062138</v>
      </c>
      <c r="S71" s="64">
        <f>+'Proposed Rates'!F119</f>
        <v>80.621874458062138</v>
      </c>
      <c r="T71" s="64">
        <f t="shared" si="20"/>
        <v>7680.039760874999</v>
      </c>
      <c r="U71" s="64">
        <f t="shared" si="21"/>
        <v>315.53976087499905</v>
      </c>
      <c r="V71" s="20"/>
    </row>
    <row r="72" spans="1:22" s="15" customFormat="1" ht="12.75">
      <c r="A72" s="9" t="s">
        <v>199</v>
      </c>
      <c r="B72" s="9" t="s">
        <v>200</v>
      </c>
      <c r="D72" s="64">
        <f>ROUND('Proposed Rates'!B120*References!C11,2)</f>
        <v>435.17</v>
      </c>
      <c r="E72" s="220">
        <v>26110.199999999997</v>
      </c>
      <c r="G72" s="21">
        <f t="shared" si="17"/>
        <v>59.999999999999993</v>
      </c>
      <c r="I72" s="22">
        <f>+References!C11</f>
        <v>4.33</v>
      </c>
      <c r="J72" s="183">
        <f t="shared" si="10"/>
        <v>259.79999999999995</v>
      </c>
      <c r="K72" s="27">
        <f>+References!C56</f>
        <v>2452</v>
      </c>
      <c r="L72" s="21">
        <f t="shared" si="11"/>
        <v>637029.59999999986</v>
      </c>
      <c r="M72" s="21">
        <f t="shared" si="18"/>
        <v>503964.39959143207</v>
      </c>
      <c r="N72" s="64">
        <f>+M72*References!$D$67</f>
        <v>1093.6027471134068</v>
      </c>
      <c r="O72" s="64">
        <f>+N72/References!$F$76</f>
        <v>1115.0962268866469</v>
      </c>
      <c r="P72" s="64">
        <f t="shared" si="19"/>
        <v>4.2921332828585337</v>
      </c>
      <c r="Q72" s="64">
        <f>+'Proposed Rates'!B120</f>
        <v>100.5</v>
      </c>
      <c r="R72" s="64">
        <f t="shared" si="14"/>
        <v>104.79213328285853</v>
      </c>
      <c r="S72" s="64">
        <f>+'Proposed Rates'!F120</f>
        <v>104.79213328285853</v>
      </c>
      <c r="T72" s="64">
        <f t="shared" si="20"/>
        <v>27224.996226886644</v>
      </c>
      <c r="U72" s="64">
        <f t="shared" si="21"/>
        <v>1114.7962268866468</v>
      </c>
      <c r="V72" s="20"/>
    </row>
    <row r="73" spans="1:22" s="15" customFormat="1" ht="12.75">
      <c r="A73" s="9" t="s">
        <v>201</v>
      </c>
      <c r="B73" s="9" t="s">
        <v>202</v>
      </c>
      <c r="D73" s="64">
        <f>+ROUND('Proposed Rates'!B87,2)</f>
        <v>17.899999999999999</v>
      </c>
      <c r="E73" s="220">
        <v>5540.8000000000011</v>
      </c>
      <c r="G73" s="21">
        <f t="shared" si="17"/>
        <v>309.54189944134089</v>
      </c>
      <c r="I73" s="22">
        <f>+References!C14</f>
        <v>1</v>
      </c>
      <c r="J73" s="183">
        <f t="shared" si="10"/>
        <v>309.54189944134089</v>
      </c>
      <c r="K73" s="15">
        <f>+References!C35</f>
        <v>175</v>
      </c>
      <c r="L73" s="21">
        <f t="shared" si="11"/>
        <v>54169.832402234657</v>
      </c>
      <c r="M73" s="21">
        <f t="shared" si="18"/>
        <v>42854.628831314425</v>
      </c>
      <c r="N73" s="64">
        <f>+M73*References!$D$67</f>
        <v>92.994544563952232</v>
      </c>
      <c r="O73" s="64">
        <f>+N73/References!$F$76</f>
        <v>94.822243303629705</v>
      </c>
      <c r="P73" s="64">
        <f t="shared" si="19"/>
        <v>0.30633088274887582</v>
      </c>
      <c r="Q73" s="64">
        <f>+'Proposed Rates'!B87</f>
        <v>17.899999999999999</v>
      </c>
      <c r="R73" s="64">
        <f t="shared" si="14"/>
        <v>18.206330882748876</v>
      </c>
      <c r="S73" s="64">
        <f>+'Proposed Rates'!F87</f>
        <v>18.206330882748876</v>
      </c>
      <c r="T73" s="64">
        <f t="shared" si="20"/>
        <v>5635.6222433036319</v>
      </c>
      <c r="U73" s="64">
        <f t="shared" si="21"/>
        <v>94.822243303630785</v>
      </c>
      <c r="V73" s="20"/>
    </row>
    <row r="74" spans="1:22" s="15" customFormat="1" ht="12.75">
      <c r="A74" s="9" t="s">
        <v>203</v>
      </c>
      <c r="B74" s="9" t="s">
        <v>204</v>
      </c>
      <c r="D74" s="64">
        <f>+ROUND('Proposed Rates'!B88,2)</f>
        <v>23.77</v>
      </c>
      <c r="E74" s="220">
        <v>1140.96</v>
      </c>
      <c r="G74" s="21">
        <f t="shared" si="17"/>
        <v>48</v>
      </c>
      <c r="I74" s="22">
        <f>+References!C14</f>
        <v>1</v>
      </c>
      <c r="J74" s="183">
        <f t="shared" si="10"/>
        <v>48</v>
      </c>
      <c r="K74" s="15">
        <f>+References!C36</f>
        <v>250</v>
      </c>
      <c r="L74" s="21">
        <f t="shared" si="11"/>
        <v>12000</v>
      </c>
      <c r="M74" s="21">
        <f t="shared" si="18"/>
        <v>9493.3937058767533</v>
      </c>
      <c r="N74" s="64">
        <f>+M74*References!$D$67</f>
        <v>20.600664341752537</v>
      </c>
      <c r="O74" s="64">
        <f>+N74/References!$F$76</f>
        <v>21.005546245637195</v>
      </c>
      <c r="P74" s="64">
        <f t="shared" si="19"/>
        <v>0.43761554678410824</v>
      </c>
      <c r="Q74" s="64">
        <f>+'Proposed Rates'!B88</f>
        <v>23.77</v>
      </c>
      <c r="R74" s="64">
        <f t="shared" si="14"/>
        <v>24.207615546784108</v>
      </c>
      <c r="S74" s="64">
        <f>+'Proposed Rates'!F88</f>
        <v>24.207615546784108</v>
      </c>
      <c r="T74" s="64">
        <f t="shared" si="20"/>
        <v>1161.9655462456371</v>
      </c>
      <c r="U74" s="64">
        <f t="shared" si="21"/>
        <v>21.005546245637106</v>
      </c>
      <c r="V74" s="20"/>
    </row>
    <row r="75" spans="1:22" s="15" customFormat="1" ht="12.75">
      <c r="A75" s="9" t="s">
        <v>205</v>
      </c>
      <c r="B75" s="9" t="s">
        <v>206</v>
      </c>
      <c r="D75" s="64">
        <f>+ROUND('Proposed Rates'!B89,2)</f>
        <v>28.06</v>
      </c>
      <c r="E75" s="220">
        <v>5668.1200000000008</v>
      </c>
      <c r="G75" s="21">
        <f t="shared" si="17"/>
        <v>202.00000000000003</v>
      </c>
      <c r="I75" s="22">
        <f>+References!C14</f>
        <v>1</v>
      </c>
      <c r="J75" s="183">
        <f t="shared" si="10"/>
        <v>202.00000000000003</v>
      </c>
      <c r="K75" s="15">
        <f>+References!C37</f>
        <v>324</v>
      </c>
      <c r="L75" s="21">
        <f t="shared" si="11"/>
        <v>65448.000000000007</v>
      </c>
      <c r="M75" s="21">
        <f t="shared" si="18"/>
        <v>51776.96927185182</v>
      </c>
      <c r="N75" s="64">
        <f>+M75*References!$D$67</f>
        <v>112.35602331991836</v>
      </c>
      <c r="O75" s="64">
        <f>+N75/References!$F$76</f>
        <v>114.56424922370529</v>
      </c>
      <c r="P75" s="64">
        <f t="shared" si="19"/>
        <v>0.56714974863220435</v>
      </c>
      <c r="Q75" s="64">
        <f>+'Proposed Rates'!B89</f>
        <v>28.06</v>
      </c>
      <c r="R75" s="64">
        <f t="shared" si="14"/>
        <v>28.627149748632203</v>
      </c>
      <c r="S75" s="64">
        <f>+'Proposed Rates'!F89</f>
        <v>28.627149748632203</v>
      </c>
      <c r="T75" s="64">
        <f t="shared" si="20"/>
        <v>5782.6842492237056</v>
      </c>
      <c r="U75" s="64">
        <f t="shared" si="21"/>
        <v>114.56424922370479</v>
      </c>
      <c r="V75" s="20"/>
    </row>
    <row r="76" spans="1:22" s="15" customFormat="1" ht="12.75">
      <c r="A76" s="9" t="s">
        <v>207</v>
      </c>
      <c r="B76" s="9" t="s">
        <v>208</v>
      </c>
      <c r="D76" s="64">
        <f>+ROUND('Proposed Rates'!B90,2)</f>
        <v>38.72</v>
      </c>
      <c r="E76" s="220">
        <v>1122.8800000000001</v>
      </c>
      <c r="G76" s="21">
        <f t="shared" si="17"/>
        <v>29.000000000000004</v>
      </c>
      <c r="I76" s="22">
        <f>+References!C14</f>
        <v>1</v>
      </c>
      <c r="J76" s="183">
        <f t="shared" si="10"/>
        <v>29.000000000000004</v>
      </c>
      <c r="K76" s="15">
        <f>+References!C38</f>
        <v>473</v>
      </c>
      <c r="L76" s="21">
        <f t="shared" si="11"/>
        <v>13717.000000000002</v>
      </c>
      <c r="M76" s="21">
        <f t="shared" si="18"/>
        <v>10851.740121959287</v>
      </c>
      <c r="N76" s="64">
        <f>+M76*References!$D$67</f>
        <v>23.548276064651635</v>
      </c>
      <c r="O76" s="64">
        <f>+N76/References!$F$76</f>
        <v>24.011089820950456</v>
      </c>
      <c r="P76" s="64">
        <f t="shared" si="19"/>
        <v>0.82796861451553283</v>
      </c>
      <c r="Q76" s="64">
        <f>+'Proposed Rates'!B90</f>
        <v>38.72</v>
      </c>
      <c r="R76" s="64">
        <f t="shared" si="14"/>
        <v>39.547968614515533</v>
      </c>
      <c r="S76" s="64">
        <f>+'Proposed Rates'!F90</f>
        <v>39.547968614515533</v>
      </c>
      <c r="T76" s="64">
        <f t="shared" si="20"/>
        <v>1146.8910898209506</v>
      </c>
      <c r="U76" s="64">
        <f t="shared" si="21"/>
        <v>24.011089820950474</v>
      </c>
      <c r="V76" s="20"/>
    </row>
    <row r="77" spans="1:22" s="15" customFormat="1" ht="12.75">
      <c r="A77" s="9" t="s">
        <v>209</v>
      </c>
      <c r="B77" s="9" t="s">
        <v>210</v>
      </c>
      <c r="D77" s="64">
        <f>+ROUND('Proposed Rates'!B124,2)</f>
        <v>57.53</v>
      </c>
      <c r="E77" s="220">
        <v>114.62</v>
      </c>
      <c r="G77" s="21">
        <f t="shared" si="17"/>
        <v>1.9923518164435947</v>
      </c>
      <c r="I77" s="22">
        <f>+References!C14</f>
        <v>1</v>
      </c>
      <c r="J77" s="183">
        <f t="shared" si="10"/>
        <v>1.9923518164435947</v>
      </c>
      <c r="K77" s="21">
        <f>References!$C$54</f>
        <v>1296</v>
      </c>
      <c r="L77" s="21">
        <f t="shared" si="11"/>
        <v>2582.0879541108989</v>
      </c>
      <c r="M77" s="21">
        <f t="shared" si="18"/>
        <v>2042.731460964716</v>
      </c>
      <c r="N77" s="64">
        <f>+M77*References!$D$67</f>
        <v>4.4327272702934302</v>
      </c>
      <c r="O77" s="64">
        <f>+N77/References!$F$76</f>
        <v>4.5198473275316022</v>
      </c>
      <c r="P77" s="64">
        <f t="shared" si="19"/>
        <v>2.2685989945288174</v>
      </c>
      <c r="Q77" s="64">
        <f>+'Proposed Rates'!B124</f>
        <v>57.53</v>
      </c>
      <c r="R77" s="64">
        <f t="shared" si="14"/>
        <v>59.798598994528817</v>
      </c>
      <c r="S77" s="64">
        <f>+'Proposed Rates'!F124</f>
        <v>59.798598994528817</v>
      </c>
      <c r="T77" s="64">
        <f t="shared" si="20"/>
        <v>119.1398473275316</v>
      </c>
      <c r="U77" s="64">
        <f t="shared" si="21"/>
        <v>4.5198473275315934</v>
      </c>
      <c r="V77" s="20"/>
    </row>
    <row r="78" spans="1:22" s="15" customFormat="1" ht="12.75">
      <c r="A78" s="9" t="s">
        <v>211</v>
      </c>
      <c r="B78" s="9" t="s">
        <v>212</v>
      </c>
      <c r="D78" s="64">
        <f>+ROUND('Proposed Rates'!B126,2)</f>
        <v>101.5</v>
      </c>
      <c r="E78" s="220">
        <v>4872</v>
      </c>
      <c r="G78" s="21">
        <f t="shared" si="17"/>
        <v>48</v>
      </c>
      <c r="I78" s="22">
        <f>+References!C14</f>
        <v>1</v>
      </c>
      <c r="J78" s="183">
        <f t="shared" si="10"/>
        <v>48</v>
      </c>
      <c r="K78" s="27">
        <f>+References!C56</f>
        <v>2452</v>
      </c>
      <c r="L78" s="21">
        <f t="shared" si="11"/>
        <v>117696</v>
      </c>
      <c r="M78" s="21">
        <f t="shared" si="18"/>
        <v>93111.205467239197</v>
      </c>
      <c r="N78" s="64">
        <f>+M78*References!$D$67</f>
        <v>202.05131586390891</v>
      </c>
      <c r="O78" s="64">
        <f>+N78/References!$F$76</f>
        <v>206.02239757720963</v>
      </c>
      <c r="P78" s="64">
        <f t="shared" si="19"/>
        <v>4.2921332828585337</v>
      </c>
      <c r="Q78" s="64">
        <f>+'Proposed Rates'!B126</f>
        <v>101.5</v>
      </c>
      <c r="R78" s="64">
        <f t="shared" si="14"/>
        <v>105.79213328285853</v>
      </c>
      <c r="S78" s="64">
        <f>+'Proposed Rates'!F126</f>
        <v>105.79213328285853</v>
      </c>
      <c r="T78" s="64">
        <f t="shared" si="20"/>
        <v>5078.0223975772096</v>
      </c>
      <c r="U78" s="64">
        <f t="shared" si="21"/>
        <v>206.02239757720963</v>
      </c>
      <c r="V78" s="20"/>
    </row>
    <row r="79" spans="1:22" s="15" customFormat="1" ht="12.75">
      <c r="A79" s="9" t="s">
        <v>213</v>
      </c>
      <c r="B79" s="9" t="s">
        <v>214</v>
      </c>
      <c r="D79" s="64">
        <f>+ROUND('Proposed Rates'!B91,2)</f>
        <v>49.82</v>
      </c>
      <c r="E79" s="220">
        <v>1494.6000000000001</v>
      </c>
      <c r="G79" s="21">
        <f t="shared" si="17"/>
        <v>30.000000000000004</v>
      </c>
      <c r="I79" s="22">
        <f>+References!C14</f>
        <v>1</v>
      </c>
      <c r="J79" s="183">
        <f t="shared" si="10"/>
        <v>30.000000000000004</v>
      </c>
      <c r="K79" s="15">
        <f>+References!C39</f>
        <v>613</v>
      </c>
      <c r="L79" s="21">
        <f t="shared" si="11"/>
        <v>18390.000000000004</v>
      </c>
      <c r="M79" s="21">
        <f t="shared" si="18"/>
        <v>14548.625854256128</v>
      </c>
      <c r="N79" s="64">
        <f>+M79*References!$D$67</f>
        <v>31.570518103735775</v>
      </c>
      <c r="O79" s="64">
        <f>+N79/References!$F$76</f>
        <v>32.190999621439012</v>
      </c>
      <c r="P79" s="64">
        <f t="shared" si="19"/>
        <v>1.0730333207146336</v>
      </c>
      <c r="Q79" s="64">
        <f>+'Proposed Rates'!B91</f>
        <v>49.82</v>
      </c>
      <c r="R79" s="64">
        <f t="shared" si="14"/>
        <v>50.893033320714636</v>
      </c>
      <c r="S79" s="64">
        <f>+'Proposed Rates'!F91</f>
        <v>50.893033320714636</v>
      </c>
      <c r="T79" s="64">
        <f t="shared" si="20"/>
        <v>1526.7909996214394</v>
      </c>
      <c r="U79" s="64">
        <f t="shared" si="21"/>
        <v>32.190999621439232</v>
      </c>
      <c r="V79" s="20"/>
    </row>
    <row r="80" spans="1:22" s="15" customFormat="1" ht="12.75">
      <c r="A80" s="9" t="s">
        <v>215</v>
      </c>
      <c r="B80" s="9" t="s">
        <v>216</v>
      </c>
      <c r="D80" s="64">
        <f>+ROUND('Proposed Rates'!B92,2)</f>
        <v>60.96</v>
      </c>
      <c r="E80" s="220">
        <v>548.64</v>
      </c>
      <c r="G80" s="21">
        <f t="shared" si="17"/>
        <v>9</v>
      </c>
      <c r="I80" s="22">
        <f>+References!C14</f>
        <v>1</v>
      </c>
      <c r="J80" s="183">
        <f t="shared" si="10"/>
        <v>9</v>
      </c>
      <c r="K80" s="15">
        <f>+References!C40</f>
        <v>728</v>
      </c>
      <c r="L80" s="21">
        <f t="shared" si="11"/>
        <v>6552</v>
      </c>
      <c r="M80" s="21">
        <f t="shared" si="18"/>
        <v>5183.3929634087071</v>
      </c>
      <c r="N80" s="64">
        <f>+M80*References!$D$67</f>
        <v>11.247962730596885</v>
      </c>
      <c r="O80" s="64">
        <f>+N80/References!$F$76</f>
        <v>11.469028250117908</v>
      </c>
      <c r="P80" s="64">
        <f t="shared" si="19"/>
        <v>1.2743364722353232</v>
      </c>
      <c r="Q80" s="64">
        <f>+'Proposed Rates'!B92</f>
        <v>60.96</v>
      </c>
      <c r="R80" s="64">
        <f t="shared" si="14"/>
        <v>62.234336472235327</v>
      </c>
      <c r="S80" s="64">
        <f>+'Proposed Rates'!F92</f>
        <v>62.234336472235327</v>
      </c>
      <c r="T80" s="64">
        <f t="shared" si="20"/>
        <v>560.10902825011794</v>
      </c>
      <c r="U80" s="64">
        <f t="shared" si="21"/>
        <v>11.469028250117958</v>
      </c>
      <c r="V80" s="20"/>
    </row>
    <row r="81" spans="1:22" s="15" customFormat="1" ht="12.75">
      <c r="A81" s="9" t="s">
        <v>217</v>
      </c>
      <c r="B81" s="9" t="s">
        <v>218</v>
      </c>
      <c r="D81" s="64">
        <f>+ROUND('Proposed Rates'!B93,2)</f>
        <v>72.010000000000005</v>
      </c>
      <c r="E81" s="220">
        <v>1800.25</v>
      </c>
      <c r="G81" s="21">
        <f t="shared" si="17"/>
        <v>25</v>
      </c>
      <c r="I81" s="22">
        <f>+References!C14</f>
        <v>1</v>
      </c>
      <c r="J81" s="183">
        <f t="shared" si="10"/>
        <v>25</v>
      </c>
      <c r="K81" s="15">
        <f>+References!C41</f>
        <v>840</v>
      </c>
      <c r="L81" s="21">
        <f t="shared" si="11"/>
        <v>21000</v>
      </c>
      <c r="M81" s="21">
        <f t="shared" si="18"/>
        <v>16613.43898528432</v>
      </c>
      <c r="N81" s="64">
        <f>+M81*References!$D$67</f>
        <v>36.051162598066945</v>
      </c>
      <c r="O81" s="64">
        <f>+N81/References!$F$76</f>
        <v>36.759705929865099</v>
      </c>
      <c r="P81" s="64">
        <f t="shared" si="19"/>
        <v>1.470388237194604</v>
      </c>
      <c r="Q81" s="64">
        <f>+'Proposed Rates'!B93</f>
        <v>72.010000000000005</v>
      </c>
      <c r="R81" s="64">
        <f t="shared" si="14"/>
        <v>73.480388237194603</v>
      </c>
      <c r="S81" s="64">
        <f>+'Proposed Rates'!F93</f>
        <v>73.480388237194603</v>
      </c>
      <c r="T81" s="64">
        <f t="shared" si="20"/>
        <v>1837.009705929865</v>
      </c>
      <c r="U81" s="64">
        <f t="shared" si="21"/>
        <v>36.759705929865049</v>
      </c>
      <c r="V81" s="20"/>
    </row>
    <row r="82" spans="1:22" s="15" customFormat="1" ht="12.75">
      <c r="A82" s="9" t="s">
        <v>219</v>
      </c>
      <c r="B82" s="9" t="s">
        <v>220</v>
      </c>
      <c r="D82" s="64">
        <f>+ROUND('Proposed Rates'!B94,2)</f>
        <v>93.97</v>
      </c>
      <c r="E82" s="220">
        <v>2139.3500000000004</v>
      </c>
      <c r="G82" s="21">
        <f t="shared" si="17"/>
        <v>22.766308396296694</v>
      </c>
      <c r="I82" s="22">
        <f>+References!C14</f>
        <v>1</v>
      </c>
      <c r="J82" s="183">
        <f t="shared" si="10"/>
        <v>22.766308396296694</v>
      </c>
      <c r="K82" s="15">
        <f>+References!C42</f>
        <v>980</v>
      </c>
      <c r="L82" s="21">
        <f t="shared" si="11"/>
        <v>22310.982228370758</v>
      </c>
      <c r="M82" s="21">
        <f t="shared" si="18"/>
        <v>17650.578188228588</v>
      </c>
      <c r="N82" s="64">
        <f>+M82*References!$D$67</f>
        <v>38.301754668456006</v>
      </c>
      <c r="O82" s="64">
        <f>+N82/References!$F$76</f>
        <v>39.054530748635969</v>
      </c>
      <c r="P82" s="64">
        <f t="shared" si="19"/>
        <v>1.7154529433937045</v>
      </c>
      <c r="Q82" s="64">
        <f>+'Proposed Rates'!B94</f>
        <v>93.97</v>
      </c>
      <c r="R82" s="64">
        <f t="shared" si="14"/>
        <v>95.685452943393699</v>
      </c>
      <c r="S82" s="64">
        <f>+'Proposed Rates'!F94</f>
        <v>95.685452943393699</v>
      </c>
      <c r="T82" s="64">
        <f t="shared" si="20"/>
        <v>2178.4045307486363</v>
      </c>
      <c r="U82" s="64">
        <f t="shared" si="21"/>
        <v>39.054530748635898</v>
      </c>
      <c r="V82" s="20"/>
    </row>
    <row r="83" spans="1:22" s="15" customFormat="1" ht="12.75">
      <c r="A83" s="9" t="s">
        <v>221</v>
      </c>
      <c r="B83" s="9" t="s">
        <v>222</v>
      </c>
      <c r="D83" s="64">
        <f>+ROUND('Proposed Rates'!B98,2)</f>
        <v>16.899999999999999</v>
      </c>
      <c r="E83" s="220">
        <v>5467.15</v>
      </c>
      <c r="G83" s="21">
        <f t="shared" si="17"/>
        <v>323.5</v>
      </c>
      <c r="I83" s="22">
        <f>+References!C14</f>
        <v>1</v>
      </c>
      <c r="J83" s="183">
        <f t="shared" si="10"/>
        <v>323.5</v>
      </c>
      <c r="K83" s="15">
        <f>+References!C35</f>
        <v>175</v>
      </c>
      <c r="L83" s="21">
        <f t="shared" si="11"/>
        <v>56612.5</v>
      </c>
      <c r="M83" s="21">
        <f t="shared" si="18"/>
        <v>44787.062597828975</v>
      </c>
      <c r="N83" s="64">
        <f>+M83*References!$D$67</f>
        <v>97.187925837288802</v>
      </c>
      <c r="O83" s="64">
        <f>+N83/References!$F$76</f>
        <v>99.098040569261315</v>
      </c>
      <c r="P83" s="64">
        <f t="shared" si="19"/>
        <v>0.30633088274887577</v>
      </c>
      <c r="Q83" s="64">
        <f>+'Proposed Rates'!B98</f>
        <v>16.899999999999999</v>
      </c>
      <c r="R83" s="64">
        <f t="shared" si="14"/>
        <v>17.206330882748873</v>
      </c>
      <c r="S83" s="64">
        <f>+'Proposed Rates'!F98</f>
        <v>17.206330882748873</v>
      </c>
      <c r="T83" s="64">
        <f t="shared" si="20"/>
        <v>5566.2480405692604</v>
      </c>
      <c r="U83" s="64">
        <f t="shared" si="21"/>
        <v>99.098040569260775</v>
      </c>
      <c r="V83" s="20"/>
    </row>
    <row r="84" spans="1:22" s="15" customFormat="1" ht="12.75">
      <c r="A84" s="9" t="s">
        <v>223</v>
      </c>
      <c r="B84" s="9" t="s">
        <v>224</v>
      </c>
      <c r="D84" s="64">
        <f>+ROUND('Proposed Rates'!B99,2)</f>
        <v>22.77</v>
      </c>
      <c r="E84" s="220">
        <v>2504.6999999999998</v>
      </c>
      <c r="G84" s="21">
        <f t="shared" si="17"/>
        <v>110</v>
      </c>
      <c r="I84" s="22">
        <f>+References!C14</f>
        <v>1</v>
      </c>
      <c r="J84" s="183">
        <f t="shared" si="10"/>
        <v>110</v>
      </c>
      <c r="K84" s="15">
        <f>+References!C36</f>
        <v>250</v>
      </c>
      <c r="L84" s="21">
        <f t="shared" si="11"/>
        <v>27500</v>
      </c>
      <c r="M84" s="21">
        <f t="shared" si="18"/>
        <v>21755.693909300895</v>
      </c>
      <c r="N84" s="64">
        <f>+M84*References!$D$67</f>
        <v>47.209855783182903</v>
      </c>
      <c r="O84" s="64">
        <f>+N84/References!$F$76</f>
        <v>48.137710146251912</v>
      </c>
      <c r="P84" s="64">
        <f t="shared" si="19"/>
        <v>0.4376155467841083</v>
      </c>
      <c r="Q84" s="64">
        <f>+'Proposed Rates'!B99</f>
        <v>22.77</v>
      </c>
      <c r="R84" s="64">
        <f t="shared" si="14"/>
        <v>23.207615546784108</v>
      </c>
      <c r="S84" s="64">
        <f>+'Proposed Rates'!F99</f>
        <v>23.207615546784108</v>
      </c>
      <c r="T84" s="64">
        <f t="shared" si="20"/>
        <v>2552.837710146252</v>
      </c>
      <c r="U84" s="64">
        <f t="shared" si="21"/>
        <v>48.137710146252175</v>
      </c>
      <c r="V84" s="20"/>
    </row>
    <row r="85" spans="1:22" s="15" customFormat="1" ht="12.75">
      <c r="A85" s="9" t="s">
        <v>225</v>
      </c>
      <c r="B85" s="9" t="s">
        <v>226</v>
      </c>
      <c r="D85" s="64">
        <f>+ROUND('Proposed Rates'!B100,2)</f>
        <v>27.06</v>
      </c>
      <c r="E85" s="220">
        <v>31667.32</v>
      </c>
      <c r="G85" s="21">
        <f t="shared" si="17"/>
        <v>1170.2631189948263</v>
      </c>
      <c r="I85" s="22">
        <f>+References!C14</f>
        <v>1</v>
      </c>
      <c r="J85" s="183">
        <f t="shared" si="10"/>
        <v>1170.2631189948263</v>
      </c>
      <c r="K85" s="15">
        <f>+References!C37</f>
        <v>324</v>
      </c>
      <c r="L85" s="21">
        <f t="shared" si="11"/>
        <v>379165.25055432372</v>
      </c>
      <c r="M85" s="21">
        <f t="shared" si="18"/>
        <v>299963.75025829993</v>
      </c>
      <c r="N85" s="64">
        <f>+M85*References!$D$67</f>
        <v>650.92133806051038</v>
      </c>
      <c r="O85" s="64">
        <f>+N85/References!$F$76</f>
        <v>663.71443377145522</v>
      </c>
      <c r="P85" s="64">
        <f t="shared" si="19"/>
        <v>0.56714974863220435</v>
      </c>
      <c r="Q85" s="64">
        <f>+'Proposed Rates'!B100</f>
        <v>27.06</v>
      </c>
      <c r="R85" s="64">
        <f t="shared" si="14"/>
        <v>27.627149748632203</v>
      </c>
      <c r="S85" s="64">
        <f>+'Proposed Rates'!F100</f>
        <v>27.627149748632203</v>
      </c>
      <c r="T85" s="64">
        <f t="shared" si="20"/>
        <v>32331.034433771452</v>
      </c>
      <c r="U85" s="64">
        <f t="shared" si="21"/>
        <v>663.7144337714526</v>
      </c>
      <c r="V85" s="20"/>
    </row>
    <row r="86" spans="1:22" s="15" customFormat="1" ht="12.75">
      <c r="A86" s="9" t="s">
        <v>227</v>
      </c>
      <c r="B86" s="9" t="s">
        <v>228</v>
      </c>
      <c r="D86" s="64">
        <f>+ROUND('Proposed Rates'!B101,2)</f>
        <v>37.72</v>
      </c>
      <c r="E86" s="220">
        <v>1056.1599999999999</v>
      </c>
      <c r="G86" s="21">
        <f t="shared" si="17"/>
        <v>27.999999999999996</v>
      </c>
      <c r="I86" s="22">
        <f>+References!C14</f>
        <v>1</v>
      </c>
      <c r="J86" s="183">
        <f t="shared" si="10"/>
        <v>27.999999999999996</v>
      </c>
      <c r="K86" s="15">
        <f>+References!C38</f>
        <v>473</v>
      </c>
      <c r="L86" s="21">
        <f t="shared" si="11"/>
        <v>13243.999999999998</v>
      </c>
      <c r="M86" s="21">
        <f t="shared" si="18"/>
        <v>10477.542186719309</v>
      </c>
      <c r="N86" s="64">
        <f>+M86*References!$D$67</f>
        <v>22.736266545180882</v>
      </c>
      <c r="O86" s="64">
        <f>+N86/References!$F$76</f>
        <v>23.183121206434915</v>
      </c>
      <c r="P86" s="64">
        <f t="shared" si="19"/>
        <v>0.82796861451553283</v>
      </c>
      <c r="Q86" s="64">
        <f>+'Proposed Rates'!B101</f>
        <v>37.72</v>
      </c>
      <c r="R86" s="64">
        <f t="shared" si="14"/>
        <v>38.547968614515533</v>
      </c>
      <c r="S86" s="64">
        <f>+'Proposed Rates'!F101</f>
        <v>38.547968614515533</v>
      </c>
      <c r="T86" s="64">
        <f t="shared" si="20"/>
        <v>1079.3431212064347</v>
      </c>
      <c r="U86" s="64">
        <f t="shared" si="21"/>
        <v>23.183121206434862</v>
      </c>
      <c r="V86" s="20"/>
    </row>
    <row r="87" spans="1:22" s="15" customFormat="1" ht="12.75">
      <c r="A87" s="9" t="s">
        <v>229</v>
      </c>
      <c r="B87" s="9" t="s">
        <v>230</v>
      </c>
      <c r="D87" s="64">
        <f>+ROUND('Proposed Rates'!B102,2)</f>
        <v>48.82</v>
      </c>
      <c r="E87" s="220">
        <v>48.82</v>
      </c>
      <c r="G87" s="21">
        <f t="shared" si="17"/>
        <v>1</v>
      </c>
      <c r="I87" s="22">
        <f>+References!C14</f>
        <v>1</v>
      </c>
      <c r="J87" s="183">
        <f t="shared" si="10"/>
        <v>1</v>
      </c>
      <c r="K87" s="15">
        <f>+References!C39</f>
        <v>613</v>
      </c>
      <c r="L87" s="21">
        <f t="shared" si="11"/>
        <v>613</v>
      </c>
      <c r="M87" s="21">
        <f t="shared" si="18"/>
        <v>484.95419514187085</v>
      </c>
      <c r="N87" s="64">
        <f>+M87*References!$D$67</f>
        <v>1.0523506034578589</v>
      </c>
      <c r="O87" s="64">
        <f>+N87/References!$F$76</f>
        <v>1.0730333207146334</v>
      </c>
      <c r="P87" s="64">
        <f t="shared" si="19"/>
        <v>1.0730333207146334</v>
      </c>
      <c r="Q87" s="64">
        <f>+'Proposed Rates'!B102</f>
        <v>48.82</v>
      </c>
      <c r="R87" s="64">
        <f t="shared" si="14"/>
        <v>49.893033320714636</v>
      </c>
      <c r="S87" s="64">
        <f>+'Proposed Rates'!F102</f>
        <v>49.893033320714636</v>
      </c>
      <c r="T87" s="64">
        <f t="shared" si="20"/>
        <v>49.893033320714636</v>
      </c>
      <c r="U87" s="64">
        <f t="shared" si="21"/>
        <v>1.0730333207146359</v>
      </c>
      <c r="V87" s="20"/>
    </row>
    <row r="88" spans="1:22" s="15" customFormat="1" ht="12.75">
      <c r="A88" s="9" t="s">
        <v>231</v>
      </c>
      <c r="B88" s="9" t="s">
        <v>232</v>
      </c>
      <c r="D88" s="64">
        <f>+ROUND('Proposed Rates'!B105,2)</f>
        <v>92.97</v>
      </c>
      <c r="E88" s="220">
        <v>185.94</v>
      </c>
      <c r="G88" s="21">
        <f t="shared" si="17"/>
        <v>2</v>
      </c>
      <c r="I88" s="22">
        <f>+References!C14</f>
        <v>1</v>
      </c>
      <c r="J88" s="183">
        <f t="shared" si="10"/>
        <v>2</v>
      </c>
      <c r="K88" s="15">
        <f>+References!C42</f>
        <v>980</v>
      </c>
      <c r="L88" s="21">
        <f t="shared" si="11"/>
        <v>1960</v>
      </c>
      <c r="M88" s="21">
        <f t="shared" si="18"/>
        <v>1550.5876386265365</v>
      </c>
      <c r="N88" s="64">
        <f>+M88*References!$D$67</f>
        <v>3.3647751758195819</v>
      </c>
      <c r="O88" s="64">
        <f>+N88/References!$F$76</f>
        <v>3.4309058867874094</v>
      </c>
      <c r="P88" s="64">
        <f t="shared" si="19"/>
        <v>1.7154529433937047</v>
      </c>
      <c r="Q88" s="64">
        <f>+'Proposed Rates'!B105</f>
        <v>92.97</v>
      </c>
      <c r="R88" s="64">
        <f t="shared" si="14"/>
        <v>94.685452943393699</v>
      </c>
      <c r="S88" s="64">
        <f>+'Proposed Rates'!F105</f>
        <v>94.685452943393699</v>
      </c>
      <c r="T88" s="64">
        <f t="shared" si="20"/>
        <v>189.3709058867874</v>
      </c>
      <c r="U88" s="64">
        <f t="shared" si="21"/>
        <v>3.4309058867874</v>
      </c>
      <c r="V88" s="20"/>
    </row>
    <row r="89" spans="1:22" s="15" customFormat="1" ht="12.75">
      <c r="A89" s="9" t="s">
        <v>233</v>
      </c>
      <c r="B89" s="9" t="s">
        <v>234</v>
      </c>
      <c r="D89" s="64">
        <f>+ROUND('Proposed Rates'!B113,2)</f>
        <v>12.28</v>
      </c>
      <c r="E89" s="220">
        <v>122169.42</v>
      </c>
      <c r="G89" s="21">
        <f t="shared" si="17"/>
        <v>9948.649837133551</v>
      </c>
      <c r="I89" s="22">
        <f>+References!C11</f>
        <v>4.33</v>
      </c>
      <c r="J89" s="183">
        <f t="shared" si="10"/>
        <v>43077.653794788275</v>
      </c>
      <c r="K89" s="15">
        <f>+References!C33</f>
        <v>29</v>
      </c>
      <c r="L89" s="21">
        <f t="shared" si="11"/>
        <v>1249251.9600488599</v>
      </c>
      <c r="M89" s="21">
        <f t="shared" si="18"/>
        <v>988303.39121517038</v>
      </c>
      <c r="N89" s="64">
        <f>+M89*References!$D$67</f>
        <v>2144.618358936918</v>
      </c>
      <c r="O89" s="64">
        <f>+N89/References!$F$76</f>
        <v>2186.7683182716032</v>
      </c>
      <c r="P89" s="64">
        <f t="shared" si="19"/>
        <v>5.0763403426956559E-2</v>
      </c>
      <c r="Q89" s="64">
        <f>+'Proposed Rates'!B113</f>
        <v>12.28</v>
      </c>
      <c r="R89" s="64">
        <f t="shared" si="14"/>
        <v>12.330763403426955</v>
      </c>
      <c r="S89" s="64">
        <f>+'Proposed Rates'!F113</f>
        <v>12.499805536838721</v>
      </c>
      <c r="T89" s="64">
        <f>+G89*R89</f>
        <v>122674.44732523593</v>
      </c>
      <c r="U89" s="64">
        <f t="shared" si="21"/>
        <v>505.02732523593295</v>
      </c>
      <c r="V89" s="20"/>
    </row>
    <row r="90" spans="1:22" s="15" customFormat="1" ht="12.75">
      <c r="A90" s="9" t="s">
        <v>235</v>
      </c>
      <c r="B90" s="9" t="s">
        <v>97</v>
      </c>
      <c r="D90" s="64">
        <f>+ROUND('Proposed Rates'!B108*References!D11,2)</f>
        <v>23.56</v>
      </c>
      <c r="E90" s="220">
        <v>20090.79</v>
      </c>
      <c r="G90" s="21">
        <f t="shared" si="17"/>
        <v>852.75000000000011</v>
      </c>
      <c r="I90" s="22">
        <f>+References!D11</f>
        <v>8.66</v>
      </c>
      <c r="J90" s="183">
        <f t="shared" si="10"/>
        <v>7384.8150000000014</v>
      </c>
      <c r="K90" s="15">
        <f>+References!C33</f>
        <v>29</v>
      </c>
      <c r="L90" s="21">
        <f t="shared" si="11"/>
        <v>214159.63500000004</v>
      </c>
      <c r="M90" s="21">
        <f t="shared" si="18"/>
        <v>169425.14424682193</v>
      </c>
      <c r="N90" s="64">
        <f>+M90*References!$D$67</f>
        <v>367.65256301560333</v>
      </c>
      <c r="O90" s="64">
        <f>+N90/References!$F$76</f>
        <v>374.87834307844031</v>
      </c>
      <c r="P90" s="64">
        <f t="shared" si="19"/>
        <v>5.0763403426956566E-2</v>
      </c>
      <c r="Q90" s="64">
        <f>+'Proposed Rates'!B108</f>
        <v>2.72</v>
      </c>
      <c r="R90" s="64">
        <f t="shared" si="14"/>
        <v>2.7707634034269568</v>
      </c>
      <c r="S90" s="64">
        <f>+'Proposed Rates'!F108</f>
        <v>2.7707634034269568</v>
      </c>
      <c r="T90" s="64">
        <f t="shared" ref="T90:T99" si="22">+G90*R90*I90</f>
        <v>20461.575143078448</v>
      </c>
      <c r="U90" s="64">
        <f t="shared" si="21"/>
        <v>370.78514307844671</v>
      </c>
      <c r="V90" s="20"/>
    </row>
    <row r="91" spans="1:22" s="15" customFormat="1" ht="12.75">
      <c r="A91" s="9" t="s">
        <v>236</v>
      </c>
      <c r="B91" s="9" t="s">
        <v>99</v>
      </c>
      <c r="D91" s="64">
        <f>+ROUND('Proposed Rates'!B108*References!E11,2)</f>
        <v>35.33</v>
      </c>
      <c r="E91" s="220">
        <v>8204.4900000000016</v>
      </c>
      <c r="G91" s="21">
        <f t="shared" si="17"/>
        <v>232.22445513727715</v>
      </c>
      <c r="I91" s="22">
        <f>+References!E11</f>
        <v>12.99</v>
      </c>
      <c r="J91" s="183">
        <f t="shared" si="10"/>
        <v>3016.5956722332303</v>
      </c>
      <c r="K91" s="15">
        <f>+References!C33</f>
        <v>29</v>
      </c>
      <c r="L91" s="21">
        <f t="shared" si="11"/>
        <v>87481.274494763682</v>
      </c>
      <c r="M91" s="21">
        <f t="shared" si="18"/>
        <v>69207.84838922217</v>
      </c>
      <c r="N91" s="64">
        <f>+M91*References!$D$67</f>
        <v>150.18103100461198</v>
      </c>
      <c r="O91" s="64">
        <f>+N91/References!$F$76</f>
        <v>153.13266308558667</v>
      </c>
      <c r="P91" s="64">
        <f t="shared" si="19"/>
        <v>5.0763403426956552E-2</v>
      </c>
      <c r="Q91" s="64">
        <f>+'Proposed Rates'!B108</f>
        <v>2.72</v>
      </c>
      <c r="R91" s="64">
        <f t="shared" si="14"/>
        <v>2.7707634034269568</v>
      </c>
      <c r="S91" s="64">
        <f>+'Proposed Rates'!F108</f>
        <v>2.7707634034269568</v>
      </c>
      <c r="T91" s="64">
        <f t="shared" si="22"/>
        <v>8358.2728915599746</v>
      </c>
      <c r="U91" s="64">
        <f t="shared" si="21"/>
        <v>153.782891559973</v>
      </c>
      <c r="V91" s="20"/>
    </row>
    <row r="92" spans="1:22" s="15" customFormat="1" ht="12.75">
      <c r="A92" s="9" t="s">
        <v>237</v>
      </c>
      <c r="B92" s="9" t="s">
        <v>101</v>
      </c>
      <c r="D92" s="64">
        <f>+ROUND('Proposed Rates'!B108*References!F11,2)</f>
        <v>47.11</v>
      </c>
      <c r="E92" s="220">
        <v>4475.4500000000007</v>
      </c>
      <c r="G92" s="21">
        <f t="shared" si="17"/>
        <v>95.000000000000014</v>
      </c>
      <c r="I92" s="22">
        <f>+References!F11</f>
        <v>17.32</v>
      </c>
      <c r="J92" s="183">
        <f t="shared" si="10"/>
        <v>1645.4000000000003</v>
      </c>
      <c r="K92" s="15">
        <f>+References!C33</f>
        <v>29</v>
      </c>
      <c r="L92" s="21">
        <f t="shared" si="11"/>
        <v>47716.600000000006</v>
      </c>
      <c r="M92" s="21">
        <f t="shared" si="18"/>
        <v>37749.372508819899</v>
      </c>
      <c r="N92" s="64">
        <f>+M92*References!$D$67</f>
        <v>81.916138344139114</v>
      </c>
      <c r="O92" s="64">
        <f>+N92/References!$F$76</f>
        <v>83.526103998714333</v>
      </c>
      <c r="P92" s="64">
        <f t="shared" si="19"/>
        <v>5.0763403426956559E-2</v>
      </c>
      <c r="Q92" s="64">
        <f>+'Proposed Rates'!B108</f>
        <v>2.72</v>
      </c>
      <c r="R92" s="64">
        <f t="shared" si="14"/>
        <v>2.7707634034269568</v>
      </c>
      <c r="S92" s="64">
        <f>+'Proposed Rates'!F108</f>
        <v>2.7707634034269568</v>
      </c>
      <c r="T92" s="64">
        <f t="shared" si="22"/>
        <v>4559.0141039987157</v>
      </c>
      <c r="U92" s="64">
        <f t="shared" si="21"/>
        <v>83.564103998714927</v>
      </c>
      <c r="V92" s="20"/>
    </row>
    <row r="93" spans="1:22" s="15" customFormat="1" ht="12.75">
      <c r="A93" s="9" t="s">
        <v>238</v>
      </c>
      <c r="B93" s="9" t="s">
        <v>103</v>
      </c>
      <c r="D93" s="64">
        <f>+ROUND('Proposed Rates'!B108*References!G11,2)</f>
        <v>58.89</v>
      </c>
      <c r="E93" s="220">
        <v>1325.03</v>
      </c>
      <c r="G93" s="21">
        <f t="shared" si="17"/>
        <v>22.500084904058415</v>
      </c>
      <c r="I93" s="22">
        <f>+References!G11</f>
        <v>21.65</v>
      </c>
      <c r="J93" s="183">
        <f t="shared" si="10"/>
        <v>487.12683817286467</v>
      </c>
      <c r="K93" s="15">
        <f>+References!C33</f>
        <v>29</v>
      </c>
      <c r="L93" s="21">
        <f t="shared" si="11"/>
        <v>14126.678307013075</v>
      </c>
      <c r="M93" s="21">
        <f t="shared" si="18"/>
        <v>11175.843243728634</v>
      </c>
      <c r="N93" s="64">
        <f>+M93*References!$D$67</f>
        <v>24.251579838891118</v>
      </c>
      <c r="O93" s="64">
        <f>+N93/References!$F$76</f>
        <v>24.728216206266914</v>
      </c>
      <c r="P93" s="64">
        <f t="shared" si="19"/>
        <v>5.0763403426956566E-2</v>
      </c>
      <c r="Q93" s="64">
        <f>+'Proposed Rates'!B108</f>
        <v>2.72</v>
      </c>
      <c r="R93" s="64">
        <f t="shared" si="14"/>
        <v>2.7707634034269568</v>
      </c>
      <c r="S93" s="64">
        <f>+'Proposed Rates'!F108</f>
        <v>2.7707634034269568</v>
      </c>
      <c r="T93" s="64">
        <f t="shared" si="22"/>
        <v>1349.7132160364588</v>
      </c>
      <c r="U93" s="64">
        <f t="shared" si="21"/>
        <v>24.683216036458816</v>
      </c>
      <c r="V93" s="20"/>
    </row>
    <row r="94" spans="1:22" s="15" customFormat="1" ht="12.75">
      <c r="A94" s="9" t="s">
        <v>239</v>
      </c>
      <c r="B94" s="9" t="s">
        <v>105</v>
      </c>
      <c r="D94" s="64">
        <f>+ROUND('Proposed Rates'!B108*References!H11,2)</f>
        <v>70.67</v>
      </c>
      <c r="E94" s="220">
        <v>848.04</v>
      </c>
      <c r="G94" s="21">
        <f t="shared" si="17"/>
        <v>12</v>
      </c>
      <c r="I94" s="22">
        <f>+References!H11</f>
        <v>25.98</v>
      </c>
      <c r="J94" s="183">
        <f t="shared" si="10"/>
        <v>311.76</v>
      </c>
      <c r="K94" s="15">
        <f>+References!C33</f>
        <v>29</v>
      </c>
      <c r="L94" s="21">
        <f t="shared" si="11"/>
        <v>9041.0399999999991</v>
      </c>
      <c r="M94" s="21">
        <f t="shared" si="18"/>
        <v>7152.5126858816629</v>
      </c>
      <c r="N94" s="64">
        <f>+M94*References!$D$67</f>
        <v>15.520952528363196</v>
      </c>
      <c r="O94" s="64">
        <f>+N94/References!$F$76</f>
        <v>15.825998652387975</v>
      </c>
      <c r="P94" s="64">
        <f t="shared" si="19"/>
        <v>5.0763403426956552E-2</v>
      </c>
      <c r="Q94" s="64">
        <f>+'Proposed Rates'!B108</f>
        <v>2.72</v>
      </c>
      <c r="R94" s="64">
        <f t="shared" si="14"/>
        <v>2.7707634034269568</v>
      </c>
      <c r="S94" s="64">
        <f>+'Proposed Rates'!F108</f>
        <v>2.7707634034269568</v>
      </c>
      <c r="T94" s="64">
        <f t="shared" si="22"/>
        <v>863.81319865238811</v>
      </c>
      <c r="U94" s="64">
        <f t="shared" si="21"/>
        <v>15.773198652388146</v>
      </c>
      <c r="V94" s="20"/>
    </row>
    <row r="95" spans="1:22" s="15" customFormat="1" ht="12.75">
      <c r="A95" s="9" t="s">
        <v>240</v>
      </c>
      <c r="B95" s="9" t="s">
        <v>109</v>
      </c>
      <c r="D95" s="64">
        <f>+ROUND('Proposed Rates'!B108*References!C11*8,2)</f>
        <v>94.22</v>
      </c>
      <c r="E95" s="220">
        <v>1130.6400000000001</v>
      </c>
      <c r="G95" s="21">
        <f t="shared" si="17"/>
        <v>12.000000000000002</v>
      </c>
      <c r="I95" s="208">
        <f>+References!C11*8</f>
        <v>34.64</v>
      </c>
      <c r="J95" s="183">
        <f t="shared" si="10"/>
        <v>415.68000000000006</v>
      </c>
      <c r="K95" s="15">
        <f>+References!C33</f>
        <v>29</v>
      </c>
      <c r="L95" s="21">
        <f t="shared" si="11"/>
        <v>12054.720000000001</v>
      </c>
      <c r="M95" s="21">
        <f t="shared" si="18"/>
        <v>9536.6835811755518</v>
      </c>
      <c r="N95" s="64">
        <f>+M95*References!$D$67</f>
        <v>20.694603371150933</v>
      </c>
      <c r="O95" s="64">
        <f>+N95/References!$F$76</f>
        <v>21.101331536517304</v>
      </c>
      <c r="P95" s="64">
        <f t="shared" si="19"/>
        <v>5.0763403426956552E-2</v>
      </c>
      <c r="Q95" s="64">
        <f>+'Proposed Rates'!B108</f>
        <v>2.72</v>
      </c>
      <c r="R95" s="64">
        <f t="shared" si="14"/>
        <v>2.7707634034269568</v>
      </c>
      <c r="S95" s="64">
        <f>+'Proposed Rates'!F108</f>
        <v>2.7707634034269568</v>
      </c>
      <c r="T95" s="64">
        <f t="shared" si="22"/>
        <v>1151.7509315365176</v>
      </c>
      <c r="U95" s="64">
        <f t="shared" si="21"/>
        <v>21.110931536517455</v>
      </c>
      <c r="V95" s="20"/>
    </row>
    <row r="96" spans="1:22" s="15" customFormat="1" ht="12.75">
      <c r="A96" s="9" t="s">
        <v>241</v>
      </c>
      <c r="B96" s="9" t="s">
        <v>110</v>
      </c>
      <c r="D96" s="64">
        <f>+ROUND('Proposed Rates'!B108*References!C11*9,2)</f>
        <v>106</v>
      </c>
      <c r="E96" s="220">
        <v>1272</v>
      </c>
      <c r="G96" s="21">
        <f t="shared" si="17"/>
        <v>12</v>
      </c>
      <c r="I96" s="208">
        <f>+References!C11*9</f>
        <v>38.97</v>
      </c>
      <c r="J96" s="183">
        <f t="shared" si="10"/>
        <v>467.64</v>
      </c>
      <c r="K96" s="15">
        <f>+References!C33</f>
        <v>29</v>
      </c>
      <c r="L96" s="21">
        <f t="shared" si="11"/>
        <v>13561.56</v>
      </c>
      <c r="M96" s="21">
        <f t="shared" si="18"/>
        <v>10728.769028822495</v>
      </c>
      <c r="N96" s="64">
        <f>+M96*References!$D$67</f>
        <v>23.281428792544794</v>
      </c>
      <c r="O96" s="64">
        <f>+N96/References!$F$76</f>
        <v>23.738997978581963</v>
      </c>
      <c r="P96" s="64">
        <f t="shared" si="19"/>
        <v>5.0763403426956559E-2</v>
      </c>
      <c r="Q96" s="64">
        <f>+'Proposed Rates'!B108</f>
        <v>2.72</v>
      </c>
      <c r="R96" s="64">
        <f t="shared" si="14"/>
        <v>2.7707634034269568</v>
      </c>
      <c r="S96" s="64">
        <f>+'Proposed Rates'!F108</f>
        <v>2.7707634034269568</v>
      </c>
      <c r="T96" s="64">
        <f t="shared" si="22"/>
        <v>1295.7197979785822</v>
      </c>
      <c r="U96" s="64">
        <f t="shared" si="21"/>
        <v>23.719797978582164</v>
      </c>
      <c r="V96" s="20"/>
    </row>
    <row r="97" spans="1:22" s="15" customFormat="1" ht="12.75">
      <c r="A97" s="9" t="s">
        <v>242</v>
      </c>
      <c r="B97" s="9" t="s">
        <v>243</v>
      </c>
      <c r="D97" s="64">
        <f>+ROUND('Proposed Rates'!B114,2)</f>
        <v>3.85</v>
      </c>
      <c r="E97" s="220">
        <v>10895.34</v>
      </c>
      <c r="G97" s="21">
        <f t="shared" ref="G97:G99" si="23">+IFERROR(E97/D97,0)</f>
        <v>2829.9584415584413</v>
      </c>
      <c r="I97" s="22">
        <f>+References!C14</f>
        <v>1</v>
      </c>
      <c r="J97" s="183">
        <f t="shared" ref="J97:J99" si="24">+G97*I97</f>
        <v>2829.9584415584413</v>
      </c>
      <c r="K97" s="15">
        <f>+References!C33</f>
        <v>29</v>
      </c>
      <c r="L97" s="21">
        <f t="shared" ref="L97:L99" si="25">+J97*K97</f>
        <v>82068.794805194804</v>
      </c>
      <c r="M97" s="21">
        <f t="shared" ref="M97:M99" si="26">+L97*$J$111</f>
        <v>64925.948337710601</v>
      </c>
      <c r="N97" s="64">
        <f>+M97*References!$D$67</f>
        <v>140.88930789283191</v>
      </c>
      <c r="O97" s="64">
        <f>+N97/References!$F$76</f>
        <v>143.65832205035247</v>
      </c>
      <c r="P97" s="64">
        <f t="shared" ref="P97:P99" si="27">+O97/J97</f>
        <v>5.0763403426956573E-2</v>
      </c>
      <c r="Q97" s="64">
        <f>+'Proposed Rates'!B114</f>
        <v>3.85</v>
      </c>
      <c r="R97" s="64">
        <f t="shared" ref="R97:R99" si="28">+Q97+P97</f>
        <v>3.9007634034269567</v>
      </c>
      <c r="S97" s="64">
        <f>+'Proposed Rates'!F114</f>
        <v>3.9007634034269567</v>
      </c>
      <c r="T97" s="64">
        <f t="shared" si="22"/>
        <v>11038.998322050353</v>
      </c>
      <c r="U97" s="64">
        <f t="shared" ref="U97:U99" si="29">+T97-E97</f>
        <v>143.65832205035258</v>
      </c>
      <c r="V97" s="20"/>
    </row>
    <row r="98" spans="1:22" s="15" customFormat="1" ht="12.75">
      <c r="A98" s="9" t="s">
        <v>244</v>
      </c>
      <c r="B98" s="9" t="s">
        <v>245</v>
      </c>
      <c r="D98" s="64">
        <f>+ROUND('Proposed Rates'!B57,2)</f>
        <v>17.579999999999998</v>
      </c>
      <c r="E98" s="220">
        <v>86902.19</v>
      </c>
      <c r="G98" s="21">
        <f t="shared" si="23"/>
        <v>4943.2417519908995</v>
      </c>
      <c r="I98" s="22">
        <f>+References!C14</f>
        <v>1</v>
      </c>
      <c r="J98" s="183">
        <f t="shared" si="24"/>
        <v>4943.2417519908995</v>
      </c>
      <c r="K98" s="15">
        <f>+References!C34</f>
        <v>125</v>
      </c>
      <c r="L98" s="21">
        <f t="shared" si="25"/>
        <v>617905.21899886243</v>
      </c>
      <c r="M98" s="21">
        <f t="shared" si="26"/>
        <v>488834.79307268315</v>
      </c>
      <c r="N98" s="64">
        <f>+M98*References!$D$67</f>
        <v>1060.7715009677215</v>
      </c>
      <c r="O98" s="64">
        <f>+N98/References!$F$76</f>
        <v>1081.6197210917653</v>
      </c>
      <c r="P98" s="64">
        <f t="shared" si="27"/>
        <v>0.21880777339205412</v>
      </c>
      <c r="Q98" s="64">
        <f>+'Proposed Rates'!B57</f>
        <v>17.579999999999998</v>
      </c>
      <c r="R98" s="64">
        <f t="shared" si="28"/>
        <v>17.798807773392053</v>
      </c>
      <c r="S98" s="64">
        <f>+'Proposed Rates'!F57</f>
        <v>17.798807773392053</v>
      </c>
      <c r="T98" s="64">
        <f t="shared" si="22"/>
        <v>87983.809721091777</v>
      </c>
      <c r="U98" s="64">
        <f t="shared" si="29"/>
        <v>1081.6197210917744</v>
      </c>
      <c r="V98" s="20"/>
    </row>
    <row r="99" spans="1:22" s="15" customFormat="1" ht="12.75">
      <c r="A99" s="9" t="s">
        <v>246</v>
      </c>
      <c r="B99" s="9" t="s">
        <v>247</v>
      </c>
      <c r="D99" s="64">
        <f>+ROUND('Proposed Rates'!B58,2)</f>
        <v>17.579999999999998</v>
      </c>
      <c r="E99" s="220">
        <v>114.27</v>
      </c>
      <c r="G99" s="21">
        <f t="shared" si="23"/>
        <v>6.5</v>
      </c>
      <c r="I99" s="22">
        <f>+References!C14</f>
        <v>1</v>
      </c>
      <c r="J99" s="183">
        <f t="shared" si="24"/>
        <v>6.5</v>
      </c>
      <c r="K99" s="15">
        <f>+References!C34</f>
        <v>125</v>
      </c>
      <c r="L99" s="21">
        <f t="shared" si="25"/>
        <v>812.5</v>
      </c>
      <c r="M99" s="21">
        <f t="shared" si="26"/>
        <v>642.78186550207181</v>
      </c>
      <c r="N99" s="64">
        <f>+M99*References!$D$67</f>
        <v>1.3948366481394947</v>
      </c>
      <c r="O99" s="64">
        <f>+N99/References!$F$76</f>
        <v>1.4222505270483516</v>
      </c>
      <c r="P99" s="64">
        <f t="shared" si="27"/>
        <v>0.21880777339205409</v>
      </c>
      <c r="Q99" s="64">
        <f>+'Proposed Rates'!B58</f>
        <v>17.579999999999998</v>
      </c>
      <c r="R99" s="64">
        <f t="shared" si="28"/>
        <v>17.798807773392053</v>
      </c>
      <c r="S99" s="64">
        <f>+'Proposed Rates'!F58</f>
        <v>17.798807773392053</v>
      </c>
      <c r="T99" s="64">
        <f t="shared" si="22"/>
        <v>115.69225052704834</v>
      </c>
      <c r="U99" s="64">
        <f t="shared" si="29"/>
        <v>1.4222505270483481</v>
      </c>
      <c r="V99" s="20"/>
    </row>
    <row r="100" spans="1:22" s="15" customFormat="1" ht="12.75">
      <c r="A100" s="23"/>
      <c r="B100" s="23"/>
      <c r="D100" s="64"/>
      <c r="E100" s="220"/>
    </row>
    <row r="101" spans="1:22" s="15" customFormat="1" ht="12.75">
      <c r="A101" s="24"/>
      <c r="B101" s="25" t="s">
        <v>248</v>
      </c>
      <c r="D101" s="151"/>
      <c r="E101" s="221">
        <f>+SUM(E33:E100)</f>
        <v>5115957.0299999993</v>
      </c>
      <c r="F101" s="19"/>
      <c r="G101" s="28">
        <f>+SUM(G33:G100)</f>
        <v>56537.659804857329</v>
      </c>
      <c r="H101" s="28"/>
      <c r="I101" s="28"/>
      <c r="J101" s="28">
        <f t="shared" ref="J101:O101" si="30">+SUM(J33:J100)</f>
        <v>206084.31399988625</v>
      </c>
      <c r="K101" s="28"/>
      <c r="L101" s="28">
        <f t="shared" si="30"/>
        <v>60174067.756670885</v>
      </c>
      <c r="M101" s="28">
        <f t="shared" si="30"/>
        <v>47604676.341515034</v>
      </c>
      <c r="N101" s="151">
        <f t="shared" si="30"/>
        <v>103302.14766108757</v>
      </c>
      <c r="O101" s="151">
        <f t="shared" si="30"/>
        <v>105332.43025423802</v>
      </c>
      <c r="P101" s="151"/>
      <c r="Q101" s="151"/>
      <c r="R101" s="151"/>
      <c r="S101" s="151"/>
      <c r="T101" s="151">
        <f t="shared" ref="T101:U101" si="31">+SUM(T33:T100)</f>
        <v>5219623.6915292824</v>
      </c>
      <c r="U101" s="151">
        <f t="shared" si="31"/>
        <v>103666.66152928276</v>
      </c>
    </row>
    <row r="102" spans="1:22" s="15" customFormat="1" ht="12.75">
      <c r="A102" s="24"/>
      <c r="B102" s="25"/>
      <c r="D102" s="64"/>
      <c r="E102" s="21"/>
      <c r="L102" s="183"/>
    </row>
    <row r="103" spans="1:22" s="15" customFormat="1" ht="13.5" thickBot="1">
      <c r="A103" s="14"/>
      <c r="B103" s="29" t="s">
        <v>249</v>
      </c>
      <c r="D103" s="152"/>
      <c r="E103" s="201">
        <f>+E101+E28</f>
        <v>16095728.719999999</v>
      </c>
      <c r="F103" s="30"/>
      <c r="G103" s="30">
        <f>+G101+G28</f>
        <v>980812.68544899079</v>
      </c>
      <c r="H103" s="30"/>
      <c r="I103" s="30"/>
      <c r="J103" s="30">
        <f t="shared" ref="J103:O103" si="32">+J101+J28</f>
        <v>3437434.3407381508</v>
      </c>
      <c r="K103" s="30"/>
      <c r="L103" s="30">
        <f t="shared" si="32"/>
        <v>180893988.59335801</v>
      </c>
      <c r="M103" s="30">
        <f t="shared" si="32"/>
        <v>143108154.39526048</v>
      </c>
      <c r="N103" s="152">
        <f t="shared" si="32"/>
        <v>310544.69503771502</v>
      </c>
      <c r="O103" s="152">
        <f t="shared" si="32"/>
        <v>316648.08691296238</v>
      </c>
      <c r="P103" s="152"/>
      <c r="Q103" s="152"/>
      <c r="R103" s="152"/>
      <c r="S103" s="152"/>
      <c r="T103" s="152">
        <f t="shared" ref="T103:U103" si="33">+T101+T28</f>
        <v>16410711.038188003</v>
      </c>
      <c r="U103" s="152">
        <f t="shared" si="33"/>
        <v>314982.31818800716</v>
      </c>
    </row>
    <row r="104" spans="1:22" s="15" customFormat="1" ht="13.5" thickTop="1">
      <c r="A104" s="14"/>
      <c r="B104" s="14"/>
      <c r="E104" s="21"/>
      <c r="U104" s="77">
        <f>U103-References!C74</f>
        <v>-1665.7687249557348</v>
      </c>
    </row>
    <row r="105" spans="1:22" s="15" customFormat="1" ht="12.75">
      <c r="A105" s="14"/>
      <c r="B105" s="14"/>
      <c r="E105" s="21"/>
    </row>
    <row r="106" spans="1:22" s="15" customFormat="1" ht="12.75">
      <c r="A106" s="14"/>
      <c r="B106" s="14"/>
      <c r="E106" s="21"/>
    </row>
    <row r="107" spans="1:22" s="15" customFormat="1">
      <c r="A107" s="14"/>
      <c r="F107" s="31"/>
      <c r="H107" s="210"/>
      <c r="I107" s="243" t="s">
        <v>250</v>
      </c>
      <c r="J107" s="243"/>
      <c r="M107" s="214" t="s">
        <v>625</v>
      </c>
      <c r="N107" s="215">
        <f>U28</f>
        <v>211315.65665872439</v>
      </c>
      <c r="O107" s="216">
        <f>N107/E28</f>
        <v>1.924590625606391E-2</v>
      </c>
    </row>
    <row r="108" spans="1:22" s="15" customFormat="1" ht="12.75">
      <c r="A108" s="14"/>
      <c r="F108" s="33"/>
      <c r="J108" s="34" t="s">
        <v>67</v>
      </c>
      <c r="M108" s="214" t="s">
        <v>626</v>
      </c>
      <c r="N108" s="215">
        <f>U101</f>
        <v>103666.66152928276</v>
      </c>
      <c r="O108" s="216">
        <f>N108/E101</f>
        <v>2.0263395669936419E-2</v>
      </c>
    </row>
    <row r="109" spans="1:22" s="15" customFormat="1" ht="12.75">
      <c r="A109" s="14"/>
      <c r="F109" s="35"/>
      <c r="I109" s="38" t="s">
        <v>254</v>
      </c>
      <c r="J109" s="235">
        <f>Disposal!C18*J126</f>
        <v>71554.077197630249</v>
      </c>
      <c r="N109" s="212"/>
    </row>
    <row r="110" spans="1:22" s="15" customFormat="1" ht="12.75">
      <c r="A110" s="14"/>
      <c r="F110" s="39"/>
      <c r="I110" s="38" t="s">
        <v>256</v>
      </c>
      <c r="J110" s="39">
        <f>+J109*References!H20</f>
        <v>143108154.39526051</v>
      </c>
      <c r="N110" s="212"/>
    </row>
    <row r="111" spans="1:22" s="15" customFormat="1" ht="25.5">
      <c r="A111" s="14"/>
      <c r="F111" s="35"/>
      <c r="H111" s="40"/>
      <c r="I111" s="233" t="s">
        <v>257</v>
      </c>
      <c r="J111" s="189">
        <f>+'Regulated DF Calc'!J110/(L103)</f>
        <v>0.79111614215639614</v>
      </c>
      <c r="M111" s="202" t="s">
        <v>629</v>
      </c>
      <c r="N111" s="212">
        <f>'[34]Revenue Summary'!$B$14</f>
        <v>2315814.08</v>
      </c>
      <c r="O111" s="15" t="s">
        <v>630</v>
      </c>
    </row>
    <row r="112" spans="1:22" s="15" customFormat="1" ht="12.75">
      <c r="A112" s="14"/>
      <c r="F112" s="42"/>
      <c r="H112" s="36"/>
      <c r="M112" s="202" t="s">
        <v>636</v>
      </c>
      <c r="N112" s="77">
        <f>References!E65</f>
        <v>78.760000000000005</v>
      </c>
    </row>
    <row r="113" spans="1:21" s="15" customFormat="1">
      <c r="A113" s="14"/>
      <c r="E113" s="43"/>
      <c r="H113" s="36"/>
      <c r="I113" s="209" t="s">
        <v>251</v>
      </c>
      <c r="J113" s="211" t="s">
        <v>628</v>
      </c>
      <c r="K113" s="211" t="s">
        <v>252</v>
      </c>
      <c r="M113" s="213" t="s">
        <v>354</v>
      </c>
      <c r="N113" s="212">
        <f>N111/N112</f>
        <v>29403.429151853732</v>
      </c>
    </row>
    <row r="114" spans="1:21" s="15" customFormat="1" ht="12.75">
      <c r="A114" s="14"/>
      <c r="E114" s="44"/>
      <c r="F114" s="45"/>
      <c r="I114" s="35" t="s">
        <v>253</v>
      </c>
      <c r="J114" s="36">
        <f>+L28</f>
        <v>120719920.83668712</v>
      </c>
      <c r="K114" s="36">
        <f>+M28</f>
        <v>95503478.053745449</v>
      </c>
      <c r="L114" s="37">
        <f>+K114/$K$116</f>
        <v>0.66735175544202519</v>
      </c>
      <c r="M114" s="214" t="s">
        <v>627</v>
      </c>
      <c r="N114" s="215">
        <f>N113*References!E67</f>
        <v>118201.78519045189</v>
      </c>
      <c r="O114" s="216">
        <f>N114/N111</f>
        <v>5.1041137633316351E-2</v>
      </c>
      <c r="P114" s="1"/>
    </row>
    <row r="115" spans="1:21" s="15" customFormat="1" ht="12.75">
      <c r="A115" s="14"/>
      <c r="D115" s="46"/>
      <c r="E115" s="44"/>
      <c r="F115" s="45"/>
      <c r="I115" s="35" t="s">
        <v>255</v>
      </c>
      <c r="J115" s="36">
        <f>+L101</f>
        <v>60174067.756670885</v>
      </c>
      <c r="K115" s="36">
        <f>+M101</f>
        <v>47604676.341515034</v>
      </c>
      <c r="L115" s="37">
        <f>+K115/$K$116</f>
        <v>0.33264824455797487</v>
      </c>
      <c r="N115" s="212"/>
    </row>
    <row r="116" spans="1:21" s="15" customFormat="1" ht="12.75">
      <c r="A116" s="14"/>
      <c r="D116" s="46"/>
      <c r="E116" s="36"/>
      <c r="I116" s="35"/>
      <c r="J116" s="40">
        <f>+J114+J115</f>
        <v>180893988.59335801</v>
      </c>
      <c r="K116" s="40">
        <f>+K114+K115</f>
        <v>143108154.39526048</v>
      </c>
      <c r="L116" s="41">
        <f>+L114+L115</f>
        <v>1</v>
      </c>
      <c r="U116" s="212"/>
    </row>
    <row r="117" spans="1:21" s="15" customFormat="1" ht="12.75">
      <c r="A117" s="14"/>
      <c r="D117" s="46"/>
      <c r="E117" s="36"/>
      <c r="F117" s="47"/>
      <c r="H117" s="40"/>
      <c r="I117" s="35"/>
      <c r="J117" s="40"/>
      <c r="K117" s="41"/>
      <c r="N117" s="160" t="s">
        <v>637</v>
      </c>
    </row>
    <row r="118" spans="1:21" s="15" customFormat="1" ht="12.75">
      <c r="A118" s="14"/>
      <c r="D118" s="46"/>
      <c r="E118" s="36"/>
      <c r="I118" s="32"/>
      <c r="J118" s="40"/>
      <c r="N118" s="183">
        <f>SUM(G11:G22)/12</f>
        <v>64740.327497774037</v>
      </c>
    </row>
    <row r="119" spans="1:21" s="15" customFormat="1">
      <c r="A119" s="14"/>
      <c r="E119" s="40"/>
      <c r="I119" s="209" t="s">
        <v>258</v>
      </c>
      <c r="J119" s="36"/>
      <c r="N119" s="21">
        <f>SUM(G33:G69,G89:G96)/12</f>
        <v>3858.6579943882557</v>
      </c>
    </row>
    <row r="120" spans="1:21" s="15" customFormat="1" ht="12.75">
      <c r="A120" s="14"/>
      <c r="E120" s="38"/>
      <c r="I120" s="35" t="s">
        <v>253</v>
      </c>
      <c r="J120" s="21">
        <f>+'Non-Regulated'!Z67</f>
        <v>89212939.900357455</v>
      </c>
      <c r="K120" s="36">
        <f>+'Non-Regulated'!AA67</f>
        <v>70218747.642917678</v>
      </c>
      <c r="L120" s="37">
        <f>+K120/$K$122</f>
        <v>0.49843356495524482</v>
      </c>
    </row>
    <row r="121" spans="1:21" s="15" customFormat="1" ht="12.75">
      <c r="A121" s="14"/>
      <c r="D121" s="14"/>
      <c r="I121" s="35" t="s">
        <v>255</v>
      </c>
      <c r="J121" s="21">
        <f>+'Non-Regulated'!Z207</f>
        <v>89773681.73369731</v>
      </c>
      <c r="K121" s="36">
        <f>+'Non-Regulated'!AA207</f>
        <v>70660102.77965115</v>
      </c>
      <c r="L121" s="37">
        <f>+K121/$K$122</f>
        <v>0.50156643504475518</v>
      </c>
    </row>
    <row r="122" spans="1:21" s="15" customFormat="1" ht="12.75">
      <c r="A122" s="14"/>
      <c r="D122" s="14"/>
      <c r="G122" s="21"/>
      <c r="I122" s="35"/>
      <c r="J122" s="40">
        <f>+J120+J121</f>
        <v>178986621.63405478</v>
      </c>
      <c r="K122" s="40">
        <f>+K120+K121</f>
        <v>140878850.42256883</v>
      </c>
      <c r="L122" s="41">
        <f>+L120+L121</f>
        <v>1</v>
      </c>
    </row>
    <row r="123" spans="1:21" s="15" customFormat="1" ht="12.75">
      <c r="A123" s="14"/>
      <c r="D123" s="14"/>
      <c r="G123" s="21"/>
      <c r="I123" s="35"/>
      <c r="J123" s="40"/>
      <c r="K123" s="41"/>
    </row>
    <row r="124" spans="1:21">
      <c r="I124" s="35"/>
      <c r="J124" s="40">
        <f>+J116+J122</f>
        <v>359880610.22741282</v>
      </c>
      <c r="K124" s="40">
        <f>+K116+K122</f>
        <v>283987004.81782931</v>
      </c>
      <c r="L124" s="15"/>
    </row>
    <row r="125" spans="1:21">
      <c r="I125" s="35"/>
      <c r="J125" s="15"/>
      <c r="K125" s="35"/>
      <c r="L125" s="36"/>
    </row>
    <row r="126" spans="1:21">
      <c r="I126" s="32" t="s">
        <v>251</v>
      </c>
      <c r="J126" s="37">
        <f>+J116/J124</f>
        <v>0.50264999961806489</v>
      </c>
      <c r="K126" s="35"/>
      <c r="L126" s="36"/>
    </row>
    <row r="127" spans="1:21">
      <c r="I127" s="32" t="s">
        <v>258</v>
      </c>
      <c r="J127" s="37">
        <f>+J122/J124</f>
        <v>0.49735000038193505</v>
      </c>
      <c r="K127" s="35"/>
      <c r="L127" s="36"/>
    </row>
    <row r="128" spans="1:21">
      <c r="I128" s="15"/>
      <c r="J128" s="37">
        <v>1</v>
      </c>
      <c r="K128" s="15"/>
      <c r="L128" s="40"/>
    </row>
    <row r="129" spans="9:12">
      <c r="I129" s="15"/>
      <c r="J129" s="48"/>
      <c r="K129" s="40"/>
      <c r="L129" s="15"/>
    </row>
  </sheetData>
  <mergeCells count="3">
    <mergeCell ref="A5:B5"/>
    <mergeCell ref="I107:J107"/>
    <mergeCell ref="A3:B4"/>
  </mergeCells>
  <pageMargins left="0.7" right="0.7" top="0.75" bottom="0.75" header="0.3" footer="0.3"/>
  <pageSetup scale="70" pageOrder="overThenDown" orientation="landscape" r:id="rId1"/>
  <headerFooter>
    <oddFooter xml:space="preserve">&amp;L&amp;F - &amp;A
&amp;R&amp;P of &amp;N
</oddFooter>
  </headerFooter>
  <colBreaks count="1" manualBreakCount="1">
    <brk id="12" max="104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210"/>
  <sheetViews>
    <sheetView showGridLines="0" view="pageBreakPreview" topLeftCell="B1" zoomScale="90" zoomScaleNormal="100" zoomScaleSheetLayoutView="90" workbookViewId="0">
      <selection activeCell="M22" sqref="M22"/>
    </sheetView>
  </sheetViews>
  <sheetFormatPr defaultRowHeight="12.75" outlineLevelCol="1"/>
  <cols>
    <col min="1" max="1" width="16.85546875" style="14" customWidth="1"/>
    <col min="2" max="2" width="25.140625" style="14" customWidth="1"/>
    <col min="3" max="3" width="2.28515625" style="15" customWidth="1"/>
    <col min="4" max="4" width="5.28515625" style="15" bestFit="1" customWidth="1" outlineLevel="1"/>
    <col min="5" max="5" width="7.42578125" style="15" bestFit="1" customWidth="1" outlineLevel="1"/>
    <col min="6" max="6" width="2.28515625" style="15" customWidth="1" outlineLevel="1"/>
    <col min="7" max="7" width="8.140625" style="15" bestFit="1" customWidth="1" outlineLevel="1"/>
    <col min="8" max="8" width="9.85546875" style="15" bestFit="1" customWidth="1" outlineLevel="1"/>
    <col min="9" max="9" width="2.28515625" style="15" customWidth="1" outlineLevel="1"/>
    <col min="10" max="10" width="9.85546875" style="15" bestFit="1" customWidth="1" outlineLevel="1"/>
    <col min="11" max="11" width="12" style="15" bestFit="1" customWidth="1" outlineLevel="1"/>
    <col min="12" max="12" width="2.28515625" style="15" customWidth="1" outlineLevel="1"/>
    <col min="13" max="13" width="10.85546875" style="15" bestFit="1" customWidth="1" outlineLevel="1"/>
    <col min="14" max="14" width="13.28515625" style="15" bestFit="1" customWidth="1" outlineLevel="1"/>
    <col min="15" max="15" width="2.28515625" style="15" customWidth="1" outlineLevel="1"/>
    <col min="16" max="16" width="10.85546875" style="15" bestFit="1" customWidth="1" outlineLevel="1"/>
    <col min="17" max="17" width="12.7109375" style="15" bestFit="1" customWidth="1" outlineLevel="1"/>
    <col min="18" max="18" width="2.28515625" style="15" customWidth="1" outlineLevel="1"/>
    <col min="19" max="19" width="8.140625" style="15" bestFit="1" customWidth="1" outlineLevel="1"/>
    <col min="20" max="20" width="8.5703125" style="15" bestFit="1" customWidth="1" outlineLevel="1"/>
    <col min="21" max="21" width="2.28515625" style="15" customWidth="1"/>
    <col min="22" max="22" width="13.5703125" style="15" bestFit="1" customWidth="1"/>
    <col min="23" max="23" width="16.140625" style="15" bestFit="1" customWidth="1"/>
    <col min="24" max="24" width="11.5703125" style="21" bestFit="1" customWidth="1"/>
    <col min="25" max="25" width="12.85546875" style="15" bestFit="1" customWidth="1"/>
    <col min="26" max="26" width="17" style="15" bestFit="1" customWidth="1"/>
    <col min="27" max="27" width="18" style="15" customWidth="1"/>
    <col min="28" max="16384" width="9.140625" style="15"/>
  </cols>
  <sheetData>
    <row r="1" spans="1:27">
      <c r="A1" s="1" t="s">
        <v>75</v>
      </c>
    </row>
    <row r="2" spans="1:27">
      <c r="A2" s="1" t="s">
        <v>634</v>
      </c>
    </row>
    <row r="3" spans="1:27">
      <c r="A3" s="16" t="s">
        <v>76</v>
      </c>
    </row>
    <row r="4" spans="1:27">
      <c r="B4" s="190"/>
    </row>
    <row r="5" spans="1:27">
      <c r="A5" s="17"/>
      <c r="B5" s="18"/>
    </row>
    <row r="6" spans="1:27">
      <c r="D6" s="245" t="s">
        <v>382</v>
      </c>
      <c r="E6" s="245"/>
      <c r="G6" s="245" t="s">
        <v>383</v>
      </c>
      <c r="H6" s="245"/>
      <c r="J6" s="245" t="s">
        <v>384</v>
      </c>
      <c r="K6" s="245"/>
      <c r="M6" s="245" t="s">
        <v>385</v>
      </c>
      <c r="N6" s="245"/>
      <c r="P6" s="245" t="s">
        <v>386</v>
      </c>
      <c r="Q6" s="245"/>
      <c r="S6" s="245" t="s">
        <v>387</v>
      </c>
      <c r="T6" s="245"/>
    </row>
    <row r="7" spans="1:27" ht="3.75" customHeight="1">
      <c r="D7" s="223"/>
      <c r="E7" s="223"/>
      <c r="G7" s="223"/>
      <c r="H7" s="223"/>
      <c r="J7" s="223"/>
      <c r="K7" s="223"/>
      <c r="M7" s="223"/>
      <c r="N7" s="223"/>
      <c r="P7" s="223"/>
      <c r="Q7" s="223"/>
      <c r="S7" s="223"/>
      <c r="T7" s="223"/>
    </row>
    <row r="8" spans="1:27" ht="25.5">
      <c r="D8" s="19" t="s">
        <v>77</v>
      </c>
      <c r="E8" s="19" t="s">
        <v>78</v>
      </c>
      <c r="G8" s="19" t="s">
        <v>77</v>
      </c>
      <c r="H8" s="19" t="s">
        <v>78</v>
      </c>
      <c r="J8" s="19" t="s">
        <v>77</v>
      </c>
      <c r="K8" s="19" t="s">
        <v>78</v>
      </c>
      <c r="M8" s="19" t="s">
        <v>77</v>
      </c>
      <c r="N8" s="19" t="s">
        <v>78</v>
      </c>
      <c r="P8" s="19" t="s">
        <v>77</v>
      </c>
      <c r="Q8" s="19" t="s">
        <v>78</v>
      </c>
      <c r="S8" s="19" t="s">
        <v>77</v>
      </c>
      <c r="T8" s="19" t="s">
        <v>78</v>
      </c>
      <c r="V8" s="191" t="s">
        <v>388</v>
      </c>
      <c r="W8" s="191" t="s">
        <v>80</v>
      </c>
      <c r="X8" s="192" t="s">
        <v>81</v>
      </c>
      <c r="Y8" s="191" t="s">
        <v>17</v>
      </c>
      <c r="Z8" s="193" t="s">
        <v>82</v>
      </c>
      <c r="AA8" s="193" t="s">
        <v>83</v>
      </c>
    </row>
    <row r="9" spans="1:27" ht="6.75" customHeight="1">
      <c r="D9" s="38"/>
      <c r="E9" s="38"/>
      <c r="G9" s="38"/>
      <c r="H9" s="38"/>
      <c r="J9" s="38"/>
      <c r="K9" s="38"/>
      <c r="M9" s="38"/>
      <c r="N9" s="38"/>
      <c r="P9" s="38"/>
      <c r="Q9" s="38"/>
      <c r="S9" s="38"/>
      <c r="T9" s="38"/>
      <c r="V9" s="82"/>
      <c r="W9" s="82"/>
      <c r="X9" s="240"/>
      <c r="Y9" s="82"/>
      <c r="Z9" s="241"/>
      <c r="AA9" s="241"/>
    </row>
    <row r="10" spans="1:27">
      <c r="A10" s="194" t="s">
        <v>84</v>
      </c>
      <c r="B10" s="195"/>
      <c r="C10" s="195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5"/>
      <c r="U10" s="195"/>
      <c r="V10" s="195"/>
      <c r="W10" s="195"/>
      <c r="X10" s="195"/>
      <c r="Y10" s="195"/>
      <c r="Z10" s="195"/>
      <c r="AA10" s="195"/>
    </row>
    <row r="11" spans="1:27">
      <c r="A11" s="17"/>
      <c r="B11" s="18"/>
    </row>
    <row r="12" spans="1:27">
      <c r="A12" s="196" t="s">
        <v>389</v>
      </c>
      <c r="B12" s="196"/>
      <c r="C12" s="196"/>
      <c r="D12" s="196"/>
      <c r="E12" s="196"/>
      <c r="F12" s="196"/>
      <c r="G12" s="196"/>
      <c r="H12" s="196"/>
      <c r="I12" s="196"/>
      <c r="J12" s="196"/>
      <c r="K12" s="196"/>
      <c r="L12" s="196"/>
      <c r="M12" s="196"/>
      <c r="N12" s="196"/>
      <c r="O12" s="196"/>
      <c r="P12" s="196"/>
      <c r="Q12" s="196"/>
      <c r="R12" s="196"/>
      <c r="S12" s="196"/>
      <c r="T12" s="196"/>
      <c r="U12" s="196"/>
      <c r="V12" s="196"/>
      <c r="W12" s="196"/>
      <c r="X12" s="196"/>
      <c r="Y12" s="196"/>
      <c r="Z12" s="196"/>
      <c r="AA12" s="196"/>
    </row>
    <row r="13" spans="1:27">
      <c r="A13" s="9" t="s">
        <v>390</v>
      </c>
      <c r="B13" s="9" t="s">
        <v>95</v>
      </c>
      <c r="D13" s="20">
        <v>0</v>
      </c>
      <c r="E13" s="20">
        <v>0</v>
      </c>
      <c r="G13" s="20">
        <v>0</v>
      </c>
      <c r="H13" s="20">
        <v>0</v>
      </c>
      <c r="J13" s="20">
        <v>13.64</v>
      </c>
      <c r="K13" s="20">
        <v>277801.47000000003</v>
      </c>
      <c r="M13" s="20">
        <v>0</v>
      </c>
      <c r="N13" s="20">
        <v>0</v>
      </c>
      <c r="P13" s="20">
        <v>0</v>
      </c>
      <c r="Q13" s="20">
        <v>0</v>
      </c>
      <c r="S13" s="20">
        <v>0</v>
      </c>
      <c r="T13" s="20">
        <v>0</v>
      </c>
      <c r="V13" s="21">
        <f t="shared" ref="V13:V65" si="0">+IFERROR((E13/D13),0)+IFERROR((H13/G13),0)+IFERROR((K13/J13),0)+IFERROR((N13/M13),0)+IFERROR((Q13/P13),0)+IFERROR((T13/S13),0)</f>
        <v>20366.676686217012</v>
      </c>
      <c r="W13" s="22">
        <f>+[35]References!C7</f>
        <v>4.33</v>
      </c>
      <c r="X13" s="21">
        <f t="shared" ref="X13:X65" si="1">+V13*W13</f>
        <v>88187.710051319664</v>
      </c>
      <c r="Y13" s="15">
        <f>+[35]References!C14</f>
        <v>34</v>
      </c>
      <c r="Z13" s="20">
        <f t="shared" ref="Z13:Z65" si="2">+X13*Y13</f>
        <v>2998382.1417448684</v>
      </c>
      <c r="AA13" s="20">
        <f>+Z13*[35]Regulated!$C$115</f>
        <v>2360001.1296945321</v>
      </c>
    </row>
    <row r="14" spans="1:27">
      <c r="A14" s="9" t="s">
        <v>94</v>
      </c>
      <c r="B14" s="9" t="s">
        <v>95</v>
      </c>
      <c r="D14" s="20">
        <v>0</v>
      </c>
      <c r="E14" s="20">
        <v>0</v>
      </c>
      <c r="G14" s="20">
        <v>0</v>
      </c>
      <c r="H14" s="20">
        <v>0</v>
      </c>
      <c r="J14" s="20">
        <v>0</v>
      </c>
      <c r="K14" s="20">
        <v>-52.04</v>
      </c>
      <c r="M14" s="20">
        <v>0</v>
      </c>
      <c r="N14" s="20">
        <v>0</v>
      </c>
      <c r="P14" s="20">
        <v>0</v>
      </c>
      <c r="Q14" s="20">
        <v>0</v>
      </c>
      <c r="S14" s="20">
        <v>0</v>
      </c>
      <c r="T14" s="20">
        <v>0</v>
      </c>
      <c r="V14" s="21">
        <f t="shared" si="0"/>
        <v>0</v>
      </c>
      <c r="W14" s="22">
        <f>+[35]References!C7</f>
        <v>4.33</v>
      </c>
      <c r="X14" s="21">
        <f t="shared" si="1"/>
        <v>0</v>
      </c>
      <c r="Y14" s="15">
        <f>+[35]References!C14</f>
        <v>34</v>
      </c>
      <c r="Z14" s="20">
        <f t="shared" si="2"/>
        <v>0</v>
      </c>
      <c r="AA14" s="20">
        <f>+Z14*[35]Regulated!$C$115</f>
        <v>0</v>
      </c>
    </row>
    <row r="15" spans="1:27">
      <c r="A15" s="9" t="s">
        <v>391</v>
      </c>
      <c r="B15" s="9" t="s">
        <v>392</v>
      </c>
      <c r="D15" s="20">
        <v>0</v>
      </c>
      <c r="E15" s="20">
        <v>0</v>
      </c>
      <c r="G15" s="20">
        <v>0</v>
      </c>
      <c r="H15" s="20">
        <v>0</v>
      </c>
      <c r="J15" s="20">
        <v>0</v>
      </c>
      <c r="K15" s="20">
        <v>0</v>
      </c>
      <c r="M15" s="20">
        <v>15.55</v>
      </c>
      <c r="N15" s="20">
        <v>182.57999999999998</v>
      </c>
      <c r="P15" s="20">
        <v>0</v>
      </c>
      <c r="Q15" s="20">
        <v>0</v>
      </c>
      <c r="S15" s="20">
        <v>0</v>
      </c>
      <c r="T15" s="20">
        <v>0</v>
      </c>
      <c r="V15" s="21">
        <f t="shared" si="0"/>
        <v>11.741479099678456</v>
      </c>
      <c r="W15" s="22">
        <f>+[35]References!C8</f>
        <v>2.17</v>
      </c>
      <c r="X15" s="21">
        <f t="shared" si="1"/>
        <v>25.479009646302249</v>
      </c>
      <c r="Y15" s="15">
        <f>+[35]References!C13</f>
        <v>20</v>
      </c>
      <c r="Z15" s="20">
        <f t="shared" si="2"/>
        <v>509.58019292604496</v>
      </c>
      <c r="AA15" s="20">
        <f>+Z15*[35]Regulated!$C$115</f>
        <v>401.08624388870624</v>
      </c>
    </row>
    <row r="16" spans="1:27">
      <c r="A16" s="9" t="s">
        <v>393</v>
      </c>
      <c r="B16" s="9" t="s">
        <v>394</v>
      </c>
      <c r="D16" s="20">
        <v>0</v>
      </c>
      <c r="E16" s="20">
        <v>0</v>
      </c>
      <c r="G16" s="20">
        <v>0</v>
      </c>
      <c r="H16" s="20">
        <v>0</v>
      </c>
      <c r="J16" s="20">
        <v>0</v>
      </c>
      <c r="K16" s="20">
        <v>0</v>
      </c>
      <c r="M16" s="20">
        <v>19.45</v>
      </c>
      <c r="N16" s="20">
        <v>364.95999999999992</v>
      </c>
      <c r="P16" s="20">
        <v>0</v>
      </c>
      <c r="Q16" s="20">
        <v>0</v>
      </c>
      <c r="S16" s="20">
        <v>0</v>
      </c>
      <c r="T16" s="20">
        <v>0</v>
      </c>
      <c r="V16" s="21">
        <f t="shared" si="0"/>
        <v>18.764010282776347</v>
      </c>
      <c r="W16" s="22">
        <f>+[35]References!C7</f>
        <v>4.33</v>
      </c>
      <c r="X16" s="21">
        <f t="shared" si="1"/>
        <v>81.248164524421583</v>
      </c>
      <c r="Y16" s="15">
        <f>+[35]References!C13</f>
        <v>20</v>
      </c>
      <c r="Z16" s="20">
        <f t="shared" si="2"/>
        <v>1624.9632904884315</v>
      </c>
      <c r="AA16" s="20">
        <f>+Z16*[35]Regulated!$C$115</f>
        <v>1278.9948111928004</v>
      </c>
    </row>
    <row r="17" spans="1:27">
      <c r="A17" s="9" t="s">
        <v>395</v>
      </c>
      <c r="B17" s="9" t="s">
        <v>89</v>
      </c>
      <c r="D17" s="20">
        <v>0</v>
      </c>
      <c r="E17" s="20">
        <v>0</v>
      </c>
      <c r="G17" s="20">
        <v>0</v>
      </c>
      <c r="H17" s="20">
        <v>0</v>
      </c>
      <c r="J17" s="20">
        <v>11.37</v>
      </c>
      <c r="K17" s="20">
        <v>2659.9400000000005</v>
      </c>
      <c r="M17" s="20">
        <v>0</v>
      </c>
      <c r="N17" s="20">
        <v>0</v>
      </c>
      <c r="P17" s="20">
        <v>0</v>
      </c>
      <c r="Q17" s="20">
        <v>0</v>
      </c>
      <c r="S17" s="20">
        <v>0</v>
      </c>
      <c r="T17" s="20">
        <v>0</v>
      </c>
      <c r="V17" s="21">
        <f t="shared" si="0"/>
        <v>233.94371152154798</v>
      </c>
      <c r="W17" s="22">
        <f>+[35]References!C7</f>
        <v>4.33</v>
      </c>
      <c r="X17" s="21">
        <f t="shared" si="1"/>
        <v>1012.9762708883028</v>
      </c>
      <c r="Y17" s="15">
        <f>+[35]References!C13</f>
        <v>20</v>
      </c>
      <c r="Z17" s="20">
        <f t="shared" si="2"/>
        <v>20259.525417766057</v>
      </c>
      <c r="AA17" s="20">
        <f>+Z17*[35]Regulated!$C$115</f>
        <v>15946.100467760634</v>
      </c>
    </row>
    <row r="18" spans="1:27">
      <c r="A18" s="9" t="s">
        <v>396</v>
      </c>
      <c r="B18" s="9" t="s">
        <v>97</v>
      </c>
      <c r="D18" s="20">
        <v>0</v>
      </c>
      <c r="E18" s="20">
        <v>0</v>
      </c>
      <c r="G18" s="20">
        <v>0</v>
      </c>
      <c r="H18" s="20">
        <v>0</v>
      </c>
      <c r="J18" s="20">
        <v>20.86</v>
      </c>
      <c r="K18" s="20">
        <v>104581.37999999999</v>
      </c>
      <c r="M18" s="20">
        <v>0</v>
      </c>
      <c r="N18" s="20">
        <v>0</v>
      </c>
      <c r="P18" s="20">
        <v>0</v>
      </c>
      <c r="Q18" s="20">
        <v>0</v>
      </c>
      <c r="S18" s="20">
        <v>0</v>
      </c>
      <c r="T18" s="20">
        <v>0</v>
      </c>
      <c r="V18" s="21">
        <f t="shared" si="0"/>
        <v>5013.4889741131346</v>
      </c>
      <c r="W18" s="22">
        <f>+[35]References!C7</f>
        <v>4.33</v>
      </c>
      <c r="X18" s="21">
        <f t="shared" si="1"/>
        <v>21708.407257909872</v>
      </c>
      <c r="Y18" s="15">
        <f>+[35]References!C15</f>
        <v>51</v>
      </c>
      <c r="Z18" s="20">
        <f t="shared" si="2"/>
        <v>1107128.7701534035</v>
      </c>
      <c r="AA18" s="20">
        <f>+Z18*[35]Regulated!$C$115</f>
        <v>871411.65627369017</v>
      </c>
    </row>
    <row r="19" spans="1:27">
      <c r="A19" s="9" t="s">
        <v>96</v>
      </c>
      <c r="B19" s="9" t="s">
        <v>97</v>
      </c>
      <c r="D19" s="20">
        <v>0</v>
      </c>
      <c r="E19" s="20">
        <v>0</v>
      </c>
      <c r="G19" s="20">
        <v>0</v>
      </c>
      <c r="H19" s="20">
        <v>0</v>
      </c>
      <c r="J19" s="20">
        <v>0</v>
      </c>
      <c r="K19" s="20">
        <v>0</v>
      </c>
      <c r="M19" s="20">
        <v>0</v>
      </c>
      <c r="N19" s="20">
        <v>0</v>
      </c>
      <c r="P19" s="20">
        <v>0</v>
      </c>
      <c r="Q19" s="20">
        <v>0</v>
      </c>
      <c r="S19" s="20">
        <v>0</v>
      </c>
      <c r="T19" s="20">
        <v>0</v>
      </c>
      <c r="V19" s="21">
        <f t="shared" si="0"/>
        <v>0</v>
      </c>
      <c r="W19" s="22">
        <f>+[35]References!C7</f>
        <v>4.33</v>
      </c>
      <c r="X19" s="21">
        <f t="shared" si="1"/>
        <v>0</v>
      </c>
      <c r="Y19" s="15">
        <f>+[35]References!C15</f>
        <v>51</v>
      </c>
      <c r="Z19" s="20">
        <f t="shared" si="2"/>
        <v>0</v>
      </c>
      <c r="AA19" s="20">
        <f>+Z19*[35]Regulated!$C$115</f>
        <v>0</v>
      </c>
    </row>
    <row r="20" spans="1:27">
      <c r="A20" s="9" t="s">
        <v>397</v>
      </c>
      <c r="B20" s="9" t="s">
        <v>398</v>
      </c>
      <c r="D20" s="20">
        <v>0</v>
      </c>
      <c r="E20" s="20">
        <v>0</v>
      </c>
      <c r="G20" s="20">
        <v>0</v>
      </c>
      <c r="H20" s="20">
        <v>0</v>
      </c>
      <c r="J20" s="20">
        <v>11.34</v>
      </c>
      <c r="K20" s="20">
        <v>20581.490000000002</v>
      </c>
      <c r="M20" s="20">
        <v>0</v>
      </c>
      <c r="N20" s="20">
        <v>0</v>
      </c>
      <c r="P20" s="20">
        <v>0</v>
      </c>
      <c r="Q20" s="20">
        <v>0</v>
      </c>
      <c r="S20" s="20">
        <v>0</v>
      </c>
      <c r="T20" s="20">
        <v>0</v>
      </c>
      <c r="V20" s="21">
        <f t="shared" si="0"/>
        <v>1814.946208112875</v>
      </c>
      <c r="W20" s="22">
        <f>+[35]References!C8</f>
        <v>2.17</v>
      </c>
      <c r="X20" s="21">
        <f t="shared" si="1"/>
        <v>3938.4332716049385</v>
      </c>
      <c r="Y20" s="15">
        <f>+[35]References!C14</f>
        <v>34</v>
      </c>
      <c r="Z20" s="20">
        <f t="shared" si="2"/>
        <v>133906.73123456791</v>
      </c>
      <c r="AA20" s="20">
        <f>+Z20*[35]Regulated!$C$115</f>
        <v>105396.85138445318</v>
      </c>
    </row>
    <row r="21" spans="1:27">
      <c r="A21" s="9" t="s">
        <v>399</v>
      </c>
      <c r="B21" s="9" t="s">
        <v>400</v>
      </c>
      <c r="D21" s="20">
        <v>0</v>
      </c>
      <c r="E21" s="20">
        <v>0</v>
      </c>
      <c r="G21" s="20">
        <v>0</v>
      </c>
      <c r="H21" s="20">
        <v>0</v>
      </c>
      <c r="J21" s="20">
        <v>6.94</v>
      </c>
      <c r="K21" s="20">
        <v>1244.46</v>
      </c>
      <c r="M21" s="20">
        <v>0</v>
      </c>
      <c r="N21" s="20">
        <v>0</v>
      </c>
      <c r="P21" s="20">
        <v>0</v>
      </c>
      <c r="Q21" s="20">
        <v>0</v>
      </c>
      <c r="S21" s="20">
        <v>0</v>
      </c>
      <c r="T21" s="20">
        <v>0</v>
      </c>
      <c r="V21" s="21">
        <f t="shared" si="0"/>
        <v>179.31700288184439</v>
      </c>
      <c r="W21" s="22">
        <f>+[35]References!C9</f>
        <v>1</v>
      </c>
      <c r="X21" s="21">
        <f t="shared" si="1"/>
        <v>179.31700288184439</v>
      </c>
      <c r="Y21" s="15">
        <f>+[35]References!C14</f>
        <v>34</v>
      </c>
      <c r="Z21" s="20">
        <f t="shared" si="2"/>
        <v>6096.7780979827094</v>
      </c>
      <c r="AA21" s="20">
        <f>+Z21*[35]Regulated!$C$115</f>
        <v>4798.7222837322979</v>
      </c>
    </row>
    <row r="22" spans="1:27">
      <c r="A22" s="9" t="s">
        <v>401</v>
      </c>
      <c r="B22" s="9" t="s">
        <v>99</v>
      </c>
      <c r="D22" s="20">
        <v>0</v>
      </c>
      <c r="E22" s="20">
        <v>0</v>
      </c>
      <c r="G22" s="20">
        <v>0</v>
      </c>
      <c r="H22" s="20">
        <v>0</v>
      </c>
      <c r="J22" s="20">
        <v>28.04</v>
      </c>
      <c r="K22" s="20">
        <v>9925.5899999999983</v>
      </c>
      <c r="M22" s="20">
        <v>0</v>
      </c>
      <c r="N22" s="20">
        <v>0</v>
      </c>
      <c r="P22" s="20">
        <v>0</v>
      </c>
      <c r="Q22" s="20">
        <v>0</v>
      </c>
      <c r="S22" s="20">
        <v>0</v>
      </c>
      <c r="T22" s="20">
        <v>0</v>
      </c>
      <c r="V22" s="21">
        <f t="shared" si="0"/>
        <v>353.97967189728956</v>
      </c>
      <c r="W22" s="22">
        <f>+[35]References!C7</f>
        <v>4.33</v>
      </c>
      <c r="X22" s="21">
        <f t="shared" si="1"/>
        <v>1532.7319793152637</v>
      </c>
      <c r="Y22" s="15">
        <f>+[35]References!C16</f>
        <v>77</v>
      </c>
      <c r="Z22" s="20">
        <f t="shared" si="2"/>
        <v>118020.3624072753</v>
      </c>
      <c r="AA22" s="20">
        <f>+Z22*[35]Regulated!$C$115</f>
        <v>92892.825344151104</v>
      </c>
    </row>
    <row r="23" spans="1:27">
      <c r="A23" s="9" t="s">
        <v>98</v>
      </c>
      <c r="B23" s="9" t="s">
        <v>99</v>
      </c>
      <c r="D23" s="20">
        <v>0</v>
      </c>
      <c r="E23" s="20">
        <v>0</v>
      </c>
      <c r="G23" s="20">
        <v>0</v>
      </c>
      <c r="H23" s="20">
        <v>0</v>
      </c>
      <c r="J23" s="20">
        <v>0</v>
      </c>
      <c r="K23" s="20">
        <v>0</v>
      </c>
      <c r="M23" s="20">
        <v>0</v>
      </c>
      <c r="N23" s="20">
        <v>0</v>
      </c>
      <c r="P23" s="20">
        <v>0</v>
      </c>
      <c r="Q23" s="20">
        <v>0</v>
      </c>
      <c r="S23" s="20">
        <v>0</v>
      </c>
      <c r="T23" s="20">
        <v>0</v>
      </c>
      <c r="V23" s="21">
        <f t="shared" si="0"/>
        <v>0</v>
      </c>
      <c r="W23" s="22">
        <f>+[35]References!C7</f>
        <v>4.33</v>
      </c>
      <c r="X23" s="21">
        <f t="shared" si="1"/>
        <v>0</v>
      </c>
      <c r="Y23" s="15">
        <f>+[35]References!C16</f>
        <v>77</v>
      </c>
      <c r="Z23" s="20">
        <f t="shared" si="2"/>
        <v>0</v>
      </c>
      <c r="AA23" s="20">
        <f>+Z23*[35]Regulated!$C$115</f>
        <v>0</v>
      </c>
    </row>
    <row r="24" spans="1:27">
      <c r="A24" s="9" t="s">
        <v>402</v>
      </c>
      <c r="B24" s="9" t="s">
        <v>403</v>
      </c>
      <c r="D24" s="20">
        <v>0</v>
      </c>
      <c r="E24" s="20">
        <v>0</v>
      </c>
      <c r="G24" s="20">
        <v>0</v>
      </c>
      <c r="H24" s="20">
        <v>0</v>
      </c>
      <c r="J24" s="20">
        <v>0</v>
      </c>
      <c r="K24" s="20">
        <v>0</v>
      </c>
      <c r="M24" s="20">
        <v>0</v>
      </c>
      <c r="N24" s="20">
        <v>0</v>
      </c>
      <c r="P24" s="20">
        <v>4.46</v>
      </c>
      <c r="Q24" s="20">
        <v>248.79500000000002</v>
      </c>
      <c r="S24" s="20">
        <v>0</v>
      </c>
      <c r="T24" s="20">
        <v>0</v>
      </c>
      <c r="V24" s="21">
        <f t="shared" si="0"/>
        <v>55.78363228699552</v>
      </c>
      <c r="W24" s="22">
        <f>+[35]References!C8</f>
        <v>2.17</v>
      </c>
      <c r="X24" s="21">
        <f t="shared" si="1"/>
        <v>121.05048206278028</v>
      </c>
      <c r="Y24" s="15">
        <f>+[35]References!C21</f>
        <v>40</v>
      </c>
      <c r="Z24" s="20">
        <f t="shared" si="2"/>
        <v>4842.0192825112108</v>
      </c>
      <c r="AA24" s="20">
        <f>+Z24*[35]Regulated!$C$115</f>
        <v>3811.1122720599169</v>
      </c>
    </row>
    <row r="25" spans="1:27">
      <c r="A25" s="9" t="s">
        <v>404</v>
      </c>
      <c r="B25" s="9" t="s">
        <v>405</v>
      </c>
      <c r="D25" s="20">
        <v>0</v>
      </c>
      <c r="E25" s="20">
        <v>0</v>
      </c>
      <c r="G25" s="20">
        <v>0</v>
      </c>
      <c r="H25" s="20">
        <v>0</v>
      </c>
      <c r="J25" s="20">
        <v>0</v>
      </c>
      <c r="K25" s="20">
        <v>0</v>
      </c>
      <c r="M25" s="20">
        <v>0</v>
      </c>
      <c r="N25" s="20">
        <v>0</v>
      </c>
      <c r="P25" s="20">
        <v>7.78</v>
      </c>
      <c r="Q25" s="20">
        <v>1056.25</v>
      </c>
      <c r="S25" s="20">
        <v>0</v>
      </c>
      <c r="T25" s="20">
        <v>0</v>
      </c>
      <c r="V25" s="21">
        <f t="shared" si="0"/>
        <v>135.76478149100257</v>
      </c>
      <c r="W25" s="22">
        <f>+[35]References!C8</f>
        <v>2.17</v>
      </c>
      <c r="X25" s="21">
        <f t="shared" si="1"/>
        <v>294.60957583547554</v>
      </c>
      <c r="Y25" s="15">
        <f>+[35]References!C21</f>
        <v>40</v>
      </c>
      <c r="Z25" s="20">
        <f t="shared" si="2"/>
        <v>11784.383033419021</v>
      </c>
      <c r="AA25" s="20">
        <f>+Z25*[35]Regulated!$C$115</f>
        <v>9275.3878448054093</v>
      </c>
    </row>
    <row r="26" spans="1:27">
      <c r="A26" s="9" t="s">
        <v>406</v>
      </c>
      <c r="B26" s="9" t="s">
        <v>407</v>
      </c>
      <c r="D26" s="20">
        <v>0</v>
      </c>
      <c r="E26" s="20">
        <v>0</v>
      </c>
      <c r="G26" s="20">
        <v>0</v>
      </c>
      <c r="H26" s="20">
        <v>0</v>
      </c>
      <c r="J26" s="20">
        <v>0</v>
      </c>
      <c r="K26" s="20">
        <v>0</v>
      </c>
      <c r="M26" s="20">
        <v>0</v>
      </c>
      <c r="N26" s="20">
        <v>0</v>
      </c>
      <c r="P26" s="20">
        <v>20.78</v>
      </c>
      <c r="Q26" s="20">
        <v>583.58000000000004</v>
      </c>
      <c r="S26" s="20">
        <v>0</v>
      </c>
      <c r="T26" s="20">
        <v>0</v>
      </c>
      <c r="V26" s="21">
        <f t="shared" si="0"/>
        <v>28.0837343599615</v>
      </c>
      <c r="W26" s="22">
        <f>+[35]References!C8</f>
        <v>2.17</v>
      </c>
      <c r="X26" s="21">
        <f t="shared" si="1"/>
        <v>60.941703561116455</v>
      </c>
      <c r="Y26" s="15">
        <f>+[35]References!C21</f>
        <v>40</v>
      </c>
      <c r="Z26" s="20">
        <f t="shared" si="2"/>
        <v>2437.6681424446583</v>
      </c>
      <c r="AA26" s="20">
        <f>+Z26*[35]Regulated!$C$115</f>
        <v>1918.6679008973626</v>
      </c>
    </row>
    <row r="27" spans="1:27">
      <c r="A27" s="9" t="s">
        <v>408</v>
      </c>
      <c r="B27" s="9" t="s">
        <v>409</v>
      </c>
      <c r="D27" s="20">
        <v>0</v>
      </c>
      <c r="E27" s="20">
        <v>0</v>
      </c>
      <c r="G27" s="20">
        <v>0</v>
      </c>
      <c r="H27" s="20">
        <v>0</v>
      </c>
      <c r="J27" s="20">
        <v>0</v>
      </c>
      <c r="K27" s="20">
        <v>0</v>
      </c>
      <c r="M27" s="20">
        <v>0</v>
      </c>
      <c r="N27" s="20">
        <v>0</v>
      </c>
      <c r="P27" s="20">
        <v>11.7</v>
      </c>
      <c r="Q27" s="20">
        <v>151307.1</v>
      </c>
      <c r="S27" s="20">
        <v>0</v>
      </c>
      <c r="T27" s="20">
        <v>0</v>
      </c>
      <c r="V27" s="21">
        <f t="shared" si="0"/>
        <v>12932.230769230771</v>
      </c>
      <c r="W27" s="22">
        <f>+[35]References!C8</f>
        <v>2.17</v>
      </c>
      <c r="X27" s="21">
        <f t="shared" si="1"/>
        <v>28062.940769230772</v>
      </c>
      <c r="Y27" s="15">
        <f>+[35]References!C21</f>
        <v>40</v>
      </c>
      <c r="Z27" s="20">
        <f t="shared" si="2"/>
        <v>1122517.6307692309</v>
      </c>
      <c r="AA27" s="20">
        <f>+Z27*[35]Regulated!$C$115</f>
        <v>883524.09782422904</v>
      </c>
    </row>
    <row r="28" spans="1:27">
      <c r="A28" s="9" t="s">
        <v>410</v>
      </c>
      <c r="B28" s="9" t="s">
        <v>411</v>
      </c>
      <c r="D28" s="20">
        <v>0</v>
      </c>
      <c r="E28" s="20">
        <v>0</v>
      </c>
      <c r="G28" s="20">
        <v>0</v>
      </c>
      <c r="H28" s="20">
        <v>0</v>
      </c>
      <c r="J28" s="20">
        <v>0</v>
      </c>
      <c r="K28" s="20">
        <v>0</v>
      </c>
      <c r="M28" s="20">
        <v>0</v>
      </c>
      <c r="N28" s="20">
        <v>0</v>
      </c>
      <c r="P28" s="20">
        <v>4.2699999999999996</v>
      </c>
      <c r="Q28" s="20">
        <v>526.4899999999999</v>
      </c>
      <c r="S28" s="20">
        <v>0</v>
      </c>
      <c r="T28" s="20">
        <v>0</v>
      </c>
      <c r="V28" s="21">
        <f t="shared" si="0"/>
        <v>123.29976580796252</v>
      </c>
      <c r="W28" s="22">
        <f>+[35]References!C9</f>
        <v>1</v>
      </c>
      <c r="X28" s="21">
        <f t="shared" si="1"/>
        <v>123.29976580796252</v>
      </c>
      <c r="Y28" s="15">
        <f>+[35]References!C21</f>
        <v>40</v>
      </c>
      <c r="Z28" s="20">
        <f t="shared" si="2"/>
        <v>4931.9906323185005</v>
      </c>
      <c r="AA28" s="20">
        <f>+Z28*[35]Regulated!$C$115</f>
        <v>3881.9279577022348</v>
      </c>
    </row>
    <row r="29" spans="1:27">
      <c r="A29" s="9" t="s">
        <v>412</v>
      </c>
      <c r="B29" s="9" t="s">
        <v>413</v>
      </c>
      <c r="D29" s="20">
        <v>0</v>
      </c>
      <c r="E29" s="20">
        <v>0</v>
      </c>
      <c r="G29" s="20">
        <v>0</v>
      </c>
      <c r="H29" s="20">
        <v>0</v>
      </c>
      <c r="J29" s="20">
        <v>0</v>
      </c>
      <c r="K29" s="20">
        <v>0</v>
      </c>
      <c r="M29" s="20">
        <v>0</v>
      </c>
      <c r="N29" s="20">
        <v>0</v>
      </c>
      <c r="P29" s="20">
        <v>8.01</v>
      </c>
      <c r="Q29" s="20">
        <v>15247.594999999998</v>
      </c>
      <c r="S29" s="20">
        <v>0</v>
      </c>
      <c r="T29" s="20">
        <v>0</v>
      </c>
      <c r="V29" s="21">
        <f t="shared" si="0"/>
        <v>1903.5699126092381</v>
      </c>
      <c r="W29" s="22">
        <f>+[35]References!C9</f>
        <v>1</v>
      </c>
      <c r="X29" s="21">
        <f t="shared" si="1"/>
        <v>1903.5699126092381</v>
      </c>
      <c r="Y29" s="15">
        <f>+[35]References!C21</f>
        <v>40</v>
      </c>
      <c r="Z29" s="20">
        <f t="shared" si="2"/>
        <v>76142.796504369529</v>
      </c>
      <c r="AA29" s="20">
        <f>+Z29*[35]Regulated!$C$115</f>
        <v>59931.348731900012</v>
      </c>
    </row>
    <row r="30" spans="1:27">
      <c r="A30" s="9" t="s">
        <v>414</v>
      </c>
      <c r="B30" s="9" t="s">
        <v>415</v>
      </c>
      <c r="D30" s="20">
        <v>0</v>
      </c>
      <c r="E30" s="20">
        <v>0</v>
      </c>
      <c r="G30" s="20">
        <v>0</v>
      </c>
      <c r="H30" s="20">
        <v>0</v>
      </c>
      <c r="J30" s="20">
        <v>0</v>
      </c>
      <c r="K30" s="20">
        <v>0</v>
      </c>
      <c r="M30" s="20">
        <v>0</v>
      </c>
      <c r="N30" s="20">
        <v>0</v>
      </c>
      <c r="P30" s="20">
        <v>5.13</v>
      </c>
      <c r="Q30" s="20">
        <v>686.37</v>
      </c>
      <c r="S30" s="20">
        <v>0</v>
      </c>
      <c r="T30" s="20">
        <v>0</v>
      </c>
      <c r="V30" s="21">
        <f t="shared" si="0"/>
        <v>133.79532163742689</v>
      </c>
      <c r="W30" s="22">
        <f>+[35]References!C7</f>
        <v>4.33</v>
      </c>
      <c r="X30" s="21">
        <f t="shared" si="1"/>
        <v>579.33374269005844</v>
      </c>
      <c r="Y30" s="15">
        <f>+[35]References!C21</f>
        <v>40</v>
      </c>
      <c r="Z30" s="20">
        <f t="shared" si="2"/>
        <v>23173.349707602338</v>
      </c>
      <c r="AA30" s="20">
        <f>+Z30*[35]Regulated!$C$115</f>
        <v>18239.546830052277</v>
      </c>
    </row>
    <row r="31" spans="1:27">
      <c r="A31" s="9" t="s">
        <v>416</v>
      </c>
      <c r="B31" s="9" t="s">
        <v>417</v>
      </c>
      <c r="D31" s="20">
        <v>0</v>
      </c>
      <c r="E31" s="20">
        <v>0</v>
      </c>
      <c r="G31" s="20">
        <v>0</v>
      </c>
      <c r="H31" s="20">
        <v>0</v>
      </c>
      <c r="J31" s="20">
        <v>0</v>
      </c>
      <c r="K31" s="20">
        <v>0</v>
      </c>
      <c r="M31" s="20">
        <v>0</v>
      </c>
      <c r="N31" s="20">
        <v>0</v>
      </c>
      <c r="P31" s="20">
        <v>10.18</v>
      </c>
      <c r="Q31" s="20">
        <v>0</v>
      </c>
      <c r="S31" s="20">
        <v>0</v>
      </c>
      <c r="T31" s="20">
        <v>0</v>
      </c>
      <c r="V31" s="21">
        <f t="shared" si="0"/>
        <v>0</v>
      </c>
      <c r="W31" s="22">
        <f>+[35]References!C7</f>
        <v>4.33</v>
      </c>
      <c r="X31" s="21">
        <f t="shared" si="1"/>
        <v>0</v>
      </c>
      <c r="Y31" s="15">
        <f>+[35]References!C21</f>
        <v>40</v>
      </c>
      <c r="Z31" s="20">
        <f t="shared" si="2"/>
        <v>0</v>
      </c>
      <c r="AA31" s="20">
        <f>+Z31*[35]Regulated!$C$115</f>
        <v>0</v>
      </c>
    </row>
    <row r="32" spans="1:27">
      <c r="A32" s="9" t="s">
        <v>418</v>
      </c>
      <c r="B32" s="9" t="s">
        <v>419</v>
      </c>
      <c r="D32" s="20">
        <v>0</v>
      </c>
      <c r="E32" s="20">
        <v>0</v>
      </c>
      <c r="G32" s="20">
        <v>0</v>
      </c>
      <c r="H32" s="20">
        <v>0</v>
      </c>
      <c r="J32" s="20">
        <v>0</v>
      </c>
      <c r="K32" s="20">
        <v>0</v>
      </c>
      <c r="M32" s="20">
        <v>0</v>
      </c>
      <c r="N32" s="20">
        <v>0</v>
      </c>
      <c r="P32" s="20">
        <v>25.08</v>
      </c>
      <c r="Q32" s="20">
        <v>631.93499999999995</v>
      </c>
      <c r="S32" s="20">
        <v>0</v>
      </c>
      <c r="T32" s="20">
        <v>0</v>
      </c>
      <c r="V32" s="21">
        <f t="shared" si="0"/>
        <v>25.196770334928228</v>
      </c>
      <c r="W32" s="22">
        <f>+[35]References!C7</f>
        <v>4.33</v>
      </c>
      <c r="X32" s="21">
        <f t="shared" si="1"/>
        <v>109.10201555023923</v>
      </c>
      <c r="Y32" s="15">
        <f>+[35]References!C21</f>
        <v>40</v>
      </c>
      <c r="Z32" s="20">
        <f t="shared" si="2"/>
        <v>4364.0806220095692</v>
      </c>
      <c r="AA32" s="20">
        <f>+Z32*[35]Regulated!$C$115</f>
        <v>3434.930809728975</v>
      </c>
    </row>
    <row r="33" spans="1:27">
      <c r="A33" s="9" t="s">
        <v>420</v>
      </c>
      <c r="B33" s="9" t="s">
        <v>421</v>
      </c>
      <c r="D33" s="20">
        <v>0</v>
      </c>
      <c r="E33" s="20">
        <v>0</v>
      </c>
      <c r="G33" s="20">
        <v>0</v>
      </c>
      <c r="H33" s="20">
        <v>0</v>
      </c>
      <c r="J33" s="20">
        <v>0</v>
      </c>
      <c r="K33" s="20">
        <v>0</v>
      </c>
      <c r="M33" s="20">
        <v>0</v>
      </c>
      <c r="N33" s="20">
        <v>0</v>
      </c>
      <c r="P33" s="20">
        <v>17.18</v>
      </c>
      <c r="Q33" s="20">
        <v>688510.59499999997</v>
      </c>
      <c r="S33" s="20">
        <v>0</v>
      </c>
      <c r="T33" s="20">
        <v>0</v>
      </c>
      <c r="V33" s="21">
        <f t="shared" si="0"/>
        <v>40076.286088474968</v>
      </c>
      <c r="W33" s="22">
        <f>+[35]References!C7</f>
        <v>4.33</v>
      </c>
      <c r="X33" s="21">
        <f t="shared" si="1"/>
        <v>173530.31876309661</v>
      </c>
      <c r="Y33" s="15">
        <f>+[35]References!C21</f>
        <v>40</v>
      </c>
      <c r="Z33" s="20">
        <f t="shared" si="2"/>
        <v>6941212.7505238643</v>
      </c>
      <c r="AA33" s="20">
        <f>+Z33*[35]Regulated!$C$115</f>
        <v>5463369.6301144417</v>
      </c>
    </row>
    <row r="34" spans="1:27">
      <c r="A34" s="9" t="s">
        <v>422</v>
      </c>
      <c r="B34" s="9" t="s">
        <v>101</v>
      </c>
      <c r="D34" s="20">
        <v>0</v>
      </c>
      <c r="E34" s="20">
        <v>0</v>
      </c>
      <c r="G34" s="20">
        <v>0</v>
      </c>
      <c r="H34" s="20">
        <v>0</v>
      </c>
      <c r="J34" s="20">
        <v>35.26</v>
      </c>
      <c r="K34" s="20">
        <v>1169.25</v>
      </c>
      <c r="M34" s="20">
        <v>0</v>
      </c>
      <c r="N34" s="20">
        <v>0</v>
      </c>
      <c r="P34" s="20">
        <v>0</v>
      </c>
      <c r="Q34" s="20">
        <v>0</v>
      </c>
      <c r="S34" s="20">
        <v>0</v>
      </c>
      <c r="T34" s="20">
        <v>0</v>
      </c>
      <c r="V34" s="21">
        <f t="shared" si="0"/>
        <v>33.160805445263755</v>
      </c>
      <c r="W34" s="22">
        <f>+[35]References!C7</f>
        <v>4.33</v>
      </c>
      <c r="X34" s="21">
        <f t="shared" si="1"/>
        <v>143.58628757799207</v>
      </c>
      <c r="Y34" s="15">
        <f>+[35]References!C17</f>
        <v>97</v>
      </c>
      <c r="Z34" s="20">
        <f t="shared" si="2"/>
        <v>13927.869895065231</v>
      </c>
      <c r="AA34" s="20">
        <f>+Z34*[35]Regulated!$C$115</f>
        <v>10962.508156970369</v>
      </c>
    </row>
    <row r="35" spans="1:27">
      <c r="A35" s="9" t="s">
        <v>423</v>
      </c>
      <c r="B35" s="9" t="s">
        <v>103</v>
      </c>
      <c r="D35" s="20">
        <v>0</v>
      </c>
      <c r="E35" s="20">
        <v>0</v>
      </c>
      <c r="G35" s="20">
        <v>0</v>
      </c>
      <c r="H35" s="20">
        <v>0</v>
      </c>
      <c r="J35" s="20">
        <v>42.47</v>
      </c>
      <c r="K35" s="20">
        <v>0</v>
      </c>
      <c r="M35" s="20">
        <v>0</v>
      </c>
      <c r="N35" s="20">
        <v>0</v>
      </c>
      <c r="P35" s="20">
        <v>0</v>
      </c>
      <c r="Q35" s="20">
        <v>0</v>
      </c>
      <c r="S35" s="20">
        <v>0</v>
      </c>
      <c r="T35" s="20">
        <v>0</v>
      </c>
      <c r="V35" s="21">
        <f t="shared" si="0"/>
        <v>0</v>
      </c>
      <c r="W35" s="22">
        <f>+[35]References!C7</f>
        <v>4.33</v>
      </c>
      <c r="X35" s="21">
        <f t="shared" si="1"/>
        <v>0</v>
      </c>
      <c r="Y35" s="15">
        <f>+[35]References!C18</f>
        <v>117</v>
      </c>
      <c r="Z35" s="20">
        <f t="shared" si="2"/>
        <v>0</v>
      </c>
      <c r="AA35" s="20">
        <f>+Z35*[35]Regulated!$C$115</f>
        <v>0</v>
      </c>
    </row>
    <row r="36" spans="1:27">
      <c r="A36" s="9" t="s">
        <v>424</v>
      </c>
      <c r="B36" s="9" t="s">
        <v>425</v>
      </c>
      <c r="D36" s="20">
        <v>0</v>
      </c>
      <c r="E36" s="20">
        <v>0</v>
      </c>
      <c r="G36" s="20">
        <v>0</v>
      </c>
      <c r="H36" s="20">
        <v>0</v>
      </c>
      <c r="J36" s="20">
        <v>0</v>
      </c>
      <c r="K36" s="20">
        <v>0</v>
      </c>
      <c r="M36" s="20">
        <v>0</v>
      </c>
      <c r="N36" s="20">
        <v>0</v>
      </c>
      <c r="P36" s="20">
        <v>32.4</v>
      </c>
      <c r="Q36" s="20">
        <v>201405.18</v>
      </c>
      <c r="S36" s="20">
        <v>0</v>
      </c>
      <c r="T36" s="20">
        <v>0</v>
      </c>
      <c r="V36" s="21">
        <f t="shared" si="0"/>
        <v>6216.2092592592589</v>
      </c>
      <c r="W36" s="22">
        <f>+[35]References!C7</f>
        <v>4.33</v>
      </c>
      <c r="X36" s="21">
        <f t="shared" si="1"/>
        <v>26916.18609259259</v>
      </c>
      <c r="Y36" s="15">
        <f>+[35]References!C24</f>
        <v>68</v>
      </c>
      <c r="Z36" s="20">
        <f t="shared" si="2"/>
        <v>1830300.6542962962</v>
      </c>
      <c r="AA36" s="20">
        <f>+Z36*[35]Regulated!$C$115</f>
        <v>1440614.1070818338</v>
      </c>
    </row>
    <row r="37" spans="1:27">
      <c r="A37" s="9" t="s">
        <v>426</v>
      </c>
      <c r="B37" s="9" t="s">
        <v>427</v>
      </c>
      <c r="D37" s="20">
        <v>0</v>
      </c>
      <c r="E37" s="20">
        <v>0</v>
      </c>
      <c r="G37" s="20">
        <v>0</v>
      </c>
      <c r="H37" s="20">
        <v>0</v>
      </c>
      <c r="J37" s="20">
        <v>0</v>
      </c>
      <c r="K37" s="20">
        <v>0</v>
      </c>
      <c r="M37" s="20">
        <v>0</v>
      </c>
      <c r="N37" s="20">
        <v>0</v>
      </c>
      <c r="P37" s="20">
        <v>40.14</v>
      </c>
      <c r="Q37" s="20">
        <v>0</v>
      </c>
      <c r="S37" s="20">
        <v>0</v>
      </c>
      <c r="T37" s="20">
        <v>0</v>
      </c>
      <c r="V37" s="21">
        <f t="shared" si="0"/>
        <v>0</v>
      </c>
      <c r="W37" s="22">
        <f>+[35]References!C7</f>
        <v>4.33</v>
      </c>
      <c r="X37" s="21">
        <f t="shared" si="1"/>
        <v>0</v>
      </c>
      <c r="Y37" s="15">
        <f>+[35]References!C24</f>
        <v>68</v>
      </c>
      <c r="Z37" s="20">
        <f t="shared" si="2"/>
        <v>0</v>
      </c>
      <c r="AA37" s="20">
        <f>+Z37*[35]Regulated!$C$115</f>
        <v>0</v>
      </c>
    </row>
    <row r="38" spans="1:27">
      <c r="A38" s="9" t="s">
        <v>428</v>
      </c>
      <c r="B38" s="9" t="s">
        <v>429</v>
      </c>
      <c r="D38" s="20">
        <v>0</v>
      </c>
      <c r="E38" s="20">
        <v>0</v>
      </c>
      <c r="G38" s="20">
        <v>0</v>
      </c>
      <c r="H38" s="20">
        <v>0</v>
      </c>
      <c r="J38" s="20">
        <v>0</v>
      </c>
      <c r="K38" s="20">
        <v>0</v>
      </c>
      <c r="M38" s="20">
        <v>12.96</v>
      </c>
      <c r="N38" s="20">
        <v>234047.86</v>
      </c>
      <c r="P38" s="20">
        <v>0</v>
      </c>
      <c r="Q38" s="20">
        <v>0</v>
      </c>
      <c r="S38" s="20">
        <v>0</v>
      </c>
      <c r="T38" s="20">
        <v>0</v>
      </c>
      <c r="V38" s="21">
        <f t="shared" si="0"/>
        <v>18059.248456790123</v>
      </c>
      <c r="W38" s="22">
        <f>+[35]References!C7</f>
        <v>4.33</v>
      </c>
      <c r="X38" s="21">
        <f t="shared" si="1"/>
        <v>78196.545817901235</v>
      </c>
      <c r="Y38" s="15">
        <f>+[35]References!C13</f>
        <v>20</v>
      </c>
      <c r="Z38" s="20">
        <f t="shared" si="2"/>
        <v>1563930.9163580248</v>
      </c>
      <c r="AA38" s="20">
        <f>+Z38*[35]Regulated!$C$115</f>
        <v>1230956.7476350048</v>
      </c>
    </row>
    <row r="39" spans="1:27">
      <c r="A39" s="9" t="s">
        <v>430</v>
      </c>
      <c r="B39" s="9" t="s">
        <v>431</v>
      </c>
      <c r="D39" s="20">
        <v>0</v>
      </c>
      <c r="E39" s="20">
        <v>0</v>
      </c>
      <c r="G39" s="20">
        <v>0</v>
      </c>
      <c r="H39" s="20">
        <v>0</v>
      </c>
      <c r="J39" s="20">
        <v>0</v>
      </c>
      <c r="K39" s="20">
        <v>0</v>
      </c>
      <c r="M39" s="20">
        <v>10.36</v>
      </c>
      <c r="N39" s="20">
        <v>560.24</v>
      </c>
      <c r="P39" s="20">
        <v>0</v>
      </c>
      <c r="Q39" s="20">
        <v>0</v>
      </c>
      <c r="S39" s="20">
        <v>0</v>
      </c>
      <c r="T39" s="20">
        <v>0</v>
      </c>
      <c r="V39" s="21">
        <f t="shared" si="0"/>
        <v>54.077220077220083</v>
      </c>
      <c r="W39" s="22">
        <f>+[35]References!C8</f>
        <v>2.17</v>
      </c>
      <c r="X39" s="21">
        <f t="shared" si="1"/>
        <v>117.34756756756758</v>
      </c>
      <c r="Y39" s="15">
        <f>+[35]References!C13</f>
        <v>20</v>
      </c>
      <c r="Z39" s="20">
        <f t="shared" si="2"/>
        <v>2346.9513513513516</v>
      </c>
      <c r="AA39" s="20">
        <f>+Z39*[35]Regulated!$C$115</f>
        <v>1847.2654847470719</v>
      </c>
    </row>
    <row r="40" spans="1:27">
      <c r="A40" s="9" t="s">
        <v>432</v>
      </c>
      <c r="B40" s="9" t="s">
        <v>433</v>
      </c>
      <c r="D40" s="20">
        <v>0</v>
      </c>
      <c r="E40" s="20">
        <v>0</v>
      </c>
      <c r="G40" s="20">
        <v>0</v>
      </c>
      <c r="H40" s="20">
        <v>0</v>
      </c>
      <c r="J40" s="20">
        <v>0</v>
      </c>
      <c r="K40" s="20">
        <v>0</v>
      </c>
      <c r="M40" s="20">
        <v>12.96</v>
      </c>
      <c r="N40" s="21">
        <v>673.29</v>
      </c>
      <c r="P40" s="20">
        <v>0</v>
      </c>
      <c r="Q40" s="21">
        <v>0</v>
      </c>
      <c r="S40" s="20">
        <v>0</v>
      </c>
      <c r="T40" s="20">
        <v>0</v>
      </c>
      <c r="V40" s="21">
        <f t="shared" si="0"/>
        <v>51.951388888888886</v>
      </c>
      <c r="W40" s="22">
        <f>+[35]References!C7</f>
        <v>4.33</v>
      </c>
      <c r="X40" s="21">
        <f t="shared" si="1"/>
        <v>224.94951388888887</v>
      </c>
      <c r="Y40" s="15">
        <f>+[35]References!C13</f>
        <v>20</v>
      </c>
      <c r="Z40" s="21">
        <f t="shared" si="2"/>
        <v>4498.990277777777</v>
      </c>
      <c r="AA40" s="21">
        <f>+Z40*[35]Regulated!$C$115</f>
        <v>3541.1170544997599</v>
      </c>
    </row>
    <row r="41" spans="1:27">
      <c r="A41" s="9" t="s">
        <v>434</v>
      </c>
      <c r="B41" s="9" t="s">
        <v>435</v>
      </c>
      <c r="D41" s="20">
        <v>0</v>
      </c>
      <c r="E41" s="20">
        <v>0</v>
      </c>
      <c r="G41" s="20">
        <v>0</v>
      </c>
      <c r="H41" s="20">
        <v>0</v>
      </c>
      <c r="J41" s="20">
        <v>0</v>
      </c>
      <c r="K41" s="20">
        <v>0</v>
      </c>
      <c r="M41" s="20">
        <v>10.36</v>
      </c>
      <c r="N41" s="21">
        <v>60858.17</v>
      </c>
      <c r="P41" s="20">
        <v>0</v>
      </c>
      <c r="Q41" s="21">
        <v>0</v>
      </c>
      <c r="S41" s="20">
        <v>0</v>
      </c>
      <c r="T41" s="20">
        <v>0</v>
      </c>
      <c r="V41" s="21">
        <f t="shared" si="0"/>
        <v>5874.3407335907341</v>
      </c>
      <c r="W41" s="22">
        <f>+[35]References!C8</f>
        <v>2.17</v>
      </c>
      <c r="X41" s="21">
        <f t="shared" si="1"/>
        <v>12747.319391891893</v>
      </c>
      <c r="Y41" s="15">
        <f>+[35]References!C13</f>
        <v>20</v>
      </c>
      <c r="Z41" s="21">
        <f t="shared" si="2"/>
        <v>254946.38783783786</v>
      </c>
      <c r="AA41" s="21">
        <f>+Z41*[35]Regulated!$C$115</f>
        <v>200666.13755867077</v>
      </c>
    </row>
    <row r="42" spans="1:27">
      <c r="A42" s="9" t="s">
        <v>436</v>
      </c>
      <c r="B42" s="9" t="s">
        <v>437</v>
      </c>
      <c r="D42" s="20">
        <v>0</v>
      </c>
      <c r="E42" s="20">
        <v>0</v>
      </c>
      <c r="G42" s="20">
        <v>0</v>
      </c>
      <c r="H42" s="20">
        <v>0</v>
      </c>
      <c r="J42" s="20">
        <v>0</v>
      </c>
      <c r="K42" s="20">
        <v>0</v>
      </c>
      <c r="M42" s="20">
        <v>69.12</v>
      </c>
      <c r="N42" s="21">
        <v>22524.540000000005</v>
      </c>
      <c r="P42" s="20">
        <v>0</v>
      </c>
      <c r="Q42" s="21">
        <v>0</v>
      </c>
      <c r="S42" s="20">
        <v>0</v>
      </c>
      <c r="T42" s="20">
        <v>0</v>
      </c>
      <c r="V42" s="21">
        <f t="shared" si="0"/>
        <v>325.8758680555556</v>
      </c>
      <c r="W42" s="22">
        <f>+[35]References!C7</f>
        <v>4.33</v>
      </c>
      <c r="X42" s="21">
        <f t="shared" si="1"/>
        <v>1411.0425086805558</v>
      </c>
      <c r="Y42" s="15">
        <f>+[35]References!C23*2</f>
        <v>102</v>
      </c>
      <c r="Z42" s="21">
        <f t="shared" si="2"/>
        <v>143926.33588541669</v>
      </c>
      <c r="AA42" s="21">
        <f>+Z42*[35]Regulated!$C$115</f>
        <v>113283.19714601614</v>
      </c>
    </row>
    <row r="43" spans="1:27">
      <c r="A43" s="9" t="s">
        <v>438</v>
      </c>
      <c r="B43" s="9" t="s">
        <v>439</v>
      </c>
      <c r="D43" s="20">
        <v>0</v>
      </c>
      <c r="E43" s="20">
        <v>0</v>
      </c>
      <c r="G43" s="20">
        <v>0</v>
      </c>
      <c r="H43" s="20">
        <v>0</v>
      </c>
      <c r="J43" s="20">
        <v>0</v>
      </c>
      <c r="K43" s="20">
        <v>0</v>
      </c>
      <c r="M43" s="20">
        <v>25.92</v>
      </c>
      <c r="N43" s="21">
        <v>24564.855</v>
      </c>
      <c r="P43" s="20">
        <v>0</v>
      </c>
      <c r="Q43" s="21">
        <v>0</v>
      </c>
      <c r="S43" s="20">
        <v>0</v>
      </c>
      <c r="T43" s="20">
        <v>0</v>
      </c>
      <c r="V43" s="21">
        <f t="shared" si="0"/>
        <v>947.71817129629619</v>
      </c>
      <c r="W43" s="22">
        <f>+[35]References!C10</f>
        <v>1</v>
      </c>
      <c r="X43" s="21">
        <f t="shared" si="1"/>
        <v>947.71817129629619</v>
      </c>
      <c r="Y43" s="15">
        <f>+[35]References!C14</f>
        <v>34</v>
      </c>
      <c r="Z43" s="21">
        <f t="shared" si="2"/>
        <v>32222.417824074069</v>
      </c>
      <c r="AA43" s="21">
        <f>+Z43*[35]Regulated!$C$115</f>
        <v>25361.991524552868</v>
      </c>
    </row>
    <row r="44" spans="1:27">
      <c r="A44" s="9" t="s">
        <v>440</v>
      </c>
      <c r="B44" s="9" t="s">
        <v>441</v>
      </c>
      <c r="D44" s="20">
        <v>0</v>
      </c>
      <c r="E44" s="20">
        <v>0</v>
      </c>
      <c r="G44" s="20">
        <v>0</v>
      </c>
      <c r="H44" s="20">
        <v>0</v>
      </c>
      <c r="J44" s="20">
        <v>0</v>
      </c>
      <c r="K44" s="20">
        <v>0</v>
      </c>
      <c r="M44" s="20">
        <v>12.96</v>
      </c>
      <c r="N44" s="21">
        <v>845248.57</v>
      </c>
      <c r="P44" s="20">
        <v>0</v>
      </c>
      <c r="Q44" s="21">
        <v>0</v>
      </c>
      <c r="S44" s="20">
        <v>0</v>
      </c>
      <c r="T44" s="20">
        <v>0</v>
      </c>
      <c r="V44" s="21">
        <f t="shared" si="0"/>
        <v>65219.797067901229</v>
      </c>
      <c r="W44" s="22">
        <f>+[35]References!C8</f>
        <v>2.17</v>
      </c>
      <c r="X44" s="21">
        <f t="shared" si="1"/>
        <v>141526.95963734566</v>
      </c>
      <c r="Y44" s="15">
        <f>+[35]References!C14</f>
        <v>34</v>
      </c>
      <c r="Z44" s="21">
        <f t="shared" si="2"/>
        <v>4811916.6276697526</v>
      </c>
      <c r="AA44" s="21">
        <f>+Z44*[35]Regulated!$C$115</f>
        <v>3787418.7279837425</v>
      </c>
    </row>
    <row r="45" spans="1:27">
      <c r="A45" s="9" t="s">
        <v>442</v>
      </c>
      <c r="B45" s="9" t="s">
        <v>443</v>
      </c>
      <c r="D45" s="20">
        <v>0</v>
      </c>
      <c r="E45" s="20">
        <v>0</v>
      </c>
      <c r="G45" s="20">
        <v>0</v>
      </c>
      <c r="H45" s="20">
        <v>0</v>
      </c>
      <c r="J45" s="20">
        <v>0</v>
      </c>
      <c r="K45" s="20">
        <v>0</v>
      </c>
      <c r="M45" s="20">
        <v>7.78</v>
      </c>
      <c r="N45" s="21">
        <v>124612.34999999999</v>
      </c>
      <c r="P45" s="20">
        <v>0</v>
      </c>
      <c r="Q45" s="21">
        <v>0</v>
      </c>
      <c r="S45" s="20">
        <v>0</v>
      </c>
      <c r="T45" s="20">
        <v>0</v>
      </c>
      <c r="V45" s="21">
        <f t="shared" si="0"/>
        <v>16017.011568123391</v>
      </c>
      <c r="W45" s="22">
        <f>+[35]References!C9</f>
        <v>1</v>
      </c>
      <c r="X45" s="21">
        <f t="shared" si="1"/>
        <v>16017.011568123391</v>
      </c>
      <c r="Y45" s="15">
        <f>+[35]References!C14</f>
        <v>34</v>
      </c>
      <c r="Z45" s="21">
        <f t="shared" si="2"/>
        <v>544578.39331619535</v>
      </c>
      <c r="AA45" s="21">
        <f>+Z45*[35]Regulated!$C$115</f>
        <v>428633.03030665265</v>
      </c>
    </row>
    <row r="46" spans="1:27">
      <c r="A46" s="9" t="s">
        <v>444</v>
      </c>
      <c r="B46" s="9" t="s">
        <v>445</v>
      </c>
      <c r="D46" s="20">
        <v>0</v>
      </c>
      <c r="E46" s="20">
        <v>0</v>
      </c>
      <c r="G46" s="20">
        <v>0</v>
      </c>
      <c r="H46" s="20">
        <v>0</v>
      </c>
      <c r="J46" s="20">
        <v>0</v>
      </c>
      <c r="K46" s="20">
        <v>0</v>
      </c>
      <c r="M46" s="20">
        <v>17.28</v>
      </c>
      <c r="N46" s="21">
        <v>5436995.7750000004</v>
      </c>
      <c r="P46" s="20">
        <v>0</v>
      </c>
      <c r="Q46" s="21">
        <v>0</v>
      </c>
      <c r="S46" s="20">
        <v>0</v>
      </c>
      <c r="T46" s="20">
        <v>0</v>
      </c>
      <c r="V46" s="21">
        <f t="shared" si="0"/>
        <v>314640.95920138888</v>
      </c>
      <c r="W46" s="22">
        <f>+[35]References!C7</f>
        <v>4.33</v>
      </c>
      <c r="X46" s="21">
        <f t="shared" si="1"/>
        <v>1362395.3533420139</v>
      </c>
      <c r="Y46" s="15">
        <f>+[35]References!C14</f>
        <v>34</v>
      </c>
      <c r="Z46" s="21">
        <f t="shared" si="2"/>
        <v>46321442.013628475</v>
      </c>
      <c r="AA46" s="21">
        <f>+Z46*[35]Regulated!$C$115</f>
        <v>36459213.773740806</v>
      </c>
    </row>
    <row r="47" spans="1:27">
      <c r="A47" s="9" t="s">
        <v>446</v>
      </c>
      <c r="B47" s="9" t="s">
        <v>447</v>
      </c>
      <c r="D47" s="20">
        <v>0</v>
      </c>
      <c r="E47" s="20">
        <v>0</v>
      </c>
      <c r="G47" s="20">
        <v>0</v>
      </c>
      <c r="H47" s="20">
        <v>0</v>
      </c>
      <c r="J47" s="20">
        <v>0</v>
      </c>
      <c r="K47" s="20">
        <v>0</v>
      </c>
      <c r="M47" s="20">
        <v>12.96</v>
      </c>
      <c r="N47" s="21">
        <v>3088</v>
      </c>
      <c r="P47" s="20">
        <v>0</v>
      </c>
      <c r="Q47" s="21">
        <v>0</v>
      </c>
      <c r="S47" s="20">
        <v>0</v>
      </c>
      <c r="T47" s="20">
        <v>0</v>
      </c>
      <c r="V47" s="21">
        <f t="shared" si="0"/>
        <v>238.27160493827159</v>
      </c>
      <c r="W47" s="22">
        <f>+[35]References!C8</f>
        <v>2.17</v>
      </c>
      <c r="X47" s="21">
        <f t="shared" si="1"/>
        <v>517.04938271604931</v>
      </c>
      <c r="Y47" s="15">
        <f>+[35]References!C14</f>
        <v>34</v>
      </c>
      <c r="Z47" s="21">
        <f t="shared" si="2"/>
        <v>17579.679012345678</v>
      </c>
      <c r="AA47" s="21">
        <f>+Z47*[35]Regulated!$C$115</f>
        <v>13836.816111991526</v>
      </c>
    </row>
    <row r="48" spans="1:27">
      <c r="A48" s="9" t="s">
        <v>448</v>
      </c>
      <c r="B48" s="9" t="s">
        <v>449</v>
      </c>
      <c r="D48" s="20">
        <v>0</v>
      </c>
      <c r="E48" s="20">
        <v>0</v>
      </c>
      <c r="G48" s="20">
        <v>0</v>
      </c>
      <c r="H48" s="20">
        <v>0</v>
      </c>
      <c r="J48" s="20">
        <v>0</v>
      </c>
      <c r="K48" s="20">
        <v>0</v>
      </c>
      <c r="M48" s="20">
        <v>7.78</v>
      </c>
      <c r="N48" s="21">
        <v>691.65999999999985</v>
      </c>
      <c r="P48" s="20">
        <v>0</v>
      </c>
      <c r="Q48" s="21">
        <v>0</v>
      </c>
      <c r="S48" s="20">
        <v>0</v>
      </c>
      <c r="T48" s="20">
        <v>0</v>
      </c>
      <c r="V48" s="21">
        <f t="shared" si="0"/>
        <v>88.902313624678641</v>
      </c>
      <c r="W48" s="22">
        <f>+[35]References!C9</f>
        <v>1</v>
      </c>
      <c r="X48" s="21">
        <f t="shared" si="1"/>
        <v>88.902313624678641</v>
      </c>
      <c r="Y48" s="15">
        <f>+[35]References!C14</f>
        <v>34</v>
      </c>
      <c r="Z48" s="21">
        <f t="shared" si="2"/>
        <v>3022.678663239074</v>
      </c>
      <c r="AA48" s="21">
        <f>+Z48*[35]Regulated!$C$115</f>
        <v>2379.1247155029123</v>
      </c>
    </row>
    <row r="49" spans="1:27">
      <c r="A49" s="9" t="s">
        <v>450</v>
      </c>
      <c r="B49" s="9" t="s">
        <v>451</v>
      </c>
      <c r="D49" s="20">
        <v>0</v>
      </c>
      <c r="E49" s="20">
        <v>0</v>
      </c>
      <c r="G49" s="20">
        <v>0</v>
      </c>
      <c r="H49" s="20">
        <v>0</v>
      </c>
      <c r="J49" s="20">
        <v>0</v>
      </c>
      <c r="K49" s="20">
        <v>0</v>
      </c>
      <c r="M49" s="20">
        <v>17.28</v>
      </c>
      <c r="N49" s="21">
        <v>9030.93</v>
      </c>
      <c r="P49" s="20">
        <v>0</v>
      </c>
      <c r="Q49" s="21">
        <v>0</v>
      </c>
      <c r="S49" s="20">
        <v>0</v>
      </c>
      <c r="T49" s="20">
        <v>0</v>
      </c>
      <c r="V49" s="21">
        <f t="shared" si="0"/>
        <v>522.62326388888891</v>
      </c>
      <c r="W49" s="22">
        <f>+[35]References!C7</f>
        <v>4.33</v>
      </c>
      <c r="X49" s="21">
        <f t="shared" si="1"/>
        <v>2262.9587326388892</v>
      </c>
      <c r="Y49" s="15">
        <f>+[35]References!C14</f>
        <v>34</v>
      </c>
      <c r="Z49" s="21">
        <f t="shared" si="2"/>
        <v>76940.596909722226</v>
      </c>
      <c r="AA49" s="21">
        <f>+Z49*[35]Regulated!$C$115</f>
        <v>60559.29065821079</v>
      </c>
    </row>
    <row r="50" spans="1:27">
      <c r="A50" s="9" t="s">
        <v>452</v>
      </c>
      <c r="B50" s="9" t="s">
        <v>453</v>
      </c>
      <c r="D50" s="20">
        <v>0</v>
      </c>
      <c r="E50" s="20">
        <v>0</v>
      </c>
      <c r="G50" s="20">
        <v>0</v>
      </c>
      <c r="H50" s="20">
        <v>0</v>
      </c>
      <c r="J50" s="20">
        <v>0</v>
      </c>
      <c r="K50" s="20">
        <v>0</v>
      </c>
      <c r="M50" s="20">
        <v>19.45</v>
      </c>
      <c r="N50" s="21">
        <v>3271.11</v>
      </c>
      <c r="P50" s="20">
        <v>0</v>
      </c>
      <c r="Q50" s="21">
        <v>0</v>
      </c>
      <c r="S50" s="20">
        <v>0</v>
      </c>
      <c r="T50" s="20">
        <v>0</v>
      </c>
      <c r="V50" s="21">
        <f t="shared" si="0"/>
        <v>168.18046272493575</v>
      </c>
      <c r="W50" s="22">
        <f>+[35]References!C8</f>
        <v>2.17</v>
      </c>
      <c r="X50" s="21">
        <f t="shared" si="1"/>
        <v>364.95160411311059</v>
      </c>
      <c r="Y50" s="15">
        <f>+[35]References!C14</f>
        <v>34</v>
      </c>
      <c r="Z50" s="21">
        <f t="shared" si="2"/>
        <v>12408.354539845761</v>
      </c>
      <c r="AA50" s="21">
        <f>+Z50*[35]Regulated!$C$115</f>
        <v>9766.5105204518713</v>
      </c>
    </row>
    <row r="51" spans="1:27">
      <c r="A51" s="9" t="s">
        <v>454</v>
      </c>
      <c r="B51" s="9" t="s">
        <v>455</v>
      </c>
      <c r="D51" s="20">
        <v>0</v>
      </c>
      <c r="E51" s="20">
        <v>0</v>
      </c>
      <c r="G51" s="20">
        <v>0</v>
      </c>
      <c r="H51" s="20">
        <v>0</v>
      </c>
      <c r="J51" s="20">
        <v>0</v>
      </c>
      <c r="K51" s="20">
        <v>0</v>
      </c>
      <c r="M51" s="20">
        <v>11.66</v>
      </c>
      <c r="N51" s="21">
        <v>1156.6600000000001</v>
      </c>
      <c r="P51" s="20">
        <v>0</v>
      </c>
      <c r="Q51" s="21">
        <v>0</v>
      </c>
      <c r="S51" s="20">
        <v>0</v>
      </c>
      <c r="T51" s="20">
        <v>0</v>
      </c>
      <c r="V51" s="21">
        <f t="shared" si="0"/>
        <v>99.198970840480285</v>
      </c>
      <c r="W51" s="22">
        <f>+[35]References!C9</f>
        <v>1</v>
      </c>
      <c r="X51" s="21">
        <f t="shared" si="1"/>
        <v>99.198970840480285</v>
      </c>
      <c r="Y51" s="15">
        <f>+[35]References!C14</f>
        <v>34</v>
      </c>
      <c r="Z51" s="21">
        <f t="shared" si="2"/>
        <v>3372.7650085763298</v>
      </c>
      <c r="AA51" s="21">
        <f>+Z51*[35]Regulated!$C$115</f>
        <v>2654.6747059406739</v>
      </c>
    </row>
    <row r="52" spans="1:27">
      <c r="A52" s="9" t="s">
        <v>456</v>
      </c>
      <c r="B52" s="9" t="s">
        <v>457</v>
      </c>
      <c r="D52" s="20">
        <v>0</v>
      </c>
      <c r="E52" s="20">
        <v>0</v>
      </c>
      <c r="G52" s="20">
        <v>0</v>
      </c>
      <c r="H52" s="20">
        <v>0</v>
      </c>
      <c r="J52" s="20">
        <v>0</v>
      </c>
      <c r="K52" s="20">
        <v>0</v>
      </c>
      <c r="M52" s="20">
        <v>34.56</v>
      </c>
      <c r="N52" s="21">
        <v>2426530.3849999998</v>
      </c>
      <c r="P52" s="20">
        <v>0</v>
      </c>
      <c r="Q52" s="21">
        <v>0</v>
      </c>
      <c r="S52" s="20">
        <v>0</v>
      </c>
      <c r="T52" s="20">
        <v>0</v>
      </c>
      <c r="V52" s="21">
        <f t="shared" si="0"/>
        <v>70212.106047453693</v>
      </c>
      <c r="W52" s="22">
        <f>+[35]References!C7</f>
        <v>4.33</v>
      </c>
      <c r="X52" s="21">
        <f t="shared" si="1"/>
        <v>304018.41918547451</v>
      </c>
      <c r="Y52" s="15">
        <f>+[35]References!C23</f>
        <v>51</v>
      </c>
      <c r="Z52" s="21">
        <f t="shared" si="2"/>
        <v>15504939.3784592</v>
      </c>
      <c r="AA52" s="21">
        <f>+Z52*[35]Regulated!$C$115</f>
        <v>12203806.159182535</v>
      </c>
    </row>
    <row r="53" spans="1:27">
      <c r="A53" s="9" t="s">
        <v>458</v>
      </c>
      <c r="B53" s="9" t="s">
        <v>459</v>
      </c>
      <c r="D53" s="20">
        <v>0</v>
      </c>
      <c r="E53" s="20">
        <v>0</v>
      </c>
      <c r="G53" s="20">
        <v>0</v>
      </c>
      <c r="H53" s="20">
        <v>0</v>
      </c>
      <c r="J53" s="20">
        <v>0</v>
      </c>
      <c r="K53" s="20">
        <v>0</v>
      </c>
      <c r="M53" s="20">
        <v>36.729999999999997</v>
      </c>
      <c r="N53" s="21">
        <v>633.32999999999993</v>
      </c>
      <c r="P53" s="20">
        <v>0</v>
      </c>
      <c r="Q53" s="21">
        <v>0</v>
      </c>
      <c r="S53" s="20">
        <v>0</v>
      </c>
      <c r="T53" s="20">
        <v>0</v>
      </c>
      <c r="V53" s="21">
        <f t="shared" si="0"/>
        <v>17.242853253471278</v>
      </c>
      <c r="W53" s="22">
        <f>+[35]References!C8</f>
        <v>2.17</v>
      </c>
      <c r="X53" s="21">
        <f t="shared" si="1"/>
        <v>37.41699156003267</v>
      </c>
      <c r="Y53" s="15">
        <f>+[35]References!C23</f>
        <v>51</v>
      </c>
      <c r="Z53" s="21">
        <f t="shared" si="2"/>
        <v>1908.2665695616661</v>
      </c>
      <c r="AA53" s="21">
        <f>+Z53*[35]Regulated!$C$115</f>
        <v>1501.9804171135715</v>
      </c>
    </row>
    <row r="54" spans="1:27">
      <c r="A54" s="9" t="s">
        <v>460</v>
      </c>
      <c r="B54" s="9" t="s">
        <v>461</v>
      </c>
      <c r="D54" s="20">
        <v>0</v>
      </c>
      <c r="E54" s="20">
        <v>0</v>
      </c>
      <c r="G54" s="20">
        <v>0</v>
      </c>
      <c r="H54" s="20">
        <v>0</v>
      </c>
      <c r="J54" s="20">
        <v>0</v>
      </c>
      <c r="K54" s="20">
        <v>0</v>
      </c>
      <c r="M54" s="20">
        <v>12.914999999999999</v>
      </c>
      <c r="N54" s="21">
        <v>303.30999999999995</v>
      </c>
      <c r="P54" s="20">
        <v>0</v>
      </c>
      <c r="Q54" s="21">
        <v>0</v>
      </c>
      <c r="S54" s="20">
        <v>0</v>
      </c>
      <c r="T54" s="20">
        <v>0</v>
      </c>
      <c r="V54" s="21">
        <f t="shared" si="0"/>
        <v>23.485094850948506</v>
      </c>
      <c r="W54" s="22">
        <f>+[35]References!C9</f>
        <v>1</v>
      </c>
      <c r="X54" s="21">
        <f t="shared" si="1"/>
        <v>23.485094850948506</v>
      </c>
      <c r="Y54" s="15">
        <f>+[35]References!C23</f>
        <v>51</v>
      </c>
      <c r="Z54" s="21">
        <f t="shared" si="2"/>
        <v>1197.7398373983738</v>
      </c>
      <c r="AA54" s="21">
        <f>+Z54*[35]Regulated!$C$115</f>
        <v>942.73085808047335</v>
      </c>
    </row>
    <row r="55" spans="1:27">
      <c r="A55" s="9" t="s">
        <v>462</v>
      </c>
      <c r="B55" s="9" t="s">
        <v>463</v>
      </c>
      <c r="D55" s="20">
        <v>0</v>
      </c>
      <c r="E55" s="20">
        <v>0</v>
      </c>
      <c r="G55" s="20">
        <v>0</v>
      </c>
      <c r="H55" s="20">
        <v>0</v>
      </c>
      <c r="J55" s="20">
        <v>0</v>
      </c>
      <c r="K55" s="20">
        <v>0</v>
      </c>
      <c r="M55" s="20">
        <v>34.56</v>
      </c>
      <c r="N55" s="21">
        <v>1625.8899999999999</v>
      </c>
      <c r="P55" s="20">
        <v>0</v>
      </c>
      <c r="Q55" s="21">
        <v>0</v>
      </c>
      <c r="S55" s="20">
        <v>0</v>
      </c>
      <c r="T55" s="20">
        <v>0</v>
      </c>
      <c r="V55" s="21">
        <f t="shared" si="0"/>
        <v>47.045428240740733</v>
      </c>
      <c r="W55" s="22">
        <f>+[35]References!C7</f>
        <v>4.33</v>
      </c>
      <c r="X55" s="21">
        <f t="shared" si="1"/>
        <v>203.70670428240737</v>
      </c>
      <c r="Y55" s="15">
        <f>+[35]References!C23</f>
        <v>51</v>
      </c>
      <c r="Z55" s="21">
        <f t="shared" si="2"/>
        <v>10389.041918402776</v>
      </c>
      <c r="AA55" s="21">
        <f>+Z55*[35]Regulated!$C$115</f>
        <v>8177.1266986023302</v>
      </c>
    </row>
    <row r="56" spans="1:27">
      <c r="A56" s="9" t="s">
        <v>464</v>
      </c>
      <c r="B56" s="9" t="s">
        <v>465</v>
      </c>
      <c r="D56" s="20">
        <v>0</v>
      </c>
      <c r="E56" s="20">
        <v>0</v>
      </c>
      <c r="G56" s="20">
        <v>0</v>
      </c>
      <c r="H56" s="20">
        <v>0</v>
      </c>
      <c r="J56" s="20">
        <v>0</v>
      </c>
      <c r="K56" s="20">
        <v>0</v>
      </c>
      <c r="M56" s="20">
        <v>43.2</v>
      </c>
      <c r="N56" s="21">
        <v>1451.87</v>
      </c>
      <c r="P56" s="20">
        <v>0</v>
      </c>
      <c r="Q56" s="21">
        <v>0</v>
      </c>
      <c r="S56" s="20">
        <v>0</v>
      </c>
      <c r="T56" s="20">
        <v>0</v>
      </c>
      <c r="V56" s="21">
        <f t="shared" si="0"/>
        <v>33.608101851851849</v>
      </c>
      <c r="W56" s="22">
        <f>+[35]References!C7</f>
        <v>4.33</v>
      </c>
      <c r="X56" s="21">
        <f t="shared" si="1"/>
        <v>145.5230810185185</v>
      </c>
      <c r="Y56" s="15">
        <f>+[35]References!C23</f>
        <v>51</v>
      </c>
      <c r="Z56" s="21">
        <f t="shared" si="2"/>
        <v>7421.6771319444433</v>
      </c>
      <c r="AA56" s="21">
        <f>+Z56*[35]Regulated!$C$115</f>
        <v>5841.5390659391542</v>
      </c>
    </row>
    <row r="57" spans="1:27">
      <c r="A57" s="9" t="s">
        <v>466</v>
      </c>
      <c r="B57" s="9" t="s">
        <v>467</v>
      </c>
      <c r="D57" s="20">
        <v>0</v>
      </c>
      <c r="E57" s="20">
        <v>0</v>
      </c>
      <c r="G57" s="20">
        <v>0</v>
      </c>
      <c r="H57" s="20">
        <v>0</v>
      </c>
      <c r="J57" s="20">
        <v>0</v>
      </c>
      <c r="K57" s="20">
        <v>0</v>
      </c>
      <c r="M57" s="20">
        <v>17.28</v>
      </c>
      <c r="N57" s="21">
        <v>186665.28999999998</v>
      </c>
      <c r="P57" s="20">
        <v>0</v>
      </c>
      <c r="Q57" s="21">
        <v>0</v>
      </c>
      <c r="S57" s="20">
        <v>0</v>
      </c>
      <c r="T57" s="20">
        <v>0</v>
      </c>
      <c r="V57" s="21">
        <f t="shared" si="0"/>
        <v>10802.389467592591</v>
      </c>
      <c r="W57" s="22">
        <f>+[35]References!C8</f>
        <v>2.17</v>
      </c>
      <c r="X57" s="21">
        <f t="shared" si="1"/>
        <v>23441.185144675921</v>
      </c>
      <c r="Y57" s="15">
        <f>+[35]References!C23</f>
        <v>51</v>
      </c>
      <c r="Z57" s="21">
        <f t="shared" si="2"/>
        <v>1195500.4423784721</v>
      </c>
      <c r="AA57" s="21">
        <f>+Z57*[35]Regulated!$C$115</f>
        <v>940968.24927113566</v>
      </c>
    </row>
    <row r="58" spans="1:27">
      <c r="A58" s="9" t="s">
        <v>468</v>
      </c>
      <c r="B58" s="9" t="s">
        <v>469</v>
      </c>
      <c r="D58" s="20">
        <v>0</v>
      </c>
      <c r="E58" s="20">
        <v>0</v>
      </c>
      <c r="G58" s="20">
        <v>0</v>
      </c>
      <c r="H58" s="20">
        <v>0</v>
      </c>
      <c r="J58" s="20">
        <v>0</v>
      </c>
      <c r="K58" s="20">
        <v>0</v>
      </c>
      <c r="M58" s="20">
        <v>60.47</v>
      </c>
      <c r="N58" s="21">
        <v>2563.6350000000002</v>
      </c>
      <c r="P58" s="20">
        <v>0</v>
      </c>
      <c r="Q58" s="21">
        <v>0</v>
      </c>
      <c r="S58" s="20">
        <v>0</v>
      </c>
      <c r="T58" s="20">
        <v>0</v>
      </c>
      <c r="V58" s="21">
        <f t="shared" si="0"/>
        <v>42.395154622126675</v>
      </c>
      <c r="W58" s="22">
        <f>+[35]References!C7</f>
        <v>4.33</v>
      </c>
      <c r="X58" s="21">
        <f t="shared" si="1"/>
        <v>183.57101951380849</v>
      </c>
      <c r="Y58" s="15">
        <f>+[35]References!C25</f>
        <v>77</v>
      </c>
      <c r="Z58" s="21">
        <f t="shared" si="2"/>
        <v>14134.968502563253</v>
      </c>
      <c r="AA58" s="21">
        <f>+Z58*[35]Regulated!$C$115</f>
        <v>11125.513712816255</v>
      </c>
    </row>
    <row r="59" spans="1:27">
      <c r="A59" s="9" t="s">
        <v>470</v>
      </c>
      <c r="B59" s="9" t="s">
        <v>471</v>
      </c>
      <c r="D59" s="20">
        <v>0</v>
      </c>
      <c r="E59" s="20">
        <v>0</v>
      </c>
      <c r="G59" s="20">
        <v>0</v>
      </c>
      <c r="H59" s="20">
        <v>0</v>
      </c>
      <c r="J59" s="20">
        <v>0</v>
      </c>
      <c r="K59" s="20">
        <v>0</v>
      </c>
      <c r="M59" s="20">
        <v>51.83</v>
      </c>
      <c r="N59" s="21">
        <v>366090.32499999995</v>
      </c>
      <c r="P59" s="20">
        <v>0</v>
      </c>
      <c r="Q59" s="21">
        <v>0</v>
      </c>
      <c r="S59" s="20">
        <v>0</v>
      </c>
      <c r="T59" s="20">
        <v>0</v>
      </c>
      <c r="V59" s="21">
        <f t="shared" si="0"/>
        <v>7063.2900829635337</v>
      </c>
      <c r="W59" s="22">
        <f>+[35]References!C7</f>
        <v>4.33</v>
      </c>
      <c r="X59" s="21">
        <f t="shared" si="1"/>
        <v>30584.0460592321</v>
      </c>
      <c r="Y59" s="15">
        <f>+[35]References!C25</f>
        <v>77</v>
      </c>
      <c r="Z59" s="21">
        <f t="shared" si="2"/>
        <v>2354971.5465608719</v>
      </c>
      <c r="AA59" s="21">
        <f>+Z59*[35]Regulated!$C$115</f>
        <v>1853578.1123108901</v>
      </c>
    </row>
    <row r="60" spans="1:27">
      <c r="A60" s="9" t="s">
        <v>472</v>
      </c>
      <c r="B60" s="9" t="s">
        <v>473</v>
      </c>
      <c r="D60" s="20">
        <v>0</v>
      </c>
      <c r="E60" s="20">
        <v>0</v>
      </c>
      <c r="G60" s="20">
        <v>0</v>
      </c>
      <c r="H60" s="20">
        <v>0</v>
      </c>
      <c r="J60" s="20">
        <v>18.86</v>
      </c>
      <c r="K60" s="20">
        <v>653.4</v>
      </c>
      <c r="M60" s="20">
        <v>14.28</v>
      </c>
      <c r="N60" s="21">
        <v>21022.659999999996</v>
      </c>
      <c r="P60" s="20">
        <v>22.78</v>
      </c>
      <c r="Q60" s="21">
        <v>1318.61</v>
      </c>
      <c r="S60" s="20">
        <v>0</v>
      </c>
      <c r="T60" s="20">
        <v>0</v>
      </c>
      <c r="V60" s="21">
        <f t="shared" si="0"/>
        <v>1564.7043686723355</v>
      </c>
      <c r="W60" s="22">
        <f>+[35]References!C10</f>
        <v>1</v>
      </c>
      <c r="X60" s="21">
        <f t="shared" si="1"/>
        <v>1564.7043686723355</v>
      </c>
      <c r="Y60" s="15">
        <f>+[35]References!C27</f>
        <v>34</v>
      </c>
      <c r="Z60" s="21">
        <f t="shared" si="2"/>
        <v>53199.948534859403</v>
      </c>
      <c r="AA60" s="21">
        <f>+Z60*[35]Regulated!$C$115</f>
        <v>41873.227863108827</v>
      </c>
    </row>
    <row r="61" spans="1:27">
      <c r="A61" s="9" t="s">
        <v>474</v>
      </c>
      <c r="B61" s="9" t="s">
        <v>475</v>
      </c>
      <c r="D61" s="20">
        <v>0</v>
      </c>
      <c r="E61" s="20">
        <v>0</v>
      </c>
      <c r="G61" s="20">
        <v>0</v>
      </c>
      <c r="H61" s="20">
        <v>0</v>
      </c>
      <c r="J61" s="20">
        <v>0</v>
      </c>
      <c r="K61" s="20">
        <v>0</v>
      </c>
      <c r="M61" s="20">
        <v>0</v>
      </c>
      <c r="N61" s="21">
        <v>0</v>
      </c>
      <c r="P61" s="20">
        <v>6.5</v>
      </c>
      <c r="Q61" s="21">
        <v>0</v>
      </c>
      <c r="S61" s="20">
        <v>0</v>
      </c>
      <c r="T61" s="20">
        <v>0</v>
      </c>
      <c r="V61" s="21">
        <f t="shared" si="0"/>
        <v>0</v>
      </c>
      <c r="W61" s="22">
        <f>+[35]References!C10</f>
        <v>1</v>
      </c>
      <c r="X61" s="21">
        <f t="shared" si="1"/>
        <v>0</v>
      </c>
      <c r="Y61" s="15">
        <f>+[35]References!C27</f>
        <v>34</v>
      </c>
      <c r="Z61" s="21">
        <f t="shared" si="2"/>
        <v>0</v>
      </c>
      <c r="AA61" s="21">
        <f>+Z61*[35]Regulated!$C$115</f>
        <v>0</v>
      </c>
    </row>
    <row r="62" spans="1:27">
      <c r="A62" s="9" t="s">
        <v>111</v>
      </c>
      <c r="B62" s="9" t="s">
        <v>112</v>
      </c>
      <c r="D62" s="20">
        <v>0</v>
      </c>
      <c r="E62" s="20">
        <v>0</v>
      </c>
      <c r="G62" s="20">
        <v>0</v>
      </c>
      <c r="H62" s="20">
        <v>0</v>
      </c>
      <c r="J62" s="20">
        <v>5.68</v>
      </c>
      <c r="K62" s="20">
        <v>24621.519999999997</v>
      </c>
      <c r="M62" s="20">
        <v>6.8</v>
      </c>
      <c r="N62" s="21">
        <v>256660.52</v>
      </c>
      <c r="P62" s="20">
        <v>7.88</v>
      </c>
      <c r="Q62" s="21">
        <v>21264.92</v>
      </c>
      <c r="S62" s="20">
        <v>0</v>
      </c>
      <c r="T62" s="20">
        <v>0</v>
      </c>
      <c r="V62" s="21">
        <f t="shared" si="0"/>
        <v>44777.562674163819</v>
      </c>
      <c r="W62" s="22">
        <f>+[35]References!C10</f>
        <v>1</v>
      </c>
      <c r="X62" s="21">
        <f t="shared" si="1"/>
        <v>44777.562674163819</v>
      </c>
      <c r="Y62" s="15">
        <f>+[35]References!C27</f>
        <v>34</v>
      </c>
      <c r="Z62" s="21">
        <f t="shared" si="2"/>
        <v>1522437.1309215699</v>
      </c>
      <c r="AA62" s="21">
        <f>+Z62*[35]Regulated!$C$115</f>
        <v>1198297.3413698815</v>
      </c>
    </row>
    <row r="63" spans="1:27">
      <c r="A63" s="9" t="s">
        <v>113</v>
      </c>
      <c r="B63" s="9" t="s">
        <v>114</v>
      </c>
      <c r="D63" s="20">
        <v>0</v>
      </c>
      <c r="E63" s="20">
        <v>0</v>
      </c>
      <c r="G63" s="20">
        <v>0</v>
      </c>
      <c r="H63" s="20">
        <v>0</v>
      </c>
      <c r="J63" s="20">
        <v>6.94</v>
      </c>
      <c r="K63" s="20">
        <v>0</v>
      </c>
      <c r="M63" s="20">
        <v>7.78</v>
      </c>
      <c r="N63" s="21">
        <v>94.339999999999989</v>
      </c>
      <c r="P63" s="20">
        <v>8.01</v>
      </c>
      <c r="Q63" s="21">
        <v>0</v>
      </c>
      <c r="S63" s="20">
        <v>0</v>
      </c>
      <c r="T63" s="20">
        <v>0</v>
      </c>
      <c r="V63" s="21">
        <f t="shared" si="0"/>
        <v>12.125964010282775</v>
      </c>
      <c r="W63" s="22">
        <f>+[35]References!C10</f>
        <v>1</v>
      </c>
      <c r="X63" s="21">
        <f t="shared" si="1"/>
        <v>12.125964010282775</v>
      </c>
      <c r="Y63" s="15">
        <f>+[35]References!C27</f>
        <v>34</v>
      </c>
      <c r="Z63" s="21">
        <f t="shared" si="2"/>
        <v>412.28277634961438</v>
      </c>
      <c r="AA63" s="21">
        <f>+Z63*[35]Regulated!$C$115</f>
        <v>324.50427328534943</v>
      </c>
    </row>
    <row r="64" spans="1:27">
      <c r="A64" s="9" t="s">
        <v>117</v>
      </c>
      <c r="B64" s="9" t="s">
        <v>116</v>
      </c>
      <c r="D64" s="20">
        <v>0</v>
      </c>
      <c r="E64" s="20">
        <v>0</v>
      </c>
      <c r="G64" s="20">
        <v>0</v>
      </c>
      <c r="H64" s="20">
        <v>0</v>
      </c>
      <c r="J64" s="20">
        <v>5.68</v>
      </c>
      <c r="K64" s="20">
        <v>22.72</v>
      </c>
      <c r="M64" s="20">
        <v>6.8</v>
      </c>
      <c r="N64" s="21">
        <v>2502.6999999999998</v>
      </c>
      <c r="P64" s="20">
        <v>7.88</v>
      </c>
      <c r="Q64" s="21">
        <v>7.88</v>
      </c>
      <c r="S64" s="20">
        <v>0</v>
      </c>
      <c r="T64" s="20">
        <v>0</v>
      </c>
      <c r="V64" s="21">
        <f t="shared" si="0"/>
        <v>373.04411764705878</v>
      </c>
      <c r="W64" s="22">
        <f>+[35]References!C10</f>
        <v>1</v>
      </c>
      <c r="X64" s="21">
        <f t="shared" si="1"/>
        <v>373.04411764705878</v>
      </c>
      <c r="Y64" s="15">
        <f>+[35]References!C27</f>
        <v>34</v>
      </c>
      <c r="Z64" s="21">
        <f t="shared" si="2"/>
        <v>12683.499999999998</v>
      </c>
      <c r="AA64" s="21">
        <f>+Z64*[35]Regulated!$C$115</f>
        <v>9983.0751763554199</v>
      </c>
    </row>
    <row r="65" spans="1:27">
      <c r="A65" s="9" t="s">
        <v>115</v>
      </c>
      <c r="B65" s="9" t="s">
        <v>116</v>
      </c>
      <c r="D65" s="20">
        <v>0</v>
      </c>
      <c r="E65" s="20">
        <v>0</v>
      </c>
      <c r="G65" s="20">
        <v>0</v>
      </c>
      <c r="H65" s="20">
        <v>0</v>
      </c>
      <c r="J65" s="20">
        <v>5.68</v>
      </c>
      <c r="K65" s="20">
        <v>1282.08</v>
      </c>
      <c r="M65" s="20">
        <v>6.8</v>
      </c>
      <c r="N65" s="21">
        <v>58412.08</v>
      </c>
      <c r="P65" s="20">
        <v>7.88</v>
      </c>
      <c r="Q65" s="21">
        <v>4475.84</v>
      </c>
      <c r="S65" s="20">
        <v>0</v>
      </c>
      <c r="T65" s="20">
        <v>0</v>
      </c>
      <c r="V65" s="21">
        <f t="shared" si="0"/>
        <v>9383.7300745650373</v>
      </c>
      <c r="W65" s="22">
        <f>+[35]References!C10</f>
        <v>1</v>
      </c>
      <c r="X65" s="21">
        <f t="shared" si="1"/>
        <v>9383.7300745650373</v>
      </c>
      <c r="Y65" s="15">
        <f>+[35]References!C27</f>
        <v>34</v>
      </c>
      <c r="Z65" s="21">
        <f t="shared" si="2"/>
        <v>319046.82253521128</v>
      </c>
      <c r="AA65" s="21">
        <f>+Z65*[35]Regulated!$C$115</f>
        <v>251119.04554313407</v>
      </c>
    </row>
    <row r="66" spans="1:27" ht="6.75" customHeight="1">
      <c r="A66" s="9"/>
      <c r="B66" s="9"/>
      <c r="N66" s="183"/>
      <c r="Q66" s="183"/>
      <c r="Z66" s="183"/>
      <c r="AA66" s="183"/>
    </row>
    <row r="67" spans="1:27">
      <c r="A67" s="24"/>
      <c r="B67" s="25" t="s">
        <v>476</v>
      </c>
      <c r="C67" s="19"/>
      <c r="D67" s="197">
        <f>+SUM(D13:D66)</f>
        <v>0</v>
      </c>
      <c r="E67" s="197">
        <f>+SUM(E13:E66)</f>
        <v>0</v>
      </c>
      <c r="F67" s="19"/>
      <c r="G67" s="197">
        <f>+SUM(G13:G66)</f>
        <v>0</v>
      </c>
      <c r="H67" s="197">
        <f>+SUM(H13:H66)</f>
        <v>0</v>
      </c>
      <c r="I67" s="19"/>
      <c r="J67" s="197">
        <f>+SUM(J13:J66)</f>
        <v>212.76</v>
      </c>
      <c r="K67" s="197">
        <f>+SUM(K13:K66)</f>
        <v>444491.26000000013</v>
      </c>
      <c r="L67" s="19"/>
      <c r="M67" s="197">
        <f>+SUM(M13:M66)</f>
        <v>617.83499999999992</v>
      </c>
      <c r="N67" s="28">
        <f>+SUM(N13:N66)</f>
        <v>10092427.884999998</v>
      </c>
      <c r="O67" s="19"/>
      <c r="P67" s="197">
        <f>+SUM(P13:P66)</f>
        <v>248.04</v>
      </c>
      <c r="Q67" s="28">
        <f>+SUM(Q13:Q66)</f>
        <v>1087271.1399999999</v>
      </c>
      <c r="R67" s="19"/>
      <c r="S67" s="197">
        <f>+SUM(S13:S66)</f>
        <v>0</v>
      </c>
      <c r="T67" s="197">
        <f>+SUM(T13:T66)</f>
        <v>0</v>
      </c>
      <c r="U67" s="19"/>
      <c r="V67" s="28">
        <f t="shared" ref="V67:AA67" si="3">+SUM(V13:V66)</f>
        <v>656317.12430708122</v>
      </c>
      <c r="W67" s="28">
        <f t="shared" si="3"/>
        <v>154.79000000000002</v>
      </c>
      <c r="X67" s="26">
        <f t="shared" si="3"/>
        <v>2380177.0711210156</v>
      </c>
      <c r="Y67" s="28">
        <f t="shared" si="3"/>
        <v>2354</v>
      </c>
      <c r="Z67" s="28">
        <f t="shared" si="3"/>
        <v>89212939.900357455</v>
      </c>
      <c r="AA67" s="28">
        <f t="shared" si="3"/>
        <v>70218747.642917678</v>
      </c>
    </row>
    <row r="68" spans="1:27">
      <c r="A68" s="24"/>
      <c r="B68" s="24"/>
    </row>
    <row r="69" spans="1:27">
      <c r="A69" s="198"/>
      <c r="B69" s="15"/>
    </row>
    <row r="70" spans="1:27">
      <c r="A70" s="194" t="s">
        <v>119</v>
      </c>
      <c r="B70" s="195"/>
      <c r="C70" s="195"/>
      <c r="D70" s="195"/>
      <c r="E70" s="195"/>
      <c r="F70" s="195"/>
      <c r="G70" s="195"/>
      <c r="H70" s="195"/>
      <c r="I70" s="195"/>
      <c r="J70" s="195"/>
      <c r="K70" s="195"/>
      <c r="L70" s="195"/>
      <c r="M70" s="195"/>
      <c r="N70" s="195"/>
      <c r="O70" s="195"/>
      <c r="P70" s="195"/>
      <c r="Q70" s="195"/>
      <c r="R70" s="195"/>
      <c r="S70" s="195"/>
      <c r="T70" s="195"/>
      <c r="U70" s="195"/>
      <c r="V70" s="195"/>
      <c r="W70" s="195"/>
      <c r="X70" s="195"/>
      <c r="Y70" s="195"/>
      <c r="Z70" s="195"/>
      <c r="AA70" s="195"/>
    </row>
    <row r="71" spans="1:27">
      <c r="A71" s="17"/>
      <c r="B71" s="17"/>
    </row>
    <row r="72" spans="1:27">
      <c r="A72" s="196" t="s">
        <v>477</v>
      </c>
      <c r="B72" s="196"/>
      <c r="C72" s="196"/>
      <c r="D72" s="196"/>
      <c r="E72" s="196"/>
      <c r="F72" s="196"/>
      <c r="G72" s="196"/>
      <c r="H72" s="196"/>
      <c r="I72" s="196"/>
      <c r="J72" s="196"/>
      <c r="K72" s="196"/>
      <c r="L72" s="196"/>
      <c r="M72" s="196"/>
      <c r="N72" s="196"/>
      <c r="O72" s="196"/>
      <c r="P72" s="196"/>
      <c r="Q72" s="196"/>
      <c r="R72" s="196"/>
      <c r="S72" s="196"/>
      <c r="T72" s="196"/>
      <c r="U72" s="196"/>
      <c r="V72" s="196"/>
      <c r="W72" s="196"/>
      <c r="X72" s="196"/>
      <c r="Y72" s="196"/>
      <c r="Z72" s="196"/>
      <c r="AA72" s="196"/>
    </row>
    <row r="73" spans="1:27">
      <c r="A73" s="218" t="s">
        <v>478</v>
      </c>
      <c r="B73" s="218" t="s">
        <v>479</v>
      </c>
      <c r="D73" s="20">
        <v>0</v>
      </c>
      <c r="E73" s="20">
        <v>0</v>
      </c>
      <c r="G73" s="20">
        <v>0</v>
      </c>
      <c r="H73" s="20">
        <v>0</v>
      </c>
      <c r="J73" s="20">
        <v>0</v>
      </c>
      <c r="K73" s="20">
        <v>0</v>
      </c>
      <c r="M73" s="20">
        <v>331.08</v>
      </c>
      <c r="N73" s="21">
        <v>3886.92</v>
      </c>
      <c r="P73" s="20">
        <v>0</v>
      </c>
      <c r="Q73" s="21">
        <v>0</v>
      </c>
      <c r="S73" s="20">
        <v>0</v>
      </c>
      <c r="T73" s="20">
        <v>0</v>
      </c>
      <c r="V73" s="21">
        <f t="shared" ref="V73:V136" si="4">+IFERROR((E73/D73),0)+IFERROR((H73/G73),0)+IFERROR((K73/J73),0)+IFERROR((N73/M73),0)+IFERROR((Q73/P73),0)+IFERROR((T73/S73),0)</f>
        <v>11.740123233055456</v>
      </c>
      <c r="W73" s="22">
        <f>+[35]References!C7</f>
        <v>4.33</v>
      </c>
      <c r="X73" s="21">
        <f t="shared" ref="X73:X136" si="5">+V73*W73</f>
        <v>50.834733599130125</v>
      </c>
      <c r="Y73" s="217">
        <f>References!$C$53</f>
        <v>1000</v>
      </c>
      <c r="Z73" s="21">
        <f t="shared" ref="Z73:Z136" si="6">+X73*Y73</f>
        <v>50834.733599130122</v>
      </c>
      <c r="AA73" s="21">
        <f>+Z73*[35]Regulated!$C$115</f>
        <v>40011.587266142371</v>
      </c>
    </row>
    <row r="74" spans="1:27">
      <c r="A74" s="218" t="s">
        <v>480</v>
      </c>
      <c r="B74" s="218" t="s">
        <v>128</v>
      </c>
      <c r="D74" s="20">
        <v>0</v>
      </c>
      <c r="E74" s="20">
        <v>0</v>
      </c>
      <c r="G74" s="20">
        <v>0</v>
      </c>
      <c r="H74" s="20">
        <v>0</v>
      </c>
      <c r="J74" s="20">
        <v>113.66</v>
      </c>
      <c r="K74" s="20">
        <v>7936.22</v>
      </c>
      <c r="M74" s="20">
        <v>0</v>
      </c>
      <c r="N74" s="21">
        <v>0</v>
      </c>
      <c r="P74" s="20">
        <v>0</v>
      </c>
      <c r="Q74" s="21">
        <v>0</v>
      </c>
      <c r="S74" s="20">
        <v>0</v>
      </c>
      <c r="T74" s="20">
        <v>0</v>
      </c>
      <c r="V74" s="21">
        <f t="shared" si="4"/>
        <v>69.82421256378673</v>
      </c>
      <c r="W74" s="22">
        <f>+[35]References!C7</f>
        <v>4.33</v>
      </c>
      <c r="X74" s="21">
        <f t="shared" si="5"/>
        <v>302.33884040119653</v>
      </c>
      <c r="Y74" s="15">
        <f>+[35]References!C32</f>
        <v>250</v>
      </c>
      <c r="Z74" s="21">
        <f t="shared" si="6"/>
        <v>75584.71010029914</v>
      </c>
      <c r="AA74" s="21">
        <f>+Z74*[35]Regulated!$C$115</f>
        <v>59492.083661001867</v>
      </c>
    </row>
    <row r="75" spans="1:27">
      <c r="A75" s="218" t="s">
        <v>481</v>
      </c>
      <c r="B75" s="218" t="s">
        <v>128</v>
      </c>
      <c r="D75" s="20">
        <v>0</v>
      </c>
      <c r="E75" s="20">
        <v>0</v>
      </c>
      <c r="G75" s="20">
        <v>0</v>
      </c>
      <c r="H75" s="20">
        <v>0</v>
      </c>
      <c r="J75" s="20">
        <v>0</v>
      </c>
      <c r="K75" s="20">
        <v>0</v>
      </c>
      <c r="M75" s="20">
        <v>147.5</v>
      </c>
      <c r="N75" s="21">
        <v>254966.86000000002</v>
      </c>
      <c r="P75" s="20">
        <v>0</v>
      </c>
      <c r="Q75" s="21">
        <v>0</v>
      </c>
      <c r="S75" s="20">
        <v>0</v>
      </c>
      <c r="T75" s="20">
        <v>0</v>
      </c>
      <c r="V75" s="21">
        <f t="shared" si="4"/>
        <v>1728.5888813559322</v>
      </c>
      <c r="W75" s="22">
        <f>+[35]References!C7</f>
        <v>4.33</v>
      </c>
      <c r="X75" s="21">
        <f t="shared" si="5"/>
        <v>7484.7898562711871</v>
      </c>
      <c r="Y75" s="15">
        <f>+[35]References!C32</f>
        <v>250</v>
      </c>
      <c r="Z75" s="21">
        <f t="shared" si="6"/>
        <v>1871197.4640677967</v>
      </c>
      <c r="AA75" s="21">
        <f>+Z75*[35]Regulated!$C$115</f>
        <v>1472803.6388689585</v>
      </c>
    </row>
    <row r="76" spans="1:27">
      <c r="A76" s="218" t="s">
        <v>127</v>
      </c>
      <c r="B76" s="218" t="s">
        <v>128</v>
      </c>
      <c r="D76" s="20">
        <v>0</v>
      </c>
      <c r="E76" s="20">
        <v>0</v>
      </c>
      <c r="G76" s="20">
        <v>0</v>
      </c>
      <c r="H76" s="20">
        <v>0</v>
      </c>
      <c r="J76" s="20">
        <v>0</v>
      </c>
      <c r="K76" s="20">
        <v>0</v>
      </c>
      <c r="M76" s="20">
        <v>147.5</v>
      </c>
      <c r="N76" s="21">
        <v>24.65</v>
      </c>
      <c r="P76" s="20">
        <v>0</v>
      </c>
      <c r="Q76" s="21">
        <v>0</v>
      </c>
      <c r="S76" s="20">
        <v>0</v>
      </c>
      <c r="T76" s="20">
        <v>0</v>
      </c>
      <c r="V76" s="21">
        <f t="shared" si="4"/>
        <v>0.16711864406779661</v>
      </c>
      <c r="W76" s="22">
        <f>+[35]References!C7</f>
        <v>4.33</v>
      </c>
      <c r="X76" s="21">
        <f t="shared" si="5"/>
        <v>0.7236237288135593</v>
      </c>
      <c r="Y76" s="15">
        <f>+[35]References!C32</f>
        <v>250</v>
      </c>
      <c r="Z76" s="21">
        <f t="shared" si="6"/>
        <v>180.90593220338982</v>
      </c>
      <c r="AA76" s="21">
        <f>+Z76*[35]Regulated!$C$115</f>
        <v>142.38952347814859</v>
      </c>
    </row>
    <row r="77" spans="1:27">
      <c r="A77" s="218" t="s">
        <v>482</v>
      </c>
      <c r="B77" s="218" t="s">
        <v>128</v>
      </c>
      <c r="D77" s="20">
        <v>0</v>
      </c>
      <c r="E77" s="20">
        <v>0</v>
      </c>
      <c r="G77" s="20">
        <v>0</v>
      </c>
      <c r="H77" s="20">
        <v>0</v>
      </c>
      <c r="J77" s="20">
        <v>0</v>
      </c>
      <c r="K77" s="20">
        <v>0</v>
      </c>
      <c r="M77" s="20">
        <v>0</v>
      </c>
      <c r="N77" s="21">
        <v>0</v>
      </c>
      <c r="P77" s="20">
        <v>155.71</v>
      </c>
      <c r="Q77" s="21">
        <v>25709.5</v>
      </c>
      <c r="S77" s="20">
        <v>0</v>
      </c>
      <c r="T77" s="20">
        <v>0</v>
      </c>
      <c r="V77" s="21">
        <f t="shared" si="4"/>
        <v>165.11142508509408</v>
      </c>
      <c r="W77" s="22">
        <f>+[35]References!C7</f>
        <v>4.33</v>
      </c>
      <c r="X77" s="21">
        <f t="shared" si="5"/>
        <v>714.93247061845739</v>
      </c>
      <c r="Y77" s="15">
        <f>+[35]References!C32</f>
        <v>250</v>
      </c>
      <c r="Z77" s="21">
        <f t="shared" si="6"/>
        <v>178733.11765461435</v>
      </c>
      <c r="AA77" s="21">
        <f>+Z77*[35]Regulated!$C$115</f>
        <v>140679.31959241483</v>
      </c>
    </row>
    <row r="78" spans="1:27">
      <c r="A78" s="218" t="s">
        <v>483</v>
      </c>
      <c r="B78" s="218" t="s">
        <v>130</v>
      </c>
      <c r="D78" s="20">
        <v>0</v>
      </c>
      <c r="E78" s="20">
        <v>0</v>
      </c>
      <c r="G78" s="20">
        <v>0</v>
      </c>
      <c r="H78" s="20">
        <v>0</v>
      </c>
      <c r="J78" s="20">
        <v>0</v>
      </c>
      <c r="K78" s="20">
        <v>0</v>
      </c>
      <c r="M78" s="20">
        <v>294.99</v>
      </c>
      <c r="N78" s="21">
        <v>20210.18</v>
      </c>
      <c r="P78" s="20">
        <v>0</v>
      </c>
      <c r="Q78" s="21">
        <v>0</v>
      </c>
      <c r="S78" s="20">
        <v>0</v>
      </c>
      <c r="T78" s="20">
        <v>0</v>
      </c>
      <c r="V78" s="21">
        <f t="shared" si="4"/>
        <v>68.511407166344625</v>
      </c>
      <c r="W78" s="22">
        <f>+[35]References!C6</f>
        <v>8.66</v>
      </c>
      <c r="X78" s="21">
        <f t="shared" si="5"/>
        <v>593.30878606054443</v>
      </c>
      <c r="Y78" s="15">
        <f>+[35]References!C32</f>
        <v>250</v>
      </c>
      <c r="Z78" s="21">
        <f t="shared" si="6"/>
        <v>148327.19651513611</v>
      </c>
      <c r="AA78" s="21">
        <f>+Z78*[35]Regulated!$C$115</f>
        <v>116747.07718757816</v>
      </c>
    </row>
    <row r="79" spans="1:27">
      <c r="A79" s="218" t="s">
        <v>484</v>
      </c>
      <c r="B79" s="218" t="s">
        <v>485</v>
      </c>
      <c r="D79" s="20">
        <v>0</v>
      </c>
      <c r="E79" s="20">
        <v>0</v>
      </c>
      <c r="G79" s="20">
        <v>0</v>
      </c>
      <c r="H79" s="20">
        <v>0</v>
      </c>
      <c r="J79" s="20">
        <v>0</v>
      </c>
      <c r="K79" s="20">
        <v>0</v>
      </c>
      <c r="M79" s="20">
        <v>442.49</v>
      </c>
      <c r="N79" s="21">
        <v>0</v>
      </c>
      <c r="P79" s="20">
        <v>0</v>
      </c>
      <c r="Q79" s="21">
        <v>0</v>
      </c>
      <c r="S79" s="20">
        <v>0</v>
      </c>
      <c r="T79" s="20">
        <v>0</v>
      </c>
      <c r="V79" s="21">
        <f t="shared" si="4"/>
        <v>0</v>
      </c>
      <c r="W79" s="22">
        <f>+[35]References!C5</f>
        <v>12.99</v>
      </c>
      <c r="X79" s="21">
        <f t="shared" si="5"/>
        <v>0</v>
      </c>
      <c r="Y79" s="15">
        <f>+[35]References!C32</f>
        <v>250</v>
      </c>
      <c r="Z79" s="21">
        <f t="shared" si="6"/>
        <v>0</v>
      </c>
      <c r="AA79" s="21">
        <f>+Z79*[35]Regulated!$C$115</f>
        <v>0</v>
      </c>
    </row>
    <row r="80" spans="1:27">
      <c r="A80" s="218" t="s">
        <v>486</v>
      </c>
      <c r="B80" s="218" t="s">
        <v>487</v>
      </c>
      <c r="D80" s="20">
        <v>0</v>
      </c>
      <c r="E80" s="20">
        <v>0</v>
      </c>
      <c r="G80" s="20">
        <v>0</v>
      </c>
      <c r="H80" s="20">
        <v>0</v>
      </c>
      <c r="J80" s="20">
        <v>0</v>
      </c>
      <c r="K80" s="20">
        <v>0</v>
      </c>
      <c r="M80" s="20">
        <v>589.99</v>
      </c>
      <c r="N80" s="21">
        <v>6926.5199999999986</v>
      </c>
      <c r="P80" s="20">
        <v>0</v>
      </c>
      <c r="Q80" s="21">
        <v>0</v>
      </c>
      <c r="S80" s="20">
        <v>0</v>
      </c>
      <c r="T80" s="20">
        <v>0</v>
      </c>
      <c r="V80" s="21">
        <f t="shared" si="4"/>
        <v>11.740063390904927</v>
      </c>
      <c r="W80" s="22">
        <f>+[35]References!C4</f>
        <v>17.32</v>
      </c>
      <c r="X80" s="21">
        <f t="shared" si="5"/>
        <v>203.33789793047333</v>
      </c>
      <c r="Y80" s="15">
        <f>+[35]References!C32</f>
        <v>250</v>
      </c>
      <c r="Z80" s="21">
        <f t="shared" si="6"/>
        <v>50834.474482618331</v>
      </c>
      <c r="AA80" s="21">
        <f>+Z80*[35]Regulated!$C$115</f>
        <v>40011.38331773565</v>
      </c>
    </row>
    <row r="81" spans="1:27">
      <c r="A81" s="219" t="s">
        <v>488</v>
      </c>
      <c r="B81" s="218" t="s">
        <v>489</v>
      </c>
      <c r="D81" s="20">
        <v>0</v>
      </c>
      <c r="E81" s="20">
        <v>0</v>
      </c>
      <c r="G81" s="20">
        <v>0</v>
      </c>
      <c r="H81" s="20">
        <v>0</v>
      </c>
      <c r="J81" s="20">
        <v>0</v>
      </c>
      <c r="K81" s="20">
        <v>0</v>
      </c>
      <c r="M81" s="20">
        <v>884.98</v>
      </c>
      <c r="N81" s="21">
        <v>0</v>
      </c>
      <c r="P81" s="20">
        <v>0</v>
      </c>
      <c r="Q81" s="21">
        <v>0</v>
      </c>
      <c r="S81" s="20">
        <v>0</v>
      </c>
      <c r="T81" s="20">
        <v>0</v>
      </c>
      <c r="V81" s="21">
        <f t="shared" si="4"/>
        <v>0</v>
      </c>
      <c r="W81" s="20">
        <f>+[35]References!C7*6</f>
        <v>25.98</v>
      </c>
      <c r="X81" s="21">
        <f t="shared" si="5"/>
        <v>0</v>
      </c>
      <c r="Y81" s="15">
        <f>+[35]References!C32</f>
        <v>250</v>
      </c>
      <c r="Z81" s="21">
        <f t="shared" si="6"/>
        <v>0</v>
      </c>
      <c r="AA81" s="21">
        <f>+Z81*[35]Regulated!$C$115</f>
        <v>0</v>
      </c>
    </row>
    <row r="82" spans="1:27">
      <c r="A82" s="218" t="s">
        <v>131</v>
      </c>
      <c r="B82" s="218" t="s">
        <v>132</v>
      </c>
      <c r="D82" s="20">
        <v>0</v>
      </c>
      <c r="E82" s="20">
        <v>0</v>
      </c>
      <c r="G82" s="20">
        <v>0</v>
      </c>
      <c r="H82" s="20">
        <v>0</v>
      </c>
      <c r="J82" s="20">
        <v>0</v>
      </c>
      <c r="K82" s="20">
        <v>0</v>
      </c>
      <c r="M82" s="20">
        <v>0</v>
      </c>
      <c r="N82" s="21">
        <v>0</v>
      </c>
      <c r="P82" s="20">
        <v>0</v>
      </c>
      <c r="Q82" s="21">
        <v>0</v>
      </c>
      <c r="S82" s="20">
        <v>0</v>
      </c>
      <c r="T82" s="20">
        <v>0</v>
      </c>
      <c r="V82" s="21">
        <f t="shared" si="4"/>
        <v>0</v>
      </c>
      <c r="W82" s="22">
        <f>+[35]References!C8</f>
        <v>2.17</v>
      </c>
      <c r="X82" s="21">
        <f t="shared" si="5"/>
        <v>0</v>
      </c>
      <c r="Y82" s="15">
        <f>+[35]References!C32</f>
        <v>250</v>
      </c>
      <c r="Z82" s="21">
        <f t="shared" si="6"/>
        <v>0</v>
      </c>
      <c r="AA82" s="21">
        <f>+Z82*[35]Regulated!$C$115</f>
        <v>0</v>
      </c>
    </row>
    <row r="83" spans="1:27">
      <c r="A83" s="218" t="s">
        <v>490</v>
      </c>
      <c r="B83" s="218" t="s">
        <v>122</v>
      </c>
      <c r="D83" s="20">
        <v>0</v>
      </c>
      <c r="E83" s="20">
        <v>0</v>
      </c>
      <c r="G83" s="20">
        <v>0</v>
      </c>
      <c r="H83" s="20">
        <v>0</v>
      </c>
      <c r="J83" s="20">
        <v>92.13</v>
      </c>
      <c r="K83" s="20">
        <v>14754.48</v>
      </c>
      <c r="M83" s="20">
        <v>0</v>
      </c>
      <c r="N83" s="21">
        <v>0</v>
      </c>
      <c r="P83" s="20">
        <v>0</v>
      </c>
      <c r="Q83" s="21">
        <v>0</v>
      </c>
      <c r="S83" s="20">
        <v>0</v>
      </c>
      <c r="T83" s="20">
        <v>0</v>
      </c>
      <c r="V83" s="21">
        <f t="shared" si="4"/>
        <v>160.14848583523283</v>
      </c>
      <c r="W83" s="22">
        <f>+[35]References!C7</f>
        <v>4.33</v>
      </c>
      <c r="X83" s="21">
        <f t="shared" si="5"/>
        <v>693.44294366655822</v>
      </c>
      <c r="Y83" s="15">
        <f>+[35]References!C31</f>
        <v>175</v>
      </c>
      <c r="Z83" s="21">
        <f t="shared" si="6"/>
        <v>121352.51514164769</v>
      </c>
      <c r="AA83" s="21">
        <f>+Z83*[35]Regulated!$C$115</f>
        <v>95515.534473834385</v>
      </c>
    </row>
    <row r="84" spans="1:27">
      <c r="A84" s="218" t="s">
        <v>121</v>
      </c>
      <c r="B84" s="218" t="s">
        <v>122</v>
      </c>
      <c r="D84" s="20">
        <v>0</v>
      </c>
      <c r="E84" s="20">
        <v>0</v>
      </c>
      <c r="G84" s="20">
        <v>0</v>
      </c>
      <c r="H84" s="20">
        <v>0</v>
      </c>
      <c r="J84" s="20">
        <v>0</v>
      </c>
      <c r="K84" s="20">
        <v>0</v>
      </c>
      <c r="M84" s="20">
        <v>118</v>
      </c>
      <c r="N84" s="21">
        <v>0</v>
      </c>
      <c r="P84" s="20">
        <v>0</v>
      </c>
      <c r="Q84" s="21">
        <v>0</v>
      </c>
      <c r="S84" s="20">
        <v>0</v>
      </c>
      <c r="T84" s="20">
        <v>0</v>
      </c>
      <c r="V84" s="21">
        <f t="shared" si="4"/>
        <v>0</v>
      </c>
      <c r="W84" s="22">
        <f>+[35]References!C7</f>
        <v>4.33</v>
      </c>
      <c r="X84" s="21">
        <f t="shared" si="5"/>
        <v>0</v>
      </c>
      <c r="Y84" s="15">
        <f>+[35]References!C31</f>
        <v>175</v>
      </c>
      <c r="Z84" s="21">
        <f t="shared" si="6"/>
        <v>0</v>
      </c>
      <c r="AA84" s="21">
        <f>+Z84*[35]Regulated!$C$115</f>
        <v>0</v>
      </c>
    </row>
    <row r="85" spans="1:27">
      <c r="A85" s="218" t="s">
        <v>491</v>
      </c>
      <c r="B85" s="218" t="s">
        <v>122</v>
      </c>
      <c r="D85" s="20">
        <v>0</v>
      </c>
      <c r="E85" s="20">
        <v>0</v>
      </c>
      <c r="G85" s="20">
        <v>0</v>
      </c>
      <c r="H85" s="20">
        <v>0</v>
      </c>
      <c r="J85" s="20">
        <v>0</v>
      </c>
      <c r="K85" s="20">
        <v>0</v>
      </c>
      <c r="M85" s="20">
        <v>118</v>
      </c>
      <c r="N85" s="21">
        <v>468915.57</v>
      </c>
      <c r="P85" s="20">
        <v>0</v>
      </c>
      <c r="Q85" s="21">
        <v>0</v>
      </c>
      <c r="S85" s="20">
        <v>0</v>
      </c>
      <c r="T85" s="20">
        <v>0</v>
      </c>
      <c r="V85" s="21">
        <f t="shared" si="4"/>
        <v>3973.8607627118645</v>
      </c>
      <c r="W85" s="22">
        <f>+[35]References!C7</f>
        <v>4.33</v>
      </c>
      <c r="X85" s="21">
        <f t="shared" si="5"/>
        <v>17206.817102542373</v>
      </c>
      <c r="Y85" s="15">
        <f>+[35]References!C31</f>
        <v>175</v>
      </c>
      <c r="Z85" s="21">
        <f t="shared" si="6"/>
        <v>3011192.9929449153</v>
      </c>
      <c r="AA85" s="21">
        <f>+Z85*[35]Regulated!$C$115</f>
        <v>2370084.4419193259</v>
      </c>
    </row>
    <row r="86" spans="1:27">
      <c r="A86" s="218" t="s">
        <v>492</v>
      </c>
      <c r="B86" s="218" t="s">
        <v>122</v>
      </c>
      <c r="D86" s="20">
        <v>0</v>
      </c>
      <c r="E86" s="20">
        <v>0</v>
      </c>
      <c r="G86" s="20">
        <v>0</v>
      </c>
      <c r="H86" s="20">
        <v>0</v>
      </c>
      <c r="J86" s="20">
        <v>0</v>
      </c>
      <c r="K86" s="20">
        <v>0</v>
      </c>
      <c r="M86" s="20">
        <v>0</v>
      </c>
      <c r="N86" s="21">
        <v>0</v>
      </c>
      <c r="P86" s="20">
        <v>105.52</v>
      </c>
      <c r="Q86" s="21">
        <v>37373.68</v>
      </c>
      <c r="S86" s="20">
        <v>0</v>
      </c>
      <c r="T86" s="20">
        <v>0</v>
      </c>
      <c r="V86" s="21">
        <f t="shared" si="4"/>
        <v>354.18574677786205</v>
      </c>
      <c r="W86" s="22">
        <f>+[35]References!C7</f>
        <v>4.33</v>
      </c>
      <c r="X86" s="21">
        <f t="shared" si="5"/>
        <v>1533.6242835481428</v>
      </c>
      <c r="Y86" s="15">
        <f>+[35]References!C31</f>
        <v>175</v>
      </c>
      <c r="Z86" s="21">
        <f t="shared" si="6"/>
        <v>268384.24962092499</v>
      </c>
      <c r="AA86" s="21">
        <f>+Z86*[35]Regulated!$C$115</f>
        <v>211242.9644905139</v>
      </c>
    </row>
    <row r="87" spans="1:27">
      <c r="A87" s="218" t="s">
        <v>493</v>
      </c>
      <c r="B87" s="218" t="s">
        <v>124</v>
      </c>
      <c r="D87" s="20">
        <v>0</v>
      </c>
      <c r="E87" s="20">
        <v>0</v>
      </c>
      <c r="G87" s="20">
        <v>0</v>
      </c>
      <c r="H87" s="20">
        <v>0</v>
      </c>
      <c r="J87" s="20">
        <v>0</v>
      </c>
      <c r="K87" s="20">
        <v>0</v>
      </c>
      <c r="M87" s="20">
        <v>235.99</v>
      </c>
      <c r="N87" s="21">
        <v>13852.8</v>
      </c>
      <c r="P87" s="20">
        <v>0</v>
      </c>
      <c r="Q87" s="21">
        <v>0</v>
      </c>
      <c r="S87" s="20">
        <v>0</v>
      </c>
      <c r="T87" s="20">
        <v>0</v>
      </c>
      <c r="V87" s="21">
        <f t="shared" si="4"/>
        <v>58.700792406457893</v>
      </c>
      <c r="W87" s="22">
        <f>+[35]References!C6</f>
        <v>8.66</v>
      </c>
      <c r="X87" s="21">
        <f t="shared" si="5"/>
        <v>508.34886223992538</v>
      </c>
      <c r="Y87" s="15">
        <f>+[35]References!C31</f>
        <v>175</v>
      </c>
      <c r="Z87" s="21">
        <f t="shared" si="6"/>
        <v>88961.050891986946</v>
      </c>
      <c r="AA87" s="21">
        <f>+Z87*[35]Regulated!$C$115</f>
        <v>70020.487942782842</v>
      </c>
    </row>
    <row r="88" spans="1:27">
      <c r="A88" s="218" t="s">
        <v>494</v>
      </c>
      <c r="B88" s="218" t="s">
        <v>124</v>
      </c>
      <c r="D88" s="20">
        <v>0</v>
      </c>
      <c r="E88" s="20">
        <v>0</v>
      </c>
      <c r="G88" s="20">
        <v>0</v>
      </c>
      <c r="H88" s="20">
        <v>0</v>
      </c>
      <c r="J88" s="20">
        <v>0</v>
      </c>
      <c r="K88" s="20">
        <v>0</v>
      </c>
      <c r="M88" s="20">
        <v>0</v>
      </c>
      <c r="N88" s="21">
        <v>0</v>
      </c>
      <c r="P88" s="20">
        <v>210.72</v>
      </c>
      <c r="Q88" s="21">
        <v>2538.7799999999997</v>
      </c>
      <c r="S88" s="20">
        <v>0</v>
      </c>
      <c r="T88" s="20">
        <v>0</v>
      </c>
      <c r="V88" s="21">
        <f t="shared" si="4"/>
        <v>12.048120728929383</v>
      </c>
      <c r="W88" s="22">
        <f>+[35]References!C6</f>
        <v>8.66</v>
      </c>
      <c r="X88" s="21">
        <f t="shared" si="5"/>
        <v>104.33672551252846</v>
      </c>
      <c r="Y88" s="15">
        <f>+[35]References!C31</f>
        <v>175</v>
      </c>
      <c r="Z88" s="21">
        <f t="shared" si="6"/>
        <v>18258.92696469248</v>
      </c>
      <c r="AA88" s="21">
        <f>+Z88*[35]Regulated!$C$115</f>
        <v>14371.446408965045</v>
      </c>
    </row>
    <row r="89" spans="1:27">
      <c r="A89" s="218" t="s">
        <v>495</v>
      </c>
      <c r="B89" s="218" t="s">
        <v>496</v>
      </c>
      <c r="D89" s="20">
        <v>0</v>
      </c>
      <c r="E89" s="20">
        <v>0</v>
      </c>
      <c r="G89" s="20">
        <v>0</v>
      </c>
      <c r="H89" s="20">
        <v>0</v>
      </c>
      <c r="J89" s="20">
        <v>0</v>
      </c>
      <c r="K89" s="20">
        <v>0</v>
      </c>
      <c r="M89" s="20">
        <v>353.99</v>
      </c>
      <c r="N89" s="21">
        <v>3093.93</v>
      </c>
      <c r="P89" s="20">
        <v>0</v>
      </c>
      <c r="Q89" s="21">
        <v>0</v>
      </c>
      <c r="S89" s="20">
        <v>0</v>
      </c>
      <c r="T89" s="20">
        <v>0</v>
      </c>
      <c r="V89" s="21">
        <f t="shared" si="4"/>
        <v>8.7401621514732053</v>
      </c>
      <c r="W89" s="22">
        <f>+[35]References!C5</f>
        <v>12.99</v>
      </c>
      <c r="X89" s="21">
        <f t="shared" si="5"/>
        <v>113.53470634763694</v>
      </c>
      <c r="Y89" s="15">
        <f>+[35]References!C31</f>
        <v>175</v>
      </c>
      <c r="Z89" s="21">
        <f t="shared" si="6"/>
        <v>19868.573610836465</v>
      </c>
      <c r="AA89" s="21">
        <f>+Z89*[35]Regulated!$C$115</f>
        <v>15638.385619421446</v>
      </c>
    </row>
    <row r="90" spans="1:27">
      <c r="A90" s="218" t="s">
        <v>497</v>
      </c>
      <c r="B90" s="218" t="s">
        <v>498</v>
      </c>
      <c r="D90" s="20">
        <v>0</v>
      </c>
      <c r="E90" s="20">
        <v>0</v>
      </c>
      <c r="G90" s="20">
        <v>0</v>
      </c>
      <c r="H90" s="20">
        <v>0</v>
      </c>
      <c r="J90" s="20">
        <v>0</v>
      </c>
      <c r="K90" s="20">
        <v>0</v>
      </c>
      <c r="M90" s="20">
        <v>471.99</v>
      </c>
      <c r="N90" s="21">
        <v>0</v>
      </c>
      <c r="P90" s="20">
        <v>0</v>
      </c>
      <c r="Q90" s="21">
        <v>0</v>
      </c>
      <c r="S90" s="20">
        <v>0</v>
      </c>
      <c r="T90" s="20">
        <v>0</v>
      </c>
      <c r="V90" s="21">
        <f t="shared" si="4"/>
        <v>0</v>
      </c>
      <c r="W90" s="22">
        <f>+[35]References!C4</f>
        <v>17.32</v>
      </c>
      <c r="X90" s="21">
        <f t="shared" si="5"/>
        <v>0</v>
      </c>
      <c r="Y90" s="15">
        <f>+[35]References!C31</f>
        <v>175</v>
      </c>
      <c r="Z90" s="21">
        <f t="shared" si="6"/>
        <v>0</v>
      </c>
      <c r="AA90" s="21">
        <f>+Z90*[35]Regulated!$C$115</f>
        <v>0</v>
      </c>
    </row>
    <row r="91" spans="1:27">
      <c r="A91" s="218" t="s">
        <v>499</v>
      </c>
      <c r="B91" s="218" t="s">
        <v>500</v>
      </c>
      <c r="D91" s="20">
        <v>0</v>
      </c>
      <c r="E91" s="20">
        <v>0</v>
      </c>
      <c r="G91" s="20">
        <v>0</v>
      </c>
      <c r="H91" s="20">
        <v>0</v>
      </c>
      <c r="J91" s="20">
        <v>0</v>
      </c>
      <c r="K91" s="20">
        <v>0</v>
      </c>
      <c r="M91" s="20">
        <v>589.99</v>
      </c>
      <c r="N91" s="21">
        <v>0</v>
      </c>
      <c r="P91" s="20">
        <v>0</v>
      </c>
      <c r="Q91" s="21">
        <v>0</v>
      </c>
      <c r="S91" s="20">
        <v>0</v>
      </c>
      <c r="T91" s="20">
        <v>0</v>
      </c>
      <c r="V91" s="21">
        <f t="shared" si="4"/>
        <v>0</v>
      </c>
      <c r="W91" s="22">
        <f>+[35]References!C3</f>
        <v>21.65</v>
      </c>
      <c r="X91" s="21">
        <f t="shared" si="5"/>
        <v>0</v>
      </c>
      <c r="Y91" s="15">
        <f>+[35]References!C31</f>
        <v>175</v>
      </c>
      <c r="Z91" s="21">
        <f t="shared" si="6"/>
        <v>0</v>
      </c>
      <c r="AA91" s="21">
        <f>+Z91*[35]Regulated!$C$115</f>
        <v>0</v>
      </c>
    </row>
    <row r="92" spans="1:27">
      <c r="A92" s="218" t="s">
        <v>125</v>
      </c>
      <c r="B92" s="218" t="s">
        <v>126</v>
      </c>
      <c r="D92" s="20">
        <v>0</v>
      </c>
      <c r="E92" s="20">
        <v>0</v>
      </c>
      <c r="G92" s="20">
        <v>0</v>
      </c>
      <c r="H92" s="20">
        <v>0</v>
      </c>
      <c r="J92" s="20">
        <v>45.95</v>
      </c>
      <c r="K92" s="20">
        <v>0</v>
      </c>
      <c r="M92" s="20">
        <v>0</v>
      </c>
      <c r="N92" s="21">
        <v>0</v>
      </c>
      <c r="P92" s="20">
        <v>0</v>
      </c>
      <c r="Q92" s="21">
        <v>0</v>
      </c>
      <c r="S92" s="20">
        <v>0</v>
      </c>
      <c r="T92" s="20">
        <v>0</v>
      </c>
      <c r="V92" s="21">
        <f t="shared" si="4"/>
        <v>0</v>
      </c>
      <c r="W92" s="22">
        <f>+[35]References!C8</f>
        <v>2.17</v>
      </c>
      <c r="X92" s="21">
        <f t="shared" si="5"/>
        <v>0</v>
      </c>
      <c r="Y92" s="15">
        <f>+[35]References!C31</f>
        <v>175</v>
      </c>
      <c r="Z92" s="21">
        <f t="shared" si="6"/>
        <v>0</v>
      </c>
      <c r="AA92" s="21">
        <f>+Z92*[35]Regulated!$C$115</f>
        <v>0</v>
      </c>
    </row>
    <row r="93" spans="1:27">
      <c r="A93" s="218" t="s">
        <v>501</v>
      </c>
      <c r="B93" s="218" t="s">
        <v>97</v>
      </c>
      <c r="D93" s="20">
        <v>0</v>
      </c>
      <c r="E93" s="20">
        <v>0</v>
      </c>
      <c r="G93" s="20">
        <v>0</v>
      </c>
      <c r="H93" s="20">
        <v>0</v>
      </c>
      <c r="J93" s="20">
        <v>22.44</v>
      </c>
      <c r="K93" s="20">
        <v>1056.9899999999998</v>
      </c>
      <c r="M93" s="20">
        <v>0</v>
      </c>
      <c r="N93" s="21">
        <v>0</v>
      </c>
      <c r="P93" s="20">
        <v>0</v>
      </c>
      <c r="Q93" s="21">
        <v>0</v>
      </c>
      <c r="S93" s="20">
        <v>0</v>
      </c>
      <c r="T93" s="20">
        <v>0</v>
      </c>
      <c r="V93" s="21">
        <f t="shared" si="4"/>
        <v>47.102941176470573</v>
      </c>
      <c r="W93" s="22">
        <f>+[35]References!D7</f>
        <v>8.66</v>
      </c>
      <c r="X93" s="21">
        <f t="shared" si="5"/>
        <v>407.91147058823515</v>
      </c>
      <c r="Y93" s="15">
        <f>+[35]References!C29</f>
        <v>29</v>
      </c>
      <c r="Z93" s="21">
        <f t="shared" si="6"/>
        <v>11829.432647058818</v>
      </c>
      <c r="AA93" s="21">
        <f>+Z93*[35]Regulated!$C$115</f>
        <v>9310.8460132630025</v>
      </c>
    </row>
    <row r="94" spans="1:27">
      <c r="A94" s="218" t="s">
        <v>502</v>
      </c>
      <c r="B94" s="218" t="s">
        <v>196</v>
      </c>
      <c r="D94" s="20">
        <v>0</v>
      </c>
      <c r="E94" s="20">
        <v>0</v>
      </c>
      <c r="G94" s="20">
        <v>0</v>
      </c>
      <c r="H94" s="20">
        <v>0</v>
      </c>
      <c r="J94" s="20">
        <v>0</v>
      </c>
      <c r="K94" s="20">
        <v>0</v>
      </c>
      <c r="M94" s="20">
        <v>397.29</v>
      </c>
      <c r="N94" s="21">
        <v>120360.14999999998</v>
      </c>
      <c r="P94" s="20">
        <v>0</v>
      </c>
      <c r="Q94" s="21">
        <v>0</v>
      </c>
      <c r="S94" s="20">
        <v>0</v>
      </c>
      <c r="T94" s="20">
        <v>0</v>
      </c>
      <c r="V94" s="21">
        <f t="shared" si="4"/>
        <v>302.95288076719771</v>
      </c>
      <c r="W94" s="22">
        <f>+[35]References!C7</f>
        <v>4.33</v>
      </c>
      <c r="X94" s="21">
        <f t="shared" si="5"/>
        <v>1311.785973721966</v>
      </c>
      <c r="Y94" s="21">
        <f>References!$C$54</f>
        <v>1296</v>
      </c>
      <c r="Z94" s="21">
        <f t="shared" si="6"/>
        <v>1700074.621943668</v>
      </c>
      <c r="AA94" s="21">
        <f>+Z94*[35]Regulated!$C$115</f>
        <v>1338114.3025409121</v>
      </c>
    </row>
    <row r="95" spans="1:27">
      <c r="A95" s="218" t="s">
        <v>503</v>
      </c>
      <c r="B95" s="218" t="s">
        <v>134</v>
      </c>
      <c r="D95" s="20">
        <v>0</v>
      </c>
      <c r="E95" s="20">
        <v>0</v>
      </c>
      <c r="G95" s="20">
        <v>0</v>
      </c>
      <c r="H95" s="20">
        <v>0</v>
      </c>
      <c r="J95" s="20">
        <v>145.31</v>
      </c>
      <c r="K95" s="20">
        <v>16944.96</v>
      </c>
      <c r="M95" s="20">
        <v>0</v>
      </c>
      <c r="N95" s="21">
        <v>0</v>
      </c>
      <c r="P95" s="20">
        <v>0</v>
      </c>
      <c r="Q95" s="21">
        <v>0</v>
      </c>
      <c r="S95" s="20">
        <v>0</v>
      </c>
      <c r="T95" s="20">
        <v>0</v>
      </c>
      <c r="V95" s="21">
        <f t="shared" si="4"/>
        <v>116.61248365563277</v>
      </c>
      <c r="W95" s="22">
        <f>+[35]References!C7</f>
        <v>4.33</v>
      </c>
      <c r="X95" s="21">
        <f t="shared" si="5"/>
        <v>504.93205422888991</v>
      </c>
      <c r="Y95" s="15">
        <f>+[35]References!C33</f>
        <v>324</v>
      </c>
      <c r="Z95" s="21">
        <f t="shared" si="6"/>
        <v>163597.98557016032</v>
      </c>
      <c r="AA95" s="21">
        <f>+Z95*[35]Regulated!$C$115</f>
        <v>128766.58561495012</v>
      </c>
    </row>
    <row r="96" spans="1:27">
      <c r="A96" s="218" t="s">
        <v>504</v>
      </c>
      <c r="B96" s="218" t="s">
        <v>134</v>
      </c>
      <c r="D96" s="20">
        <v>0</v>
      </c>
      <c r="E96" s="20">
        <v>0</v>
      </c>
      <c r="G96" s="20">
        <v>0</v>
      </c>
      <c r="H96" s="20">
        <v>0</v>
      </c>
      <c r="J96" s="20">
        <v>0</v>
      </c>
      <c r="K96" s="20">
        <v>0</v>
      </c>
      <c r="M96" s="20">
        <v>177</v>
      </c>
      <c r="N96" s="21">
        <v>818844.78999999992</v>
      </c>
      <c r="P96" s="20">
        <v>0</v>
      </c>
      <c r="Q96" s="21">
        <v>0</v>
      </c>
      <c r="S96" s="20">
        <v>0</v>
      </c>
      <c r="T96" s="20">
        <v>0</v>
      </c>
      <c r="V96" s="21">
        <f t="shared" si="4"/>
        <v>4626.241751412429</v>
      </c>
      <c r="W96" s="22">
        <f>+[35]References!C7</f>
        <v>4.33</v>
      </c>
      <c r="X96" s="21">
        <f t="shared" si="5"/>
        <v>20031.626783615819</v>
      </c>
      <c r="Y96" s="15">
        <f>+[35]References!C33</f>
        <v>324</v>
      </c>
      <c r="Z96" s="21">
        <f t="shared" si="6"/>
        <v>6490247.0778915249</v>
      </c>
      <c r="AA96" s="21">
        <f>+Z96*[35]Regulated!$C$115</f>
        <v>5108418.3775544753</v>
      </c>
    </row>
    <row r="97" spans="1:27">
      <c r="A97" s="218" t="s">
        <v>505</v>
      </c>
      <c r="B97" s="218" t="s">
        <v>134</v>
      </c>
      <c r="D97" s="20">
        <v>0</v>
      </c>
      <c r="E97" s="20">
        <v>0</v>
      </c>
      <c r="G97" s="20">
        <v>0</v>
      </c>
      <c r="H97" s="20">
        <v>0</v>
      </c>
      <c r="J97" s="20">
        <v>0</v>
      </c>
      <c r="K97" s="20">
        <v>0</v>
      </c>
      <c r="M97" s="20">
        <v>0</v>
      </c>
      <c r="N97" s="21">
        <v>0</v>
      </c>
      <c r="P97" s="20">
        <v>208.16</v>
      </c>
      <c r="Q97" s="21">
        <v>56614.89</v>
      </c>
      <c r="S97" s="20">
        <v>0</v>
      </c>
      <c r="T97" s="20">
        <v>0</v>
      </c>
      <c r="V97" s="21">
        <f t="shared" si="4"/>
        <v>271.97775749423522</v>
      </c>
      <c r="W97" s="22">
        <f>+[35]References!C7</f>
        <v>4.33</v>
      </c>
      <c r="X97" s="21">
        <f t="shared" si="5"/>
        <v>1177.6636899500386</v>
      </c>
      <c r="Y97" s="15">
        <f>+[35]References!C33</f>
        <v>324</v>
      </c>
      <c r="Z97" s="21">
        <f t="shared" si="6"/>
        <v>381563.0355438125</v>
      </c>
      <c r="AA97" s="21">
        <f>+Z97*[35]Regulated!$C$115</f>
        <v>300325.02608524897</v>
      </c>
    </row>
    <row r="98" spans="1:27">
      <c r="A98" s="218" t="s">
        <v>506</v>
      </c>
      <c r="B98" s="218" t="s">
        <v>136</v>
      </c>
      <c r="D98" s="20">
        <v>0</v>
      </c>
      <c r="E98" s="20">
        <v>0</v>
      </c>
      <c r="G98" s="20">
        <v>0</v>
      </c>
      <c r="H98" s="20">
        <v>0</v>
      </c>
      <c r="J98" s="20">
        <v>0</v>
      </c>
      <c r="K98" s="20">
        <v>0</v>
      </c>
      <c r="M98" s="20">
        <v>353.99</v>
      </c>
      <c r="N98" s="21">
        <v>286454.83</v>
      </c>
      <c r="P98" s="20">
        <v>0</v>
      </c>
      <c r="Q98" s="21">
        <v>0</v>
      </c>
      <c r="S98" s="20">
        <v>0</v>
      </c>
      <c r="T98" s="20">
        <v>0</v>
      </c>
      <c r="V98" s="21">
        <f t="shared" si="4"/>
        <v>809.21729427384957</v>
      </c>
      <c r="W98" s="22">
        <f>+[35]References!C6</f>
        <v>8.66</v>
      </c>
      <c r="X98" s="21">
        <f t="shared" si="5"/>
        <v>7007.8217684115371</v>
      </c>
      <c r="Y98" s="15">
        <f>+[35]References!C33</f>
        <v>324</v>
      </c>
      <c r="Z98" s="21">
        <f t="shared" si="6"/>
        <v>2270534.2529653381</v>
      </c>
      <c r="AA98" s="21">
        <f>+Z98*[35]Regulated!$C$115</f>
        <v>1787118.2353327526</v>
      </c>
    </row>
    <row r="99" spans="1:27">
      <c r="A99" s="218" t="s">
        <v>507</v>
      </c>
      <c r="B99" s="218" t="s">
        <v>136</v>
      </c>
      <c r="D99" s="20">
        <v>0</v>
      </c>
      <c r="E99" s="20">
        <v>0</v>
      </c>
      <c r="G99" s="20">
        <v>0</v>
      </c>
      <c r="H99" s="20">
        <v>0</v>
      </c>
      <c r="J99" s="20">
        <v>0</v>
      </c>
      <c r="K99" s="20">
        <v>0</v>
      </c>
      <c r="M99" s="20">
        <v>0</v>
      </c>
      <c r="N99" s="21">
        <v>0</v>
      </c>
      <c r="P99" s="20">
        <v>415.76</v>
      </c>
      <c r="Q99" s="21">
        <v>1267.2900000000004</v>
      </c>
      <c r="S99" s="20">
        <v>0</v>
      </c>
      <c r="T99" s="20">
        <v>0</v>
      </c>
      <c r="V99" s="21">
        <f t="shared" si="4"/>
        <v>3.0481287281123737</v>
      </c>
      <c r="W99" s="22">
        <f>+[35]References!C6</f>
        <v>8.66</v>
      </c>
      <c r="X99" s="21">
        <f t="shared" si="5"/>
        <v>26.396794785453157</v>
      </c>
      <c r="Y99" s="15">
        <f>+[35]References!C33</f>
        <v>324</v>
      </c>
      <c r="Z99" s="21">
        <f t="shared" si="6"/>
        <v>8552.561510486823</v>
      </c>
      <c r="AA99" s="21">
        <f>+Z99*[35]Regulated!$C$115</f>
        <v>6731.6485599080561</v>
      </c>
    </row>
    <row r="100" spans="1:27">
      <c r="A100" s="218" t="s">
        <v>508</v>
      </c>
      <c r="B100" s="218" t="s">
        <v>138</v>
      </c>
      <c r="D100" s="20">
        <v>0</v>
      </c>
      <c r="E100" s="20">
        <v>0</v>
      </c>
      <c r="G100" s="20">
        <v>0</v>
      </c>
      <c r="H100" s="20">
        <v>0</v>
      </c>
      <c r="J100" s="20">
        <v>0</v>
      </c>
      <c r="K100" s="20">
        <v>0</v>
      </c>
      <c r="M100" s="20">
        <v>530.99</v>
      </c>
      <c r="N100" s="21">
        <v>52084</v>
      </c>
      <c r="P100" s="20">
        <v>0</v>
      </c>
      <c r="Q100" s="21">
        <v>0</v>
      </c>
      <c r="S100" s="20">
        <v>0</v>
      </c>
      <c r="T100" s="20">
        <v>0</v>
      </c>
      <c r="V100" s="21">
        <f t="shared" si="4"/>
        <v>98.088476242490444</v>
      </c>
      <c r="W100" s="22">
        <f>+[35]References!C5</f>
        <v>12.99</v>
      </c>
      <c r="X100" s="21">
        <f t="shared" si="5"/>
        <v>1274.1693063899509</v>
      </c>
      <c r="Y100" s="15">
        <f>+[35]References!C33</f>
        <v>324</v>
      </c>
      <c r="Z100" s="21">
        <f t="shared" si="6"/>
        <v>412830.85527034407</v>
      </c>
      <c r="AA100" s="21">
        <f>+Z100*[35]Regulated!$C$115</f>
        <v>324935.66155106627</v>
      </c>
    </row>
    <row r="101" spans="1:27">
      <c r="A101" s="218" t="s">
        <v>509</v>
      </c>
      <c r="B101" s="218" t="s">
        <v>138</v>
      </c>
      <c r="D101" s="20">
        <v>0</v>
      </c>
      <c r="E101" s="20">
        <v>0</v>
      </c>
      <c r="G101" s="20">
        <v>0</v>
      </c>
      <c r="H101" s="20">
        <v>0</v>
      </c>
      <c r="J101" s="20">
        <v>0</v>
      </c>
      <c r="K101" s="20">
        <v>0</v>
      </c>
      <c r="M101" s="20">
        <v>0</v>
      </c>
      <c r="N101" s="21">
        <v>0</v>
      </c>
      <c r="P101" s="20">
        <v>623.35</v>
      </c>
      <c r="Q101" s="21">
        <v>0</v>
      </c>
      <c r="S101" s="20">
        <v>0</v>
      </c>
      <c r="T101" s="20">
        <v>0</v>
      </c>
      <c r="V101" s="21">
        <f t="shared" si="4"/>
        <v>0</v>
      </c>
      <c r="W101" s="22">
        <f>+[35]References!C5</f>
        <v>12.99</v>
      </c>
      <c r="X101" s="21">
        <f t="shared" si="5"/>
        <v>0</v>
      </c>
      <c r="Y101" s="15">
        <f>+[35]References!C33</f>
        <v>324</v>
      </c>
      <c r="Z101" s="21">
        <f t="shared" si="6"/>
        <v>0</v>
      </c>
      <c r="AA101" s="21">
        <f>+Z101*[35]Regulated!$C$115</f>
        <v>0</v>
      </c>
    </row>
    <row r="102" spans="1:27">
      <c r="A102" s="218" t="s">
        <v>510</v>
      </c>
      <c r="B102" s="218" t="s">
        <v>140</v>
      </c>
      <c r="D102" s="20">
        <v>0</v>
      </c>
      <c r="E102" s="20">
        <v>0</v>
      </c>
      <c r="G102" s="20">
        <v>0</v>
      </c>
      <c r="H102" s="20">
        <v>0</v>
      </c>
      <c r="J102" s="20">
        <v>0</v>
      </c>
      <c r="K102" s="20">
        <v>0</v>
      </c>
      <c r="M102" s="20">
        <v>707.98</v>
      </c>
      <c r="N102" s="21">
        <v>16623.599999999999</v>
      </c>
      <c r="P102" s="20">
        <v>0</v>
      </c>
      <c r="Q102" s="21">
        <v>0</v>
      </c>
      <c r="S102" s="20">
        <v>0</v>
      </c>
      <c r="T102" s="20">
        <v>0</v>
      </c>
      <c r="V102" s="21">
        <f t="shared" si="4"/>
        <v>23.480324302946407</v>
      </c>
      <c r="W102" s="22">
        <f>+[35]References!C4</f>
        <v>17.32</v>
      </c>
      <c r="X102" s="21">
        <f t="shared" si="5"/>
        <v>406.6792169270318</v>
      </c>
      <c r="Y102" s="15">
        <f>+[35]References!C33</f>
        <v>324</v>
      </c>
      <c r="Z102" s="21">
        <f t="shared" si="6"/>
        <v>131764.0662843583</v>
      </c>
      <c r="AA102" s="21">
        <f>+Z102*[35]Regulated!$C$115</f>
        <v>103710.37799180254</v>
      </c>
    </row>
    <row r="103" spans="1:27">
      <c r="A103" s="218" t="s">
        <v>511</v>
      </c>
      <c r="B103" s="218" t="s">
        <v>142</v>
      </c>
      <c r="D103" s="20">
        <v>0</v>
      </c>
      <c r="E103" s="20">
        <v>0</v>
      </c>
      <c r="G103" s="20">
        <v>0</v>
      </c>
      <c r="H103" s="20">
        <v>0</v>
      </c>
      <c r="J103" s="20">
        <v>0</v>
      </c>
      <c r="K103" s="20">
        <v>0</v>
      </c>
      <c r="M103" s="20">
        <v>884.98</v>
      </c>
      <c r="N103" s="21">
        <v>2385.7799999999997</v>
      </c>
      <c r="P103" s="20">
        <v>0</v>
      </c>
      <c r="Q103" s="21">
        <v>0</v>
      </c>
      <c r="S103" s="20">
        <v>0</v>
      </c>
      <c r="T103" s="20">
        <v>0</v>
      </c>
      <c r="V103" s="21">
        <f t="shared" si="4"/>
        <v>2.6958575335035815</v>
      </c>
      <c r="W103" s="22">
        <f>+[35]References!C3</f>
        <v>21.65</v>
      </c>
      <c r="X103" s="21">
        <f t="shared" si="5"/>
        <v>58.365315600352538</v>
      </c>
      <c r="Y103" s="15">
        <f>+[35]References!C33</f>
        <v>324</v>
      </c>
      <c r="Z103" s="21">
        <f t="shared" si="6"/>
        <v>18910.362254514221</v>
      </c>
      <c r="AA103" s="21">
        <f>+Z103*[35]Regulated!$C$115</f>
        <v>14884.185595374262</v>
      </c>
    </row>
    <row r="104" spans="1:27">
      <c r="A104" s="218" t="s">
        <v>512</v>
      </c>
      <c r="B104" s="218" t="s">
        <v>513</v>
      </c>
      <c r="D104" s="20">
        <v>0</v>
      </c>
      <c r="E104" s="20">
        <v>0</v>
      </c>
      <c r="G104" s="20">
        <v>0</v>
      </c>
      <c r="H104" s="20">
        <v>0</v>
      </c>
      <c r="J104" s="20">
        <v>0</v>
      </c>
      <c r="K104" s="20">
        <v>0</v>
      </c>
      <c r="M104" s="20">
        <v>1061.98</v>
      </c>
      <c r="N104" s="21">
        <v>36133.31</v>
      </c>
      <c r="P104" s="20">
        <v>0</v>
      </c>
      <c r="Q104" s="21">
        <v>0</v>
      </c>
      <c r="S104" s="20">
        <v>0</v>
      </c>
      <c r="T104" s="20">
        <v>0</v>
      </c>
      <c r="V104" s="21">
        <f t="shared" si="4"/>
        <v>34.024473153920034</v>
      </c>
      <c r="W104" s="20">
        <f>+[35]References!C7*6</f>
        <v>25.98</v>
      </c>
      <c r="X104" s="21">
        <f t="shared" si="5"/>
        <v>883.95581253884257</v>
      </c>
      <c r="Y104" s="15">
        <f>+[35]References!C33</f>
        <v>324</v>
      </c>
      <c r="Z104" s="21">
        <f t="shared" si="6"/>
        <v>286401.68326258496</v>
      </c>
      <c r="AA104" s="21">
        <f>+Z104*[35]Regulated!$C$115</f>
        <v>225424.33355502185</v>
      </c>
    </row>
    <row r="105" spans="1:27">
      <c r="A105" s="218" t="s">
        <v>143</v>
      </c>
      <c r="B105" s="218" t="s">
        <v>144</v>
      </c>
      <c r="D105" s="20">
        <v>0</v>
      </c>
      <c r="E105" s="20">
        <v>0</v>
      </c>
      <c r="G105" s="20">
        <v>0</v>
      </c>
      <c r="H105" s="20">
        <v>0</v>
      </c>
      <c r="J105" s="20">
        <v>0</v>
      </c>
      <c r="K105" s="20">
        <v>0</v>
      </c>
      <c r="M105" s="20">
        <v>0</v>
      </c>
      <c r="N105" s="21">
        <v>0</v>
      </c>
      <c r="P105" s="20">
        <v>0</v>
      </c>
      <c r="Q105" s="21">
        <v>0</v>
      </c>
      <c r="S105" s="20">
        <v>0</v>
      </c>
      <c r="T105" s="20">
        <v>0</v>
      </c>
      <c r="V105" s="21">
        <f t="shared" si="4"/>
        <v>0</v>
      </c>
      <c r="W105" s="22">
        <f>+[35]References!C8</f>
        <v>2.17</v>
      </c>
      <c r="X105" s="21">
        <f t="shared" si="5"/>
        <v>0</v>
      </c>
      <c r="Y105" s="15">
        <f>+[35]References!C33</f>
        <v>324</v>
      </c>
      <c r="Z105" s="21">
        <f t="shared" si="6"/>
        <v>0</v>
      </c>
      <c r="AA105" s="21">
        <f>+Z105*[35]Regulated!$C$115</f>
        <v>0</v>
      </c>
    </row>
    <row r="106" spans="1:27">
      <c r="A106" s="218" t="s">
        <v>514</v>
      </c>
      <c r="B106" s="218" t="s">
        <v>515</v>
      </c>
      <c r="D106" s="20">
        <v>0</v>
      </c>
      <c r="E106" s="20">
        <v>0</v>
      </c>
      <c r="G106" s="20">
        <v>0</v>
      </c>
      <c r="H106" s="20">
        <v>0</v>
      </c>
      <c r="J106" s="20">
        <v>13.87</v>
      </c>
      <c r="K106" s="20">
        <v>373.79000000000008</v>
      </c>
      <c r="M106" s="20">
        <v>0</v>
      </c>
      <c r="N106" s="21">
        <v>0</v>
      </c>
      <c r="P106" s="20">
        <v>0</v>
      </c>
      <c r="Q106" s="21">
        <v>0</v>
      </c>
      <c r="S106" s="20">
        <v>0</v>
      </c>
      <c r="T106" s="20">
        <v>0</v>
      </c>
      <c r="V106" s="21">
        <f t="shared" si="4"/>
        <v>26.949531362653214</v>
      </c>
      <c r="W106" s="22">
        <f>+[35]References!C8</f>
        <v>2.17</v>
      </c>
      <c r="X106" s="21">
        <f t="shared" si="5"/>
        <v>58.480483056957475</v>
      </c>
      <c r="Y106" s="15">
        <f>+[35]References!C29</f>
        <v>29</v>
      </c>
      <c r="Z106" s="21">
        <f t="shared" si="6"/>
        <v>1695.9340086517668</v>
      </c>
      <c r="AA106" s="21">
        <f>+Z106*[35]Regulated!$C$115</f>
        <v>1334.8552609696371</v>
      </c>
    </row>
    <row r="107" spans="1:27">
      <c r="A107" s="218" t="s">
        <v>516</v>
      </c>
      <c r="B107" s="218" t="s">
        <v>517</v>
      </c>
      <c r="D107" s="20">
        <v>0</v>
      </c>
      <c r="E107" s="20">
        <v>0</v>
      </c>
      <c r="G107" s="20">
        <v>0</v>
      </c>
      <c r="H107" s="20">
        <v>0</v>
      </c>
      <c r="J107" s="20">
        <v>9.43</v>
      </c>
      <c r="K107" s="20">
        <v>112.89</v>
      </c>
      <c r="M107" s="20">
        <v>0</v>
      </c>
      <c r="N107" s="21">
        <v>0</v>
      </c>
      <c r="P107" s="20">
        <v>0</v>
      </c>
      <c r="Q107" s="21">
        <v>0</v>
      </c>
      <c r="S107" s="20">
        <v>0</v>
      </c>
      <c r="T107" s="20">
        <v>0</v>
      </c>
      <c r="V107" s="21">
        <f t="shared" si="4"/>
        <v>11.971367974549311</v>
      </c>
      <c r="W107" s="22">
        <f>+[35]References!C9</f>
        <v>1</v>
      </c>
      <c r="X107" s="21">
        <f t="shared" si="5"/>
        <v>11.971367974549311</v>
      </c>
      <c r="Y107" s="15">
        <f>+[35]References!C29</f>
        <v>29</v>
      </c>
      <c r="Z107" s="21">
        <f t="shared" si="6"/>
        <v>347.16967126193003</v>
      </c>
      <c r="AA107" s="21">
        <f>+Z107*[35]Regulated!$C$115</f>
        <v>273.25430103350379</v>
      </c>
    </row>
    <row r="108" spans="1:27">
      <c r="A108" s="218" t="s">
        <v>518</v>
      </c>
      <c r="B108" s="218" t="s">
        <v>234</v>
      </c>
      <c r="D108" s="20">
        <v>0</v>
      </c>
      <c r="E108" s="20">
        <v>0</v>
      </c>
      <c r="G108" s="20">
        <v>0</v>
      </c>
      <c r="H108" s="20">
        <v>0</v>
      </c>
      <c r="J108" s="20">
        <v>15.14</v>
      </c>
      <c r="K108" s="20">
        <v>2382.4899999999998</v>
      </c>
      <c r="M108" s="20">
        <v>0</v>
      </c>
      <c r="N108" s="21">
        <v>0</v>
      </c>
      <c r="P108" s="20">
        <v>0</v>
      </c>
      <c r="Q108" s="21">
        <v>0</v>
      </c>
      <c r="S108" s="20">
        <v>0</v>
      </c>
      <c r="T108" s="20">
        <v>0</v>
      </c>
      <c r="V108" s="21">
        <f t="shared" si="4"/>
        <v>157.36393659180976</v>
      </c>
      <c r="W108" s="22">
        <f>+[35]References!C7</f>
        <v>4.33</v>
      </c>
      <c r="X108" s="21">
        <f t="shared" si="5"/>
        <v>681.38584544253627</v>
      </c>
      <c r="Y108" s="15">
        <f>+[35]References!C29</f>
        <v>29</v>
      </c>
      <c r="Z108" s="21">
        <f t="shared" si="6"/>
        <v>19760.189517833551</v>
      </c>
      <c r="AA108" s="21">
        <f>+Z108*[35]Regulated!$C$115</f>
        <v>15553.077419920583</v>
      </c>
    </row>
    <row r="109" spans="1:27">
      <c r="A109" s="218" t="s">
        <v>233</v>
      </c>
      <c r="B109" s="218" t="s">
        <v>234</v>
      </c>
      <c r="D109" s="20">
        <v>0</v>
      </c>
      <c r="E109" s="20">
        <v>0</v>
      </c>
      <c r="G109" s="20">
        <v>0</v>
      </c>
      <c r="H109" s="20">
        <v>0</v>
      </c>
      <c r="J109" s="20">
        <v>0</v>
      </c>
      <c r="K109" s="20">
        <v>0</v>
      </c>
      <c r="M109" s="20">
        <v>19.21</v>
      </c>
      <c r="N109" s="21">
        <v>0</v>
      </c>
      <c r="P109" s="20">
        <v>0</v>
      </c>
      <c r="Q109" s="21">
        <v>0</v>
      </c>
      <c r="S109" s="20">
        <v>0</v>
      </c>
      <c r="T109" s="20">
        <v>0</v>
      </c>
      <c r="V109" s="21">
        <f t="shared" si="4"/>
        <v>0</v>
      </c>
      <c r="W109" s="22">
        <f>+[35]References!C7</f>
        <v>4.33</v>
      </c>
      <c r="X109" s="21">
        <f t="shared" si="5"/>
        <v>0</v>
      </c>
      <c r="Y109" s="15">
        <f>+[35]References!C29</f>
        <v>29</v>
      </c>
      <c r="Z109" s="21">
        <f t="shared" si="6"/>
        <v>0</v>
      </c>
      <c r="AA109" s="21">
        <f>+Z109*[35]Regulated!$C$115</f>
        <v>0</v>
      </c>
    </row>
    <row r="110" spans="1:27">
      <c r="A110" s="218" t="s">
        <v>519</v>
      </c>
      <c r="B110" s="218" t="s">
        <v>99</v>
      </c>
      <c r="D110" s="20">
        <v>0</v>
      </c>
      <c r="E110" s="20">
        <v>0</v>
      </c>
      <c r="G110" s="20">
        <v>0</v>
      </c>
      <c r="H110" s="20">
        <v>0</v>
      </c>
      <c r="J110" s="20">
        <v>30.94</v>
      </c>
      <c r="K110" s="20">
        <v>1034.69</v>
      </c>
      <c r="M110" s="20">
        <v>0</v>
      </c>
      <c r="N110" s="21">
        <v>0</v>
      </c>
      <c r="P110" s="20">
        <v>0</v>
      </c>
      <c r="Q110" s="21">
        <v>0</v>
      </c>
      <c r="S110" s="20">
        <v>0</v>
      </c>
      <c r="T110" s="20">
        <v>0</v>
      </c>
      <c r="V110" s="21">
        <f t="shared" si="4"/>
        <v>33.441822882999354</v>
      </c>
      <c r="W110" s="22">
        <f>+[35]References!E7</f>
        <v>12.99</v>
      </c>
      <c r="X110" s="21">
        <f t="shared" si="5"/>
        <v>434.4092792501616</v>
      </c>
      <c r="Y110" s="15">
        <f>+[35]References!C29</f>
        <v>29</v>
      </c>
      <c r="Z110" s="21">
        <f t="shared" si="6"/>
        <v>12597.869098254687</v>
      </c>
      <c r="AA110" s="21">
        <f>+Z110*[35]Regulated!$C$115</f>
        <v>9915.6758205354527</v>
      </c>
    </row>
    <row r="111" spans="1:27">
      <c r="A111" s="218" t="s">
        <v>520</v>
      </c>
      <c r="B111" s="218" t="s">
        <v>198</v>
      </c>
      <c r="D111" s="20">
        <v>0</v>
      </c>
      <c r="E111" s="20">
        <v>0</v>
      </c>
      <c r="G111" s="20">
        <v>0</v>
      </c>
      <c r="H111" s="20">
        <v>0</v>
      </c>
      <c r="J111" s="20">
        <v>0</v>
      </c>
      <c r="K111" s="20">
        <v>0</v>
      </c>
      <c r="M111" s="20">
        <v>529.73</v>
      </c>
      <c r="N111" s="21">
        <v>74628.72</v>
      </c>
      <c r="P111" s="20">
        <v>0</v>
      </c>
      <c r="Q111" s="21">
        <v>0</v>
      </c>
      <c r="S111" s="20">
        <v>0</v>
      </c>
      <c r="T111" s="20">
        <v>0</v>
      </c>
      <c r="V111" s="21">
        <f t="shared" si="4"/>
        <v>140.88067506088007</v>
      </c>
      <c r="W111" s="22">
        <f>+[35]References!C7</f>
        <v>4.33</v>
      </c>
      <c r="X111" s="21">
        <f t="shared" si="5"/>
        <v>610.01332301361072</v>
      </c>
      <c r="Y111" s="27">
        <f>+[35]References!C49</f>
        <v>1000</v>
      </c>
      <c r="Z111" s="21">
        <f t="shared" si="6"/>
        <v>610013.32301361067</v>
      </c>
      <c r="AA111" s="21">
        <f>+Z111*[35]Regulated!$C$115</f>
        <v>480136.30797676177</v>
      </c>
    </row>
    <row r="112" spans="1:27">
      <c r="A112" s="218" t="s">
        <v>521</v>
      </c>
      <c r="B112" s="218" t="s">
        <v>146</v>
      </c>
      <c r="D112" s="20">
        <v>0</v>
      </c>
      <c r="E112" s="20">
        <v>0</v>
      </c>
      <c r="G112" s="20">
        <v>0</v>
      </c>
      <c r="H112" s="20">
        <v>0</v>
      </c>
      <c r="J112" s="20">
        <v>189.68</v>
      </c>
      <c r="K112" s="20">
        <v>9888.4600000000009</v>
      </c>
      <c r="M112" s="20">
        <v>0</v>
      </c>
      <c r="N112" s="21">
        <v>0</v>
      </c>
      <c r="P112" s="20">
        <v>0</v>
      </c>
      <c r="Q112" s="21">
        <v>0</v>
      </c>
      <c r="S112" s="20">
        <v>0</v>
      </c>
      <c r="T112" s="20">
        <v>0</v>
      </c>
      <c r="V112" s="21">
        <f t="shared" si="4"/>
        <v>52.13232813159005</v>
      </c>
      <c r="W112" s="22">
        <f>+[35]References!C7</f>
        <v>4.33</v>
      </c>
      <c r="X112" s="21">
        <f t="shared" si="5"/>
        <v>225.73298080978492</v>
      </c>
      <c r="Y112" s="15">
        <f>+[35]References!C34</f>
        <v>473</v>
      </c>
      <c r="Z112" s="21">
        <f t="shared" si="6"/>
        <v>106771.69992302827</v>
      </c>
      <c r="AA112" s="21">
        <f>+Z112*[35]Regulated!$C$115</f>
        <v>84039.098595723059</v>
      </c>
    </row>
    <row r="113" spans="1:27">
      <c r="A113" s="218" t="s">
        <v>522</v>
      </c>
      <c r="B113" s="218" t="s">
        <v>146</v>
      </c>
      <c r="D113" s="20">
        <v>0</v>
      </c>
      <c r="E113" s="20">
        <v>0</v>
      </c>
      <c r="G113" s="20">
        <v>0</v>
      </c>
      <c r="H113" s="20">
        <v>0</v>
      </c>
      <c r="J113" s="20">
        <v>0</v>
      </c>
      <c r="K113" s="20">
        <v>0</v>
      </c>
      <c r="M113" s="20">
        <v>235.99</v>
      </c>
      <c r="N113" s="21">
        <v>818924.63000000012</v>
      </c>
      <c r="P113" s="20">
        <v>0</v>
      </c>
      <c r="Q113" s="21">
        <v>0</v>
      </c>
      <c r="S113" s="20">
        <v>0</v>
      </c>
      <c r="T113" s="20">
        <v>0</v>
      </c>
      <c r="V113" s="21">
        <f t="shared" si="4"/>
        <v>3470.166659604221</v>
      </c>
      <c r="W113" s="22">
        <f>+[35]References!C7</f>
        <v>4.33</v>
      </c>
      <c r="X113" s="21">
        <f t="shared" si="5"/>
        <v>15025.821636086277</v>
      </c>
      <c r="Y113" s="15">
        <f>+[35]References!C34</f>
        <v>473</v>
      </c>
      <c r="Z113" s="21">
        <f t="shared" si="6"/>
        <v>7107213.6338688089</v>
      </c>
      <c r="AA113" s="21">
        <f>+Z113*[35]Regulated!$C$115</f>
        <v>5594027.5161690786</v>
      </c>
    </row>
    <row r="114" spans="1:27">
      <c r="A114" s="218" t="s">
        <v>523</v>
      </c>
      <c r="B114" s="218" t="s">
        <v>146</v>
      </c>
      <c r="D114" s="20">
        <v>0</v>
      </c>
      <c r="E114" s="20">
        <v>0</v>
      </c>
      <c r="G114" s="20">
        <v>0</v>
      </c>
      <c r="H114" s="20">
        <v>0</v>
      </c>
      <c r="J114" s="20">
        <v>0</v>
      </c>
      <c r="K114" s="20">
        <v>0</v>
      </c>
      <c r="M114" s="20">
        <v>0</v>
      </c>
      <c r="N114" s="21">
        <v>0</v>
      </c>
      <c r="P114" s="20">
        <v>263.51</v>
      </c>
      <c r="Q114" s="21">
        <v>63281.159999999996</v>
      </c>
      <c r="S114" s="20">
        <v>0</v>
      </c>
      <c r="T114" s="20">
        <v>0</v>
      </c>
      <c r="V114" s="21">
        <f t="shared" si="4"/>
        <v>240.14709119198511</v>
      </c>
      <c r="W114" s="22">
        <f>+[35]References!C7</f>
        <v>4.33</v>
      </c>
      <c r="X114" s="21">
        <f t="shared" si="5"/>
        <v>1039.8369048612956</v>
      </c>
      <c r="Y114" s="15">
        <f>+[35]References!C34</f>
        <v>473</v>
      </c>
      <c r="Z114" s="21">
        <f t="shared" si="6"/>
        <v>491842.85599939281</v>
      </c>
      <c r="AA114" s="21">
        <f>+Z114*[35]Regulated!$C$115</f>
        <v>387125.33657076454</v>
      </c>
    </row>
    <row r="115" spans="1:27">
      <c r="A115" s="218" t="s">
        <v>524</v>
      </c>
      <c r="B115" s="218" t="s">
        <v>148</v>
      </c>
      <c r="D115" s="20">
        <v>0</v>
      </c>
      <c r="E115" s="20">
        <v>0</v>
      </c>
      <c r="G115" s="20">
        <v>0</v>
      </c>
      <c r="H115" s="20">
        <v>0</v>
      </c>
      <c r="J115" s="20">
        <v>379.36</v>
      </c>
      <c r="K115" s="20">
        <v>9082.3200000000015</v>
      </c>
      <c r="M115" s="20">
        <v>0</v>
      </c>
      <c r="N115" s="21">
        <v>0</v>
      </c>
      <c r="P115" s="20">
        <v>0</v>
      </c>
      <c r="Q115" s="21">
        <v>0</v>
      </c>
      <c r="S115" s="20">
        <v>0</v>
      </c>
      <c r="T115" s="20">
        <v>0</v>
      </c>
      <c r="V115" s="21">
        <f t="shared" si="4"/>
        <v>23.941164065795025</v>
      </c>
      <c r="W115" s="22">
        <f>+[35]References!C6</f>
        <v>8.66</v>
      </c>
      <c r="X115" s="21">
        <f t="shared" si="5"/>
        <v>207.33048080978492</v>
      </c>
      <c r="Y115" s="15">
        <f>+[35]References!C34</f>
        <v>473</v>
      </c>
      <c r="Z115" s="21">
        <f t="shared" si="6"/>
        <v>98067.31742302826</v>
      </c>
      <c r="AA115" s="21">
        <f>+Z115*[35]Regulated!$C$115</f>
        <v>77187.953023818423</v>
      </c>
    </row>
    <row r="116" spans="1:27">
      <c r="A116" s="218" t="s">
        <v>525</v>
      </c>
      <c r="B116" s="218" t="s">
        <v>148</v>
      </c>
      <c r="D116" s="20">
        <v>0</v>
      </c>
      <c r="E116" s="20">
        <v>0</v>
      </c>
      <c r="G116" s="20">
        <v>0</v>
      </c>
      <c r="H116" s="20">
        <v>0</v>
      </c>
      <c r="J116" s="20">
        <v>0</v>
      </c>
      <c r="K116" s="20">
        <v>0</v>
      </c>
      <c r="M116" s="20">
        <v>471.99</v>
      </c>
      <c r="N116" s="21">
        <v>378707.43</v>
      </c>
      <c r="P116" s="20">
        <v>0</v>
      </c>
      <c r="Q116" s="21">
        <v>0</v>
      </c>
      <c r="S116" s="20">
        <v>0</v>
      </c>
      <c r="T116" s="20">
        <v>0</v>
      </c>
      <c r="V116" s="21">
        <f t="shared" si="4"/>
        <v>802.36324922138181</v>
      </c>
      <c r="W116" s="22">
        <f>+[35]References!C6</f>
        <v>8.66</v>
      </c>
      <c r="X116" s="21">
        <f t="shared" si="5"/>
        <v>6948.4657382571668</v>
      </c>
      <c r="Y116" s="15">
        <f>+[35]References!C34</f>
        <v>473</v>
      </c>
      <c r="Z116" s="21">
        <f t="shared" si="6"/>
        <v>3286624.2941956399</v>
      </c>
      <c r="AA116" s="21">
        <f>+Z116*[35]Regulated!$C$115</f>
        <v>2586874.0809233375</v>
      </c>
    </row>
    <row r="117" spans="1:27">
      <c r="A117" s="219" t="s">
        <v>147</v>
      </c>
      <c r="B117" s="218" t="s">
        <v>148</v>
      </c>
      <c r="D117" s="20">
        <v>0</v>
      </c>
      <c r="E117" s="20">
        <v>0</v>
      </c>
      <c r="G117" s="20">
        <v>0</v>
      </c>
      <c r="H117" s="20">
        <v>0</v>
      </c>
      <c r="J117" s="20">
        <v>0</v>
      </c>
      <c r="K117" s="20">
        <v>0</v>
      </c>
      <c r="M117" s="20">
        <v>0</v>
      </c>
      <c r="N117" s="21">
        <v>0</v>
      </c>
      <c r="P117" s="20">
        <v>0</v>
      </c>
      <c r="Q117" s="21">
        <v>0</v>
      </c>
      <c r="S117" s="20">
        <v>0</v>
      </c>
      <c r="T117" s="20">
        <v>0</v>
      </c>
      <c r="V117" s="21">
        <f t="shared" si="4"/>
        <v>0</v>
      </c>
      <c r="W117" s="22">
        <f>+[35]References!C6</f>
        <v>8.66</v>
      </c>
      <c r="X117" s="21">
        <f t="shared" si="5"/>
        <v>0</v>
      </c>
      <c r="Y117" s="15">
        <f>+[35]References!C34</f>
        <v>473</v>
      </c>
      <c r="Z117" s="21">
        <f t="shared" si="6"/>
        <v>0</v>
      </c>
      <c r="AA117" s="21">
        <f>+Z117*[35]Regulated!$C$115</f>
        <v>0</v>
      </c>
    </row>
    <row r="118" spans="1:27">
      <c r="A118" s="218" t="s">
        <v>526</v>
      </c>
      <c r="B118" s="218" t="s">
        <v>148</v>
      </c>
      <c r="D118" s="20">
        <v>0</v>
      </c>
      <c r="E118" s="20">
        <v>0</v>
      </c>
      <c r="G118" s="20">
        <v>0</v>
      </c>
      <c r="H118" s="20">
        <v>0</v>
      </c>
      <c r="J118" s="20">
        <v>0</v>
      </c>
      <c r="K118" s="20">
        <v>0</v>
      </c>
      <c r="M118" s="20">
        <v>0</v>
      </c>
      <c r="N118" s="21">
        <v>0</v>
      </c>
      <c r="P118" s="20">
        <v>526.16</v>
      </c>
      <c r="Q118" s="21">
        <v>38033.459999999992</v>
      </c>
      <c r="S118" s="20">
        <v>0</v>
      </c>
      <c r="T118" s="20">
        <v>0</v>
      </c>
      <c r="V118" s="21">
        <f t="shared" si="4"/>
        <v>72.284970351223947</v>
      </c>
      <c r="W118" s="22">
        <f>+[35]References!C6</f>
        <v>8.66</v>
      </c>
      <c r="X118" s="21">
        <f t="shared" si="5"/>
        <v>625.98784324159942</v>
      </c>
      <c r="Y118" s="15">
        <f>+[35]References!C34</f>
        <v>473</v>
      </c>
      <c r="Z118" s="21">
        <f t="shared" si="6"/>
        <v>296092.24985327653</v>
      </c>
      <c r="AA118" s="21">
        <f>+Z118*[35]Regulated!$C$115</f>
        <v>233051.69625272771</v>
      </c>
    </row>
    <row r="119" spans="1:27">
      <c r="A119" s="218" t="s">
        <v>527</v>
      </c>
      <c r="B119" s="218" t="s">
        <v>150</v>
      </c>
      <c r="D119" s="20">
        <v>0</v>
      </c>
      <c r="E119" s="20">
        <v>0</v>
      </c>
      <c r="G119" s="20">
        <v>0</v>
      </c>
      <c r="H119" s="20">
        <v>0</v>
      </c>
      <c r="J119" s="20">
        <v>0</v>
      </c>
      <c r="K119" s="20">
        <v>0</v>
      </c>
      <c r="M119" s="20">
        <v>707.98</v>
      </c>
      <c r="N119" s="21">
        <v>266302.55</v>
      </c>
      <c r="P119" s="20">
        <v>0</v>
      </c>
      <c r="Q119" s="21">
        <v>0</v>
      </c>
      <c r="S119" s="20">
        <v>0</v>
      </c>
      <c r="T119" s="20">
        <v>0</v>
      </c>
      <c r="V119" s="21">
        <f t="shared" si="4"/>
        <v>376.14417073928638</v>
      </c>
      <c r="W119" s="22">
        <f>+[35]References!C5</f>
        <v>12.99</v>
      </c>
      <c r="X119" s="21">
        <f t="shared" si="5"/>
        <v>4886.1127779033304</v>
      </c>
      <c r="Y119" s="15">
        <f>+[35]References!C34</f>
        <v>473</v>
      </c>
      <c r="Z119" s="21">
        <f t="shared" si="6"/>
        <v>2311131.3439482753</v>
      </c>
      <c r="AA119" s="21">
        <f>+Z119*[35]Regulated!$C$115</f>
        <v>1819071.8610057926</v>
      </c>
    </row>
    <row r="120" spans="1:27">
      <c r="A120" s="218" t="s">
        <v>528</v>
      </c>
      <c r="B120" s="218" t="s">
        <v>150</v>
      </c>
      <c r="D120" s="20">
        <v>0</v>
      </c>
      <c r="E120" s="20">
        <v>0</v>
      </c>
      <c r="G120" s="20">
        <v>0</v>
      </c>
      <c r="H120" s="20">
        <v>0</v>
      </c>
      <c r="J120" s="20">
        <v>0</v>
      </c>
      <c r="K120" s="20">
        <v>0</v>
      </c>
      <c r="M120" s="20">
        <v>0</v>
      </c>
      <c r="N120" s="21">
        <v>0</v>
      </c>
      <c r="P120" s="20">
        <v>788.88</v>
      </c>
      <c r="Q120" s="21">
        <v>9504.69</v>
      </c>
      <c r="S120" s="20">
        <v>0</v>
      </c>
      <c r="T120" s="20">
        <v>0</v>
      </c>
      <c r="V120" s="21">
        <f t="shared" si="4"/>
        <v>12.048334347429268</v>
      </c>
      <c r="W120" s="22">
        <f>+[35]References!C5</f>
        <v>12.99</v>
      </c>
      <c r="X120" s="21">
        <f t="shared" si="5"/>
        <v>156.50786317310619</v>
      </c>
      <c r="Y120" s="15">
        <f>+[35]References!C34</f>
        <v>473</v>
      </c>
      <c r="Z120" s="21">
        <f t="shared" si="6"/>
        <v>74028.219280879232</v>
      </c>
      <c r="AA120" s="21">
        <f>+Z120*[35]Regulated!$C$115</f>
        <v>58266.982950505873</v>
      </c>
    </row>
    <row r="121" spans="1:27">
      <c r="A121" s="218" t="s">
        <v>529</v>
      </c>
      <c r="B121" s="218" t="s">
        <v>152</v>
      </c>
      <c r="D121" s="20">
        <v>0</v>
      </c>
      <c r="E121" s="20">
        <v>0</v>
      </c>
      <c r="G121" s="20">
        <v>0</v>
      </c>
      <c r="H121" s="20">
        <v>0</v>
      </c>
      <c r="J121" s="20">
        <v>0</v>
      </c>
      <c r="K121" s="20">
        <v>0</v>
      </c>
      <c r="M121" s="20">
        <v>943.98</v>
      </c>
      <c r="N121" s="21">
        <v>60830.64</v>
      </c>
      <c r="P121" s="20">
        <v>0</v>
      </c>
      <c r="Q121" s="21">
        <v>0</v>
      </c>
      <c r="S121" s="20">
        <v>0</v>
      </c>
      <c r="T121" s="20">
        <v>0</v>
      </c>
      <c r="V121" s="21">
        <f t="shared" si="4"/>
        <v>64.440602555138881</v>
      </c>
      <c r="W121" s="22">
        <f>+[35]References!C4</f>
        <v>17.32</v>
      </c>
      <c r="X121" s="21">
        <f t="shared" si="5"/>
        <v>1116.1112362550055</v>
      </c>
      <c r="Y121" s="15">
        <f>+[35]References!C34</f>
        <v>473</v>
      </c>
      <c r="Z121" s="21">
        <f t="shared" si="6"/>
        <v>527920.61474861763</v>
      </c>
      <c r="AA121" s="21">
        <f>+Z121*[35]Regulated!$C$115</f>
        <v>415521.834208477</v>
      </c>
    </row>
    <row r="122" spans="1:27">
      <c r="A122" s="218" t="s">
        <v>530</v>
      </c>
      <c r="B122" s="218" t="s">
        <v>154</v>
      </c>
      <c r="D122" s="20">
        <v>0</v>
      </c>
      <c r="E122" s="20">
        <v>0</v>
      </c>
      <c r="G122" s="20">
        <v>0</v>
      </c>
      <c r="H122" s="20">
        <v>0</v>
      </c>
      <c r="J122" s="20">
        <v>0</v>
      </c>
      <c r="K122" s="20">
        <v>0</v>
      </c>
      <c r="M122" s="20">
        <v>1179.97</v>
      </c>
      <c r="N122" s="21">
        <v>19701.79</v>
      </c>
      <c r="P122" s="20">
        <v>0</v>
      </c>
      <c r="Q122" s="21">
        <v>0</v>
      </c>
      <c r="S122" s="20">
        <v>0</v>
      </c>
      <c r="T122" s="20">
        <v>0</v>
      </c>
      <c r="V122" s="21">
        <f t="shared" si="4"/>
        <v>16.696856699746604</v>
      </c>
      <c r="W122" s="22">
        <f>+[35]References!C3</f>
        <v>21.65</v>
      </c>
      <c r="X122" s="21">
        <f t="shared" si="5"/>
        <v>361.48694754951396</v>
      </c>
      <c r="Y122" s="15">
        <f>+[35]References!C34</f>
        <v>473</v>
      </c>
      <c r="Z122" s="21">
        <f t="shared" si="6"/>
        <v>170983.32619092011</v>
      </c>
      <c r="AA122" s="21">
        <f>+Z122*[35]Regulated!$C$115</f>
        <v>134579.52452140625</v>
      </c>
    </row>
    <row r="123" spans="1:27">
      <c r="A123" s="218" t="s">
        <v>531</v>
      </c>
      <c r="B123" s="218" t="s">
        <v>532</v>
      </c>
      <c r="D123" s="20">
        <v>0</v>
      </c>
      <c r="E123" s="20">
        <v>0</v>
      </c>
      <c r="G123" s="20">
        <v>0</v>
      </c>
      <c r="H123" s="20">
        <v>0</v>
      </c>
      <c r="J123" s="20">
        <v>0</v>
      </c>
      <c r="K123" s="20">
        <v>0</v>
      </c>
      <c r="M123" s="20">
        <v>1415.97</v>
      </c>
      <c r="N123" s="21">
        <v>33247.319999999992</v>
      </c>
      <c r="P123" s="20">
        <v>0</v>
      </c>
      <c r="Q123" s="21">
        <v>0</v>
      </c>
      <c r="S123" s="20">
        <v>0</v>
      </c>
      <c r="T123" s="20">
        <v>0</v>
      </c>
      <c r="V123" s="21">
        <f t="shared" si="4"/>
        <v>23.48024322549206</v>
      </c>
      <c r="W123" s="20">
        <f>+[35]References!C7*6</f>
        <v>25.98</v>
      </c>
      <c r="X123" s="21">
        <f t="shared" si="5"/>
        <v>610.01671899828375</v>
      </c>
      <c r="Y123" s="15">
        <f>+[35]References!C34</f>
        <v>473</v>
      </c>
      <c r="Z123" s="21">
        <f t="shared" si="6"/>
        <v>288537.9080861882</v>
      </c>
      <c r="AA123" s="21">
        <f>+Z123*[35]Regulated!$C$115</f>
        <v>227105.73797869257</v>
      </c>
    </row>
    <row r="124" spans="1:27">
      <c r="A124" s="218" t="s">
        <v>533</v>
      </c>
      <c r="B124" s="218" t="s">
        <v>534</v>
      </c>
      <c r="D124" s="20">
        <v>0</v>
      </c>
      <c r="E124" s="20">
        <v>0</v>
      </c>
      <c r="G124" s="20">
        <v>0</v>
      </c>
      <c r="H124" s="20">
        <v>0</v>
      </c>
      <c r="J124" s="20">
        <v>0</v>
      </c>
      <c r="K124" s="20">
        <v>0</v>
      </c>
      <c r="M124" s="20">
        <v>150.32</v>
      </c>
      <c r="N124" s="21">
        <v>13019.84</v>
      </c>
      <c r="P124" s="20">
        <v>0</v>
      </c>
      <c r="Q124" s="21">
        <v>0</v>
      </c>
      <c r="S124" s="20">
        <v>0</v>
      </c>
      <c r="T124" s="20">
        <v>0</v>
      </c>
      <c r="V124" s="21">
        <f t="shared" si="4"/>
        <v>86.614156466205429</v>
      </c>
      <c r="W124" s="20">
        <f>+[35]References!C10</f>
        <v>1</v>
      </c>
      <c r="X124" s="21">
        <f t="shared" si="5"/>
        <v>86.614156466205429</v>
      </c>
      <c r="Y124" s="15">
        <f>+[35]References!C34</f>
        <v>473</v>
      </c>
      <c r="Z124" s="21">
        <f t="shared" si="6"/>
        <v>40968.496008515169</v>
      </c>
      <c r="AA124" s="21">
        <f>+Z124*[35]Regulated!$C$115</f>
        <v>32245.955415715216</v>
      </c>
    </row>
    <row r="125" spans="1:27">
      <c r="A125" s="218" t="s">
        <v>535</v>
      </c>
      <c r="B125" s="218" t="s">
        <v>536</v>
      </c>
      <c r="D125" s="20">
        <v>0</v>
      </c>
      <c r="E125" s="20">
        <v>0</v>
      </c>
      <c r="G125" s="20">
        <v>0</v>
      </c>
      <c r="H125" s="20">
        <v>0</v>
      </c>
      <c r="J125" s="20">
        <v>0</v>
      </c>
      <c r="K125" s="20">
        <v>0</v>
      </c>
      <c r="M125" s="20">
        <v>0</v>
      </c>
      <c r="N125" s="21">
        <v>0</v>
      </c>
      <c r="P125" s="20">
        <v>28.39</v>
      </c>
      <c r="Q125" s="21">
        <v>341.7299999999999</v>
      </c>
      <c r="S125" s="20">
        <v>0</v>
      </c>
      <c r="T125" s="20">
        <v>0</v>
      </c>
      <c r="V125" s="21">
        <f t="shared" si="4"/>
        <v>12.036984853821764</v>
      </c>
      <c r="W125" s="22">
        <f>+[35]References!C7</f>
        <v>4.33</v>
      </c>
      <c r="X125" s="21">
        <f t="shared" si="5"/>
        <v>52.120144417048238</v>
      </c>
      <c r="Y125" s="15">
        <f>+[35]References!C21</f>
        <v>40</v>
      </c>
      <c r="Z125" s="21">
        <f t="shared" si="6"/>
        <v>2084.8057766819293</v>
      </c>
      <c r="AA125" s="21">
        <f>+Z125*[35]Regulated!$C$115</f>
        <v>1640.9329283490954</v>
      </c>
    </row>
    <row r="126" spans="1:27">
      <c r="A126" s="218" t="s">
        <v>537</v>
      </c>
      <c r="B126" s="218" t="s">
        <v>538</v>
      </c>
      <c r="D126" s="20">
        <v>0</v>
      </c>
      <c r="E126" s="20">
        <v>0</v>
      </c>
      <c r="G126" s="20">
        <v>0</v>
      </c>
      <c r="H126" s="20">
        <v>0</v>
      </c>
      <c r="J126" s="20">
        <v>0</v>
      </c>
      <c r="K126" s="20">
        <v>0</v>
      </c>
      <c r="M126" s="20">
        <v>0</v>
      </c>
      <c r="N126" s="21">
        <v>0</v>
      </c>
      <c r="P126" s="20">
        <v>20.47</v>
      </c>
      <c r="Q126" s="21">
        <v>7647.63</v>
      </c>
      <c r="S126" s="20">
        <v>0</v>
      </c>
      <c r="T126" s="20">
        <v>0</v>
      </c>
      <c r="V126" s="21">
        <f t="shared" si="4"/>
        <v>373.60185637518322</v>
      </c>
      <c r="W126" s="22">
        <f>+[35]References!C7</f>
        <v>4.33</v>
      </c>
      <c r="X126" s="21">
        <f t="shared" si="5"/>
        <v>1617.6960381045433</v>
      </c>
      <c r="Y126" s="15">
        <f>+[35]References!C21</f>
        <v>40</v>
      </c>
      <c r="Z126" s="21">
        <f t="shared" si="6"/>
        <v>64707.841524181727</v>
      </c>
      <c r="AA126" s="21">
        <f>+Z126*[35]Regulated!$C$115</f>
        <v>50930.992741404116</v>
      </c>
    </row>
    <row r="127" spans="1:27">
      <c r="A127" s="218" t="s">
        <v>199</v>
      </c>
      <c r="B127" s="218" t="s">
        <v>200</v>
      </c>
      <c r="D127" s="20">
        <v>0</v>
      </c>
      <c r="E127" s="20">
        <v>0</v>
      </c>
      <c r="G127" s="20">
        <v>435.16999999999996</v>
      </c>
      <c r="H127" s="20">
        <v>5657.21</v>
      </c>
      <c r="J127" s="20">
        <v>0</v>
      </c>
      <c r="K127" s="20">
        <v>0</v>
      </c>
      <c r="M127" s="20">
        <v>0</v>
      </c>
      <c r="N127" s="21">
        <v>0</v>
      </c>
      <c r="P127" s="20">
        <v>0</v>
      </c>
      <c r="Q127" s="21">
        <v>0</v>
      </c>
      <c r="S127" s="20">
        <v>0</v>
      </c>
      <c r="T127" s="20">
        <v>0</v>
      </c>
      <c r="V127" s="21">
        <f t="shared" si="4"/>
        <v>13.000000000000002</v>
      </c>
      <c r="W127" s="22">
        <f>+[35]References!C7</f>
        <v>4.33</v>
      </c>
      <c r="X127" s="21">
        <f t="shared" si="5"/>
        <v>56.290000000000006</v>
      </c>
      <c r="Y127" s="15">
        <f>+[35]References!C35</f>
        <v>613</v>
      </c>
      <c r="Z127" s="21">
        <f t="shared" si="6"/>
        <v>34505.770000000004</v>
      </c>
      <c r="AA127" s="21">
        <f>+Z127*[35]Regulated!$C$115</f>
        <v>27159.198638233109</v>
      </c>
    </row>
    <row r="128" spans="1:27">
      <c r="A128" s="218" t="s">
        <v>539</v>
      </c>
      <c r="B128" s="218" t="s">
        <v>200</v>
      </c>
      <c r="D128" s="20">
        <v>0</v>
      </c>
      <c r="E128" s="20">
        <v>0</v>
      </c>
      <c r="G128" s="20">
        <v>0</v>
      </c>
      <c r="H128" s="20">
        <v>0</v>
      </c>
      <c r="J128" s="20">
        <v>0</v>
      </c>
      <c r="K128" s="20">
        <v>0</v>
      </c>
      <c r="M128" s="20">
        <v>662.16</v>
      </c>
      <c r="N128" s="21">
        <v>141094.44000000003</v>
      </c>
      <c r="P128" s="20">
        <v>0</v>
      </c>
      <c r="Q128" s="21">
        <v>0</v>
      </c>
      <c r="S128" s="20">
        <v>0</v>
      </c>
      <c r="T128" s="20">
        <v>0</v>
      </c>
      <c r="V128" s="21">
        <f t="shared" si="4"/>
        <v>213.0820949619428</v>
      </c>
      <c r="W128" s="22">
        <f>+[35]References!C7</f>
        <v>4.33</v>
      </c>
      <c r="X128" s="21">
        <f t="shared" si="5"/>
        <v>922.64547118521239</v>
      </c>
      <c r="Y128" s="27">
        <f>+[35]References!C50</f>
        <v>1296</v>
      </c>
      <c r="Z128" s="21">
        <f t="shared" si="6"/>
        <v>1195748.5306560353</v>
      </c>
      <c r="AA128" s="21">
        <f>+Z128*[35]Regulated!$C$115</f>
        <v>941163.51744831749</v>
      </c>
    </row>
    <row r="129" spans="1:27">
      <c r="A129" s="218" t="s">
        <v>540</v>
      </c>
      <c r="B129" s="218" t="s">
        <v>158</v>
      </c>
      <c r="D129" s="20">
        <v>0</v>
      </c>
      <c r="E129" s="20">
        <v>0</v>
      </c>
      <c r="G129" s="20">
        <v>0</v>
      </c>
      <c r="H129" s="20">
        <v>0</v>
      </c>
      <c r="J129" s="20">
        <v>252.88</v>
      </c>
      <c r="K129" s="20">
        <v>11409.960000000001</v>
      </c>
      <c r="M129" s="20">
        <v>0</v>
      </c>
      <c r="N129" s="21">
        <v>0</v>
      </c>
      <c r="P129" s="20">
        <v>0</v>
      </c>
      <c r="Q129" s="21">
        <v>0</v>
      </c>
      <c r="S129" s="20">
        <v>0</v>
      </c>
      <c r="T129" s="20">
        <v>0</v>
      </c>
      <c r="V129" s="21">
        <f t="shared" si="4"/>
        <v>45.120056944005064</v>
      </c>
      <c r="W129" s="22">
        <f>+[35]References!C7</f>
        <v>4.33</v>
      </c>
      <c r="X129" s="21">
        <f t="shared" si="5"/>
        <v>195.36984656754194</v>
      </c>
      <c r="Y129" s="15">
        <f>+[35]References!C35</f>
        <v>613</v>
      </c>
      <c r="Z129" s="21">
        <f t="shared" si="6"/>
        <v>119761.71594590321</v>
      </c>
      <c r="AA129" s="21">
        <f>+Z129*[35]Regulated!$C$115</f>
        <v>94263.429931586361</v>
      </c>
    </row>
    <row r="130" spans="1:27">
      <c r="A130" s="218" t="s">
        <v>541</v>
      </c>
      <c r="B130" s="218" t="s">
        <v>158</v>
      </c>
      <c r="D130" s="20">
        <v>0</v>
      </c>
      <c r="E130" s="20">
        <v>0</v>
      </c>
      <c r="G130" s="20">
        <v>0</v>
      </c>
      <c r="H130" s="20">
        <v>0</v>
      </c>
      <c r="J130" s="20">
        <v>0</v>
      </c>
      <c r="K130" s="20">
        <v>0</v>
      </c>
      <c r="M130" s="20">
        <v>294.99</v>
      </c>
      <c r="N130" s="21">
        <v>926990.94</v>
      </c>
      <c r="P130" s="20">
        <v>0</v>
      </c>
      <c r="Q130" s="21">
        <v>0</v>
      </c>
      <c r="S130" s="20">
        <v>0</v>
      </c>
      <c r="T130" s="20">
        <v>0</v>
      </c>
      <c r="V130" s="21">
        <f t="shared" si="4"/>
        <v>3142.4486931760398</v>
      </c>
      <c r="W130" s="22">
        <f>+[35]References!C7</f>
        <v>4.33</v>
      </c>
      <c r="X130" s="21">
        <f t="shared" si="5"/>
        <v>13606.802841452252</v>
      </c>
      <c r="Y130" s="15">
        <f>+[35]References!C35</f>
        <v>613</v>
      </c>
      <c r="Z130" s="21">
        <f t="shared" si="6"/>
        <v>8340970.1418102309</v>
      </c>
      <c r="AA130" s="21">
        <f>+Z130*[35]Regulated!$C$115</f>
        <v>6565106.7898787772</v>
      </c>
    </row>
    <row r="131" spans="1:27">
      <c r="A131" s="218" t="s">
        <v>542</v>
      </c>
      <c r="B131" s="218" t="s">
        <v>158</v>
      </c>
      <c r="D131" s="20">
        <v>0</v>
      </c>
      <c r="E131" s="20">
        <v>0</v>
      </c>
      <c r="G131" s="20">
        <v>0</v>
      </c>
      <c r="H131" s="20">
        <v>0</v>
      </c>
      <c r="J131" s="20">
        <v>0</v>
      </c>
      <c r="K131" s="20">
        <v>0</v>
      </c>
      <c r="M131" s="20">
        <v>0</v>
      </c>
      <c r="N131" s="21">
        <v>0</v>
      </c>
      <c r="P131" s="20">
        <v>334.34</v>
      </c>
      <c r="Q131" s="21">
        <v>71835.899999999994</v>
      </c>
      <c r="S131" s="20">
        <v>0</v>
      </c>
      <c r="T131" s="20">
        <v>0</v>
      </c>
      <c r="V131" s="21">
        <f t="shared" si="4"/>
        <v>214.85882634443979</v>
      </c>
      <c r="W131" s="22">
        <f>+[35]References!C7</f>
        <v>4.33</v>
      </c>
      <c r="X131" s="21">
        <f t="shared" si="5"/>
        <v>930.3387180714243</v>
      </c>
      <c r="Y131" s="15">
        <f>+[35]References!C35</f>
        <v>613</v>
      </c>
      <c r="Z131" s="21">
        <f t="shared" si="6"/>
        <v>570297.63417778304</v>
      </c>
      <c r="AA131" s="21">
        <f>+Z131*[35]Regulated!$C$115</f>
        <v>448876.42645125167</v>
      </c>
    </row>
    <row r="132" spans="1:27">
      <c r="A132" s="218" t="s">
        <v>543</v>
      </c>
      <c r="B132" s="218" t="s">
        <v>160</v>
      </c>
      <c r="D132" s="20">
        <v>0</v>
      </c>
      <c r="E132" s="20">
        <v>0</v>
      </c>
      <c r="G132" s="20">
        <v>0</v>
      </c>
      <c r="H132" s="20">
        <v>0</v>
      </c>
      <c r="J132" s="20">
        <v>505.76</v>
      </c>
      <c r="K132" s="20">
        <v>12358.880000000001</v>
      </c>
      <c r="M132" s="20">
        <v>0</v>
      </c>
      <c r="N132" s="21">
        <v>0</v>
      </c>
      <c r="P132" s="20">
        <v>0</v>
      </c>
      <c r="Q132" s="21">
        <v>0</v>
      </c>
      <c r="S132" s="20">
        <v>0</v>
      </c>
      <c r="T132" s="20">
        <v>0</v>
      </c>
      <c r="V132" s="21">
        <f t="shared" si="4"/>
        <v>24.436254349889278</v>
      </c>
      <c r="W132" s="22">
        <f>+[35]References!C6</f>
        <v>8.66</v>
      </c>
      <c r="X132" s="21">
        <f t="shared" si="5"/>
        <v>211.61796267004115</v>
      </c>
      <c r="Y132" s="15">
        <f>+[35]References!C35</f>
        <v>613</v>
      </c>
      <c r="Z132" s="21">
        <f t="shared" si="6"/>
        <v>129721.81111673523</v>
      </c>
      <c r="AA132" s="21">
        <f>+Z132*[35]Regulated!$C$115</f>
        <v>102102.93628662011</v>
      </c>
    </row>
    <row r="133" spans="1:27">
      <c r="A133" s="218" t="s">
        <v>544</v>
      </c>
      <c r="B133" s="218" t="s">
        <v>160</v>
      </c>
      <c r="D133" s="20">
        <v>0</v>
      </c>
      <c r="E133" s="20">
        <v>0</v>
      </c>
      <c r="G133" s="20">
        <v>0</v>
      </c>
      <c r="H133" s="20">
        <v>0</v>
      </c>
      <c r="J133" s="20">
        <v>0</v>
      </c>
      <c r="K133" s="20">
        <v>0</v>
      </c>
      <c r="M133" s="20">
        <v>589.99</v>
      </c>
      <c r="N133" s="21">
        <v>1006348.85</v>
      </c>
      <c r="P133" s="20">
        <v>0</v>
      </c>
      <c r="Q133" s="21">
        <v>0</v>
      </c>
      <c r="S133" s="20">
        <v>0</v>
      </c>
      <c r="T133" s="20">
        <v>0</v>
      </c>
      <c r="V133" s="21">
        <f t="shared" si="4"/>
        <v>1705.7049272021559</v>
      </c>
      <c r="W133" s="22">
        <f>+[35]References!C6</f>
        <v>8.66</v>
      </c>
      <c r="X133" s="21">
        <f t="shared" si="5"/>
        <v>14771.404669570671</v>
      </c>
      <c r="Y133" s="15">
        <f>+[35]References!C35</f>
        <v>613</v>
      </c>
      <c r="Z133" s="21">
        <f t="shared" si="6"/>
        <v>9054871.0624468215</v>
      </c>
      <c r="AA133" s="21">
        <f>+Z133*[35]Regulated!$C$115</f>
        <v>7127012.1440148149</v>
      </c>
    </row>
    <row r="134" spans="1:27">
      <c r="A134" s="218" t="s">
        <v>545</v>
      </c>
      <c r="B134" s="218" t="s">
        <v>160</v>
      </c>
      <c r="D134" s="20">
        <v>0</v>
      </c>
      <c r="E134" s="20">
        <v>0</v>
      </c>
      <c r="G134" s="20">
        <v>0</v>
      </c>
      <c r="H134" s="20">
        <v>0</v>
      </c>
      <c r="J134" s="20">
        <v>0</v>
      </c>
      <c r="K134" s="20">
        <v>0</v>
      </c>
      <c r="M134" s="20">
        <v>0</v>
      </c>
      <c r="N134" s="21">
        <v>0</v>
      </c>
      <c r="P134" s="20">
        <v>667.61</v>
      </c>
      <c r="Q134" s="21">
        <v>32171.519999999997</v>
      </c>
      <c r="S134" s="20">
        <v>0</v>
      </c>
      <c r="T134" s="20">
        <v>0</v>
      </c>
      <c r="V134" s="21">
        <f t="shared" si="4"/>
        <v>48.189092434205591</v>
      </c>
      <c r="W134" s="22">
        <f>+[35]References!C6</f>
        <v>8.66</v>
      </c>
      <c r="X134" s="21">
        <f t="shared" si="5"/>
        <v>417.31754048022043</v>
      </c>
      <c r="Y134" s="15">
        <f>+[35]References!C35</f>
        <v>613</v>
      </c>
      <c r="Z134" s="21">
        <f t="shared" si="6"/>
        <v>255815.65231437513</v>
      </c>
      <c r="AA134" s="21">
        <f>+Z134*[35]Regulated!$C$115</f>
        <v>201350.32824873319</v>
      </c>
    </row>
    <row r="135" spans="1:27">
      <c r="A135" s="218" t="s">
        <v>546</v>
      </c>
      <c r="B135" s="218" t="s">
        <v>162</v>
      </c>
      <c r="D135" s="20">
        <v>0</v>
      </c>
      <c r="E135" s="20">
        <v>0</v>
      </c>
      <c r="G135" s="20">
        <v>0</v>
      </c>
      <c r="H135" s="20">
        <v>0</v>
      </c>
      <c r="J135" s="20">
        <v>0</v>
      </c>
      <c r="K135" s="20">
        <v>0</v>
      </c>
      <c r="M135" s="20">
        <v>884.98</v>
      </c>
      <c r="N135" s="21">
        <v>605926.43999999994</v>
      </c>
      <c r="P135" s="20">
        <v>0</v>
      </c>
      <c r="Q135" s="21">
        <v>0</v>
      </c>
      <c r="S135" s="20">
        <v>0</v>
      </c>
      <c r="T135" s="20">
        <v>0</v>
      </c>
      <c r="V135" s="21">
        <f t="shared" si="4"/>
        <v>684.67811701959363</v>
      </c>
      <c r="W135" s="22">
        <f>+[35]References!C5</f>
        <v>12.99</v>
      </c>
      <c r="X135" s="21">
        <f t="shared" si="5"/>
        <v>8893.9687400845214</v>
      </c>
      <c r="Y135" s="15">
        <f>+[35]References!C35</f>
        <v>613</v>
      </c>
      <c r="Z135" s="21">
        <f t="shared" si="6"/>
        <v>5452002.8376718117</v>
      </c>
      <c r="AA135" s="21">
        <f>+Z135*[35]Regulated!$C$115</f>
        <v>4291225.1500122817</v>
      </c>
    </row>
    <row r="136" spans="1:27">
      <c r="A136" s="218" t="s">
        <v>547</v>
      </c>
      <c r="B136" s="218" t="s">
        <v>162</v>
      </c>
      <c r="D136" s="20">
        <v>0</v>
      </c>
      <c r="E136" s="20">
        <v>0</v>
      </c>
      <c r="G136" s="20">
        <v>0</v>
      </c>
      <c r="H136" s="20">
        <v>0</v>
      </c>
      <c r="J136" s="20">
        <v>0</v>
      </c>
      <c r="K136" s="20">
        <v>0</v>
      </c>
      <c r="M136" s="20">
        <v>0</v>
      </c>
      <c r="N136" s="21">
        <v>0</v>
      </c>
      <c r="P136" s="20">
        <v>1000.86</v>
      </c>
      <c r="Q136" s="21">
        <v>23116.199999999997</v>
      </c>
      <c r="S136" s="20">
        <v>0</v>
      </c>
      <c r="T136" s="20">
        <v>0</v>
      </c>
      <c r="V136" s="21">
        <f t="shared" si="4"/>
        <v>23.096337150050953</v>
      </c>
      <c r="W136" s="22">
        <f>+[35]References!C5</f>
        <v>12.99</v>
      </c>
      <c r="X136" s="21">
        <f t="shared" si="5"/>
        <v>300.02141957916189</v>
      </c>
      <c r="Y136" s="15">
        <f>+[35]References!C35</f>
        <v>613</v>
      </c>
      <c r="Z136" s="21">
        <f t="shared" si="6"/>
        <v>183913.13020202622</v>
      </c>
      <c r="AA136" s="21">
        <f>+Z136*[35]Regulated!$C$115</f>
        <v>144756.46349396228</v>
      </c>
    </row>
    <row r="137" spans="1:27">
      <c r="A137" s="218" t="s">
        <v>548</v>
      </c>
      <c r="B137" s="218" t="s">
        <v>164</v>
      </c>
      <c r="D137" s="20">
        <v>0</v>
      </c>
      <c r="E137" s="20">
        <v>0</v>
      </c>
      <c r="G137" s="20">
        <v>0</v>
      </c>
      <c r="H137" s="20">
        <v>0</v>
      </c>
      <c r="J137" s="20">
        <v>0</v>
      </c>
      <c r="K137" s="20">
        <v>0</v>
      </c>
      <c r="M137" s="20">
        <v>1179.97</v>
      </c>
      <c r="N137" s="21">
        <v>187469.27000000002</v>
      </c>
      <c r="P137" s="20">
        <v>0</v>
      </c>
      <c r="Q137" s="21">
        <v>0</v>
      </c>
      <c r="S137" s="20">
        <v>0</v>
      </c>
      <c r="T137" s="20">
        <v>0</v>
      </c>
      <c r="V137" s="21">
        <f t="shared" ref="V137:V200" si="7">+IFERROR((E137/D137),0)+IFERROR((H137/G137),0)+IFERROR((K137/J137),0)+IFERROR((N137/M137),0)+IFERROR((Q137/P137),0)+IFERROR((T137/S137),0)</f>
        <v>158.87630193987985</v>
      </c>
      <c r="W137" s="22">
        <f>+[35]References!C4</f>
        <v>17.32</v>
      </c>
      <c r="X137" s="21">
        <f t="shared" ref="X137:X200" si="8">+V137*W137</f>
        <v>2751.7375495987189</v>
      </c>
      <c r="Y137" s="15">
        <f>+[35]References!C35</f>
        <v>613</v>
      </c>
      <c r="Z137" s="21">
        <f t="shared" ref="Z137:Z200" si="9">+X137*Y137</f>
        <v>1686815.1179040147</v>
      </c>
      <c r="AA137" s="21">
        <f>+Z137*[35]Regulated!$C$115</f>
        <v>1327677.8594747989</v>
      </c>
    </row>
    <row r="138" spans="1:27">
      <c r="A138" s="218" t="s">
        <v>549</v>
      </c>
      <c r="B138" s="218" t="s">
        <v>166</v>
      </c>
      <c r="D138" s="20">
        <v>0</v>
      </c>
      <c r="E138" s="20">
        <v>0</v>
      </c>
      <c r="G138" s="20">
        <v>0</v>
      </c>
      <c r="H138" s="20">
        <v>0</v>
      </c>
      <c r="J138" s="20">
        <v>0</v>
      </c>
      <c r="K138" s="20">
        <v>0</v>
      </c>
      <c r="M138" s="20">
        <v>1474.97</v>
      </c>
      <c r="N138" s="21">
        <v>55301.4</v>
      </c>
      <c r="P138" s="20">
        <v>0</v>
      </c>
      <c r="Q138" s="21">
        <v>0</v>
      </c>
      <c r="S138" s="20">
        <v>0</v>
      </c>
      <c r="T138" s="20">
        <v>0</v>
      </c>
      <c r="V138" s="21">
        <f t="shared" si="7"/>
        <v>37.493237150586111</v>
      </c>
      <c r="W138" s="22">
        <f>+[35]References!C3</f>
        <v>21.65</v>
      </c>
      <c r="X138" s="21">
        <f t="shared" si="8"/>
        <v>811.72858431018926</v>
      </c>
      <c r="Y138" s="15">
        <f>+[35]References!C35</f>
        <v>613</v>
      </c>
      <c r="Z138" s="21">
        <f t="shared" si="9"/>
        <v>497589.62218214601</v>
      </c>
      <c r="AA138" s="21">
        <f>+Z138*[35]Regulated!$C$115</f>
        <v>391648.56744736503</v>
      </c>
    </row>
    <row r="139" spans="1:27">
      <c r="A139" s="218" t="s">
        <v>550</v>
      </c>
      <c r="B139" s="218" t="s">
        <v>168</v>
      </c>
      <c r="D139" s="20">
        <v>0</v>
      </c>
      <c r="E139" s="20">
        <v>0</v>
      </c>
      <c r="G139" s="20">
        <v>0</v>
      </c>
      <c r="H139" s="20">
        <v>0</v>
      </c>
      <c r="J139" s="20">
        <v>0</v>
      </c>
      <c r="K139" s="20">
        <v>0</v>
      </c>
      <c r="M139" s="20">
        <v>1769.96</v>
      </c>
      <c r="N139" s="21">
        <v>98798.75</v>
      </c>
      <c r="P139" s="20">
        <v>0</v>
      </c>
      <c r="Q139" s="21">
        <v>0</v>
      </c>
      <c r="S139" s="20">
        <v>0</v>
      </c>
      <c r="T139" s="20">
        <v>0</v>
      </c>
      <c r="V139" s="21">
        <f t="shared" si="7"/>
        <v>55.819764288458494</v>
      </c>
      <c r="W139" s="15">
        <f>+[35]References!C7*6</f>
        <v>25.98</v>
      </c>
      <c r="X139" s="21">
        <f t="shared" si="8"/>
        <v>1450.1974762141517</v>
      </c>
      <c r="Y139" s="15">
        <f>+[35]References!C35</f>
        <v>613</v>
      </c>
      <c r="Z139" s="21">
        <f t="shared" si="9"/>
        <v>888971.05291927501</v>
      </c>
      <c r="AA139" s="21">
        <f>+Z139*[35]Regulated!$C$115</f>
        <v>699701.56903827458</v>
      </c>
    </row>
    <row r="140" spans="1:27">
      <c r="A140" s="218" t="s">
        <v>551</v>
      </c>
      <c r="B140" s="218" t="s">
        <v>172</v>
      </c>
      <c r="D140" s="20">
        <v>0</v>
      </c>
      <c r="E140" s="20">
        <v>0</v>
      </c>
      <c r="G140" s="20">
        <v>0</v>
      </c>
      <c r="H140" s="20">
        <v>0</v>
      </c>
      <c r="J140" s="20">
        <v>284.79000000000002</v>
      </c>
      <c r="K140" s="20">
        <v>0</v>
      </c>
      <c r="M140" s="20">
        <v>0</v>
      </c>
      <c r="N140" s="21">
        <v>0</v>
      </c>
      <c r="P140" s="20">
        <v>0</v>
      </c>
      <c r="Q140" s="21">
        <v>0</v>
      </c>
      <c r="S140" s="20">
        <v>0</v>
      </c>
      <c r="T140" s="20">
        <v>0</v>
      </c>
      <c r="V140" s="21">
        <f t="shared" si="7"/>
        <v>0</v>
      </c>
      <c r="W140" s="22">
        <f>+[35]References!C7</f>
        <v>4.33</v>
      </c>
      <c r="X140" s="21">
        <f t="shared" si="8"/>
        <v>0</v>
      </c>
      <c r="Y140" s="15">
        <f>+[35]References!C36</f>
        <v>728</v>
      </c>
      <c r="Z140" s="21">
        <f t="shared" si="9"/>
        <v>0</v>
      </c>
      <c r="AA140" s="21">
        <f>+Z140*[35]Regulated!$C$115</f>
        <v>0</v>
      </c>
    </row>
    <row r="141" spans="1:27">
      <c r="A141" s="218" t="s">
        <v>552</v>
      </c>
      <c r="B141" s="218" t="s">
        <v>172</v>
      </c>
      <c r="D141" s="20">
        <v>0</v>
      </c>
      <c r="E141" s="20">
        <v>0</v>
      </c>
      <c r="G141" s="20">
        <v>0</v>
      </c>
      <c r="H141" s="20">
        <v>0</v>
      </c>
      <c r="J141" s="20">
        <v>0</v>
      </c>
      <c r="K141" s="20">
        <v>0</v>
      </c>
      <c r="M141" s="20">
        <v>353.99</v>
      </c>
      <c r="N141" s="21">
        <v>8311.7999999999993</v>
      </c>
      <c r="P141" s="20">
        <v>0</v>
      </c>
      <c r="Q141" s="21">
        <v>0</v>
      </c>
      <c r="S141" s="20">
        <v>0</v>
      </c>
      <c r="T141" s="20">
        <v>0</v>
      </c>
      <c r="V141" s="21">
        <f t="shared" si="7"/>
        <v>23.480324302946407</v>
      </c>
      <c r="W141" s="22">
        <f>+[35]References!C7</f>
        <v>4.33</v>
      </c>
      <c r="X141" s="21">
        <f t="shared" si="8"/>
        <v>101.66980423175795</v>
      </c>
      <c r="Y141" s="15">
        <f>+[35]References!C36</f>
        <v>728</v>
      </c>
      <c r="Z141" s="21">
        <f t="shared" si="9"/>
        <v>74015.617480719782</v>
      </c>
      <c r="AA141" s="21">
        <f>+Z141*[35]Regulated!$C$115</f>
        <v>58257.064180580441</v>
      </c>
    </row>
    <row r="142" spans="1:27">
      <c r="A142" s="218" t="s">
        <v>553</v>
      </c>
      <c r="B142" s="218" t="s">
        <v>554</v>
      </c>
      <c r="D142" s="20">
        <v>0</v>
      </c>
      <c r="E142" s="20">
        <v>0</v>
      </c>
      <c r="G142" s="20">
        <v>0</v>
      </c>
      <c r="H142" s="20">
        <v>0</v>
      </c>
      <c r="J142" s="20">
        <v>0</v>
      </c>
      <c r="K142" s="20">
        <v>0</v>
      </c>
      <c r="M142" s="20">
        <v>927.02</v>
      </c>
      <c r="N142" s="21">
        <v>25938.270000000004</v>
      </c>
      <c r="P142" s="20">
        <v>0</v>
      </c>
      <c r="Q142" s="21">
        <v>0</v>
      </c>
      <c r="S142" s="20">
        <v>0</v>
      </c>
      <c r="T142" s="20">
        <v>0</v>
      </c>
      <c r="V142" s="21">
        <f t="shared" si="7"/>
        <v>27.980270112834681</v>
      </c>
      <c r="W142" s="22">
        <f>+[35]References!C7</f>
        <v>4.33</v>
      </c>
      <c r="X142" s="21">
        <f t="shared" si="8"/>
        <v>121.15456958857418</v>
      </c>
      <c r="Y142" s="27">
        <f>+[35]References!C51</f>
        <v>1892</v>
      </c>
      <c r="Z142" s="21">
        <f t="shared" si="9"/>
        <v>229224.44566158234</v>
      </c>
      <c r="AA142" s="21">
        <f>+Z142*[35]Regulated!$C$115</f>
        <v>180420.61523222885</v>
      </c>
    </row>
    <row r="143" spans="1:27">
      <c r="A143" s="218" t="s">
        <v>555</v>
      </c>
      <c r="B143" s="218" t="s">
        <v>176</v>
      </c>
      <c r="D143" s="20">
        <v>0</v>
      </c>
      <c r="E143" s="20">
        <v>0</v>
      </c>
      <c r="G143" s="20">
        <v>0</v>
      </c>
      <c r="H143" s="20">
        <v>0</v>
      </c>
      <c r="J143" s="20">
        <v>316.41000000000003</v>
      </c>
      <c r="K143" s="20">
        <v>37960.740000000005</v>
      </c>
      <c r="M143" s="20">
        <v>0</v>
      </c>
      <c r="N143" s="21">
        <v>0</v>
      </c>
      <c r="P143" s="20">
        <v>0</v>
      </c>
      <c r="Q143" s="21">
        <v>0</v>
      </c>
      <c r="S143" s="20">
        <v>0</v>
      </c>
      <c r="T143" s="20">
        <v>0</v>
      </c>
      <c r="V143" s="21">
        <f t="shared" si="7"/>
        <v>119.97326253911065</v>
      </c>
      <c r="W143" s="22">
        <f>+[35]References!C7</f>
        <v>4.33</v>
      </c>
      <c r="X143" s="21">
        <f t="shared" si="8"/>
        <v>519.48422679434907</v>
      </c>
      <c r="Y143" s="15">
        <f>+[35]References!C37</f>
        <v>840</v>
      </c>
      <c r="Z143" s="21">
        <f t="shared" si="9"/>
        <v>436366.75050725322</v>
      </c>
      <c r="AA143" s="21">
        <f>+Z143*[35]Regulated!$C$115</f>
        <v>343460.56488948938</v>
      </c>
    </row>
    <row r="144" spans="1:27">
      <c r="A144" s="218" t="s">
        <v>175</v>
      </c>
      <c r="B144" s="218" t="s">
        <v>176</v>
      </c>
      <c r="D144" s="20">
        <v>0</v>
      </c>
      <c r="E144" s="20">
        <v>0</v>
      </c>
      <c r="G144" s="20">
        <v>0</v>
      </c>
      <c r="H144" s="20">
        <v>0</v>
      </c>
      <c r="J144" s="20">
        <v>0</v>
      </c>
      <c r="K144" s="20">
        <v>0</v>
      </c>
      <c r="M144" s="20">
        <v>0</v>
      </c>
      <c r="N144" s="21">
        <v>0</v>
      </c>
      <c r="P144" s="20">
        <v>0</v>
      </c>
      <c r="Q144" s="21">
        <v>0</v>
      </c>
      <c r="S144" s="20">
        <v>0</v>
      </c>
      <c r="T144" s="20">
        <v>0</v>
      </c>
      <c r="V144" s="21">
        <f t="shared" si="7"/>
        <v>0</v>
      </c>
      <c r="W144" s="22">
        <f>+[35]References!C7</f>
        <v>4.33</v>
      </c>
      <c r="X144" s="21">
        <f t="shared" si="8"/>
        <v>0</v>
      </c>
      <c r="Y144" s="15">
        <f>+[35]References!C37</f>
        <v>840</v>
      </c>
      <c r="Z144" s="21">
        <f t="shared" si="9"/>
        <v>0</v>
      </c>
      <c r="AA144" s="21">
        <f>+Z144*[35]Regulated!$C$115</f>
        <v>0</v>
      </c>
    </row>
    <row r="145" spans="1:27">
      <c r="A145" s="218" t="s">
        <v>556</v>
      </c>
      <c r="B145" s="218" t="s">
        <v>176</v>
      </c>
      <c r="D145" s="20">
        <v>0</v>
      </c>
      <c r="E145" s="20">
        <v>0</v>
      </c>
      <c r="G145" s="20">
        <v>0</v>
      </c>
      <c r="H145" s="20">
        <v>0</v>
      </c>
      <c r="J145" s="20">
        <v>0</v>
      </c>
      <c r="K145" s="20">
        <v>0</v>
      </c>
      <c r="M145" s="20">
        <v>412.99</v>
      </c>
      <c r="N145" s="21">
        <v>643842.76</v>
      </c>
      <c r="P145" s="20">
        <v>0</v>
      </c>
      <c r="Q145" s="21">
        <v>0</v>
      </c>
      <c r="S145" s="20">
        <v>0</v>
      </c>
      <c r="T145" s="20">
        <v>0</v>
      </c>
      <c r="V145" s="21">
        <f t="shared" si="7"/>
        <v>1558.9790551829342</v>
      </c>
      <c r="W145" s="22">
        <f>+[35]References!C7</f>
        <v>4.33</v>
      </c>
      <c r="X145" s="21">
        <f t="shared" si="8"/>
        <v>6750.3793089421051</v>
      </c>
      <c r="Y145" s="15">
        <f>+[35]References!C37</f>
        <v>840</v>
      </c>
      <c r="Z145" s="21">
        <f t="shared" si="9"/>
        <v>5670318.6195113687</v>
      </c>
      <c r="AA145" s="21">
        <f>+Z145*[35]Regulated!$C$115</f>
        <v>4463059.6485567773</v>
      </c>
    </row>
    <row r="146" spans="1:27">
      <c r="A146" s="218" t="s">
        <v>557</v>
      </c>
      <c r="B146" s="218" t="s">
        <v>176</v>
      </c>
      <c r="D146" s="20">
        <v>0</v>
      </c>
      <c r="E146" s="20">
        <v>0</v>
      </c>
      <c r="G146" s="20">
        <v>0</v>
      </c>
      <c r="H146" s="20">
        <v>0</v>
      </c>
      <c r="J146" s="20">
        <v>0</v>
      </c>
      <c r="K146" s="20">
        <v>0</v>
      </c>
      <c r="M146" s="20">
        <v>0</v>
      </c>
      <c r="N146" s="21">
        <v>0</v>
      </c>
      <c r="P146" s="20">
        <v>445.48</v>
      </c>
      <c r="Q146" s="21">
        <v>29629.870000000003</v>
      </c>
      <c r="S146" s="20">
        <v>0</v>
      </c>
      <c r="T146" s="20">
        <v>0</v>
      </c>
      <c r="V146" s="21">
        <f t="shared" si="7"/>
        <v>66.51223399479214</v>
      </c>
      <c r="W146" s="22">
        <f>+[35]References!C7</f>
        <v>4.33</v>
      </c>
      <c r="X146" s="21">
        <f t="shared" si="8"/>
        <v>287.99797319744999</v>
      </c>
      <c r="Y146" s="15">
        <f>+[35]References!C37</f>
        <v>840</v>
      </c>
      <c r="Z146" s="21">
        <f t="shared" si="9"/>
        <v>241918.297485858</v>
      </c>
      <c r="AA146" s="21">
        <f>+Z146*[35]Regulated!$C$115</f>
        <v>190411.83824159222</v>
      </c>
    </row>
    <row r="147" spans="1:27">
      <c r="A147" s="218" t="s">
        <v>558</v>
      </c>
      <c r="B147" s="218" t="s">
        <v>178</v>
      </c>
      <c r="D147" s="20">
        <v>0</v>
      </c>
      <c r="E147" s="20">
        <v>0</v>
      </c>
      <c r="G147" s="20">
        <v>0</v>
      </c>
      <c r="H147" s="20">
        <v>0</v>
      </c>
      <c r="J147" s="20">
        <v>632.82000000000005</v>
      </c>
      <c r="K147" s="20">
        <v>7575.24</v>
      </c>
      <c r="M147" s="20">
        <v>0</v>
      </c>
      <c r="N147" s="21">
        <v>0</v>
      </c>
      <c r="P147" s="20">
        <v>0</v>
      </c>
      <c r="Q147" s="21">
        <v>0</v>
      </c>
      <c r="S147" s="20">
        <v>0</v>
      </c>
      <c r="T147" s="20">
        <v>0</v>
      </c>
      <c r="V147" s="21">
        <f t="shared" si="7"/>
        <v>11.97060775575993</v>
      </c>
      <c r="W147" s="22">
        <f>+[35]References!C6</f>
        <v>8.66</v>
      </c>
      <c r="X147" s="21">
        <f t="shared" si="8"/>
        <v>103.665463164881</v>
      </c>
      <c r="Y147" s="15">
        <f>+[35]References!C37</f>
        <v>840</v>
      </c>
      <c r="Z147" s="21">
        <f t="shared" si="9"/>
        <v>87078.989058500039</v>
      </c>
      <c r="AA147" s="21">
        <f>+Z147*[35]Regulated!$C$115</f>
        <v>68539.133050974662</v>
      </c>
    </row>
    <row r="148" spans="1:27">
      <c r="A148" s="218" t="s">
        <v>559</v>
      </c>
      <c r="B148" s="218" t="s">
        <v>178</v>
      </c>
      <c r="D148" s="20">
        <v>0</v>
      </c>
      <c r="E148" s="20">
        <v>0</v>
      </c>
      <c r="G148" s="20">
        <v>0</v>
      </c>
      <c r="H148" s="20">
        <v>0</v>
      </c>
      <c r="J148" s="20">
        <v>0</v>
      </c>
      <c r="K148" s="20">
        <v>0</v>
      </c>
      <c r="M148" s="20">
        <v>825.98</v>
      </c>
      <c r="N148" s="21">
        <v>511448.14</v>
      </c>
      <c r="P148" s="20">
        <v>0</v>
      </c>
      <c r="Q148" s="21">
        <v>0</v>
      </c>
      <c r="S148" s="20">
        <v>0</v>
      </c>
      <c r="T148" s="20">
        <v>0</v>
      </c>
      <c r="V148" s="21">
        <f t="shared" si="7"/>
        <v>619.20160294438119</v>
      </c>
      <c r="W148" s="22">
        <f>+[35]References!C6</f>
        <v>8.66</v>
      </c>
      <c r="X148" s="21">
        <f t="shared" si="8"/>
        <v>5362.285881498341</v>
      </c>
      <c r="Y148" s="15">
        <f>+[35]References!C37</f>
        <v>840</v>
      </c>
      <c r="Z148" s="21">
        <f t="shared" si="9"/>
        <v>4504320.1404586062</v>
      </c>
      <c r="AA148" s="21">
        <f>+Z148*[35]Regulated!$C$115</f>
        <v>3545312.1441692021</v>
      </c>
    </row>
    <row r="149" spans="1:27">
      <c r="A149" s="218" t="s">
        <v>560</v>
      </c>
      <c r="B149" s="218" t="s">
        <v>178</v>
      </c>
      <c r="D149" s="20">
        <v>0</v>
      </c>
      <c r="E149" s="20">
        <v>0</v>
      </c>
      <c r="G149" s="20">
        <v>0</v>
      </c>
      <c r="H149" s="20">
        <v>0</v>
      </c>
      <c r="J149" s="20">
        <v>0</v>
      </c>
      <c r="K149" s="20">
        <v>0</v>
      </c>
      <c r="M149" s="20">
        <v>0</v>
      </c>
      <c r="N149" s="21">
        <v>0</v>
      </c>
      <c r="P149" s="20">
        <v>889.33</v>
      </c>
      <c r="Q149" s="21">
        <v>10046.540000000001</v>
      </c>
      <c r="S149" s="20">
        <v>0</v>
      </c>
      <c r="T149" s="20">
        <v>0</v>
      </c>
      <c r="V149" s="21">
        <f t="shared" si="7"/>
        <v>11.296751487074539</v>
      </c>
      <c r="W149" s="22">
        <f>+[35]References!C6</f>
        <v>8.66</v>
      </c>
      <c r="X149" s="21">
        <f t="shared" si="8"/>
        <v>97.829867878065514</v>
      </c>
      <c r="Y149" s="15">
        <f>+[35]References!C37</f>
        <v>840</v>
      </c>
      <c r="Z149" s="21">
        <f t="shared" si="9"/>
        <v>82177.089017575025</v>
      </c>
      <c r="AA149" s="21">
        <f>+Z149*[35]Regulated!$C$115</f>
        <v>64680.889142311105</v>
      </c>
    </row>
    <row r="150" spans="1:27">
      <c r="A150" s="218" t="s">
        <v>561</v>
      </c>
      <c r="B150" s="218" t="s">
        <v>180</v>
      </c>
      <c r="D150" s="20">
        <v>0</v>
      </c>
      <c r="E150" s="20">
        <v>0</v>
      </c>
      <c r="G150" s="20">
        <v>0</v>
      </c>
      <c r="H150" s="20">
        <v>0</v>
      </c>
      <c r="J150" s="20">
        <v>0</v>
      </c>
      <c r="K150" s="20">
        <v>0</v>
      </c>
      <c r="M150" s="20">
        <v>1238.97</v>
      </c>
      <c r="N150" s="21">
        <v>211269.12</v>
      </c>
      <c r="P150" s="20">
        <v>0</v>
      </c>
      <c r="Q150" s="21">
        <v>0</v>
      </c>
      <c r="S150" s="20">
        <v>0</v>
      </c>
      <c r="T150" s="20">
        <v>0</v>
      </c>
      <c r="V150" s="21">
        <f t="shared" si="7"/>
        <v>170.5199641637812</v>
      </c>
      <c r="W150" s="22">
        <f>+[35]References!C5</f>
        <v>12.99</v>
      </c>
      <c r="X150" s="21">
        <f t="shared" si="8"/>
        <v>2215.0543344875177</v>
      </c>
      <c r="Y150" s="15">
        <f>+[35]References!C37</f>
        <v>840</v>
      </c>
      <c r="Z150" s="21">
        <f t="shared" si="9"/>
        <v>1860645.6409695148</v>
      </c>
      <c r="AA150" s="21">
        <f>+Z150*[35]Regulated!$C$115</f>
        <v>1464498.3884855667</v>
      </c>
    </row>
    <row r="151" spans="1:27">
      <c r="A151" s="218" t="s">
        <v>562</v>
      </c>
      <c r="B151" s="218" t="s">
        <v>180</v>
      </c>
      <c r="D151" s="20">
        <v>0</v>
      </c>
      <c r="E151" s="20">
        <v>0</v>
      </c>
      <c r="G151" s="20">
        <v>0</v>
      </c>
      <c r="H151" s="20">
        <v>0</v>
      </c>
      <c r="J151" s="20">
        <v>0</v>
      </c>
      <c r="K151" s="20">
        <v>0</v>
      </c>
      <c r="M151" s="20">
        <v>0</v>
      </c>
      <c r="N151" s="21">
        <v>0</v>
      </c>
      <c r="P151" s="20">
        <v>1333.16</v>
      </c>
      <c r="Q151" s="21">
        <v>31456.7</v>
      </c>
      <c r="S151" s="20">
        <v>0</v>
      </c>
      <c r="T151" s="20">
        <v>0</v>
      </c>
      <c r="V151" s="21">
        <f t="shared" si="7"/>
        <v>23.595592427015511</v>
      </c>
      <c r="W151" s="22">
        <f>+[35]References!C5</f>
        <v>12.99</v>
      </c>
      <c r="X151" s="21">
        <f t="shared" si="8"/>
        <v>306.50674562693149</v>
      </c>
      <c r="Y151" s="15">
        <f>+[35]References!C37</f>
        <v>840</v>
      </c>
      <c r="Z151" s="21">
        <f t="shared" si="9"/>
        <v>257465.66632662245</v>
      </c>
      <c r="AA151" s="21">
        <f>+Z151*[35]Regulated!$C$115</f>
        <v>202649.0402703601</v>
      </c>
    </row>
    <row r="152" spans="1:27">
      <c r="A152" s="218" t="s">
        <v>563</v>
      </c>
      <c r="B152" s="218" t="s">
        <v>564</v>
      </c>
      <c r="D152" s="20">
        <v>0</v>
      </c>
      <c r="E152" s="20">
        <v>0</v>
      </c>
      <c r="G152" s="20">
        <v>0</v>
      </c>
      <c r="H152" s="20">
        <v>0</v>
      </c>
      <c r="J152" s="20">
        <v>0</v>
      </c>
      <c r="K152" s="20">
        <v>0</v>
      </c>
      <c r="M152" s="20">
        <v>1651.96</v>
      </c>
      <c r="N152" s="21">
        <v>96971.1</v>
      </c>
      <c r="P152" s="20">
        <v>0</v>
      </c>
      <c r="Q152" s="21">
        <v>0</v>
      </c>
      <c r="S152" s="20">
        <v>0</v>
      </c>
      <c r="T152" s="20">
        <v>0</v>
      </c>
      <c r="V152" s="21">
        <f t="shared" si="7"/>
        <v>58.70063439792731</v>
      </c>
      <c r="W152" s="22">
        <f>+[35]References!C4</f>
        <v>17.32</v>
      </c>
      <c r="X152" s="21">
        <f t="shared" si="8"/>
        <v>1016.6949877721011</v>
      </c>
      <c r="Y152" s="15">
        <f>+[35]References!C37</f>
        <v>840</v>
      </c>
      <c r="Z152" s="21">
        <f t="shared" si="9"/>
        <v>854023.78972856491</v>
      </c>
      <c r="AA152" s="21">
        <f>+Z152*[35]Regulated!$C$115</f>
        <v>672194.87485758809</v>
      </c>
    </row>
    <row r="153" spans="1:27">
      <c r="A153" s="218" t="s">
        <v>565</v>
      </c>
      <c r="B153" s="218" t="s">
        <v>182</v>
      </c>
      <c r="D153" s="20">
        <v>0</v>
      </c>
      <c r="E153" s="20">
        <v>0</v>
      </c>
      <c r="G153" s="20">
        <v>0</v>
      </c>
      <c r="H153" s="20">
        <v>0</v>
      </c>
      <c r="J153" s="20">
        <v>0</v>
      </c>
      <c r="K153" s="20">
        <v>0</v>
      </c>
      <c r="M153" s="20">
        <v>2064.9499999999998</v>
      </c>
      <c r="N153" s="21">
        <v>1975.52</v>
      </c>
      <c r="P153" s="20">
        <v>0</v>
      </c>
      <c r="Q153" s="21">
        <v>0</v>
      </c>
      <c r="S153" s="20">
        <v>0</v>
      </c>
      <c r="T153" s="20">
        <v>0</v>
      </c>
      <c r="V153" s="21">
        <f t="shared" si="7"/>
        <v>0.95669144531344597</v>
      </c>
      <c r="W153" s="22">
        <f>+[35]References!C3</f>
        <v>21.65</v>
      </c>
      <c r="X153" s="21">
        <f t="shared" si="8"/>
        <v>20.712369791036103</v>
      </c>
      <c r="Y153" s="15">
        <f>+[35]References!C37</f>
        <v>840</v>
      </c>
      <c r="Z153" s="21">
        <f t="shared" si="9"/>
        <v>17398.390624470325</v>
      </c>
      <c r="AA153" s="21">
        <f>+Z153*[35]Regulated!$C$115</f>
        <v>13694.125560900744</v>
      </c>
    </row>
    <row r="154" spans="1:27">
      <c r="A154" s="218" t="s">
        <v>566</v>
      </c>
      <c r="B154" s="218" t="s">
        <v>567</v>
      </c>
      <c r="D154" s="20">
        <v>0</v>
      </c>
      <c r="E154" s="20">
        <v>0</v>
      </c>
      <c r="G154" s="20">
        <v>0</v>
      </c>
      <c r="H154" s="20">
        <v>0</v>
      </c>
      <c r="J154" s="20">
        <v>0</v>
      </c>
      <c r="K154" s="20">
        <v>0</v>
      </c>
      <c r="M154" s="20">
        <v>2477.94</v>
      </c>
      <c r="N154" s="21">
        <v>26720.739999999998</v>
      </c>
      <c r="P154" s="20">
        <v>0</v>
      </c>
      <c r="Q154" s="21">
        <v>0</v>
      </c>
      <c r="S154" s="20">
        <v>0</v>
      </c>
      <c r="T154" s="20">
        <v>0</v>
      </c>
      <c r="V154" s="21">
        <f t="shared" si="7"/>
        <v>10.783449155346778</v>
      </c>
      <c r="W154" s="15">
        <f>+[35]References!C7*6</f>
        <v>25.98</v>
      </c>
      <c r="X154" s="21">
        <f t="shared" si="8"/>
        <v>280.15400905590928</v>
      </c>
      <c r="Y154" s="15">
        <f>+[35]References!C37</f>
        <v>840</v>
      </c>
      <c r="Z154" s="21">
        <f t="shared" si="9"/>
        <v>235329.36760696379</v>
      </c>
      <c r="AA154" s="21">
        <f>+Z154*[35]Regulated!$C$115</f>
        <v>185225.74746911338</v>
      </c>
    </row>
    <row r="155" spans="1:27">
      <c r="A155" s="218" t="s">
        <v>568</v>
      </c>
      <c r="B155" s="218" t="s">
        <v>186</v>
      </c>
      <c r="D155" s="20">
        <v>0</v>
      </c>
      <c r="E155" s="20">
        <v>0</v>
      </c>
      <c r="G155" s="20">
        <v>0</v>
      </c>
      <c r="H155" s="20">
        <v>0</v>
      </c>
      <c r="J155" s="20">
        <v>379.69</v>
      </c>
      <c r="K155" s="20">
        <v>26416.43</v>
      </c>
      <c r="M155" s="20">
        <v>0</v>
      </c>
      <c r="N155" s="21">
        <v>0</v>
      </c>
      <c r="P155" s="20">
        <v>0</v>
      </c>
      <c r="Q155" s="21">
        <v>0</v>
      </c>
      <c r="S155" s="20">
        <v>0</v>
      </c>
      <c r="T155" s="20">
        <v>0</v>
      </c>
      <c r="V155" s="21">
        <f t="shared" si="7"/>
        <v>69.57367852721957</v>
      </c>
      <c r="W155" s="22">
        <f>+[35]References!C7</f>
        <v>4.33</v>
      </c>
      <c r="X155" s="21">
        <f t="shared" si="8"/>
        <v>301.25402802286072</v>
      </c>
      <c r="Y155" s="15">
        <f>+[35]References!C38</f>
        <v>980</v>
      </c>
      <c r="Z155" s="21">
        <f t="shared" si="9"/>
        <v>295228.94746240351</v>
      </c>
      <c r="AA155" s="21">
        <f>+Z155*[35]Regulated!$C$115</f>
        <v>232372.19826967787</v>
      </c>
    </row>
    <row r="156" spans="1:27">
      <c r="A156" s="218" t="s">
        <v>569</v>
      </c>
      <c r="B156" s="218" t="s">
        <v>186</v>
      </c>
      <c r="D156" s="20">
        <v>0</v>
      </c>
      <c r="E156" s="20">
        <v>0</v>
      </c>
      <c r="G156" s="20">
        <v>0</v>
      </c>
      <c r="H156" s="20">
        <v>0</v>
      </c>
      <c r="J156" s="20">
        <v>0</v>
      </c>
      <c r="K156" s="20">
        <v>0</v>
      </c>
      <c r="M156" s="20">
        <v>530.99</v>
      </c>
      <c r="N156" s="21">
        <v>405973.48</v>
      </c>
      <c r="P156" s="20">
        <v>0</v>
      </c>
      <c r="Q156" s="21">
        <v>0</v>
      </c>
      <c r="S156" s="20">
        <v>0</v>
      </c>
      <c r="T156" s="20">
        <v>0</v>
      </c>
      <c r="V156" s="21">
        <f t="shared" si="7"/>
        <v>764.55955856042488</v>
      </c>
      <c r="W156" s="22">
        <f>+[35]References!C7</f>
        <v>4.33</v>
      </c>
      <c r="X156" s="21">
        <f t="shared" si="8"/>
        <v>3310.5428885666397</v>
      </c>
      <c r="Y156" s="15">
        <f>+[35]References!C38</f>
        <v>980</v>
      </c>
      <c r="Z156" s="21">
        <f t="shared" si="9"/>
        <v>3244332.0307953069</v>
      </c>
      <c r="AA156" s="21">
        <f>+Z156*[35]Regulated!$C$115</f>
        <v>2553586.1994313397</v>
      </c>
    </row>
    <row r="157" spans="1:27">
      <c r="A157" s="218" t="s">
        <v>570</v>
      </c>
      <c r="B157" s="218" t="s">
        <v>186</v>
      </c>
      <c r="D157" s="20">
        <v>0</v>
      </c>
      <c r="E157" s="20">
        <v>0</v>
      </c>
      <c r="G157" s="20">
        <v>0</v>
      </c>
      <c r="H157" s="20">
        <v>0</v>
      </c>
      <c r="J157" s="20">
        <v>0</v>
      </c>
      <c r="K157" s="20">
        <v>0</v>
      </c>
      <c r="M157" s="20">
        <v>0</v>
      </c>
      <c r="N157" s="21">
        <v>0</v>
      </c>
      <c r="P157" s="20">
        <v>583.35</v>
      </c>
      <c r="Q157" s="21">
        <v>24431.09</v>
      </c>
      <c r="S157" s="20">
        <v>0</v>
      </c>
      <c r="T157" s="20">
        <v>0</v>
      </c>
      <c r="V157" s="21">
        <f t="shared" si="7"/>
        <v>41.88067198080055</v>
      </c>
      <c r="W157" s="22">
        <f>+[35]References!C7</f>
        <v>4.33</v>
      </c>
      <c r="X157" s="21">
        <f t="shared" si="8"/>
        <v>181.34330967686637</v>
      </c>
      <c r="Y157" s="15">
        <f>+[35]References!C38</f>
        <v>980</v>
      </c>
      <c r="Z157" s="21">
        <f t="shared" si="9"/>
        <v>177716.44348332903</v>
      </c>
      <c r="AA157" s="21">
        <f>+Z157*[35]Regulated!$C$115</f>
        <v>139879.10398301677</v>
      </c>
    </row>
    <row r="158" spans="1:27">
      <c r="A158" s="218" t="s">
        <v>571</v>
      </c>
      <c r="B158" s="218" t="s">
        <v>188</v>
      </c>
      <c r="D158" s="20">
        <v>0</v>
      </c>
      <c r="E158" s="20">
        <v>0</v>
      </c>
      <c r="G158" s="20">
        <v>0</v>
      </c>
      <c r="H158" s="20">
        <v>0</v>
      </c>
      <c r="J158" s="20">
        <v>0</v>
      </c>
      <c r="K158" s="20">
        <v>0</v>
      </c>
      <c r="M158" s="20">
        <v>1061.98</v>
      </c>
      <c r="N158" s="21">
        <v>357137.91</v>
      </c>
      <c r="P158" s="20">
        <v>0</v>
      </c>
      <c r="Q158" s="21">
        <v>0</v>
      </c>
      <c r="S158" s="20">
        <v>0</v>
      </c>
      <c r="T158" s="20">
        <v>0</v>
      </c>
      <c r="V158" s="21">
        <f t="shared" si="7"/>
        <v>336.29438407502965</v>
      </c>
      <c r="W158" s="22">
        <f>+[35]References!C6</f>
        <v>8.66</v>
      </c>
      <c r="X158" s="21">
        <f t="shared" si="8"/>
        <v>2912.3093660897571</v>
      </c>
      <c r="Y158" s="15">
        <f>+[35]References!C38</f>
        <v>980</v>
      </c>
      <c r="Z158" s="21">
        <f t="shared" si="9"/>
        <v>2854063.1787679619</v>
      </c>
      <c r="AA158" s="21">
        <f>+Z158*[35]Regulated!$C$115</f>
        <v>2246408.8990979213</v>
      </c>
    </row>
    <row r="159" spans="1:27">
      <c r="A159" s="218" t="s">
        <v>572</v>
      </c>
      <c r="B159" s="218" t="s">
        <v>188</v>
      </c>
      <c r="D159" s="20">
        <v>0</v>
      </c>
      <c r="E159" s="20">
        <v>0</v>
      </c>
      <c r="G159" s="20">
        <v>0</v>
      </c>
      <c r="H159" s="20">
        <v>0</v>
      </c>
      <c r="J159" s="20">
        <v>0</v>
      </c>
      <c r="K159" s="20">
        <v>0</v>
      </c>
      <c r="M159" s="20">
        <v>0</v>
      </c>
      <c r="N159" s="21">
        <v>0</v>
      </c>
      <c r="P159" s="20">
        <v>1137.77</v>
      </c>
      <c r="Q159" s="21">
        <v>0</v>
      </c>
      <c r="S159" s="20">
        <v>0</v>
      </c>
      <c r="T159" s="20">
        <v>0</v>
      </c>
      <c r="V159" s="21">
        <f t="shared" si="7"/>
        <v>0</v>
      </c>
      <c r="W159" s="22">
        <f>+[35]References!C6</f>
        <v>8.66</v>
      </c>
      <c r="X159" s="21">
        <f t="shared" si="8"/>
        <v>0</v>
      </c>
      <c r="Y159" s="15">
        <f>+[35]References!C38</f>
        <v>980</v>
      </c>
      <c r="Z159" s="21">
        <f t="shared" si="9"/>
        <v>0</v>
      </c>
      <c r="AA159" s="21">
        <f>+Z159*[35]Regulated!$C$115</f>
        <v>0</v>
      </c>
    </row>
    <row r="160" spans="1:27">
      <c r="A160" s="218" t="s">
        <v>573</v>
      </c>
      <c r="B160" s="218" t="s">
        <v>190</v>
      </c>
      <c r="D160" s="20">
        <v>0</v>
      </c>
      <c r="E160" s="20">
        <v>0</v>
      </c>
      <c r="G160" s="20">
        <v>0</v>
      </c>
      <c r="H160" s="20">
        <v>0</v>
      </c>
      <c r="J160" s="20">
        <v>0</v>
      </c>
      <c r="K160" s="20">
        <v>0</v>
      </c>
      <c r="M160" s="20">
        <v>1592.96</v>
      </c>
      <c r="N160" s="21">
        <v>152428.1</v>
      </c>
      <c r="P160" s="20">
        <v>0</v>
      </c>
      <c r="Q160" s="21">
        <v>0</v>
      </c>
      <c r="S160" s="20">
        <v>0</v>
      </c>
      <c r="T160" s="20">
        <v>0</v>
      </c>
      <c r="V160" s="21">
        <f t="shared" si="7"/>
        <v>95.688592306147044</v>
      </c>
      <c r="W160" s="22">
        <f>+[35]References!C5</f>
        <v>12.99</v>
      </c>
      <c r="X160" s="21">
        <f t="shared" si="8"/>
        <v>1242.9948140568501</v>
      </c>
      <c r="Y160" s="15">
        <f>+[35]References!C38</f>
        <v>980</v>
      </c>
      <c r="Z160" s="21">
        <f t="shared" si="9"/>
        <v>1218134.9177757131</v>
      </c>
      <c r="AA160" s="21">
        <f>+Z160*[35]Regulated!$C$115</f>
        <v>958783.6527061516</v>
      </c>
    </row>
    <row r="161" spans="1:27">
      <c r="A161" s="218" t="s">
        <v>574</v>
      </c>
      <c r="B161" s="218" t="s">
        <v>190</v>
      </c>
      <c r="D161" s="20">
        <v>0</v>
      </c>
      <c r="E161" s="20">
        <v>0</v>
      </c>
      <c r="G161" s="20">
        <v>0</v>
      </c>
      <c r="H161" s="20">
        <v>0</v>
      </c>
      <c r="J161" s="20">
        <v>0</v>
      </c>
      <c r="K161" s="20">
        <v>0</v>
      </c>
      <c r="M161" s="20">
        <v>0</v>
      </c>
      <c r="N161" s="21">
        <v>0</v>
      </c>
      <c r="P161" s="20">
        <v>1692.19</v>
      </c>
      <c r="Q161" s="21">
        <v>0</v>
      </c>
      <c r="S161" s="20">
        <v>0</v>
      </c>
      <c r="T161" s="20">
        <v>0</v>
      </c>
      <c r="V161" s="21">
        <f t="shared" si="7"/>
        <v>0</v>
      </c>
      <c r="W161" s="22">
        <f>+[35]References!C5</f>
        <v>12.99</v>
      </c>
      <c r="X161" s="21">
        <f t="shared" si="8"/>
        <v>0</v>
      </c>
      <c r="Y161" s="15">
        <f>+[35]References!C38</f>
        <v>980</v>
      </c>
      <c r="Z161" s="21">
        <f t="shared" si="9"/>
        <v>0</v>
      </c>
      <c r="AA161" s="21">
        <f>+Z161*[35]Regulated!$C$115</f>
        <v>0</v>
      </c>
    </row>
    <row r="162" spans="1:27">
      <c r="A162" s="218" t="s">
        <v>575</v>
      </c>
      <c r="B162" s="218" t="s">
        <v>192</v>
      </c>
      <c r="D162" s="20">
        <v>0</v>
      </c>
      <c r="E162" s="20">
        <v>0</v>
      </c>
      <c r="G162" s="20">
        <v>0</v>
      </c>
      <c r="H162" s="20">
        <v>0</v>
      </c>
      <c r="J162" s="20">
        <v>0</v>
      </c>
      <c r="K162" s="20">
        <v>0</v>
      </c>
      <c r="M162" s="20">
        <v>2123.9499999999998</v>
      </c>
      <c r="N162" s="21">
        <v>20795.330000000002</v>
      </c>
      <c r="P162" s="20">
        <v>0</v>
      </c>
      <c r="Q162" s="21">
        <v>0</v>
      </c>
      <c r="S162" s="20">
        <v>0</v>
      </c>
      <c r="T162" s="20">
        <v>0</v>
      </c>
      <c r="V162" s="21">
        <f t="shared" si="7"/>
        <v>9.7908754914192908</v>
      </c>
      <c r="W162" s="22">
        <f>+[35]References!C4</f>
        <v>17.32</v>
      </c>
      <c r="X162" s="21">
        <f t="shared" si="8"/>
        <v>169.57796351138211</v>
      </c>
      <c r="Y162" s="15">
        <f>+[35]References!C38</f>
        <v>980</v>
      </c>
      <c r="Z162" s="21">
        <f t="shared" si="9"/>
        <v>166186.40424115447</v>
      </c>
      <c r="AA162" s="21">
        <f>+Z162*[35]Regulated!$C$115</f>
        <v>130803.90797710698</v>
      </c>
    </row>
    <row r="163" spans="1:27">
      <c r="A163" s="218" t="s">
        <v>576</v>
      </c>
      <c r="B163" s="218" t="s">
        <v>577</v>
      </c>
      <c r="D163" s="20">
        <v>0</v>
      </c>
      <c r="E163" s="20">
        <v>0</v>
      </c>
      <c r="G163" s="20">
        <v>0</v>
      </c>
      <c r="H163" s="20">
        <v>0</v>
      </c>
      <c r="J163" s="20">
        <v>0</v>
      </c>
      <c r="K163" s="20">
        <v>0</v>
      </c>
      <c r="M163" s="20">
        <v>2654.94</v>
      </c>
      <c r="N163" s="21">
        <v>21011.85</v>
      </c>
      <c r="P163" s="20">
        <v>0</v>
      </c>
      <c r="Q163" s="21">
        <v>0</v>
      </c>
      <c r="S163" s="20">
        <v>0</v>
      </c>
      <c r="T163" s="20">
        <v>0</v>
      </c>
      <c r="V163" s="21">
        <f t="shared" si="7"/>
        <v>7.9142466496417994</v>
      </c>
      <c r="W163" s="22">
        <f>+[35]References!C3</f>
        <v>21.65</v>
      </c>
      <c r="X163" s="21">
        <f t="shared" si="8"/>
        <v>171.34343996474493</v>
      </c>
      <c r="Y163" s="15">
        <f>+[35]References!C38</f>
        <v>980</v>
      </c>
      <c r="Z163" s="21">
        <f t="shared" si="9"/>
        <v>167916.57116545003</v>
      </c>
      <c r="AA163" s="21">
        <f>+Z163*[35]Regulated!$C$115</f>
        <v>132165.70767536742</v>
      </c>
    </row>
    <row r="164" spans="1:27">
      <c r="A164" s="218" t="s">
        <v>578</v>
      </c>
      <c r="B164" s="218" t="s">
        <v>579</v>
      </c>
      <c r="D164" s="20">
        <v>0</v>
      </c>
      <c r="E164" s="20">
        <v>0</v>
      </c>
      <c r="G164" s="20">
        <v>0</v>
      </c>
      <c r="H164" s="20">
        <v>0</v>
      </c>
      <c r="J164" s="20">
        <v>0</v>
      </c>
      <c r="K164" s="20">
        <v>0</v>
      </c>
      <c r="M164" s="20">
        <v>3185.93</v>
      </c>
      <c r="N164" s="21">
        <v>14020.52</v>
      </c>
      <c r="P164" s="20">
        <v>0</v>
      </c>
      <c r="Q164" s="21">
        <v>0</v>
      </c>
      <c r="S164" s="20">
        <v>0</v>
      </c>
      <c r="T164" s="20">
        <v>0</v>
      </c>
      <c r="V164" s="21">
        <f t="shared" si="7"/>
        <v>4.4007621008622291</v>
      </c>
      <c r="W164" s="15">
        <f>+[35]References!C7*6</f>
        <v>25.98</v>
      </c>
      <c r="X164" s="21">
        <f t="shared" si="8"/>
        <v>114.33179938040071</v>
      </c>
      <c r="Y164" s="15">
        <f>+[35]References!C38</f>
        <v>980</v>
      </c>
      <c r="Z164" s="21">
        <f t="shared" si="9"/>
        <v>112045.1633927927</v>
      </c>
      <c r="AA164" s="21">
        <f>+Z164*[35]Regulated!$C$115</f>
        <v>88189.796924924187</v>
      </c>
    </row>
    <row r="165" spans="1:27">
      <c r="A165" s="218" t="s">
        <v>580</v>
      </c>
      <c r="B165" s="218" t="s">
        <v>581</v>
      </c>
      <c r="D165" s="20">
        <v>0</v>
      </c>
      <c r="E165" s="20">
        <v>0</v>
      </c>
      <c r="G165" s="20">
        <v>0</v>
      </c>
      <c r="H165" s="20">
        <v>0</v>
      </c>
      <c r="J165" s="20">
        <v>0</v>
      </c>
      <c r="K165" s="20">
        <v>0</v>
      </c>
      <c r="M165" s="20">
        <v>0</v>
      </c>
      <c r="N165" s="21">
        <v>0</v>
      </c>
      <c r="P165" s="20">
        <v>35.700000000000003</v>
      </c>
      <c r="Q165" s="21">
        <v>20470.07</v>
      </c>
      <c r="S165" s="20">
        <v>0</v>
      </c>
      <c r="T165" s="20">
        <v>0</v>
      </c>
      <c r="V165" s="21">
        <f t="shared" si="7"/>
        <v>573.39131652661058</v>
      </c>
      <c r="W165" s="22">
        <f>+[35]References!C7</f>
        <v>4.33</v>
      </c>
      <c r="X165" s="21">
        <f t="shared" si="8"/>
        <v>2482.7844005602237</v>
      </c>
      <c r="Y165" s="15">
        <f>+[35]References!C24</f>
        <v>68</v>
      </c>
      <c r="Z165" s="21">
        <f t="shared" si="9"/>
        <v>168829.33923809521</v>
      </c>
      <c r="AA165" s="21">
        <f>+Z165*[35]Regulated!$C$115</f>
        <v>132884.13967661266</v>
      </c>
    </row>
    <row r="166" spans="1:27">
      <c r="A166" s="218" t="s">
        <v>582</v>
      </c>
      <c r="B166" s="218" t="s">
        <v>583</v>
      </c>
      <c r="D166" s="20">
        <v>0</v>
      </c>
      <c r="E166" s="20">
        <v>0</v>
      </c>
      <c r="G166" s="20">
        <v>0</v>
      </c>
      <c r="H166" s="20">
        <v>0</v>
      </c>
      <c r="J166" s="20">
        <v>0</v>
      </c>
      <c r="K166" s="20">
        <v>0</v>
      </c>
      <c r="M166" s="20">
        <v>0</v>
      </c>
      <c r="N166" s="21">
        <v>0</v>
      </c>
      <c r="P166" s="20">
        <v>43.44</v>
      </c>
      <c r="Q166" s="21">
        <v>1829.4000000000003</v>
      </c>
      <c r="S166" s="20">
        <v>0</v>
      </c>
      <c r="T166" s="20">
        <v>0</v>
      </c>
      <c r="V166" s="21">
        <f t="shared" si="7"/>
        <v>42.113259668508299</v>
      </c>
      <c r="W166" s="22">
        <f>+[35]References!C7</f>
        <v>4.33</v>
      </c>
      <c r="X166" s="21">
        <f t="shared" si="8"/>
        <v>182.35041436464093</v>
      </c>
      <c r="Y166" s="15">
        <f>+[35]References!C24</f>
        <v>68</v>
      </c>
      <c r="Z166" s="21">
        <f t="shared" si="9"/>
        <v>12399.828176795583</v>
      </c>
      <c r="AA166" s="21">
        <f>+Z166*[35]Regulated!$C$115</f>
        <v>9759.7994924776667</v>
      </c>
    </row>
    <row r="167" spans="1:27">
      <c r="A167" s="218" t="s">
        <v>584</v>
      </c>
      <c r="B167" s="218" t="s">
        <v>585</v>
      </c>
      <c r="D167" s="20">
        <v>0</v>
      </c>
      <c r="E167" s="20">
        <v>0</v>
      </c>
      <c r="G167" s="20">
        <v>0</v>
      </c>
      <c r="H167" s="20">
        <v>0</v>
      </c>
      <c r="J167" s="20">
        <v>0</v>
      </c>
      <c r="K167" s="20">
        <v>0</v>
      </c>
      <c r="M167" s="20">
        <v>14.4</v>
      </c>
      <c r="N167" s="21">
        <v>1183.56</v>
      </c>
      <c r="P167" s="20">
        <v>0</v>
      </c>
      <c r="Q167" s="21">
        <v>0</v>
      </c>
      <c r="S167" s="20">
        <v>0</v>
      </c>
      <c r="T167" s="20">
        <v>0</v>
      </c>
      <c r="V167" s="21">
        <f t="shared" si="7"/>
        <v>82.191666666666663</v>
      </c>
      <c r="W167" s="22">
        <f>+[35]References!C7</f>
        <v>4.33</v>
      </c>
      <c r="X167" s="21">
        <f t="shared" si="8"/>
        <v>355.88991666666664</v>
      </c>
      <c r="Y167" s="15">
        <f>+[35]References!C13</f>
        <v>20</v>
      </c>
      <c r="Z167" s="21">
        <f t="shared" si="9"/>
        <v>7117.7983333333323</v>
      </c>
      <c r="AA167" s="21">
        <f>+Z167*[35]Regulated!$C$115</f>
        <v>5602.3586432612428</v>
      </c>
    </row>
    <row r="168" spans="1:27">
      <c r="A168" s="218" t="s">
        <v>586</v>
      </c>
      <c r="B168" s="218" t="s">
        <v>587</v>
      </c>
      <c r="D168" s="20">
        <v>0</v>
      </c>
      <c r="E168" s="20">
        <v>0</v>
      </c>
      <c r="G168" s="20">
        <v>0</v>
      </c>
      <c r="H168" s="20">
        <v>0</v>
      </c>
      <c r="J168" s="20">
        <v>0</v>
      </c>
      <c r="K168" s="20">
        <v>0</v>
      </c>
      <c r="M168" s="20">
        <v>38.409999999999997</v>
      </c>
      <c r="N168" s="21">
        <v>3732.04</v>
      </c>
      <c r="P168" s="20">
        <v>0</v>
      </c>
      <c r="Q168" s="21">
        <v>0</v>
      </c>
      <c r="S168" s="20">
        <v>0</v>
      </c>
      <c r="T168" s="20">
        <v>0</v>
      </c>
      <c r="V168" s="21">
        <f t="shared" si="7"/>
        <v>97.163238739911492</v>
      </c>
      <c r="W168" s="22">
        <f>+[35]References!D7</f>
        <v>8.66</v>
      </c>
      <c r="X168" s="21">
        <f t="shared" si="8"/>
        <v>841.43364748763349</v>
      </c>
      <c r="Y168" s="15">
        <f>+[35]References!C29</f>
        <v>29</v>
      </c>
      <c r="Z168" s="21">
        <f t="shared" si="9"/>
        <v>24401.57577714137</v>
      </c>
      <c r="AA168" s="21">
        <f>+Z168*[35]Regulated!$C$115</f>
        <v>19206.273142644834</v>
      </c>
    </row>
    <row r="169" spans="1:27">
      <c r="A169" s="218" t="s">
        <v>588</v>
      </c>
      <c r="B169" s="218" t="s">
        <v>589</v>
      </c>
      <c r="D169" s="20">
        <v>0</v>
      </c>
      <c r="E169" s="20">
        <v>0</v>
      </c>
      <c r="G169" s="20">
        <v>0</v>
      </c>
      <c r="H169" s="20">
        <v>0</v>
      </c>
      <c r="J169" s="20">
        <v>0</v>
      </c>
      <c r="K169" s="20">
        <v>0</v>
      </c>
      <c r="M169" s="20">
        <v>76.819999999999993</v>
      </c>
      <c r="N169" s="21">
        <v>11602.18</v>
      </c>
      <c r="P169" s="20">
        <v>0</v>
      </c>
      <c r="Q169" s="21">
        <v>0</v>
      </c>
      <c r="S169" s="20">
        <v>0</v>
      </c>
      <c r="T169" s="20">
        <v>0</v>
      </c>
      <c r="V169" s="21">
        <f t="shared" si="7"/>
        <v>151.03072116636295</v>
      </c>
      <c r="W169" s="22">
        <f>+[35]References!D7</f>
        <v>8.66</v>
      </c>
      <c r="X169" s="21">
        <f t="shared" si="8"/>
        <v>1307.9260453007032</v>
      </c>
      <c r="Y169" s="15">
        <f>+[35]References!C23*2</f>
        <v>102</v>
      </c>
      <c r="Z169" s="21">
        <f t="shared" si="9"/>
        <v>133408.45662067173</v>
      </c>
      <c r="AA169" s="21">
        <f>+Z169*[35]Regulated!$C$115</f>
        <v>105004.66366584279</v>
      </c>
    </row>
    <row r="170" spans="1:27">
      <c r="A170" s="218" t="s">
        <v>590</v>
      </c>
      <c r="B170" s="218" t="s">
        <v>591</v>
      </c>
      <c r="D170" s="20">
        <v>0</v>
      </c>
      <c r="E170" s="20">
        <v>0</v>
      </c>
      <c r="G170" s="20">
        <v>0</v>
      </c>
      <c r="H170" s="20">
        <v>0</v>
      </c>
      <c r="J170" s="20">
        <v>0</v>
      </c>
      <c r="K170" s="20">
        <v>0</v>
      </c>
      <c r="M170" s="20">
        <v>28.81</v>
      </c>
      <c r="N170" s="21">
        <v>2629.1099999999997</v>
      </c>
      <c r="P170" s="20">
        <v>0</v>
      </c>
      <c r="Q170" s="21">
        <v>0</v>
      </c>
      <c r="S170" s="20">
        <v>0</v>
      </c>
      <c r="T170" s="20">
        <v>0</v>
      </c>
      <c r="V170" s="21">
        <f t="shared" si="7"/>
        <v>91.256855258590761</v>
      </c>
      <c r="W170" s="22">
        <f>+[35]References!C7</f>
        <v>4.33</v>
      </c>
      <c r="X170" s="21">
        <f t="shared" si="8"/>
        <v>395.14218326969802</v>
      </c>
      <c r="Y170" s="15">
        <f>+[35]References!C29</f>
        <v>29</v>
      </c>
      <c r="Z170" s="21">
        <f t="shared" si="9"/>
        <v>11459.123314821243</v>
      </c>
      <c r="AA170" s="21">
        <f>+Z170*[35]Regulated!$C$115</f>
        <v>9019.3786815143776</v>
      </c>
    </row>
    <row r="171" spans="1:27">
      <c r="A171" s="218" t="s">
        <v>592</v>
      </c>
      <c r="B171" s="218" t="s">
        <v>593</v>
      </c>
      <c r="D171" s="20">
        <v>0</v>
      </c>
      <c r="E171" s="20">
        <v>0</v>
      </c>
      <c r="G171" s="20">
        <v>0</v>
      </c>
      <c r="H171" s="20">
        <v>0</v>
      </c>
      <c r="J171" s="20">
        <v>0</v>
      </c>
      <c r="K171" s="20">
        <v>0</v>
      </c>
      <c r="M171" s="20">
        <v>14.4</v>
      </c>
      <c r="N171" s="21">
        <v>3665.5800000000004</v>
      </c>
      <c r="P171" s="20">
        <v>0</v>
      </c>
      <c r="Q171" s="21">
        <v>0</v>
      </c>
      <c r="S171" s="20">
        <v>0</v>
      </c>
      <c r="T171" s="20">
        <v>0</v>
      </c>
      <c r="V171" s="21">
        <f t="shared" si="7"/>
        <v>254.55416666666667</v>
      </c>
      <c r="W171" s="22">
        <f>+[35]References!C8</f>
        <v>2.17</v>
      </c>
      <c r="X171" s="21">
        <f t="shared" si="8"/>
        <v>552.38254166666661</v>
      </c>
      <c r="Y171" s="15">
        <f>+[35]References!C29</f>
        <v>29</v>
      </c>
      <c r="Z171" s="21">
        <f t="shared" si="9"/>
        <v>16019.093708333332</v>
      </c>
      <c r="AA171" s="21">
        <f>+Z171*[35]Regulated!$C$115</f>
        <v>12608.492667432001</v>
      </c>
    </row>
    <row r="172" spans="1:27">
      <c r="A172" s="218" t="s">
        <v>594</v>
      </c>
      <c r="B172" s="218" t="s">
        <v>595</v>
      </c>
      <c r="D172" s="20">
        <v>0</v>
      </c>
      <c r="E172" s="20">
        <v>0</v>
      </c>
      <c r="G172" s="20">
        <v>0</v>
      </c>
      <c r="H172" s="20">
        <v>0</v>
      </c>
      <c r="J172" s="20">
        <v>0</v>
      </c>
      <c r="K172" s="20">
        <v>0</v>
      </c>
      <c r="M172" s="20">
        <v>19.21</v>
      </c>
      <c r="N172" s="21">
        <v>48534</v>
      </c>
      <c r="P172" s="20">
        <v>0</v>
      </c>
      <c r="Q172" s="21">
        <v>0</v>
      </c>
      <c r="S172" s="20">
        <v>0</v>
      </c>
      <c r="T172" s="20">
        <v>0</v>
      </c>
      <c r="V172" s="21">
        <f t="shared" si="7"/>
        <v>2526.4966163456534</v>
      </c>
      <c r="W172" s="22">
        <f>+[35]References!C7</f>
        <v>4.33</v>
      </c>
      <c r="X172" s="21">
        <f t="shared" si="8"/>
        <v>10939.730348776679</v>
      </c>
      <c r="Y172" s="15">
        <f>+[35]References!C29</f>
        <v>29</v>
      </c>
      <c r="Z172" s="21">
        <f t="shared" si="9"/>
        <v>317252.18011452368</v>
      </c>
      <c r="AA172" s="21">
        <f>+Z172*[35]Regulated!$C$115</f>
        <v>249706.4977290133</v>
      </c>
    </row>
    <row r="173" spans="1:27">
      <c r="A173" s="218" t="s">
        <v>596</v>
      </c>
      <c r="B173" s="218" t="s">
        <v>597</v>
      </c>
      <c r="D173" s="20">
        <v>0</v>
      </c>
      <c r="E173" s="20">
        <v>0</v>
      </c>
      <c r="G173" s="20">
        <v>0</v>
      </c>
      <c r="H173" s="20">
        <v>0</v>
      </c>
      <c r="J173" s="20">
        <v>0</v>
      </c>
      <c r="K173" s="20">
        <v>0</v>
      </c>
      <c r="M173" s="20">
        <v>57.62</v>
      </c>
      <c r="N173" s="21">
        <v>1352.76</v>
      </c>
      <c r="P173" s="20">
        <v>0</v>
      </c>
      <c r="Q173" s="21">
        <v>0</v>
      </c>
      <c r="S173" s="20">
        <v>0</v>
      </c>
      <c r="T173" s="20">
        <v>0</v>
      </c>
      <c r="V173" s="21">
        <f t="shared" si="7"/>
        <v>23.477264838597709</v>
      </c>
      <c r="W173" s="22">
        <f>+[35]References!E7</f>
        <v>12.99</v>
      </c>
      <c r="X173" s="21">
        <f t="shared" si="8"/>
        <v>304.96967025338427</v>
      </c>
      <c r="Y173" s="15">
        <f>+[35]References!C29</f>
        <v>29</v>
      </c>
      <c r="Z173" s="21">
        <f t="shared" si="9"/>
        <v>8844.1204373481432</v>
      </c>
      <c r="AA173" s="21">
        <f>+Z173*[35]Regulated!$C$115</f>
        <v>6961.1321161184133</v>
      </c>
    </row>
    <row r="174" spans="1:27">
      <c r="A174" s="218" t="s">
        <v>598</v>
      </c>
      <c r="B174" s="218" t="s">
        <v>599</v>
      </c>
      <c r="D174" s="20">
        <v>0</v>
      </c>
      <c r="E174" s="20">
        <v>0</v>
      </c>
      <c r="G174" s="20">
        <v>0</v>
      </c>
      <c r="H174" s="20">
        <v>0</v>
      </c>
      <c r="J174" s="20">
        <v>0</v>
      </c>
      <c r="K174" s="20">
        <v>0</v>
      </c>
      <c r="M174" s="20">
        <v>76.84</v>
      </c>
      <c r="N174" s="21">
        <v>230.52</v>
      </c>
      <c r="P174" s="20">
        <v>0</v>
      </c>
      <c r="Q174" s="21">
        <v>0</v>
      </c>
      <c r="S174" s="20">
        <v>0</v>
      </c>
      <c r="T174" s="20">
        <v>0</v>
      </c>
      <c r="V174" s="21">
        <f t="shared" si="7"/>
        <v>3</v>
      </c>
      <c r="W174" s="22">
        <f>+[35]References!F7</f>
        <v>17.32</v>
      </c>
      <c r="X174" s="21">
        <f t="shared" si="8"/>
        <v>51.96</v>
      </c>
      <c r="Y174" s="15">
        <f>+[35]References!C29</f>
        <v>29</v>
      </c>
      <c r="Z174" s="21">
        <f t="shared" si="9"/>
        <v>1506.84</v>
      </c>
      <c r="AA174" s="21">
        <f>+Z174*[35]Regulated!$C$115</f>
        <v>1186.0209720297553</v>
      </c>
    </row>
    <row r="175" spans="1:27">
      <c r="A175" s="218" t="s">
        <v>600</v>
      </c>
      <c r="B175" s="218" t="s">
        <v>601</v>
      </c>
      <c r="D175" s="20">
        <v>0</v>
      </c>
      <c r="E175" s="20">
        <v>0</v>
      </c>
      <c r="G175" s="20">
        <v>0</v>
      </c>
      <c r="H175" s="20">
        <v>0</v>
      </c>
      <c r="J175" s="20">
        <v>0</v>
      </c>
      <c r="K175" s="20">
        <v>0</v>
      </c>
      <c r="M175" s="20">
        <v>48.02</v>
      </c>
      <c r="N175" s="21">
        <v>3946.3199999999997</v>
      </c>
      <c r="P175" s="20">
        <v>0</v>
      </c>
      <c r="Q175" s="21">
        <v>0</v>
      </c>
      <c r="S175" s="20">
        <v>0</v>
      </c>
      <c r="T175" s="20">
        <v>0</v>
      </c>
      <c r="V175" s="21">
        <f t="shared" si="7"/>
        <v>82.180758017492707</v>
      </c>
      <c r="W175" s="22">
        <f>+[35]References!C7</f>
        <v>4.33</v>
      </c>
      <c r="X175" s="21">
        <f t="shared" si="8"/>
        <v>355.84268221574342</v>
      </c>
      <c r="Y175" s="15">
        <f>+[35]References!C23</f>
        <v>51</v>
      </c>
      <c r="Z175" s="21">
        <f t="shared" si="9"/>
        <v>18147.976793002916</v>
      </c>
      <c r="AA175" s="21">
        <f>+Z175*[35]Regulated!$C$115</f>
        <v>14284.118470714051</v>
      </c>
    </row>
    <row r="176" spans="1:27">
      <c r="A176" s="218" t="s">
        <v>602</v>
      </c>
      <c r="B176" s="218" t="s">
        <v>603</v>
      </c>
      <c r="D176" s="20">
        <v>0</v>
      </c>
      <c r="E176" s="20">
        <v>0</v>
      </c>
      <c r="G176" s="20">
        <v>0</v>
      </c>
      <c r="H176" s="20">
        <v>0</v>
      </c>
      <c r="J176" s="20">
        <v>0</v>
      </c>
      <c r="K176" s="20">
        <v>0</v>
      </c>
      <c r="M176" s="20">
        <v>19.21</v>
      </c>
      <c r="N176" s="21">
        <v>225.48000000000002</v>
      </c>
      <c r="P176" s="20">
        <v>0</v>
      </c>
      <c r="Q176" s="21">
        <v>0</v>
      </c>
      <c r="S176" s="20">
        <v>0</v>
      </c>
      <c r="T176" s="20">
        <v>0</v>
      </c>
      <c r="V176" s="21">
        <f t="shared" si="7"/>
        <v>11.737636647579386</v>
      </c>
      <c r="W176" s="22">
        <f>+[35]References!C8</f>
        <v>2.17</v>
      </c>
      <c r="X176" s="21">
        <f t="shared" si="8"/>
        <v>25.470671525247266</v>
      </c>
      <c r="Y176" s="15">
        <f>+[35]References!C23</f>
        <v>51</v>
      </c>
      <c r="Z176" s="21">
        <f t="shared" si="9"/>
        <v>1299.0042477876104</v>
      </c>
      <c r="AA176" s="21">
        <f>+Z176*[35]Regulated!$C$115</f>
        <v>1022.4352158370118</v>
      </c>
    </row>
    <row r="177" spans="1:27">
      <c r="A177" s="218" t="s">
        <v>604</v>
      </c>
      <c r="B177" s="218" t="s">
        <v>605</v>
      </c>
      <c r="D177" s="20">
        <v>0</v>
      </c>
      <c r="E177" s="20">
        <v>0</v>
      </c>
      <c r="G177" s="20">
        <v>0</v>
      </c>
      <c r="H177" s="20">
        <v>0</v>
      </c>
      <c r="J177" s="20">
        <v>0</v>
      </c>
      <c r="K177" s="20">
        <v>0</v>
      </c>
      <c r="M177" s="20">
        <v>38.409999999999997</v>
      </c>
      <c r="N177" s="21">
        <v>105883.51999999999</v>
      </c>
      <c r="P177" s="20">
        <v>0</v>
      </c>
      <c r="Q177" s="21">
        <v>0</v>
      </c>
      <c r="S177" s="20">
        <v>0</v>
      </c>
      <c r="T177" s="20">
        <v>0</v>
      </c>
      <c r="V177" s="21">
        <f t="shared" si="7"/>
        <v>2756.6654517052852</v>
      </c>
      <c r="W177" s="22">
        <f>+[35]References!C7</f>
        <v>4.33</v>
      </c>
      <c r="X177" s="21">
        <f t="shared" si="8"/>
        <v>11936.361405883885</v>
      </c>
      <c r="Y177" s="15">
        <f>+[35]References!C23</f>
        <v>51</v>
      </c>
      <c r="Z177" s="21">
        <f t="shared" si="9"/>
        <v>608754.43170007807</v>
      </c>
      <c r="AA177" s="21">
        <f>+Z177*[35]Regulated!$C$115</f>
        <v>479145.44531094737</v>
      </c>
    </row>
    <row r="178" spans="1:27">
      <c r="A178" s="218" t="s">
        <v>606</v>
      </c>
      <c r="B178" s="218" t="s">
        <v>607</v>
      </c>
      <c r="D178" s="20">
        <v>0</v>
      </c>
      <c r="E178" s="20">
        <v>0</v>
      </c>
      <c r="G178" s="20">
        <v>0</v>
      </c>
      <c r="H178" s="20">
        <v>0</v>
      </c>
      <c r="J178" s="20">
        <v>0</v>
      </c>
      <c r="K178" s="20">
        <v>0</v>
      </c>
      <c r="M178" s="20">
        <v>67.23</v>
      </c>
      <c r="N178" s="21">
        <v>22053.54</v>
      </c>
      <c r="P178" s="20">
        <v>0</v>
      </c>
      <c r="Q178" s="21">
        <v>0</v>
      </c>
      <c r="S178" s="20">
        <v>0</v>
      </c>
      <c r="T178" s="20">
        <v>0</v>
      </c>
      <c r="V178" s="21">
        <f t="shared" si="7"/>
        <v>328.03123605533244</v>
      </c>
      <c r="W178" s="22">
        <f>+[35]References!C7</f>
        <v>4.33</v>
      </c>
      <c r="X178" s="21">
        <f t="shared" si="8"/>
        <v>1420.3752521195895</v>
      </c>
      <c r="Y178" s="15">
        <f>+[35]References!C25</f>
        <v>77</v>
      </c>
      <c r="Z178" s="21">
        <f t="shared" si="9"/>
        <v>109368.89441320839</v>
      </c>
      <c r="AA178" s="21">
        <f>+Z178*[35]Regulated!$C$115</f>
        <v>86083.328330660908</v>
      </c>
    </row>
    <row r="179" spans="1:27">
      <c r="A179" s="218" t="s">
        <v>608</v>
      </c>
      <c r="B179" s="218" t="s">
        <v>609</v>
      </c>
      <c r="D179" s="20">
        <v>0</v>
      </c>
      <c r="E179" s="20">
        <v>0</v>
      </c>
      <c r="G179" s="20">
        <v>0</v>
      </c>
      <c r="H179" s="20">
        <v>0</v>
      </c>
      <c r="J179" s="20">
        <v>0</v>
      </c>
      <c r="K179" s="20">
        <v>0</v>
      </c>
      <c r="M179" s="20">
        <v>28.88</v>
      </c>
      <c r="N179" s="21">
        <v>1269.3599999999999</v>
      </c>
      <c r="P179" s="20">
        <v>0</v>
      </c>
      <c r="Q179" s="21">
        <v>0</v>
      </c>
      <c r="S179" s="20">
        <v>0</v>
      </c>
      <c r="T179" s="20">
        <v>0</v>
      </c>
      <c r="V179" s="21">
        <f t="shared" si="7"/>
        <v>43.952908587257618</v>
      </c>
      <c r="W179" s="22">
        <f>+[35]References!C8</f>
        <v>2.17</v>
      </c>
      <c r="X179" s="21">
        <f t="shared" si="8"/>
        <v>95.37781163434903</v>
      </c>
      <c r="Y179" s="15">
        <f>+[35]References!C25</f>
        <v>77</v>
      </c>
      <c r="Z179" s="21">
        <f t="shared" si="9"/>
        <v>7344.0914958448757</v>
      </c>
      <c r="AA179" s="21">
        <f>+Z179*[35]Regulated!$C$115</f>
        <v>5780.4720704105275</v>
      </c>
    </row>
    <row r="180" spans="1:27">
      <c r="A180" s="218" t="s">
        <v>610</v>
      </c>
      <c r="B180" s="218" t="s">
        <v>611</v>
      </c>
      <c r="D180" s="20">
        <v>0</v>
      </c>
      <c r="E180" s="20">
        <v>0</v>
      </c>
      <c r="G180" s="20">
        <v>0</v>
      </c>
      <c r="H180" s="20">
        <v>0</v>
      </c>
      <c r="J180" s="20">
        <v>0</v>
      </c>
      <c r="K180" s="20">
        <v>0</v>
      </c>
      <c r="M180" s="20">
        <v>57.62</v>
      </c>
      <c r="N180" s="21">
        <v>208649.31</v>
      </c>
      <c r="P180" s="20">
        <v>0</v>
      </c>
      <c r="Q180" s="21">
        <v>0</v>
      </c>
      <c r="S180" s="20">
        <v>0</v>
      </c>
      <c r="T180" s="20">
        <v>0</v>
      </c>
      <c r="V180" s="21">
        <f t="shared" si="7"/>
        <v>3621.1265185699413</v>
      </c>
      <c r="W180" s="22">
        <f>+[35]References!C7</f>
        <v>4.33</v>
      </c>
      <c r="X180" s="21">
        <f t="shared" si="8"/>
        <v>15679.477825407846</v>
      </c>
      <c r="Y180" s="15">
        <f>+[35]References!C25</f>
        <v>77</v>
      </c>
      <c r="Z180" s="21">
        <f t="shared" si="9"/>
        <v>1207319.7925564041</v>
      </c>
      <c r="AA180" s="21">
        <f>+Z180*[35]Regulated!$C$115</f>
        <v>950271.15945854178</v>
      </c>
    </row>
    <row r="181" spans="1:27">
      <c r="A181" s="218" t="s">
        <v>242</v>
      </c>
      <c r="B181" s="218" t="s">
        <v>243</v>
      </c>
      <c r="D181" s="20">
        <v>0</v>
      </c>
      <c r="E181" s="20">
        <v>0</v>
      </c>
      <c r="G181" s="20">
        <v>0</v>
      </c>
      <c r="H181" s="20">
        <v>0</v>
      </c>
      <c r="J181" s="20">
        <v>5.68</v>
      </c>
      <c r="K181" s="20">
        <v>668.56</v>
      </c>
      <c r="M181" s="20">
        <v>7.54</v>
      </c>
      <c r="N181" s="21">
        <v>12302.650000000001</v>
      </c>
      <c r="P181" s="20">
        <v>7.88</v>
      </c>
      <c r="Q181" s="21">
        <v>504.32</v>
      </c>
      <c r="S181" s="20">
        <v>0</v>
      </c>
      <c r="T181" s="20">
        <v>0</v>
      </c>
      <c r="V181" s="21">
        <f t="shared" si="7"/>
        <v>1813.3554189860652</v>
      </c>
      <c r="W181" s="22">
        <f>+[35]References!C10</f>
        <v>1</v>
      </c>
      <c r="X181" s="21">
        <f t="shared" si="8"/>
        <v>1813.3554189860652</v>
      </c>
      <c r="Y181" s="15">
        <f>+[35]References!C29</f>
        <v>29</v>
      </c>
      <c r="Z181" s="21">
        <f t="shared" si="9"/>
        <v>52587.307150595887</v>
      </c>
      <c r="AA181" s="21">
        <f>+Z181*[35]Regulated!$C$115</f>
        <v>41391.023030432589</v>
      </c>
    </row>
    <row r="182" spans="1:27">
      <c r="A182" s="218" t="s">
        <v>244</v>
      </c>
      <c r="B182" s="218" t="s">
        <v>245</v>
      </c>
      <c r="D182" s="20">
        <v>0</v>
      </c>
      <c r="E182" s="20">
        <v>0</v>
      </c>
      <c r="G182" s="20">
        <v>17.579999999999998</v>
      </c>
      <c r="H182" s="20">
        <v>35.159999999999997</v>
      </c>
      <c r="J182" s="20">
        <v>25.14</v>
      </c>
      <c r="K182" s="20">
        <v>2482.3900000000003</v>
      </c>
      <c r="M182" s="20">
        <v>15.01</v>
      </c>
      <c r="N182" s="21">
        <v>101892.83</v>
      </c>
      <c r="P182" s="20">
        <v>28.03</v>
      </c>
      <c r="Q182" s="21">
        <v>5282.6999999999989</v>
      </c>
      <c r="S182" s="20">
        <v>0</v>
      </c>
      <c r="T182" s="20">
        <v>0</v>
      </c>
      <c r="V182" s="21">
        <f t="shared" si="7"/>
        <v>7077.5383507171955</v>
      </c>
      <c r="W182" s="22">
        <f>+[35]References!C10</f>
        <v>1</v>
      </c>
      <c r="X182" s="21">
        <f t="shared" si="8"/>
        <v>7077.5383507171955</v>
      </c>
      <c r="Y182" s="15">
        <f>+[35]References!C30</f>
        <v>125</v>
      </c>
      <c r="Z182" s="21">
        <f t="shared" si="9"/>
        <v>884692.29383964941</v>
      </c>
      <c r="AA182" s="21">
        <f>+Z182*[35]Regulated!$C$115</f>
        <v>696333.79409023852</v>
      </c>
    </row>
    <row r="183" spans="1:27">
      <c r="A183" s="218" t="s">
        <v>612</v>
      </c>
      <c r="B183" s="218" t="s">
        <v>613</v>
      </c>
      <c r="D183" s="20">
        <v>0</v>
      </c>
      <c r="E183" s="20">
        <v>0</v>
      </c>
      <c r="G183" s="20">
        <v>0</v>
      </c>
      <c r="H183" s="20">
        <v>0</v>
      </c>
      <c r="J183" s="20">
        <v>0</v>
      </c>
      <c r="K183" s="20">
        <v>0</v>
      </c>
      <c r="M183" s="20">
        <v>93.15</v>
      </c>
      <c r="N183" s="21">
        <v>1652.46</v>
      </c>
      <c r="P183" s="20">
        <v>0</v>
      </c>
      <c r="Q183" s="21">
        <v>0</v>
      </c>
      <c r="S183" s="20">
        <v>0</v>
      </c>
      <c r="T183" s="20">
        <v>0</v>
      </c>
      <c r="V183" s="21">
        <f t="shared" si="7"/>
        <v>17.739774557165862</v>
      </c>
      <c r="W183" s="22">
        <f>+[35]References!C10</f>
        <v>1</v>
      </c>
      <c r="X183" s="21">
        <f t="shared" si="8"/>
        <v>17.739774557165862</v>
      </c>
      <c r="Y183" s="15">
        <f>+[35]References!C34</f>
        <v>473</v>
      </c>
      <c r="Z183" s="21">
        <f t="shared" si="9"/>
        <v>8390.9133655394526</v>
      </c>
      <c r="AA183" s="21">
        <f>+Z183*[35]Regulated!$C$115</f>
        <v>6604.4166772945819</v>
      </c>
    </row>
    <row r="184" spans="1:27">
      <c r="A184" s="218" t="s">
        <v>614</v>
      </c>
      <c r="B184" s="218" t="s">
        <v>615</v>
      </c>
      <c r="D184" s="20">
        <v>0</v>
      </c>
      <c r="E184" s="20">
        <v>0</v>
      </c>
      <c r="G184" s="20">
        <v>0</v>
      </c>
      <c r="H184" s="20">
        <v>0</v>
      </c>
      <c r="J184" s="20">
        <v>0</v>
      </c>
      <c r="K184" s="20">
        <v>0</v>
      </c>
      <c r="M184" s="20">
        <v>17.28</v>
      </c>
      <c r="N184" s="21">
        <v>1119.8600000000001</v>
      </c>
      <c r="P184" s="20">
        <v>0</v>
      </c>
      <c r="Q184" s="21">
        <v>0</v>
      </c>
      <c r="S184" s="20">
        <v>0</v>
      </c>
      <c r="T184" s="20">
        <v>0</v>
      </c>
      <c r="V184" s="21">
        <f t="shared" si="7"/>
        <v>64.806712962962962</v>
      </c>
      <c r="W184" s="22">
        <f>+[35]References!C10</f>
        <v>1</v>
      </c>
      <c r="X184" s="21">
        <f t="shared" si="8"/>
        <v>64.806712962962962</v>
      </c>
      <c r="Y184" s="15">
        <f>+[35]References!C29</f>
        <v>29</v>
      </c>
      <c r="Z184" s="21">
        <f t="shared" si="9"/>
        <v>1879.3946759259259</v>
      </c>
      <c r="AA184" s="21">
        <f>+Z184*[35]Regulated!$C$115</f>
        <v>1479.2555947341548</v>
      </c>
    </row>
    <row r="185" spans="1:27">
      <c r="A185" s="218" t="s">
        <v>246</v>
      </c>
      <c r="B185" s="218" t="s">
        <v>247</v>
      </c>
      <c r="D185" s="20">
        <v>0</v>
      </c>
      <c r="E185" s="20">
        <v>0</v>
      </c>
      <c r="G185" s="20">
        <v>0</v>
      </c>
      <c r="H185" s="20">
        <v>0</v>
      </c>
      <c r="J185" s="20">
        <v>0</v>
      </c>
      <c r="K185" s="20">
        <v>0</v>
      </c>
      <c r="M185" s="20">
        <v>15.01</v>
      </c>
      <c r="N185" s="21">
        <v>0</v>
      </c>
      <c r="P185" s="20">
        <v>28.03</v>
      </c>
      <c r="Q185" s="21">
        <v>0</v>
      </c>
      <c r="S185" s="20">
        <v>0</v>
      </c>
      <c r="T185" s="20">
        <v>0</v>
      </c>
      <c r="V185" s="21">
        <f t="shared" si="7"/>
        <v>0</v>
      </c>
      <c r="W185" s="22">
        <f>+[35]References!C10</f>
        <v>1</v>
      </c>
      <c r="X185" s="21">
        <f t="shared" si="8"/>
        <v>0</v>
      </c>
      <c r="Y185" s="15">
        <f>+[35]References!C30</f>
        <v>125</v>
      </c>
      <c r="Z185" s="21">
        <f t="shared" si="9"/>
        <v>0</v>
      </c>
      <c r="AA185" s="21">
        <f>+Z185*[35]Regulated!$C$115</f>
        <v>0</v>
      </c>
    </row>
    <row r="186" spans="1:27">
      <c r="A186" s="218" t="s">
        <v>203</v>
      </c>
      <c r="B186" s="218" t="s">
        <v>204</v>
      </c>
      <c r="D186" s="20">
        <v>0</v>
      </c>
      <c r="E186" s="20">
        <v>0</v>
      </c>
      <c r="G186" s="20">
        <v>0</v>
      </c>
      <c r="H186" s="20">
        <v>0</v>
      </c>
      <c r="J186" s="20">
        <v>44.35</v>
      </c>
      <c r="K186" s="20">
        <v>44.35</v>
      </c>
      <c r="M186" s="20">
        <v>37.200000000000003</v>
      </c>
      <c r="N186" s="21">
        <v>712.75</v>
      </c>
      <c r="P186" s="20">
        <v>0</v>
      </c>
      <c r="Q186" s="21">
        <v>0</v>
      </c>
      <c r="S186" s="20">
        <v>0</v>
      </c>
      <c r="T186" s="20">
        <v>0</v>
      </c>
      <c r="V186" s="21">
        <f t="shared" si="7"/>
        <v>20.15994623655914</v>
      </c>
      <c r="W186" s="22">
        <f>+[35]References!C10</f>
        <v>1</v>
      </c>
      <c r="X186" s="21">
        <f t="shared" si="8"/>
        <v>20.15994623655914</v>
      </c>
      <c r="Y186" s="15">
        <f>+[35]References!C32</f>
        <v>250</v>
      </c>
      <c r="Z186" s="21">
        <f t="shared" si="9"/>
        <v>5039.9865591397847</v>
      </c>
      <c r="AA186" s="21">
        <f>+Z186*[35]Regulated!$C$115</f>
        <v>3966.9306348967839</v>
      </c>
    </row>
    <row r="187" spans="1:27">
      <c r="A187" s="218" t="s">
        <v>201</v>
      </c>
      <c r="B187" s="218" t="s">
        <v>202</v>
      </c>
      <c r="D187" s="20">
        <v>0</v>
      </c>
      <c r="E187" s="20">
        <v>0</v>
      </c>
      <c r="G187" s="20">
        <v>0</v>
      </c>
      <c r="H187" s="20">
        <v>0</v>
      </c>
      <c r="J187" s="20">
        <v>37.96</v>
      </c>
      <c r="K187" s="20">
        <v>0</v>
      </c>
      <c r="M187" s="20">
        <v>29.69</v>
      </c>
      <c r="N187" s="21">
        <v>512.30999999999995</v>
      </c>
      <c r="P187" s="20">
        <v>28.03</v>
      </c>
      <c r="Q187" s="21">
        <v>0</v>
      </c>
      <c r="S187" s="20">
        <v>0</v>
      </c>
      <c r="T187" s="20">
        <v>0</v>
      </c>
      <c r="V187" s="21">
        <f t="shared" si="7"/>
        <v>17.255304816436507</v>
      </c>
      <c r="W187" s="22">
        <f>+[35]References!C10</f>
        <v>1</v>
      </c>
      <c r="X187" s="21">
        <f t="shared" si="8"/>
        <v>17.255304816436507</v>
      </c>
      <c r="Y187" s="15">
        <f>+[35]References!C31</f>
        <v>175</v>
      </c>
      <c r="Z187" s="21">
        <f t="shared" si="9"/>
        <v>3019.6783428763888</v>
      </c>
      <c r="AA187" s="21">
        <f>+Z187*[35]Regulated!$C$115</f>
        <v>2376.7631888159694</v>
      </c>
    </row>
    <row r="188" spans="1:27">
      <c r="A188" s="218" t="s">
        <v>209</v>
      </c>
      <c r="B188" s="218" t="s">
        <v>210</v>
      </c>
      <c r="D188" s="20">
        <v>0</v>
      </c>
      <c r="E188" s="20">
        <v>0</v>
      </c>
      <c r="G188" s="20">
        <v>0</v>
      </c>
      <c r="H188" s="20">
        <v>0</v>
      </c>
      <c r="J188" s="20">
        <v>0</v>
      </c>
      <c r="K188" s="20">
        <v>0</v>
      </c>
      <c r="M188" s="20">
        <v>104.71</v>
      </c>
      <c r="N188" s="21">
        <v>100.2</v>
      </c>
      <c r="P188" s="20">
        <v>0</v>
      </c>
      <c r="Q188" s="21">
        <v>0</v>
      </c>
      <c r="S188" s="20">
        <v>0</v>
      </c>
      <c r="T188" s="20">
        <v>0</v>
      </c>
      <c r="V188" s="21">
        <f t="shared" si="7"/>
        <v>0.95692866010887223</v>
      </c>
      <c r="W188" s="22">
        <f>+[35]References!C10</f>
        <v>1</v>
      </c>
      <c r="X188" s="21">
        <f t="shared" si="8"/>
        <v>0.95692866010887223</v>
      </c>
      <c r="Y188" s="21">
        <f>References!$C$54</f>
        <v>1296</v>
      </c>
      <c r="Z188" s="21">
        <f t="shared" si="9"/>
        <v>1240.1795435010984</v>
      </c>
      <c r="AA188" s="21">
        <f>+Z188*[35]Regulated!$C$115</f>
        <v>976.13479047184239</v>
      </c>
    </row>
    <row r="189" spans="1:27">
      <c r="A189" s="218" t="s">
        <v>205</v>
      </c>
      <c r="B189" s="218" t="s">
        <v>206</v>
      </c>
      <c r="D189" s="20">
        <v>0</v>
      </c>
      <c r="E189" s="20">
        <v>0</v>
      </c>
      <c r="G189" s="20">
        <v>0</v>
      </c>
      <c r="H189" s="20">
        <v>0</v>
      </c>
      <c r="J189" s="20">
        <v>50.81</v>
      </c>
      <c r="K189" s="20">
        <v>50.81</v>
      </c>
      <c r="M189" s="20">
        <v>44.7</v>
      </c>
      <c r="N189" s="21">
        <v>2110.08</v>
      </c>
      <c r="P189" s="20">
        <v>56.06</v>
      </c>
      <c r="Q189" s="21">
        <v>281.42</v>
      </c>
      <c r="S189" s="20">
        <v>0</v>
      </c>
      <c r="T189" s="20">
        <v>0</v>
      </c>
      <c r="V189" s="21">
        <f t="shared" si="7"/>
        <v>53.225347721879956</v>
      </c>
      <c r="W189" s="22">
        <f>+[35]References!C10</f>
        <v>1</v>
      </c>
      <c r="X189" s="21">
        <f t="shared" si="8"/>
        <v>53.225347721879956</v>
      </c>
      <c r="Y189" s="15">
        <f>+[35]References!C33</f>
        <v>324</v>
      </c>
      <c r="Z189" s="21">
        <f t="shared" si="9"/>
        <v>17245.012661889104</v>
      </c>
      <c r="AA189" s="21">
        <f>+Z189*[35]Regulated!$C$115</f>
        <v>13573.403068619864</v>
      </c>
    </row>
    <row r="190" spans="1:27">
      <c r="A190" s="218" t="s">
        <v>616</v>
      </c>
      <c r="B190" s="218" t="s">
        <v>617</v>
      </c>
      <c r="D190" s="20">
        <v>0</v>
      </c>
      <c r="E190" s="20">
        <v>0</v>
      </c>
      <c r="G190" s="20">
        <v>0</v>
      </c>
      <c r="H190" s="20">
        <v>0</v>
      </c>
      <c r="J190" s="20">
        <v>0</v>
      </c>
      <c r="K190" s="20">
        <v>0</v>
      </c>
      <c r="M190" s="20">
        <v>149.72999999999999</v>
      </c>
      <c r="N190" s="21">
        <v>0</v>
      </c>
      <c r="P190" s="20">
        <v>0</v>
      </c>
      <c r="Q190" s="21">
        <v>0</v>
      </c>
      <c r="S190" s="20">
        <v>0</v>
      </c>
      <c r="T190" s="20">
        <v>0</v>
      </c>
      <c r="V190" s="21">
        <f t="shared" si="7"/>
        <v>0</v>
      </c>
      <c r="W190" s="22">
        <f>+[35]References!C10</f>
        <v>1</v>
      </c>
      <c r="X190" s="21">
        <f t="shared" si="8"/>
        <v>0</v>
      </c>
      <c r="Y190" s="27">
        <f>+[35]References!C49</f>
        <v>1000</v>
      </c>
      <c r="Z190" s="21">
        <f t="shared" si="9"/>
        <v>0</v>
      </c>
      <c r="AA190" s="21">
        <f>+Z190*[35]Regulated!$C$115</f>
        <v>0</v>
      </c>
    </row>
    <row r="191" spans="1:27">
      <c r="A191" s="218" t="s">
        <v>207</v>
      </c>
      <c r="B191" s="218" t="s">
        <v>208</v>
      </c>
      <c r="D191" s="20">
        <v>0</v>
      </c>
      <c r="E191" s="20">
        <v>0</v>
      </c>
      <c r="G191" s="20">
        <v>0</v>
      </c>
      <c r="H191" s="20">
        <v>0</v>
      </c>
      <c r="J191" s="20">
        <v>63.62</v>
      </c>
      <c r="K191" s="20">
        <v>0</v>
      </c>
      <c r="M191" s="20">
        <v>59.71</v>
      </c>
      <c r="N191" s="21">
        <v>1934.17</v>
      </c>
      <c r="P191" s="20">
        <v>84.09</v>
      </c>
      <c r="Q191" s="21">
        <v>252.27</v>
      </c>
      <c r="S191" s="20">
        <v>0</v>
      </c>
      <c r="T191" s="20">
        <v>0</v>
      </c>
      <c r="V191" s="21">
        <f t="shared" si="7"/>
        <v>35.392731535756155</v>
      </c>
      <c r="W191" s="22">
        <f>+[35]References!C10</f>
        <v>1</v>
      </c>
      <c r="X191" s="21">
        <f t="shared" si="8"/>
        <v>35.392731535756155</v>
      </c>
      <c r="Y191" s="15">
        <f>+[35]References!C34</f>
        <v>473</v>
      </c>
      <c r="Z191" s="21">
        <f t="shared" si="9"/>
        <v>16740.76201641266</v>
      </c>
      <c r="AA191" s="21">
        <f>+Z191*[35]Regulated!$C$115</f>
        <v>13176.511666284776</v>
      </c>
    </row>
    <row r="192" spans="1:27">
      <c r="A192" s="218" t="s">
        <v>211</v>
      </c>
      <c r="B192" s="218" t="s">
        <v>212</v>
      </c>
      <c r="D192" s="20">
        <v>0</v>
      </c>
      <c r="E192" s="20">
        <v>0</v>
      </c>
      <c r="G192" s="20">
        <v>0</v>
      </c>
      <c r="H192" s="20">
        <v>0</v>
      </c>
      <c r="J192" s="20">
        <v>0</v>
      </c>
      <c r="K192" s="20">
        <v>0</v>
      </c>
      <c r="M192" s="20">
        <v>194.75</v>
      </c>
      <c r="N192" s="21">
        <v>8715.19</v>
      </c>
      <c r="P192" s="20">
        <v>0</v>
      </c>
      <c r="Q192" s="21">
        <v>0</v>
      </c>
      <c r="S192" s="20">
        <v>0</v>
      </c>
      <c r="T192" s="20">
        <v>0</v>
      </c>
      <c r="V192" s="21">
        <f t="shared" si="7"/>
        <v>44.750654685494226</v>
      </c>
      <c r="W192" s="22">
        <f>+[35]References!C10</f>
        <v>1</v>
      </c>
      <c r="X192" s="21">
        <f t="shared" si="8"/>
        <v>44.750654685494226</v>
      </c>
      <c r="Y192" s="27">
        <f>+[35]References!C50</f>
        <v>1296</v>
      </c>
      <c r="Z192" s="21">
        <f t="shared" si="9"/>
        <v>57996.848472400517</v>
      </c>
      <c r="AA192" s="21">
        <f>+Z192*[35]Regulated!$C$115</f>
        <v>45648.827081773044</v>
      </c>
    </row>
    <row r="193" spans="1:27">
      <c r="A193" s="218" t="s">
        <v>213</v>
      </c>
      <c r="B193" s="218" t="s">
        <v>214</v>
      </c>
      <c r="D193" s="20">
        <v>0</v>
      </c>
      <c r="E193" s="20">
        <v>0</v>
      </c>
      <c r="G193" s="20">
        <v>0</v>
      </c>
      <c r="H193" s="20">
        <v>0</v>
      </c>
      <c r="J193" s="20">
        <v>73.42</v>
      </c>
      <c r="K193" s="20">
        <v>0</v>
      </c>
      <c r="M193" s="20">
        <v>74.72</v>
      </c>
      <c r="N193" s="21">
        <v>5337.74</v>
      </c>
      <c r="P193" s="20">
        <v>112.12</v>
      </c>
      <c r="Q193" s="21">
        <v>1798.4</v>
      </c>
      <c r="S193" s="20">
        <v>0</v>
      </c>
      <c r="T193" s="20">
        <v>0</v>
      </c>
      <c r="V193" s="21">
        <f t="shared" si="7"/>
        <v>87.476520357891246</v>
      </c>
      <c r="W193" s="22">
        <f>+[35]References!C10</f>
        <v>1</v>
      </c>
      <c r="X193" s="21">
        <f t="shared" si="8"/>
        <v>87.476520357891246</v>
      </c>
      <c r="Y193" s="15">
        <f>+[35]References!C35</f>
        <v>613</v>
      </c>
      <c r="Z193" s="21">
        <f t="shared" si="9"/>
        <v>53623.106979387332</v>
      </c>
      <c r="AA193" s="21">
        <f>+Z193*[35]Regulated!$C$115</f>
        <v>42206.29228249086</v>
      </c>
    </row>
    <row r="194" spans="1:27">
      <c r="A194" s="218" t="s">
        <v>215</v>
      </c>
      <c r="B194" s="218" t="s">
        <v>216</v>
      </c>
      <c r="D194" s="20">
        <v>0</v>
      </c>
      <c r="E194" s="20">
        <v>0</v>
      </c>
      <c r="G194" s="20">
        <v>0</v>
      </c>
      <c r="H194" s="20">
        <v>0</v>
      </c>
      <c r="J194" s="20">
        <v>0</v>
      </c>
      <c r="K194" s="20">
        <v>0</v>
      </c>
      <c r="M194" s="20">
        <v>89.73</v>
      </c>
      <c r="N194" s="21">
        <v>85.84</v>
      </c>
      <c r="P194" s="20">
        <v>0</v>
      </c>
      <c r="Q194" s="21">
        <v>0</v>
      </c>
      <c r="S194" s="20">
        <v>0</v>
      </c>
      <c r="T194" s="20">
        <v>0</v>
      </c>
      <c r="V194" s="21">
        <f t="shared" si="7"/>
        <v>0.95664772094059958</v>
      </c>
      <c r="W194" s="22">
        <f>+[35]References!C10</f>
        <v>1</v>
      </c>
      <c r="X194" s="21">
        <f t="shared" si="8"/>
        <v>0.95664772094059958</v>
      </c>
      <c r="Y194" s="15">
        <f>+[35]References!C36</f>
        <v>728</v>
      </c>
      <c r="Z194" s="21">
        <f t="shared" si="9"/>
        <v>696.43954084475649</v>
      </c>
      <c r="AA194" s="21">
        <f>+Z194*[35]Regulated!$C$115</f>
        <v>548.16165033623656</v>
      </c>
    </row>
    <row r="195" spans="1:27">
      <c r="A195" s="218" t="s">
        <v>217</v>
      </c>
      <c r="B195" s="218" t="s">
        <v>218</v>
      </c>
      <c r="D195" s="20">
        <v>0</v>
      </c>
      <c r="E195" s="20">
        <v>0</v>
      </c>
      <c r="G195" s="20">
        <v>0</v>
      </c>
      <c r="H195" s="20">
        <v>0</v>
      </c>
      <c r="J195" s="20">
        <v>98.08</v>
      </c>
      <c r="K195" s="20">
        <v>0</v>
      </c>
      <c r="M195" s="20">
        <v>104.74</v>
      </c>
      <c r="N195" s="21">
        <v>4070.55</v>
      </c>
      <c r="P195" s="20">
        <v>168.18</v>
      </c>
      <c r="Q195" s="21">
        <v>168.18</v>
      </c>
      <c r="S195" s="20">
        <v>0</v>
      </c>
      <c r="T195" s="20">
        <v>0</v>
      </c>
      <c r="V195" s="21">
        <f t="shared" si="7"/>
        <v>39.863375978613711</v>
      </c>
      <c r="W195" s="22">
        <f>+[35]References!C10</f>
        <v>1</v>
      </c>
      <c r="X195" s="21">
        <f t="shared" si="8"/>
        <v>39.863375978613711</v>
      </c>
      <c r="Y195" s="15">
        <f>+[35]References!C37</f>
        <v>840</v>
      </c>
      <c r="Z195" s="21">
        <f t="shared" si="9"/>
        <v>33485.235822035516</v>
      </c>
      <c r="AA195" s="21">
        <f>+Z195*[35]Regulated!$C$115</f>
        <v>26355.944850346517</v>
      </c>
    </row>
    <row r="196" spans="1:27">
      <c r="A196" s="218" t="s">
        <v>219</v>
      </c>
      <c r="B196" s="218" t="s">
        <v>220</v>
      </c>
      <c r="D196" s="20">
        <v>0</v>
      </c>
      <c r="E196" s="20">
        <v>0</v>
      </c>
      <c r="G196" s="20">
        <v>0</v>
      </c>
      <c r="H196" s="20">
        <v>0</v>
      </c>
      <c r="J196" s="20">
        <v>122.73</v>
      </c>
      <c r="K196" s="20">
        <v>0</v>
      </c>
      <c r="M196" s="20">
        <v>134.76</v>
      </c>
      <c r="N196" s="21">
        <v>1845.7599999999998</v>
      </c>
      <c r="P196" s="20">
        <v>224.24</v>
      </c>
      <c r="Q196" s="21">
        <v>0</v>
      </c>
      <c r="S196" s="20">
        <v>0</v>
      </c>
      <c r="T196" s="20">
        <v>0</v>
      </c>
      <c r="V196" s="21">
        <f t="shared" si="7"/>
        <v>13.696645888987829</v>
      </c>
      <c r="W196" s="22">
        <f>+[35]References!C10</f>
        <v>1</v>
      </c>
      <c r="X196" s="21">
        <f t="shared" si="8"/>
        <v>13.696645888987829</v>
      </c>
      <c r="Y196" s="15">
        <f>+[35]References!C38</f>
        <v>980</v>
      </c>
      <c r="Z196" s="21">
        <f t="shared" si="9"/>
        <v>13422.712971208073</v>
      </c>
      <c r="AA196" s="21">
        <f>+Z196*[35]Regulated!$C$115</f>
        <v>10564.903430615463</v>
      </c>
    </row>
    <row r="197" spans="1:27">
      <c r="A197" s="218" t="s">
        <v>618</v>
      </c>
      <c r="B197" s="218" t="s">
        <v>619</v>
      </c>
      <c r="D197" s="20">
        <v>0</v>
      </c>
      <c r="E197" s="20">
        <v>0</v>
      </c>
      <c r="G197" s="20">
        <v>0</v>
      </c>
      <c r="H197" s="20">
        <v>0</v>
      </c>
      <c r="J197" s="20">
        <v>0</v>
      </c>
      <c r="K197" s="20">
        <v>0</v>
      </c>
      <c r="M197" s="20">
        <v>17.57</v>
      </c>
      <c r="N197" s="21">
        <v>0</v>
      </c>
      <c r="P197" s="20">
        <v>34.57</v>
      </c>
      <c r="Q197" s="21">
        <v>0</v>
      </c>
      <c r="S197" s="20">
        <v>0</v>
      </c>
      <c r="T197" s="20">
        <v>0</v>
      </c>
      <c r="V197" s="21">
        <f t="shared" si="7"/>
        <v>0</v>
      </c>
      <c r="W197" s="22">
        <f>+[35]References!C10</f>
        <v>1</v>
      </c>
      <c r="X197" s="21">
        <f t="shared" si="8"/>
        <v>0</v>
      </c>
      <c r="Y197" s="15">
        <f>+[35]References!C29</f>
        <v>29</v>
      </c>
      <c r="Z197" s="21">
        <f t="shared" si="9"/>
        <v>0</v>
      </c>
      <c r="AA197" s="21">
        <f>+Z197*[35]Regulated!$C$115</f>
        <v>0</v>
      </c>
    </row>
    <row r="198" spans="1:27">
      <c r="A198" s="218" t="s">
        <v>223</v>
      </c>
      <c r="B198" s="218" t="s">
        <v>224</v>
      </c>
      <c r="D198" s="20">
        <v>0</v>
      </c>
      <c r="E198" s="20">
        <v>0</v>
      </c>
      <c r="G198" s="20">
        <v>0</v>
      </c>
      <c r="H198" s="20">
        <v>0</v>
      </c>
      <c r="J198" s="20">
        <v>44.35</v>
      </c>
      <c r="K198" s="20">
        <v>399.15000000000003</v>
      </c>
      <c r="M198" s="20">
        <v>37.200000000000003</v>
      </c>
      <c r="N198" s="21">
        <v>168.32999999999998</v>
      </c>
      <c r="P198" s="20">
        <v>0</v>
      </c>
      <c r="Q198" s="21">
        <v>0</v>
      </c>
      <c r="S198" s="20">
        <v>0</v>
      </c>
      <c r="T198" s="20">
        <v>0</v>
      </c>
      <c r="V198" s="21">
        <f t="shared" si="7"/>
        <v>13.524999999999999</v>
      </c>
      <c r="W198" s="22">
        <f>+[35]References!C10</f>
        <v>1</v>
      </c>
      <c r="X198" s="21">
        <f t="shared" si="8"/>
        <v>13.524999999999999</v>
      </c>
      <c r="Y198" s="15">
        <f>+[35]References!C32</f>
        <v>250</v>
      </c>
      <c r="Z198" s="21">
        <f t="shared" si="9"/>
        <v>3381.2499999999995</v>
      </c>
      <c r="AA198" s="21">
        <f>+Z198*[35]Regulated!$C$115</f>
        <v>2661.3531706588687</v>
      </c>
    </row>
    <row r="199" spans="1:27">
      <c r="A199" s="218" t="s">
        <v>221</v>
      </c>
      <c r="B199" s="218" t="s">
        <v>222</v>
      </c>
      <c r="D199" s="20">
        <v>0</v>
      </c>
      <c r="E199" s="20">
        <v>0</v>
      </c>
      <c r="G199" s="20">
        <v>0</v>
      </c>
      <c r="H199" s="20">
        <v>0</v>
      </c>
      <c r="J199" s="20">
        <v>37.96</v>
      </c>
      <c r="K199" s="20">
        <v>75.92</v>
      </c>
      <c r="M199" s="20">
        <v>29.69</v>
      </c>
      <c r="N199" s="21">
        <v>220.86</v>
      </c>
      <c r="P199" s="20">
        <v>28.03</v>
      </c>
      <c r="Q199" s="21">
        <v>0</v>
      </c>
      <c r="S199" s="20">
        <v>0</v>
      </c>
      <c r="T199" s="20">
        <v>0</v>
      </c>
      <c r="V199" s="21">
        <f t="shared" si="7"/>
        <v>9.4388683058268779</v>
      </c>
      <c r="W199" s="22">
        <f>+[35]References!C10</f>
        <v>1</v>
      </c>
      <c r="X199" s="21">
        <f t="shared" si="8"/>
        <v>9.4388683058268779</v>
      </c>
      <c r="Y199" s="15">
        <f>+[35]References!C31</f>
        <v>175</v>
      </c>
      <c r="Z199" s="21">
        <f t="shared" si="9"/>
        <v>1651.8019535197036</v>
      </c>
      <c r="AA199" s="21">
        <f>+Z199*[35]Regulated!$C$115</f>
        <v>1300.119295024082</v>
      </c>
    </row>
    <row r="200" spans="1:27">
      <c r="A200" s="218" t="s">
        <v>225</v>
      </c>
      <c r="B200" s="218" t="s">
        <v>226</v>
      </c>
      <c r="D200" s="20">
        <v>0</v>
      </c>
      <c r="E200" s="20">
        <v>0</v>
      </c>
      <c r="G200" s="20">
        <v>0</v>
      </c>
      <c r="H200" s="20">
        <v>0</v>
      </c>
      <c r="J200" s="20">
        <v>50.81</v>
      </c>
      <c r="K200" s="20">
        <v>1217.44</v>
      </c>
      <c r="M200" s="20">
        <v>44.7</v>
      </c>
      <c r="N200" s="21">
        <v>526.70000000000005</v>
      </c>
      <c r="P200" s="20">
        <v>56.06</v>
      </c>
      <c r="Q200" s="21">
        <v>56.06</v>
      </c>
      <c r="S200" s="20">
        <v>44.7</v>
      </c>
      <c r="T200" s="20">
        <v>0</v>
      </c>
      <c r="V200" s="21">
        <f t="shared" si="7"/>
        <v>36.743635432613587</v>
      </c>
      <c r="W200" s="22">
        <f>+[35]References!C10</f>
        <v>1</v>
      </c>
      <c r="X200" s="21">
        <f t="shared" si="8"/>
        <v>36.743635432613587</v>
      </c>
      <c r="Y200" s="15">
        <f>+[35]References!C33</f>
        <v>324</v>
      </c>
      <c r="Z200" s="21">
        <f t="shared" si="9"/>
        <v>11904.937880166803</v>
      </c>
      <c r="AA200" s="21">
        <f>+Z200*[35]Regulated!$C$115</f>
        <v>9370.2755412580536</v>
      </c>
    </row>
    <row r="201" spans="1:27">
      <c r="A201" s="218" t="s">
        <v>227</v>
      </c>
      <c r="B201" s="218" t="s">
        <v>228</v>
      </c>
      <c r="D201" s="20">
        <v>0</v>
      </c>
      <c r="E201" s="20">
        <v>0</v>
      </c>
      <c r="G201" s="20">
        <v>0</v>
      </c>
      <c r="H201" s="20">
        <v>0</v>
      </c>
      <c r="J201" s="20">
        <v>63.62</v>
      </c>
      <c r="K201" s="20">
        <v>0</v>
      </c>
      <c r="M201" s="20">
        <v>59.71</v>
      </c>
      <c r="N201" s="21">
        <v>173.95</v>
      </c>
      <c r="P201" s="20">
        <v>84.09</v>
      </c>
      <c r="Q201" s="21">
        <v>589.47</v>
      </c>
      <c r="S201" s="20">
        <v>59.71</v>
      </c>
      <c r="T201" s="20">
        <v>114.24</v>
      </c>
      <c r="V201" s="21">
        <f t="shared" ref="V201:V205" si="10">+IFERROR((E201/D201),0)+IFERROR((H201/G201),0)+IFERROR((K201/J201),0)+IFERROR((N201/M201),0)+IFERROR((Q201/P201),0)+IFERROR((T201/S201),0)</f>
        <v>11.836484021683351</v>
      </c>
      <c r="W201" s="22">
        <f>+[35]References!C10</f>
        <v>1</v>
      </c>
      <c r="X201" s="21">
        <f t="shared" ref="X201:X205" si="11">+V201*W201</f>
        <v>11.836484021683351</v>
      </c>
      <c r="Y201" s="15">
        <f>+[35]References!C34</f>
        <v>473</v>
      </c>
      <c r="Z201" s="21">
        <f t="shared" ref="Z201:Z205" si="12">+X201*Y201</f>
        <v>5598.6569422562252</v>
      </c>
      <c r="AA201" s="21">
        <f>+Z201*[35]Regulated!$C$115</f>
        <v>4406.655350744516</v>
      </c>
    </row>
    <row r="202" spans="1:27">
      <c r="A202" s="218" t="s">
        <v>229</v>
      </c>
      <c r="B202" s="218" t="s">
        <v>230</v>
      </c>
      <c r="D202" s="20">
        <v>0</v>
      </c>
      <c r="E202" s="20">
        <v>0</v>
      </c>
      <c r="G202" s="20">
        <v>0</v>
      </c>
      <c r="H202" s="20">
        <v>0</v>
      </c>
      <c r="J202" s="20">
        <v>0</v>
      </c>
      <c r="K202" s="20">
        <v>0</v>
      </c>
      <c r="M202" s="20">
        <v>74.72</v>
      </c>
      <c r="N202" s="21">
        <v>146.19999999999999</v>
      </c>
      <c r="P202" s="20">
        <v>112.12</v>
      </c>
      <c r="Q202" s="21">
        <v>2920.7200000000003</v>
      </c>
      <c r="S202" s="20">
        <v>0</v>
      </c>
      <c r="T202" s="20">
        <v>0</v>
      </c>
      <c r="V202" s="21">
        <f t="shared" si="10"/>
        <v>28.006584601539647</v>
      </c>
      <c r="W202" s="22">
        <f>+[35]References!C10</f>
        <v>1</v>
      </c>
      <c r="X202" s="21">
        <f t="shared" si="11"/>
        <v>28.006584601539647</v>
      </c>
      <c r="Y202" s="15">
        <f>+[35]References!C35</f>
        <v>613</v>
      </c>
      <c r="Z202" s="21">
        <f t="shared" si="12"/>
        <v>17168.036360743805</v>
      </c>
      <c r="AA202" s="21">
        <f>+Z202*[35]Regulated!$C$115</f>
        <v>13512.815675460932</v>
      </c>
    </row>
    <row r="203" spans="1:27">
      <c r="A203" s="218" t="s">
        <v>620</v>
      </c>
      <c r="B203" s="218" t="s">
        <v>621</v>
      </c>
      <c r="D203" s="20">
        <v>0</v>
      </c>
      <c r="E203" s="20">
        <v>0</v>
      </c>
      <c r="G203" s="20">
        <v>0</v>
      </c>
      <c r="H203" s="20">
        <v>0</v>
      </c>
      <c r="J203" s="20">
        <v>98.08</v>
      </c>
      <c r="K203" s="20">
        <v>0</v>
      </c>
      <c r="M203" s="20">
        <v>104.74</v>
      </c>
      <c r="N203" s="21">
        <v>305.14</v>
      </c>
      <c r="P203" s="20">
        <v>168.18</v>
      </c>
      <c r="Q203" s="21">
        <v>1177.26</v>
      </c>
      <c r="S203" s="20">
        <v>0</v>
      </c>
      <c r="T203" s="20">
        <v>0</v>
      </c>
      <c r="V203" s="21">
        <f t="shared" si="10"/>
        <v>9.9133091464578964</v>
      </c>
      <c r="W203" s="22">
        <f>+[35]References!C10</f>
        <v>1</v>
      </c>
      <c r="X203" s="21">
        <f t="shared" si="11"/>
        <v>9.9133091464578964</v>
      </c>
      <c r="Y203" s="15">
        <f>+[35]References!C37</f>
        <v>840</v>
      </c>
      <c r="Z203" s="21">
        <f t="shared" si="12"/>
        <v>8327.1796830246331</v>
      </c>
      <c r="AA203" s="21">
        <f>+Z203*[35]Regulated!$C$115</f>
        <v>6554.2524368395489</v>
      </c>
    </row>
    <row r="204" spans="1:27">
      <c r="A204" s="219" t="s">
        <v>231</v>
      </c>
      <c r="B204" s="218" t="s">
        <v>232</v>
      </c>
      <c r="D204" s="20">
        <v>0</v>
      </c>
      <c r="E204" s="20">
        <v>0</v>
      </c>
      <c r="G204" s="20">
        <v>0</v>
      </c>
      <c r="H204" s="20">
        <v>0</v>
      </c>
      <c r="J204" s="20">
        <v>0</v>
      </c>
      <c r="K204" s="20">
        <v>0</v>
      </c>
      <c r="M204" s="20">
        <v>134.76</v>
      </c>
      <c r="N204" s="21">
        <v>0</v>
      </c>
      <c r="P204" s="20">
        <v>224.24</v>
      </c>
      <c r="Q204" s="21">
        <v>0</v>
      </c>
      <c r="S204" s="20">
        <v>0</v>
      </c>
      <c r="T204" s="20">
        <v>0</v>
      </c>
      <c r="V204" s="21">
        <f t="shared" si="10"/>
        <v>0</v>
      </c>
      <c r="W204" s="22">
        <f>+[35]References!C10</f>
        <v>1</v>
      </c>
      <c r="X204" s="21">
        <f t="shared" si="11"/>
        <v>0</v>
      </c>
      <c r="Y204" s="15">
        <f>+[35]References!C38</f>
        <v>980</v>
      </c>
      <c r="Z204" s="21">
        <f t="shared" si="12"/>
        <v>0</v>
      </c>
      <c r="AA204" s="21">
        <f>+Z204*[35]Regulated!$C$115</f>
        <v>0</v>
      </c>
    </row>
    <row r="205" spans="1:27">
      <c r="A205" s="218" t="s">
        <v>622</v>
      </c>
      <c r="B205" s="218" t="s">
        <v>623</v>
      </c>
      <c r="D205" s="20">
        <v>0</v>
      </c>
      <c r="E205" s="20">
        <v>0</v>
      </c>
      <c r="G205" s="20">
        <v>0</v>
      </c>
      <c r="H205" s="20">
        <v>0</v>
      </c>
      <c r="J205" s="20">
        <v>0</v>
      </c>
      <c r="K205" s="20">
        <v>0</v>
      </c>
      <c r="M205" s="20">
        <v>17.28</v>
      </c>
      <c r="N205" s="21">
        <v>197311.66999999998</v>
      </c>
      <c r="P205" s="20">
        <v>0</v>
      </c>
      <c r="Q205" s="21">
        <v>0</v>
      </c>
      <c r="S205" s="20">
        <v>0</v>
      </c>
      <c r="T205" s="20">
        <v>0</v>
      </c>
      <c r="V205" s="21">
        <f t="shared" si="10"/>
        <v>11418.499421296294</v>
      </c>
      <c r="W205" s="22">
        <f>+[35]References!C7</f>
        <v>4.33</v>
      </c>
      <c r="X205" s="21">
        <f t="shared" si="11"/>
        <v>49442.102494212952</v>
      </c>
      <c r="Y205" s="15">
        <f>+[35]References!C29</f>
        <v>29</v>
      </c>
      <c r="Z205" s="21">
        <f t="shared" si="12"/>
        <v>1433820.9723321756</v>
      </c>
      <c r="AA205" s="21">
        <f>+Z205*[35]Regulated!$C$115</f>
        <v>1128548.3152305859</v>
      </c>
    </row>
    <row r="206" spans="1:27" ht="6.75" customHeight="1">
      <c r="A206" s="186"/>
      <c r="B206" s="9"/>
      <c r="N206" s="183"/>
      <c r="Q206" s="183"/>
      <c r="Z206" s="183"/>
      <c r="AA206" s="183"/>
    </row>
    <row r="207" spans="1:27">
      <c r="A207" s="187"/>
      <c r="B207" s="29" t="s">
        <v>624</v>
      </c>
      <c r="D207" s="197">
        <f>+SUM(D73:D206)</f>
        <v>0</v>
      </c>
      <c r="E207" s="197">
        <f>+SUM(E73:E206)</f>
        <v>0</v>
      </c>
      <c r="F207" s="19"/>
      <c r="G207" s="197">
        <f>+SUM(G73:G206)</f>
        <v>452.74999999999994</v>
      </c>
      <c r="H207" s="197">
        <f>+SUM(H73:H206)</f>
        <v>5692.37</v>
      </c>
      <c r="I207" s="19"/>
      <c r="J207" s="197">
        <f>+SUM(J73:J206)</f>
        <v>4246.87</v>
      </c>
      <c r="K207" s="197">
        <f>+SUM(K73:K206)</f>
        <v>164227.16000000003</v>
      </c>
      <c r="L207" s="19"/>
      <c r="M207" s="197">
        <f>+SUM(M73:M206)</f>
        <v>44736.090000000004</v>
      </c>
      <c r="N207" s="28">
        <f>+SUM(N73:N206)</f>
        <v>10046104.059999991</v>
      </c>
      <c r="O207" s="19"/>
      <c r="P207" s="197">
        <f>+SUM(P73:P206)</f>
        <v>12953.810000000005</v>
      </c>
      <c r="Q207" s="28">
        <f>+SUM(Q73:Q206)</f>
        <v>500330.9</v>
      </c>
      <c r="R207" s="19"/>
      <c r="S207" s="197">
        <f>+SUM(S73:S206)</f>
        <v>104.41</v>
      </c>
      <c r="T207" s="197">
        <f>+SUM(T73:T206)</f>
        <v>114.24</v>
      </c>
      <c r="U207" s="19"/>
      <c r="V207" s="28">
        <f t="shared" ref="V207:AA207" si="13">+SUM(V73:V206)</f>
        <v>60859.879864146125</v>
      </c>
      <c r="W207" s="28">
        <f t="shared" si="13"/>
        <v>1019.7700000000007</v>
      </c>
      <c r="X207" s="26">
        <f t="shared" si="13"/>
        <v>274030.7243096584</v>
      </c>
      <c r="Y207" s="28">
        <f t="shared" si="13"/>
        <v>62428</v>
      </c>
      <c r="Z207" s="28">
        <f t="shared" si="13"/>
        <v>89773681.73369731</v>
      </c>
      <c r="AA207" s="28">
        <f t="shared" si="13"/>
        <v>70660102.77965115</v>
      </c>
    </row>
    <row r="208" spans="1:27">
      <c r="A208" s="187"/>
      <c r="B208" s="187"/>
      <c r="Z208" s="183"/>
      <c r="AA208" s="183"/>
    </row>
    <row r="209" spans="1:27" ht="13.5" thickBot="1">
      <c r="A209" s="9"/>
      <c r="B209" s="188" t="s">
        <v>249</v>
      </c>
      <c r="U209" s="199"/>
      <c r="V209" s="200">
        <f t="shared" ref="V209:AA209" si="14">+V207+V67</f>
        <v>717177.00417122734</v>
      </c>
      <c r="W209" s="200">
        <f t="shared" si="14"/>
        <v>1174.5600000000006</v>
      </c>
      <c r="X209" s="201">
        <f t="shared" si="14"/>
        <v>2654207.7954306742</v>
      </c>
      <c r="Y209" s="200">
        <f t="shared" si="14"/>
        <v>64782</v>
      </c>
      <c r="Z209" s="200">
        <f t="shared" si="14"/>
        <v>178986621.63405478</v>
      </c>
      <c r="AA209" s="200">
        <f t="shared" si="14"/>
        <v>140878850.42256883</v>
      </c>
    </row>
    <row r="210" spans="1:27" ht="13.5" thickTop="1"/>
  </sheetData>
  <mergeCells count="6">
    <mergeCell ref="S6:T6"/>
    <mergeCell ref="D6:E6"/>
    <mergeCell ref="G6:H6"/>
    <mergeCell ref="J6:K6"/>
    <mergeCell ref="M6:N6"/>
    <mergeCell ref="P6:Q6"/>
  </mergeCells>
  <pageMargins left="0.7" right="0.7" top="0.75" bottom="0.75" header="0.3" footer="0.3"/>
  <pageSetup scale="62" pageOrder="overThenDown" orientation="landscape" r:id="rId1"/>
  <headerFooter>
    <oddFooter xml:space="preserve">&amp;L&amp;F - &amp;A
&amp;R&amp;P of &amp;N
</oddFooter>
  </headerFooter>
  <colBreaks count="1" manualBreakCount="1">
    <brk id="17" max="207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OR289"/>
  <sheetViews>
    <sheetView showGridLines="0" view="pageLayout" topLeftCell="A136" zoomScaleNormal="80" zoomScaleSheetLayoutView="80" workbookViewId="0">
      <selection activeCell="M22" sqref="M22"/>
    </sheetView>
  </sheetViews>
  <sheetFormatPr defaultColWidth="11.42578125" defaultRowHeight="10.5"/>
  <cols>
    <col min="1" max="1" width="29.85546875" style="131" customWidth="1"/>
    <col min="2" max="2" width="7.140625" style="132" bestFit="1" customWidth="1"/>
    <col min="3" max="3" width="1.5703125" style="131" customWidth="1"/>
    <col min="4" max="4" width="7.42578125" style="133" bestFit="1" customWidth="1"/>
    <col min="5" max="5" width="1.5703125" style="134" customWidth="1"/>
    <col min="6" max="6" width="8.7109375" style="134" bestFit="1" customWidth="1"/>
    <col min="7" max="7" width="11.7109375" style="132" customWidth="1"/>
    <col min="8" max="8" width="12" style="132" bestFit="1" customWidth="1"/>
    <col min="9" max="9" width="8.7109375" style="131" customWidth="1"/>
    <col min="10" max="10" width="4.5703125" style="132" customWidth="1"/>
    <col min="11" max="11" width="12.140625" style="131" customWidth="1"/>
    <col min="12" max="12" width="4.5703125" style="131" customWidth="1"/>
    <col min="13" max="13" width="8.140625" style="131" customWidth="1"/>
    <col min="14" max="18" width="4.5703125" style="131" customWidth="1"/>
    <col min="19" max="254" width="11.42578125" style="131"/>
    <col min="255" max="255" width="24.28515625" style="131" customWidth="1"/>
    <col min="256" max="256" width="11.42578125" style="131" customWidth="1"/>
    <col min="257" max="257" width="1.5703125" style="131" customWidth="1"/>
    <col min="258" max="258" width="10.7109375" style="131" customWidth="1"/>
    <col min="259" max="259" width="1.5703125" style="131" customWidth="1"/>
    <col min="260" max="260" width="11.42578125" style="131" customWidth="1"/>
    <col min="261" max="261" width="11.7109375" style="131" customWidth="1"/>
    <col min="262" max="262" width="10.28515625" style="131" customWidth="1"/>
    <col min="263" max="263" width="10.7109375" style="131" customWidth="1"/>
    <col min="264" max="264" width="10.5703125" style="131" customWidth="1"/>
    <col min="265" max="265" width="8.7109375" style="131" customWidth="1"/>
    <col min="266" max="274" width="4.5703125" style="131" customWidth="1"/>
    <col min="275" max="510" width="11.42578125" style="131"/>
    <col min="511" max="511" width="24.28515625" style="131" customWidth="1"/>
    <col min="512" max="512" width="11.42578125" style="131" customWidth="1"/>
    <col min="513" max="513" width="1.5703125" style="131" customWidth="1"/>
    <col min="514" max="514" width="10.7109375" style="131" customWidth="1"/>
    <col min="515" max="515" width="1.5703125" style="131" customWidth="1"/>
    <col min="516" max="516" width="11.42578125" style="131" customWidth="1"/>
    <col min="517" max="517" width="11.7109375" style="131" customWidth="1"/>
    <col min="518" max="518" width="10.28515625" style="131" customWidth="1"/>
    <col min="519" max="519" width="10.7109375" style="131" customWidth="1"/>
    <col min="520" max="520" width="10.5703125" style="131" customWidth="1"/>
    <col min="521" max="521" width="8.7109375" style="131" customWidth="1"/>
    <col min="522" max="530" width="4.5703125" style="131" customWidth="1"/>
    <col min="531" max="766" width="11.42578125" style="131"/>
    <col min="767" max="767" width="24.28515625" style="131" customWidth="1"/>
    <col min="768" max="768" width="11.42578125" style="131" customWidth="1"/>
    <col min="769" max="769" width="1.5703125" style="131" customWidth="1"/>
    <col min="770" max="770" width="10.7109375" style="131" customWidth="1"/>
    <col min="771" max="771" width="1.5703125" style="131" customWidth="1"/>
    <col min="772" max="772" width="11.42578125" style="131" customWidth="1"/>
    <col min="773" max="773" width="11.7109375" style="131" customWidth="1"/>
    <col min="774" max="774" width="10.28515625" style="131" customWidth="1"/>
    <col min="775" max="775" width="10.7109375" style="131" customWidth="1"/>
    <col min="776" max="776" width="10.5703125" style="131" customWidth="1"/>
    <col min="777" max="777" width="8.7109375" style="131" customWidth="1"/>
    <col min="778" max="786" width="4.5703125" style="131" customWidth="1"/>
    <col min="787" max="1022" width="11.42578125" style="131"/>
    <col min="1023" max="1023" width="24.28515625" style="131" customWidth="1"/>
    <col min="1024" max="1024" width="11.42578125" style="131" customWidth="1"/>
    <col min="1025" max="1025" width="1.5703125" style="131" customWidth="1"/>
    <col min="1026" max="1026" width="10.7109375" style="131" customWidth="1"/>
    <col min="1027" max="1027" width="1.5703125" style="131" customWidth="1"/>
    <col min="1028" max="1028" width="11.42578125" style="131" customWidth="1"/>
    <col min="1029" max="1029" width="11.7109375" style="131" customWidth="1"/>
    <col min="1030" max="1030" width="10.28515625" style="131" customWidth="1"/>
    <col min="1031" max="1031" width="10.7109375" style="131" customWidth="1"/>
    <col min="1032" max="1032" width="10.5703125" style="131" customWidth="1"/>
    <col min="1033" max="1033" width="8.7109375" style="131" customWidth="1"/>
    <col min="1034" max="1042" width="4.5703125" style="131" customWidth="1"/>
    <col min="1043" max="1278" width="11.42578125" style="131"/>
    <col min="1279" max="1279" width="24.28515625" style="131" customWidth="1"/>
    <col min="1280" max="1280" width="11.42578125" style="131" customWidth="1"/>
    <col min="1281" max="1281" width="1.5703125" style="131" customWidth="1"/>
    <col min="1282" max="1282" width="10.7109375" style="131" customWidth="1"/>
    <col min="1283" max="1283" width="1.5703125" style="131" customWidth="1"/>
    <col min="1284" max="1284" width="11.42578125" style="131" customWidth="1"/>
    <col min="1285" max="1285" width="11.7109375" style="131" customWidth="1"/>
    <col min="1286" max="1286" width="10.28515625" style="131" customWidth="1"/>
    <col min="1287" max="1287" width="10.7109375" style="131" customWidth="1"/>
    <col min="1288" max="1288" width="10.5703125" style="131" customWidth="1"/>
    <col min="1289" max="1289" width="8.7109375" style="131" customWidth="1"/>
    <col min="1290" max="1298" width="4.5703125" style="131" customWidth="1"/>
    <col min="1299" max="1534" width="11.42578125" style="131"/>
    <col min="1535" max="1535" width="24.28515625" style="131" customWidth="1"/>
    <col min="1536" max="1536" width="11.42578125" style="131" customWidth="1"/>
    <col min="1537" max="1537" width="1.5703125" style="131" customWidth="1"/>
    <col min="1538" max="1538" width="10.7109375" style="131" customWidth="1"/>
    <col min="1539" max="1539" width="1.5703125" style="131" customWidth="1"/>
    <col min="1540" max="1540" width="11.42578125" style="131" customWidth="1"/>
    <col min="1541" max="1541" width="11.7109375" style="131" customWidth="1"/>
    <col min="1542" max="1542" width="10.28515625" style="131" customWidth="1"/>
    <col min="1543" max="1543" width="10.7109375" style="131" customWidth="1"/>
    <col min="1544" max="1544" width="10.5703125" style="131" customWidth="1"/>
    <col min="1545" max="1545" width="8.7109375" style="131" customWidth="1"/>
    <col min="1546" max="1554" width="4.5703125" style="131" customWidth="1"/>
    <col min="1555" max="1790" width="11.42578125" style="131"/>
    <col min="1791" max="1791" width="24.28515625" style="131" customWidth="1"/>
    <col min="1792" max="1792" width="11.42578125" style="131" customWidth="1"/>
    <col min="1793" max="1793" width="1.5703125" style="131" customWidth="1"/>
    <col min="1794" max="1794" width="10.7109375" style="131" customWidth="1"/>
    <col min="1795" max="1795" width="1.5703125" style="131" customWidth="1"/>
    <col min="1796" max="1796" width="11.42578125" style="131" customWidth="1"/>
    <col min="1797" max="1797" width="11.7109375" style="131" customWidth="1"/>
    <col min="1798" max="1798" width="10.28515625" style="131" customWidth="1"/>
    <col min="1799" max="1799" width="10.7109375" style="131" customWidth="1"/>
    <col min="1800" max="1800" width="10.5703125" style="131" customWidth="1"/>
    <col min="1801" max="1801" width="8.7109375" style="131" customWidth="1"/>
    <col min="1802" max="1810" width="4.5703125" style="131" customWidth="1"/>
    <col min="1811" max="2046" width="11.42578125" style="131"/>
    <col min="2047" max="2047" width="24.28515625" style="131" customWidth="1"/>
    <col min="2048" max="2048" width="11.42578125" style="131" customWidth="1"/>
    <col min="2049" max="2049" width="1.5703125" style="131" customWidth="1"/>
    <col min="2050" max="2050" width="10.7109375" style="131" customWidth="1"/>
    <col min="2051" max="2051" width="1.5703125" style="131" customWidth="1"/>
    <col min="2052" max="2052" width="11.42578125" style="131" customWidth="1"/>
    <col min="2053" max="2053" width="11.7109375" style="131" customWidth="1"/>
    <col min="2054" max="2054" width="10.28515625" style="131" customWidth="1"/>
    <col min="2055" max="2055" width="10.7109375" style="131" customWidth="1"/>
    <col min="2056" max="2056" width="10.5703125" style="131" customWidth="1"/>
    <col min="2057" max="2057" width="8.7109375" style="131" customWidth="1"/>
    <col min="2058" max="2066" width="4.5703125" style="131" customWidth="1"/>
    <col min="2067" max="2302" width="11.42578125" style="131"/>
    <col min="2303" max="2303" width="24.28515625" style="131" customWidth="1"/>
    <col min="2304" max="2304" width="11.42578125" style="131" customWidth="1"/>
    <col min="2305" max="2305" width="1.5703125" style="131" customWidth="1"/>
    <col min="2306" max="2306" width="10.7109375" style="131" customWidth="1"/>
    <col min="2307" max="2307" width="1.5703125" style="131" customWidth="1"/>
    <col min="2308" max="2308" width="11.42578125" style="131" customWidth="1"/>
    <col min="2309" max="2309" width="11.7109375" style="131" customWidth="1"/>
    <col min="2310" max="2310" width="10.28515625" style="131" customWidth="1"/>
    <col min="2311" max="2311" width="10.7109375" style="131" customWidth="1"/>
    <col min="2312" max="2312" width="10.5703125" style="131" customWidth="1"/>
    <col min="2313" max="2313" width="8.7109375" style="131" customWidth="1"/>
    <col min="2314" max="2322" width="4.5703125" style="131" customWidth="1"/>
    <col min="2323" max="2558" width="11.42578125" style="131"/>
    <col min="2559" max="2559" width="24.28515625" style="131" customWidth="1"/>
    <col min="2560" max="2560" width="11.42578125" style="131" customWidth="1"/>
    <col min="2561" max="2561" width="1.5703125" style="131" customWidth="1"/>
    <col min="2562" max="2562" width="10.7109375" style="131" customWidth="1"/>
    <col min="2563" max="2563" width="1.5703125" style="131" customWidth="1"/>
    <col min="2564" max="2564" width="11.42578125" style="131" customWidth="1"/>
    <col min="2565" max="2565" width="11.7109375" style="131" customWidth="1"/>
    <col min="2566" max="2566" width="10.28515625" style="131" customWidth="1"/>
    <col min="2567" max="2567" width="10.7109375" style="131" customWidth="1"/>
    <col min="2568" max="2568" width="10.5703125" style="131" customWidth="1"/>
    <col min="2569" max="2569" width="8.7109375" style="131" customWidth="1"/>
    <col min="2570" max="2578" width="4.5703125" style="131" customWidth="1"/>
    <col min="2579" max="2814" width="11.42578125" style="131"/>
    <col min="2815" max="2815" width="24.28515625" style="131" customWidth="1"/>
    <col min="2816" max="2816" width="11.42578125" style="131" customWidth="1"/>
    <col min="2817" max="2817" width="1.5703125" style="131" customWidth="1"/>
    <col min="2818" max="2818" width="10.7109375" style="131" customWidth="1"/>
    <col min="2819" max="2819" width="1.5703125" style="131" customWidth="1"/>
    <col min="2820" max="2820" width="11.42578125" style="131" customWidth="1"/>
    <col min="2821" max="2821" width="11.7109375" style="131" customWidth="1"/>
    <col min="2822" max="2822" width="10.28515625" style="131" customWidth="1"/>
    <col min="2823" max="2823" width="10.7109375" style="131" customWidth="1"/>
    <col min="2824" max="2824" width="10.5703125" style="131" customWidth="1"/>
    <col min="2825" max="2825" width="8.7109375" style="131" customWidth="1"/>
    <col min="2826" max="2834" width="4.5703125" style="131" customWidth="1"/>
    <col min="2835" max="3070" width="11.42578125" style="131"/>
    <col min="3071" max="3071" width="24.28515625" style="131" customWidth="1"/>
    <col min="3072" max="3072" width="11.42578125" style="131" customWidth="1"/>
    <col min="3073" max="3073" width="1.5703125" style="131" customWidth="1"/>
    <col min="3074" max="3074" width="10.7109375" style="131" customWidth="1"/>
    <col min="3075" max="3075" width="1.5703125" style="131" customWidth="1"/>
    <col min="3076" max="3076" width="11.42578125" style="131" customWidth="1"/>
    <col min="3077" max="3077" width="11.7109375" style="131" customWidth="1"/>
    <col min="3078" max="3078" width="10.28515625" style="131" customWidth="1"/>
    <col min="3079" max="3079" width="10.7109375" style="131" customWidth="1"/>
    <col min="3080" max="3080" width="10.5703125" style="131" customWidth="1"/>
    <col min="3081" max="3081" width="8.7109375" style="131" customWidth="1"/>
    <col min="3082" max="3090" width="4.5703125" style="131" customWidth="1"/>
    <col min="3091" max="3326" width="11.42578125" style="131"/>
    <col min="3327" max="3327" width="24.28515625" style="131" customWidth="1"/>
    <col min="3328" max="3328" width="11.42578125" style="131" customWidth="1"/>
    <col min="3329" max="3329" width="1.5703125" style="131" customWidth="1"/>
    <col min="3330" max="3330" width="10.7109375" style="131" customWidth="1"/>
    <col min="3331" max="3331" width="1.5703125" style="131" customWidth="1"/>
    <col min="3332" max="3332" width="11.42578125" style="131" customWidth="1"/>
    <col min="3333" max="3333" width="11.7109375" style="131" customWidth="1"/>
    <col min="3334" max="3334" width="10.28515625" style="131" customWidth="1"/>
    <col min="3335" max="3335" width="10.7109375" style="131" customWidth="1"/>
    <col min="3336" max="3336" width="10.5703125" style="131" customWidth="1"/>
    <col min="3337" max="3337" width="8.7109375" style="131" customWidth="1"/>
    <col min="3338" max="3346" width="4.5703125" style="131" customWidth="1"/>
    <col min="3347" max="3582" width="11.42578125" style="131"/>
    <col min="3583" max="3583" width="24.28515625" style="131" customWidth="1"/>
    <col min="3584" max="3584" width="11.42578125" style="131" customWidth="1"/>
    <col min="3585" max="3585" width="1.5703125" style="131" customWidth="1"/>
    <col min="3586" max="3586" width="10.7109375" style="131" customWidth="1"/>
    <col min="3587" max="3587" width="1.5703125" style="131" customWidth="1"/>
    <col min="3588" max="3588" width="11.42578125" style="131" customWidth="1"/>
    <col min="3589" max="3589" width="11.7109375" style="131" customWidth="1"/>
    <col min="3590" max="3590" width="10.28515625" style="131" customWidth="1"/>
    <col min="3591" max="3591" width="10.7109375" style="131" customWidth="1"/>
    <col min="3592" max="3592" width="10.5703125" style="131" customWidth="1"/>
    <col min="3593" max="3593" width="8.7109375" style="131" customWidth="1"/>
    <col min="3594" max="3602" width="4.5703125" style="131" customWidth="1"/>
    <col min="3603" max="3838" width="11.42578125" style="131"/>
    <col min="3839" max="3839" width="24.28515625" style="131" customWidth="1"/>
    <col min="3840" max="3840" width="11.42578125" style="131" customWidth="1"/>
    <col min="3841" max="3841" width="1.5703125" style="131" customWidth="1"/>
    <col min="3842" max="3842" width="10.7109375" style="131" customWidth="1"/>
    <col min="3843" max="3843" width="1.5703125" style="131" customWidth="1"/>
    <col min="3844" max="3844" width="11.42578125" style="131" customWidth="1"/>
    <col min="3845" max="3845" width="11.7109375" style="131" customWidth="1"/>
    <col min="3846" max="3846" width="10.28515625" style="131" customWidth="1"/>
    <col min="3847" max="3847" width="10.7109375" style="131" customWidth="1"/>
    <col min="3848" max="3848" width="10.5703125" style="131" customWidth="1"/>
    <col min="3849" max="3849" width="8.7109375" style="131" customWidth="1"/>
    <col min="3850" max="3858" width="4.5703125" style="131" customWidth="1"/>
    <col min="3859" max="4094" width="11.42578125" style="131"/>
    <col min="4095" max="4095" width="24.28515625" style="131" customWidth="1"/>
    <col min="4096" max="4096" width="11.42578125" style="131" customWidth="1"/>
    <col min="4097" max="4097" width="1.5703125" style="131" customWidth="1"/>
    <col min="4098" max="4098" width="10.7109375" style="131" customWidth="1"/>
    <col min="4099" max="4099" width="1.5703125" style="131" customWidth="1"/>
    <col min="4100" max="4100" width="11.42578125" style="131" customWidth="1"/>
    <col min="4101" max="4101" width="11.7109375" style="131" customWidth="1"/>
    <col min="4102" max="4102" width="10.28515625" style="131" customWidth="1"/>
    <col min="4103" max="4103" width="10.7109375" style="131" customWidth="1"/>
    <col min="4104" max="4104" width="10.5703125" style="131" customWidth="1"/>
    <col min="4105" max="4105" width="8.7109375" style="131" customWidth="1"/>
    <col min="4106" max="4114" width="4.5703125" style="131" customWidth="1"/>
    <col min="4115" max="4350" width="11.42578125" style="131"/>
    <col min="4351" max="4351" width="24.28515625" style="131" customWidth="1"/>
    <col min="4352" max="4352" width="11.42578125" style="131" customWidth="1"/>
    <col min="4353" max="4353" width="1.5703125" style="131" customWidth="1"/>
    <col min="4354" max="4354" width="10.7109375" style="131" customWidth="1"/>
    <col min="4355" max="4355" width="1.5703125" style="131" customWidth="1"/>
    <col min="4356" max="4356" width="11.42578125" style="131" customWidth="1"/>
    <col min="4357" max="4357" width="11.7109375" style="131" customWidth="1"/>
    <col min="4358" max="4358" width="10.28515625" style="131" customWidth="1"/>
    <col min="4359" max="4359" width="10.7109375" style="131" customWidth="1"/>
    <col min="4360" max="4360" width="10.5703125" style="131" customWidth="1"/>
    <col min="4361" max="4361" width="8.7109375" style="131" customWidth="1"/>
    <col min="4362" max="4370" width="4.5703125" style="131" customWidth="1"/>
    <col min="4371" max="4606" width="11.42578125" style="131"/>
    <col min="4607" max="4607" width="24.28515625" style="131" customWidth="1"/>
    <col min="4608" max="4608" width="11.42578125" style="131" customWidth="1"/>
    <col min="4609" max="4609" width="1.5703125" style="131" customWidth="1"/>
    <col min="4610" max="4610" width="10.7109375" style="131" customWidth="1"/>
    <col min="4611" max="4611" width="1.5703125" style="131" customWidth="1"/>
    <col min="4612" max="4612" width="11.42578125" style="131" customWidth="1"/>
    <col min="4613" max="4613" width="11.7109375" style="131" customWidth="1"/>
    <col min="4614" max="4614" width="10.28515625" style="131" customWidth="1"/>
    <col min="4615" max="4615" width="10.7109375" style="131" customWidth="1"/>
    <col min="4616" max="4616" width="10.5703125" style="131" customWidth="1"/>
    <col min="4617" max="4617" width="8.7109375" style="131" customWidth="1"/>
    <col min="4618" max="4626" width="4.5703125" style="131" customWidth="1"/>
    <col min="4627" max="4862" width="11.42578125" style="131"/>
    <col min="4863" max="4863" width="24.28515625" style="131" customWidth="1"/>
    <col min="4864" max="4864" width="11.42578125" style="131" customWidth="1"/>
    <col min="4865" max="4865" width="1.5703125" style="131" customWidth="1"/>
    <col min="4866" max="4866" width="10.7109375" style="131" customWidth="1"/>
    <col min="4867" max="4867" width="1.5703125" style="131" customWidth="1"/>
    <col min="4868" max="4868" width="11.42578125" style="131" customWidth="1"/>
    <col min="4869" max="4869" width="11.7109375" style="131" customWidth="1"/>
    <col min="4870" max="4870" width="10.28515625" style="131" customWidth="1"/>
    <col min="4871" max="4871" width="10.7109375" style="131" customWidth="1"/>
    <col min="4872" max="4872" width="10.5703125" style="131" customWidth="1"/>
    <col min="4873" max="4873" width="8.7109375" style="131" customWidth="1"/>
    <col min="4874" max="4882" width="4.5703125" style="131" customWidth="1"/>
    <col min="4883" max="5118" width="11.42578125" style="131"/>
    <col min="5119" max="5119" width="24.28515625" style="131" customWidth="1"/>
    <col min="5120" max="5120" width="11.42578125" style="131" customWidth="1"/>
    <col min="5121" max="5121" width="1.5703125" style="131" customWidth="1"/>
    <col min="5122" max="5122" width="10.7109375" style="131" customWidth="1"/>
    <col min="5123" max="5123" width="1.5703125" style="131" customWidth="1"/>
    <col min="5124" max="5124" width="11.42578125" style="131" customWidth="1"/>
    <col min="5125" max="5125" width="11.7109375" style="131" customWidth="1"/>
    <col min="5126" max="5126" width="10.28515625" style="131" customWidth="1"/>
    <col min="5127" max="5127" width="10.7109375" style="131" customWidth="1"/>
    <col min="5128" max="5128" width="10.5703125" style="131" customWidth="1"/>
    <col min="5129" max="5129" width="8.7109375" style="131" customWidth="1"/>
    <col min="5130" max="5138" width="4.5703125" style="131" customWidth="1"/>
    <col min="5139" max="5374" width="11.42578125" style="131"/>
    <col min="5375" max="5375" width="24.28515625" style="131" customWidth="1"/>
    <col min="5376" max="5376" width="11.42578125" style="131" customWidth="1"/>
    <col min="5377" max="5377" width="1.5703125" style="131" customWidth="1"/>
    <col min="5378" max="5378" width="10.7109375" style="131" customWidth="1"/>
    <col min="5379" max="5379" width="1.5703125" style="131" customWidth="1"/>
    <col min="5380" max="5380" width="11.42578125" style="131" customWidth="1"/>
    <col min="5381" max="5381" width="11.7109375" style="131" customWidth="1"/>
    <col min="5382" max="5382" width="10.28515625" style="131" customWidth="1"/>
    <col min="5383" max="5383" width="10.7109375" style="131" customWidth="1"/>
    <col min="5384" max="5384" width="10.5703125" style="131" customWidth="1"/>
    <col min="5385" max="5385" width="8.7109375" style="131" customWidth="1"/>
    <col min="5386" max="5394" width="4.5703125" style="131" customWidth="1"/>
    <col min="5395" max="5630" width="11.42578125" style="131"/>
    <col min="5631" max="5631" width="24.28515625" style="131" customWidth="1"/>
    <col min="5632" max="5632" width="11.42578125" style="131" customWidth="1"/>
    <col min="5633" max="5633" width="1.5703125" style="131" customWidth="1"/>
    <col min="5634" max="5634" width="10.7109375" style="131" customWidth="1"/>
    <col min="5635" max="5635" width="1.5703125" style="131" customWidth="1"/>
    <col min="5636" max="5636" width="11.42578125" style="131" customWidth="1"/>
    <col min="5637" max="5637" width="11.7109375" style="131" customWidth="1"/>
    <col min="5638" max="5638" width="10.28515625" style="131" customWidth="1"/>
    <col min="5639" max="5639" width="10.7109375" style="131" customWidth="1"/>
    <col min="5640" max="5640" width="10.5703125" style="131" customWidth="1"/>
    <col min="5641" max="5641" width="8.7109375" style="131" customWidth="1"/>
    <col min="5642" max="5650" width="4.5703125" style="131" customWidth="1"/>
    <col min="5651" max="5886" width="11.42578125" style="131"/>
    <col min="5887" max="5887" width="24.28515625" style="131" customWidth="1"/>
    <col min="5888" max="5888" width="11.42578125" style="131" customWidth="1"/>
    <col min="5889" max="5889" width="1.5703125" style="131" customWidth="1"/>
    <col min="5890" max="5890" width="10.7109375" style="131" customWidth="1"/>
    <col min="5891" max="5891" width="1.5703125" style="131" customWidth="1"/>
    <col min="5892" max="5892" width="11.42578125" style="131" customWidth="1"/>
    <col min="5893" max="5893" width="11.7109375" style="131" customWidth="1"/>
    <col min="5894" max="5894" width="10.28515625" style="131" customWidth="1"/>
    <col min="5895" max="5895" width="10.7109375" style="131" customWidth="1"/>
    <col min="5896" max="5896" width="10.5703125" style="131" customWidth="1"/>
    <col min="5897" max="5897" width="8.7109375" style="131" customWidth="1"/>
    <col min="5898" max="5906" width="4.5703125" style="131" customWidth="1"/>
    <col min="5907" max="6142" width="11.42578125" style="131"/>
    <col min="6143" max="6143" width="24.28515625" style="131" customWidth="1"/>
    <col min="6144" max="6144" width="11.42578125" style="131" customWidth="1"/>
    <col min="6145" max="6145" width="1.5703125" style="131" customWidth="1"/>
    <col min="6146" max="6146" width="10.7109375" style="131" customWidth="1"/>
    <col min="6147" max="6147" width="1.5703125" style="131" customWidth="1"/>
    <col min="6148" max="6148" width="11.42578125" style="131" customWidth="1"/>
    <col min="6149" max="6149" width="11.7109375" style="131" customWidth="1"/>
    <col min="6150" max="6150" width="10.28515625" style="131" customWidth="1"/>
    <col min="6151" max="6151" width="10.7109375" style="131" customWidth="1"/>
    <col min="6152" max="6152" width="10.5703125" style="131" customWidth="1"/>
    <col min="6153" max="6153" width="8.7109375" style="131" customWidth="1"/>
    <col min="6154" max="6162" width="4.5703125" style="131" customWidth="1"/>
    <col min="6163" max="6398" width="11.42578125" style="131"/>
    <col min="6399" max="6399" width="24.28515625" style="131" customWidth="1"/>
    <col min="6400" max="6400" width="11.42578125" style="131" customWidth="1"/>
    <col min="6401" max="6401" width="1.5703125" style="131" customWidth="1"/>
    <col min="6402" max="6402" width="10.7109375" style="131" customWidth="1"/>
    <col min="6403" max="6403" width="1.5703125" style="131" customWidth="1"/>
    <col min="6404" max="6404" width="11.42578125" style="131" customWidth="1"/>
    <col min="6405" max="6405" width="11.7109375" style="131" customWidth="1"/>
    <col min="6406" max="6406" width="10.28515625" style="131" customWidth="1"/>
    <col min="6407" max="6407" width="10.7109375" style="131" customWidth="1"/>
    <col min="6408" max="6408" width="10.5703125" style="131" customWidth="1"/>
    <col min="6409" max="6409" width="8.7109375" style="131" customWidth="1"/>
    <col min="6410" max="6418" width="4.5703125" style="131" customWidth="1"/>
    <col min="6419" max="6654" width="11.42578125" style="131"/>
    <col min="6655" max="6655" width="24.28515625" style="131" customWidth="1"/>
    <col min="6656" max="6656" width="11.42578125" style="131" customWidth="1"/>
    <col min="6657" max="6657" width="1.5703125" style="131" customWidth="1"/>
    <col min="6658" max="6658" width="10.7109375" style="131" customWidth="1"/>
    <col min="6659" max="6659" width="1.5703125" style="131" customWidth="1"/>
    <col min="6660" max="6660" width="11.42578125" style="131" customWidth="1"/>
    <col min="6661" max="6661" width="11.7109375" style="131" customWidth="1"/>
    <col min="6662" max="6662" width="10.28515625" style="131" customWidth="1"/>
    <col min="6663" max="6663" width="10.7109375" style="131" customWidth="1"/>
    <col min="6664" max="6664" width="10.5703125" style="131" customWidth="1"/>
    <col min="6665" max="6665" width="8.7109375" style="131" customWidth="1"/>
    <col min="6666" max="6674" width="4.5703125" style="131" customWidth="1"/>
    <col min="6675" max="6910" width="11.42578125" style="131"/>
    <col min="6911" max="6911" width="24.28515625" style="131" customWidth="1"/>
    <col min="6912" max="6912" width="11.42578125" style="131" customWidth="1"/>
    <col min="6913" max="6913" width="1.5703125" style="131" customWidth="1"/>
    <col min="6914" max="6914" width="10.7109375" style="131" customWidth="1"/>
    <col min="6915" max="6915" width="1.5703125" style="131" customWidth="1"/>
    <col min="6916" max="6916" width="11.42578125" style="131" customWidth="1"/>
    <col min="6917" max="6917" width="11.7109375" style="131" customWidth="1"/>
    <col min="6918" max="6918" width="10.28515625" style="131" customWidth="1"/>
    <col min="6919" max="6919" width="10.7109375" style="131" customWidth="1"/>
    <col min="6920" max="6920" width="10.5703125" style="131" customWidth="1"/>
    <col min="6921" max="6921" width="8.7109375" style="131" customWidth="1"/>
    <col min="6922" max="6930" width="4.5703125" style="131" customWidth="1"/>
    <col min="6931" max="7166" width="11.42578125" style="131"/>
    <col min="7167" max="7167" width="24.28515625" style="131" customWidth="1"/>
    <col min="7168" max="7168" width="11.42578125" style="131" customWidth="1"/>
    <col min="7169" max="7169" width="1.5703125" style="131" customWidth="1"/>
    <col min="7170" max="7170" width="10.7109375" style="131" customWidth="1"/>
    <col min="7171" max="7171" width="1.5703125" style="131" customWidth="1"/>
    <col min="7172" max="7172" width="11.42578125" style="131" customWidth="1"/>
    <col min="7173" max="7173" width="11.7109375" style="131" customWidth="1"/>
    <col min="7174" max="7174" width="10.28515625" style="131" customWidth="1"/>
    <col min="7175" max="7175" width="10.7109375" style="131" customWidth="1"/>
    <col min="7176" max="7176" width="10.5703125" style="131" customWidth="1"/>
    <col min="7177" max="7177" width="8.7109375" style="131" customWidth="1"/>
    <col min="7178" max="7186" width="4.5703125" style="131" customWidth="1"/>
    <col min="7187" max="7422" width="11.42578125" style="131"/>
    <col min="7423" max="7423" width="24.28515625" style="131" customWidth="1"/>
    <col min="7424" max="7424" width="11.42578125" style="131" customWidth="1"/>
    <col min="7425" max="7425" width="1.5703125" style="131" customWidth="1"/>
    <col min="7426" max="7426" width="10.7109375" style="131" customWidth="1"/>
    <col min="7427" max="7427" width="1.5703125" style="131" customWidth="1"/>
    <col min="7428" max="7428" width="11.42578125" style="131" customWidth="1"/>
    <col min="7429" max="7429" width="11.7109375" style="131" customWidth="1"/>
    <col min="7430" max="7430" width="10.28515625" style="131" customWidth="1"/>
    <col min="7431" max="7431" width="10.7109375" style="131" customWidth="1"/>
    <col min="7432" max="7432" width="10.5703125" style="131" customWidth="1"/>
    <col min="7433" max="7433" width="8.7109375" style="131" customWidth="1"/>
    <col min="7434" max="7442" width="4.5703125" style="131" customWidth="1"/>
    <col min="7443" max="7678" width="11.42578125" style="131"/>
    <col min="7679" max="7679" width="24.28515625" style="131" customWidth="1"/>
    <col min="7680" max="7680" width="11.42578125" style="131" customWidth="1"/>
    <col min="7681" max="7681" width="1.5703125" style="131" customWidth="1"/>
    <col min="7682" max="7682" width="10.7109375" style="131" customWidth="1"/>
    <col min="7683" max="7683" width="1.5703125" style="131" customWidth="1"/>
    <col min="7684" max="7684" width="11.42578125" style="131" customWidth="1"/>
    <col min="7685" max="7685" width="11.7109375" style="131" customWidth="1"/>
    <col min="7686" max="7686" width="10.28515625" style="131" customWidth="1"/>
    <col min="7687" max="7687" width="10.7109375" style="131" customWidth="1"/>
    <col min="7688" max="7688" width="10.5703125" style="131" customWidth="1"/>
    <col min="7689" max="7689" width="8.7109375" style="131" customWidth="1"/>
    <col min="7690" max="7698" width="4.5703125" style="131" customWidth="1"/>
    <col min="7699" max="7934" width="11.42578125" style="131"/>
    <col min="7935" max="7935" width="24.28515625" style="131" customWidth="1"/>
    <col min="7936" max="7936" width="11.42578125" style="131" customWidth="1"/>
    <col min="7937" max="7937" width="1.5703125" style="131" customWidth="1"/>
    <col min="7938" max="7938" width="10.7109375" style="131" customWidth="1"/>
    <col min="7939" max="7939" width="1.5703125" style="131" customWidth="1"/>
    <col min="7940" max="7940" width="11.42578125" style="131" customWidth="1"/>
    <col min="7941" max="7941" width="11.7109375" style="131" customWidth="1"/>
    <col min="7942" max="7942" width="10.28515625" style="131" customWidth="1"/>
    <col min="7943" max="7943" width="10.7109375" style="131" customWidth="1"/>
    <col min="7944" max="7944" width="10.5703125" style="131" customWidth="1"/>
    <col min="7945" max="7945" width="8.7109375" style="131" customWidth="1"/>
    <col min="7946" max="7954" width="4.5703125" style="131" customWidth="1"/>
    <col min="7955" max="8190" width="11.42578125" style="131"/>
    <col min="8191" max="8191" width="24.28515625" style="131" customWidth="1"/>
    <col min="8192" max="8192" width="11.42578125" style="131" customWidth="1"/>
    <col min="8193" max="8193" width="1.5703125" style="131" customWidth="1"/>
    <col min="8194" max="8194" width="10.7109375" style="131" customWidth="1"/>
    <col min="8195" max="8195" width="1.5703125" style="131" customWidth="1"/>
    <col min="8196" max="8196" width="11.42578125" style="131" customWidth="1"/>
    <col min="8197" max="8197" width="11.7109375" style="131" customWidth="1"/>
    <col min="8198" max="8198" width="10.28515625" style="131" customWidth="1"/>
    <col min="8199" max="8199" width="10.7109375" style="131" customWidth="1"/>
    <col min="8200" max="8200" width="10.5703125" style="131" customWidth="1"/>
    <col min="8201" max="8201" width="8.7109375" style="131" customWidth="1"/>
    <col min="8202" max="8210" width="4.5703125" style="131" customWidth="1"/>
    <col min="8211" max="8446" width="11.42578125" style="131"/>
    <col min="8447" max="8447" width="24.28515625" style="131" customWidth="1"/>
    <col min="8448" max="8448" width="11.42578125" style="131" customWidth="1"/>
    <col min="8449" max="8449" width="1.5703125" style="131" customWidth="1"/>
    <col min="8450" max="8450" width="10.7109375" style="131" customWidth="1"/>
    <col min="8451" max="8451" width="1.5703125" style="131" customWidth="1"/>
    <col min="8452" max="8452" width="11.42578125" style="131" customWidth="1"/>
    <col min="8453" max="8453" width="11.7109375" style="131" customWidth="1"/>
    <col min="8454" max="8454" width="10.28515625" style="131" customWidth="1"/>
    <col min="8455" max="8455" width="10.7109375" style="131" customWidth="1"/>
    <col min="8456" max="8456" width="10.5703125" style="131" customWidth="1"/>
    <col min="8457" max="8457" width="8.7109375" style="131" customWidth="1"/>
    <col min="8458" max="8466" width="4.5703125" style="131" customWidth="1"/>
    <col min="8467" max="8702" width="11.42578125" style="131"/>
    <col min="8703" max="8703" width="24.28515625" style="131" customWidth="1"/>
    <col min="8704" max="8704" width="11.42578125" style="131" customWidth="1"/>
    <col min="8705" max="8705" width="1.5703125" style="131" customWidth="1"/>
    <col min="8706" max="8706" width="10.7109375" style="131" customWidth="1"/>
    <col min="8707" max="8707" width="1.5703125" style="131" customWidth="1"/>
    <col min="8708" max="8708" width="11.42578125" style="131" customWidth="1"/>
    <col min="8709" max="8709" width="11.7109375" style="131" customWidth="1"/>
    <col min="8710" max="8710" width="10.28515625" style="131" customWidth="1"/>
    <col min="8711" max="8711" width="10.7109375" style="131" customWidth="1"/>
    <col min="8712" max="8712" width="10.5703125" style="131" customWidth="1"/>
    <col min="8713" max="8713" width="8.7109375" style="131" customWidth="1"/>
    <col min="8714" max="8722" width="4.5703125" style="131" customWidth="1"/>
    <col min="8723" max="8958" width="11.42578125" style="131"/>
    <col min="8959" max="8959" width="24.28515625" style="131" customWidth="1"/>
    <col min="8960" max="8960" width="11.42578125" style="131" customWidth="1"/>
    <col min="8961" max="8961" width="1.5703125" style="131" customWidth="1"/>
    <col min="8962" max="8962" width="10.7109375" style="131" customWidth="1"/>
    <col min="8963" max="8963" width="1.5703125" style="131" customWidth="1"/>
    <col min="8964" max="8964" width="11.42578125" style="131" customWidth="1"/>
    <col min="8965" max="8965" width="11.7109375" style="131" customWidth="1"/>
    <col min="8966" max="8966" width="10.28515625" style="131" customWidth="1"/>
    <col min="8967" max="8967" width="10.7109375" style="131" customWidth="1"/>
    <col min="8968" max="8968" width="10.5703125" style="131" customWidth="1"/>
    <col min="8969" max="8969" width="8.7109375" style="131" customWidth="1"/>
    <col min="8970" max="8978" width="4.5703125" style="131" customWidth="1"/>
    <col min="8979" max="9214" width="11.42578125" style="131"/>
    <col min="9215" max="9215" width="24.28515625" style="131" customWidth="1"/>
    <col min="9216" max="9216" width="11.42578125" style="131" customWidth="1"/>
    <col min="9217" max="9217" width="1.5703125" style="131" customWidth="1"/>
    <col min="9218" max="9218" width="10.7109375" style="131" customWidth="1"/>
    <col min="9219" max="9219" width="1.5703125" style="131" customWidth="1"/>
    <col min="9220" max="9220" width="11.42578125" style="131" customWidth="1"/>
    <col min="9221" max="9221" width="11.7109375" style="131" customWidth="1"/>
    <col min="9222" max="9222" width="10.28515625" style="131" customWidth="1"/>
    <col min="9223" max="9223" width="10.7109375" style="131" customWidth="1"/>
    <col min="9224" max="9224" width="10.5703125" style="131" customWidth="1"/>
    <col min="9225" max="9225" width="8.7109375" style="131" customWidth="1"/>
    <col min="9226" max="9234" width="4.5703125" style="131" customWidth="1"/>
    <col min="9235" max="9470" width="11.42578125" style="131"/>
    <col min="9471" max="9471" width="24.28515625" style="131" customWidth="1"/>
    <col min="9472" max="9472" width="11.42578125" style="131" customWidth="1"/>
    <col min="9473" max="9473" width="1.5703125" style="131" customWidth="1"/>
    <col min="9474" max="9474" width="10.7109375" style="131" customWidth="1"/>
    <col min="9475" max="9475" width="1.5703125" style="131" customWidth="1"/>
    <col min="9476" max="9476" width="11.42578125" style="131" customWidth="1"/>
    <col min="9477" max="9477" width="11.7109375" style="131" customWidth="1"/>
    <col min="9478" max="9478" width="10.28515625" style="131" customWidth="1"/>
    <col min="9479" max="9479" width="10.7109375" style="131" customWidth="1"/>
    <col min="9480" max="9480" width="10.5703125" style="131" customWidth="1"/>
    <col min="9481" max="9481" width="8.7109375" style="131" customWidth="1"/>
    <col min="9482" max="9490" width="4.5703125" style="131" customWidth="1"/>
    <col min="9491" max="9726" width="11.42578125" style="131"/>
    <col min="9727" max="9727" width="24.28515625" style="131" customWidth="1"/>
    <col min="9728" max="9728" width="11.42578125" style="131" customWidth="1"/>
    <col min="9729" max="9729" width="1.5703125" style="131" customWidth="1"/>
    <col min="9730" max="9730" width="10.7109375" style="131" customWidth="1"/>
    <col min="9731" max="9731" width="1.5703125" style="131" customWidth="1"/>
    <col min="9732" max="9732" width="11.42578125" style="131" customWidth="1"/>
    <col min="9733" max="9733" width="11.7109375" style="131" customWidth="1"/>
    <col min="9734" max="9734" width="10.28515625" style="131" customWidth="1"/>
    <col min="9735" max="9735" width="10.7109375" style="131" customWidth="1"/>
    <col min="9736" max="9736" width="10.5703125" style="131" customWidth="1"/>
    <col min="9737" max="9737" width="8.7109375" style="131" customWidth="1"/>
    <col min="9738" max="9746" width="4.5703125" style="131" customWidth="1"/>
    <col min="9747" max="9982" width="11.42578125" style="131"/>
    <col min="9983" max="9983" width="24.28515625" style="131" customWidth="1"/>
    <col min="9984" max="9984" width="11.42578125" style="131" customWidth="1"/>
    <col min="9985" max="9985" width="1.5703125" style="131" customWidth="1"/>
    <col min="9986" max="9986" width="10.7109375" style="131" customWidth="1"/>
    <col min="9987" max="9987" width="1.5703125" style="131" customWidth="1"/>
    <col min="9988" max="9988" width="11.42578125" style="131" customWidth="1"/>
    <col min="9989" max="9989" width="11.7109375" style="131" customWidth="1"/>
    <col min="9990" max="9990" width="10.28515625" style="131" customWidth="1"/>
    <col min="9991" max="9991" width="10.7109375" style="131" customWidth="1"/>
    <col min="9992" max="9992" width="10.5703125" style="131" customWidth="1"/>
    <col min="9993" max="9993" width="8.7109375" style="131" customWidth="1"/>
    <col min="9994" max="10002" width="4.5703125" style="131" customWidth="1"/>
    <col min="10003" max="10238" width="11.42578125" style="131"/>
    <col min="10239" max="10239" width="24.28515625" style="131" customWidth="1"/>
    <col min="10240" max="10240" width="11.42578125" style="131" customWidth="1"/>
    <col min="10241" max="10241" width="1.5703125" style="131" customWidth="1"/>
    <col min="10242" max="10242" width="10.7109375" style="131" customWidth="1"/>
    <col min="10243" max="10243" width="1.5703125" style="131" customWidth="1"/>
    <col min="10244" max="10244" width="11.42578125" style="131" customWidth="1"/>
    <col min="10245" max="10245" width="11.7109375" style="131" customWidth="1"/>
    <col min="10246" max="10246" width="10.28515625" style="131" customWidth="1"/>
    <col min="10247" max="10247" width="10.7109375" style="131" customWidth="1"/>
    <col min="10248" max="10248" width="10.5703125" style="131" customWidth="1"/>
    <col min="10249" max="10249" width="8.7109375" style="131" customWidth="1"/>
    <col min="10250" max="10258" width="4.5703125" style="131" customWidth="1"/>
    <col min="10259" max="10494" width="11.42578125" style="131"/>
    <col min="10495" max="10495" width="24.28515625" style="131" customWidth="1"/>
    <col min="10496" max="10496" width="11.42578125" style="131" customWidth="1"/>
    <col min="10497" max="10497" width="1.5703125" style="131" customWidth="1"/>
    <col min="10498" max="10498" width="10.7109375" style="131" customWidth="1"/>
    <col min="10499" max="10499" width="1.5703125" style="131" customWidth="1"/>
    <col min="10500" max="10500" width="11.42578125" style="131" customWidth="1"/>
    <col min="10501" max="10501" width="11.7109375" style="131" customWidth="1"/>
    <col min="10502" max="10502" width="10.28515625" style="131" customWidth="1"/>
    <col min="10503" max="10503" width="10.7109375" style="131" customWidth="1"/>
    <col min="10504" max="10504" width="10.5703125" style="131" customWidth="1"/>
    <col min="10505" max="10505" width="8.7109375" style="131" customWidth="1"/>
    <col min="10506" max="10514" width="4.5703125" style="131" customWidth="1"/>
    <col min="10515" max="10750" width="11.42578125" style="131"/>
    <col min="10751" max="10751" width="24.28515625" style="131" customWidth="1"/>
    <col min="10752" max="10752" width="11.42578125" style="131" customWidth="1"/>
    <col min="10753" max="10753" width="1.5703125" style="131" customWidth="1"/>
    <col min="10754" max="10754" width="10.7109375" style="131" customWidth="1"/>
    <col min="10755" max="10755" width="1.5703125" style="131" customWidth="1"/>
    <col min="10756" max="10756" width="11.42578125" style="131" customWidth="1"/>
    <col min="10757" max="10757" width="11.7109375" style="131" customWidth="1"/>
    <col min="10758" max="10758" width="10.28515625" style="131" customWidth="1"/>
    <col min="10759" max="10759" width="10.7109375" style="131" customWidth="1"/>
    <col min="10760" max="10760" width="10.5703125" style="131" customWidth="1"/>
    <col min="10761" max="10761" width="8.7109375" style="131" customWidth="1"/>
    <col min="10762" max="10770" width="4.5703125" style="131" customWidth="1"/>
    <col min="10771" max="11006" width="11.42578125" style="131"/>
    <col min="11007" max="11007" width="24.28515625" style="131" customWidth="1"/>
    <col min="11008" max="11008" width="11.42578125" style="131" customWidth="1"/>
    <col min="11009" max="11009" width="1.5703125" style="131" customWidth="1"/>
    <col min="11010" max="11010" width="10.7109375" style="131" customWidth="1"/>
    <col min="11011" max="11011" width="1.5703125" style="131" customWidth="1"/>
    <col min="11012" max="11012" width="11.42578125" style="131" customWidth="1"/>
    <col min="11013" max="11013" width="11.7109375" style="131" customWidth="1"/>
    <col min="11014" max="11014" width="10.28515625" style="131" customWidth="1"/>
    <col min="11015" max="11015" width="10.7109375" style="131" customWidth="1"/>
    <col min="11016" max="11016" width="10.5703125" style="131" customWidth="1"/>
    <col min="11017" max="11017" width="8.7109375" style="131" customWidth="1"/>
    <col min="11018" max="11026" width="4.5703125" style="131" customWidth="1"/>
    <col min="11027" max="11262" width="11.42578125" style="131"/>
    <col min="11263" max="11263" width="24.28515625" style="131" customWidth="1"/>
    <col min="11264" max="11264" width="11.42578125" style="131" customWidth="1"/>
    <col min="11265" max="11265" width="1.5703125" style="131" customWidth="1"/>
    <col min="11266" max="11266" width="10.7109375" style="131" customWidth="1"/>
    <col min="11267" max="11267" width="1.5703125" style="131" customWidth="1"/>
    <col min="11268" max="11268" width="11.42578125" style="131" customWidth="1"/>
    <col min="11269" max="11269" width="11.7109375" style="131" customWidth="1"/>
    <col min="11270" max="11270" width="10.28515625" style="131" customWidth="1"/>
    <col min="11271" max="11271" width="10.7109375" style="131" customWidth="1"/>
    <col min="11272" max="11272" width="10.5703125" style="131" customWidth="1"/>
    <col min="11273" max="11273" width="8.7109375" style="131" customWidth="1"/>
    <col min="11274" max="11282" width="4.5703125" style="131" customWidth="1"/>
    <col min="11283" max="11518" width="11.42578125" style="131"/>
    <col min="11519" max="11519" width="24.28515625" style="131" customWidth="1"/>
    <col min="11520" max="11520" width="11.42578125" style="131" customWidth="1"/>
    <col min="11521" max="11521" width="1.5703125" style="131" customWidth="1"/>
    <col min="11522" max="11522" width="10.7109375" style="131" customWidth="1"/>
    <col min="11523" max="11523" width="1.5703125" style="131" customWidth="1"/>
    <col min="11524" max="11524" width="11.42578125" style="131" customWidth="1"/>
    <col min="11525" max="11525" width="11.7109375" style="131" customWidth="1"/>
    <col min="11526" max="11526" width="10.28515625" style="131" customWidth="1"/>
    <col min="11527" max="11527" width="10.7109375" style="131" customWidth="1"/>
    <col min="11528" max="11528" width="10.5703125" style="131" customWidth="1"/>
    <col min="11529" max="11529" width="8.7109375" style="131" customWidth="1"/>
    <col min="11530" max="11538" width="4.5703125" style="131" customWidth="1"/>
    <col min="11539" max="11774" width="11.42578125" style="131"/>
    <col min="11775" max="11775" width="24.28515625" style="131" customWidth="1"/>
    <col min="11776" max="11776" width="11.42578125" style="131" customWidth="1"/>
    <col min="11777" max="11777" width="1.5703125" style="131" customWidth="1"/>
    <col min="11778" max="11778" width="10.7109375" style="131" customWidth="1"/>
    <col min="11779" max="11779" width="1.5703125" style="131" customWidth="1"/>
    <col min="11780" max="11780" width="11.42578125" style="131" customWidth="1"/>
    <col min="11781" max="11781" width="11.7109375" style="131" customWidth="1"/>
    <col min="11782" max="11782" width="10.28515625" style="131" customWidth="1"/>
    <col min="11783" max="11783" width="10.7109375" style="131" customWidth="1"/>
    <col min="11784" max="11784" width="10.5703125" style="131" customWidth="1"/>
    <col min="11785" max="11785" width="8.7109375" style="131" customWidth="1"/>
    <col min="11786" max="11794" width="4.5703125" style="131" customWidth="1"/>
    <col min="11795" max="12030" width="11.42578125" style="131"/>
    <col min="12031" max="12031" width="24.28515625" style="131" customWidth="1"/>
    <col min="12032" max="12032" width="11.42578125" style="131" customWidth="1"/>
    <col min="12033" max="12033" width="1.5703125" style="131" customWidth="1"/>
    <col min="12034" max="12034" width="10.7109375" style="131" customWidth="1"/>
    <col min="12035" max="12035" width="1.5703125" style="131" customWidth="1"/>
    <col min="12036" max="12036" width="11.42578125" style="131" customWidth="1"/>
    <col min="12037" max="12037" width="11.7109375" style="131" customWidth="1"/>
    <col min="12038" max="12038" width="10.28515625" style="131" customWidth="1"/>
    <col min="12039" max="12039" width="10.7109375" style="131" customWidth="1"/>
    <col min="12040" max="12040" width="10.5703125" style="131" customWidth="1"/>
    <col min="12041" max="12041" width="8.7109375" style="131" customWidth="1"/>
    <col min="12042" max="12050" width="4.5703125" style="131" customWidth="1"/>
    <col min="12051" max="12286" width="11.42578125" style="131"/>
    <col min="12287" max="12287" width="24.28515625" style="131" customWidth="1"/>
    <col min="12288" max="12288" width="11.42578125" style="131" customWidth="1"/>
    <col min="12289" max="12289" width="1.5703125" style="131" customWidth="1"/>
    <col min="12290" max="12290" width="10.7109375" style="131" customWidth="1"/>
    <col min="12291" max="12291" width="1.5703125" style="131" customWidth="1"/>
    <col min="12292" max="12292" width="11.42578125" style="131" customWidth="1"/>
    <col min="12293" max="12293" width="11.7109375" style="131" customWidth="1"/>
    <col min="12294" max="12294" width="10.28515625" style="131" customWidth="1"/>
    <col min="12295" max="12295" width="10.7109375" style="131" customWidth="1"/>
    <col min="12296" max="12296" width="10.5703125" style="131" customWidth="1"/>
    <col min="12297" max="12297" width="8.7109375" style="131" customWidth="1"/>
    <col min="12298" max="12306" width="4.5703125" style="131" customWidth="1"/>
    <col min="12307" max="12542" width="11.42578125" style="131"/>
    <col min="12543" max="12543" width="24.28515625" style="131" customWidth="1"/>
    <col min="12544" max="12544" width="11.42578125" style="131" customWidth="1"/>
    <col min="12545" max="12545" width="1.5703125" style="131" customWidth="1"/>
    <col min="12546" max="12546" width="10.7109375" style="131" customWidth="1"/>
    <col min="12547" max="12547" width="1.5703125" style="131" customWidth="1"/>
    <col min="12548" max="12548" width="11.42578125" style="131" customWidth="1"/>
    <col min="12549" max="12549" width="11.7109375" style="131" customWidth="1"/>
    <col min="12550" max="12550" width="10.28515625" style="131" customWidth="1"/>
    <col min="12551" max="12551" width="10.7109375" style="131" customWidth="1"/>
    <col min="12552" max="12552" width="10.5703125" style="131" customWidth="1"/>
    <col min="12553" max="12553" width="8.7109375" style="131" customWidth="1"/>
    <col min="12554" max="12562" width="4.5703125" style="131" customWidth="1"/>
    <col min="12563" max="12798" width="11.42578125" style="131"/>
    <col min="12799" max="12799" width="24.28515625" style="131" customWidth="1"/>
    <col min="12800" max="12800" width="11.42578125" style="131" customWidth="1"/>
    <col min="12801" max="12801" width="1.5703125" style="131" customWidth="1"/>
    <col min="12802" max="12802" width="10.7109375" style="131" customWidth="1"/>
    <col min="12803" max="12803" width="1.5703125" style="131" customWidth="1"/>
    <col min="12804" max="12804" width="11.42578125" style="131" customWidth="1"/>
    <col min="12805" max="12805" width="11.7109375" style="131" customWidth="1"/>
    <col min="12806" max="12806" width="10.28515625" style="131" customWidth="1"/>
    <col min="12807" max="12807" width="10.7109375" style="131" customWidth="1"/>
    <col min="12808" max="12808" width="10.5703125" style="131" customWidth="1"/>
    <col min="12809" max="12809" width="8.7109375" style="131" customWidth="1"/>
    <col min="12810" max="12818" width="4.5703125" style="131" customWidth="1"/>
    <col min="12819" max="13054" width="11.42578125" style="131"/>
    <col min="13055" max="13055" width="24.28515625" style="131" customWidth="1"/>
    <col min="13056" max="13056" width="11.42578125" style="131" customWidth="1"/>
    <col min="13057" max="13057" width="1.5703125" style="131" customWidth="1"/>
    <col min="13058" max="13058" width="10.7109375" style="131" customWidth="1"/>
    <col min="13059" max="13059" width="1.5703125" style="131" customWidth="1"/>
    <col min="13060" max="13060" width="11.42578125" style="131" customWidth="1"/>
    <col min="13061" max="13061" width="11.7109375" style="131" customWidth="1"/>
    <col min="13062" max="13062" width="10.28515625" style="131" customWidth="1"/>
    <col min="13063" max="13063" width="10.7109375" style="131" customWidth="1"/>
    <col min="13064" max="13064" width="10.5703125" style="131" customWidth="1"/>
    <col min="13065" max="13065" width="8.7109375" style="131" customWidth="1"/>
    <col min="13066" max="13074" width="4.5703125" style="131" customWidth="1"/>
    <col min="13075" max="13310" width="11.42578125" style="131"/>
    <col min="13311" max="13311" width="24.28515625" style="131" customWidth="1"/>
    <col min="13312" max="13312" width="11.42578125" style="131" customWidth="1"/>
    <col min="13313" max="13313" width="1.5703125" style="131" customWidth="1"/>
    <col min="13314" max="13314" width="10.7109375" style="131" customWidth="1"/>
    <col min="13315" max="13315" width="1.5703125" style="131" customWidth="1"/>
    <col min="13316" max="13316" width="11.42578125" style="131" customWidth="1"/>
    <col min="13317" max="13317" width="11.7109375" style="131" customWidth="1"/>
    <col min="13318" max="13318" width="10.28515625" style="131" customWidth="1"/>
    <col min="13319" max="13319" width="10.7109375" style="131" customWidth="1"/>
    <col min="13320" max="13320" width="10.5703125" style="131" customWidth="1"/>
    <col min="13321" max="13321" width="8.7109375" style="131" customWidth="1"/>
    <col min="13322" max="13330" width="4.5703125" style="131" customWidth="1"/>
    <col min="13331" max="13566" width="11.42578125" style="131"/>
    <col min="13567" max="13567" width="24.28515625" style="131" customWidth="1"/>
    <col min="13568" max="13568" width="11.42578125" style="131" customWidth="1"/>
    <col min="13569" max="13569" width="1.5703125" style="131" customWidth="1"/>
    <col min="13570" max="13570" width="10.7109375" style="131" customWidth="1"/>
    <col min="13571" max="13571" width="1.5703125" style="131" customWidth="1"/>
    <col min="13572" max="13572" width="11.42578125" style="131" customWidth="1"/>
    <col min="13573" max="13573" width="11.7109375" style="131" customWidth="1"/>
    <col min="13574" max="13574" width="10.28515625" style="131" customWidth="1"/>
    <col min="13575" max="13575" width="10.7109375" style="131" customWidth="1"/>
    <col min="13576" max="13576" width="10.5703125" style="131" customWidth="1"/>
    <col min="13577" max="13577" width="8.7109375" style="131" customWidth="1"/>
    <col min="13578" max="13586" width="4.5703125" style="131" customWidth="1"/>
    <col min="13587" max="13822" width="11.42578125" style="131"/>
    <col min="13823" max="13823" width="24.28515625" style="131" customWidth="1"/>
    <col min="13824" max="13824" width="11.42578125" style="131" customWidth="1"/>
    <col min="13825" max="13825" width="1.5703125" style="131" customWidth="1"/>
    <col min="13826" max="13826" width="10.7109375" style="131" customWidth="1"/>
    <col min="13827" max="13827" width="1.5703125" style="131" customWidth="1"/>
    <col min="13828" max="13828" width="11.42578125" style="131" customWidth="1"/>
    <col min="13829" max="13829" width="11.7109375" style="131" customWidth="1"/>
    <col min="13830" max="13830" width="10.28515625" style="131" customWidth="1"/>
    <col min="13831" max="13831" width="10.7109375" style="131" customWidth="1"/>
    <col min="13832" max="13832" width="10.5703125" style="131" customWidth="1"/>
    <col min="13833" max="13833" width="8.7109375" style="131" customWidth="1"/>
    <col min="13834" max="13842" width="4.5703125" style="131" customWidth="1"/>
    <col min="13843" max="14078" width="11.42578125" style="131"/>
    <col min="14079" max="14079" width="24.28515625" style="131" customWidth="1"/>
    <col min="14080" max="14080" width="11.42578125" style="131" customWidth="1"/>
    <col min="14081" max="14081" width="1.5703125" style="131" customWidth="1"/>
    <col min="14082" max="14082" width="10.7109375" style="131" customWidth="1"/>
    <col min="14083" max="14083" width="1.5703125" style="131" customWidth="1"/>
    <col min="14084" max="14084" width="11.42578125" style="131" customWidth="1"/>
    <col min="14085" max="14085" width="11.7109375" style="131" customWidth="1"/>
    <col min="14086" max="14086" width="10.28515625" style="131" customWidth="1"/>
    <col min="14087" max="14087" width="10.7109375" style="131" customWidth="1"/>
    <col min="14088" max="14088" width="10.5703125" style="131" customWidth="1"/>
    <col min="14089" max="14089" width="8.7109375" style="131" customWidth="1"/>
    <col min="14090" max="14098" width="4.5703125" style="131" customWidth="1"/>
    <col min="14099" max="14334" width="11.42578125" style="131"/>
    <col min="14335" max="14335" width="24.28515625" style="131" customWidth="1"/>
    <col min="14336" max="14336" width="11.42578125" style="131" customWidth="1"/>
    <col min="14337" max="14337" width="1.5703125" style="131" customWidth="1"/>
    <col min="14338" max="14338" width="10.7109375" style="131" customWidth="1"/>
    <col min="14339" max="14339" width="1.5703125" style="131" customWidth="1"/>
    <col min="14340" max="14340" width="11.42578125" style="131" customWidth="1"/>
    <col min="14341" max="14341" width="11.7109375" style="131" customWidth="1"/>
    <col min="14342" max="14342" width="10.28515625" style="131" customWidth="1"/>
    <col min="14343" max="14343" width="10.7109375" style="131" customWidth="1"/>
    <col min="14344" max="14344" width="10.5703125" style="131" customWidth="1"/>
    <col min="14345" max="14345" width="8.7109375" style="131" customWidth="1"/>
    <col min="14346" max="14354" width="4.5703125" style="131" customWidth="1"/>
    <col min="14355" max="14590" width="11.42578125" style="131"/>
    <col min="14591" max="14591" width="24.28515625" style="131" customWidth="1"/>
    <col min="14592" max="14592" width="11.42578125" style="131" customWidth="1"/>
    <col min="14593" max="14593" width="1.5703125" style="131" customWidth="1"/>
    <col min="14594" max="14594" width="10.7109375" style="131" customWidth="1"/>
    <col min="14595" max="14595" width="1.5703125" style="131" customWidth="1"/>
    <col min="14596" max="14596" width="11.42578125" style="131" customWidth="1"/>
    <col min="14597" max="14597" width="11.7109375" style="131" customWidth="1"/>
    <col min="14598" max="14598" width="10.28515625" style="131" customWidth="1"/>
    <col min="14599" max="14599" width="10.7109375" style="131" customWidth="1"/>
    <col min="14600" max="14600" width="10.5703125" style="131" customWidth="1"/>
    <col min="14601" max="14601" width="8.7109375" style="131" customWidth="1"/>
    <col min="14602" max="14610" width="4.5703125" style="131" customWidth="1"/>
    <col min="14611" max="14846" width="11.42578125" style="131"/>
    <col min="14847" max="14847" width="24.28515625" style="131" customWidth="1"/>
    <col min="14848" max="14848" width="11.42578125" style="131" customWidth="1"/>
    <col min="14849" max="14849" width="1.5703125" style="131" customWidth="1"/>
    <col min="14850" max="14850" width="10.7109375" style="131" customWidth="1"/>
    <col min="14851" max="14851" width="1.5703125" style="131" customWidth="1"/>
    <col min="14852" max="14852" width="11.42578125" style="131" customWidth="1"/>
    <col min="14853" max="14853" width="11.7109375" style="131" customWidth="1"/>
    <col min="14854" max="14854" width="10.28515625" style="131" customWidth="1"/>
    <col min="14855" max="14855" width="10.7109375" style="131" customWidth="1"/>
    <col min="14856" max="14856" width="10.5703125" style="131" customWidth="1"/>
    <col min="14857" max="14857" width="8.7109375" style="131" customWidth="1"/>
    <col min="14858" max="14866" width="4.5703125" style="131" customWidth="1"/>
    <col min="14867" max="15102" width="11.42578125" style="131"/>
    <col min="15103" max="15103" width="24.28515625" style="131" customWidth="1"/>
    <col min="15104" max="15104" width="11.42578125" style="131" customWidth="1"/>
    <col min="15105" max="15105" width="1.5703125" style="131" customWidth="1"/>
    <col min="15106" max="15106" width="10.7109375" style="131" customWidth="1"/>
    <col min="15107" max="15107" width="1.5703125" style="131" customWidth="1"/>
    <col min="15108" max="15108" width="11.42578125" style="131" customWidth="1"/>
    <col min="15109" max="15109" width="11.7109375" style="131" customWidth="1"/>
    <col min="15110" max="15110" width="10.28515625" style="131" customWidth="1"/>
    <col min="15111" max="15111" width="10.7109375" style="131" customWidth="1"/>
    <col min="15112" max="15112" width="10.5703125" style="131" customWidth="1"/>
    <col min="15113" max="15113" width="8.7109375" style="131" customWidth="1"/>
    <col min="15114" max="15122" width="4.5703125" style="131" customWidth="1"/>
    <col min="15123" max="15358" width="11.42578125" style="131"/>
    <col min="15359" max="15359" width="24.28515625" style="131" customWidth="1"/>
    <col min="15360" max="15360" width="11.42578125" style="131" customWidth="1"/>
    <col min="15361" max="15361" width="1.5703125" style="131" customWidth="1"/>
    <col min="15362" max="15362" width="10.7109375" style="131" customWidth="1"/>
    <col min="15363" max="15363" width="1.5703125" style="131" customWidth="1"/>
    <col min="15364" max="15364" width="11.42578125" style="131" customWidth="1"/>
    <col min="15365" max="15365" width="11.7109375" style="131" customWidth="1"/>
    <col min="15366" max="15366" width="10.28515625" style="131" customWidth="1"/>
    <col min="15367" max="15367" width="10.7109375" style="131" customWidth="1"/>
    <col min="15368" max="15368" width="10.5703125" style="131" customWidth="1"/>
    <col min="15369" max="15369" width="8.7109375" style="131" customWidth="1"/>
    <col min="15370" max="15378" width="4.5703125" style="131" customWidth="1"/>
    <col min="15379" max="15614" width="11.42578125" style="131"/>
    <col min="15615" max="15615" width="24.28515625" style="131" customWidth="1"/>
    <col min="15616" max="15616" width="11.42578125" style="131" customWidth="1"/>
    <col min="15617" max="15617" width="1.5703125" style="131" customWidth="1"/>
    <col min="15618" max="15618" width="10.7109375" style="131" customWidth="1"/>
    <col min="15619" max="15619" width="1.5703125" style="131" customWidth="1"/>
    <col min="15620" max="15620" width="11.42578125" style="131" customWidth="1"/>
    <col min="15621" max="15621" width="11.7109375" style="131" customWidth="1"/>
    <col min="15622" max="15622" width="10.28515625" style="131" customWidth="1"/>
    <col min="15623" max="15623" width="10.7109375" style="131" customWidth="1"/>
    <col min="15624" max="15624" width="10.5703125" style="131" customWidth="1"/>
    <col min="15625" max="15625" width="8.7109375" style="131" customWidth="1"/>
    <col min="15626" max="15634" width="4.5703125" style="131" customWidth="1"/>
    <col min="15635" max="15870" width="11.42578125" style="131"/>
    <col min="15871" max="15871" width="24.28515625" style="131" customWidth="1"/>
    <col min="15872" max="15872" width="11.42578125" style="131" customWidth="1"/>
    <col min="15873" max="15873" width="1.5703125" style="131" customWidth="1"/>
    <col min="15874" max="15874" width="10.7109375" style="131" customWidth="1"/>
    <col min="15875" max="15875" width="1.5703125" style="131" customWidth="1"/>
    <col min="15876" max="15876" width="11.42578125" style="131" customWidth="1"/>
    <col min="15877" max="15877" width="11.7109375" style="131" customWidth="1"/>
    <col min="15878" max="15878" width="10.28515625" style="131" customWidth="1"/>
    <col min="15879" max="15879" width="10.7109375" style="131" customWidth="1"/>
    <col min="15880" max="15880" width="10.5703125" style="131" customWidth="1"/>
    <col min="15881" max="15881" width="8.7109375" style="131" customWidth="1"/>
    <col min="15882" max="15890" width="4.5703125" style="131" customWidth="1"/>
    <col min="15891" max="16126" width="11.42578125" style="131"/>
    <col min="16127" max="16127" width="24.28515625" style="131" customWidth="1"/>
    <col min="16128" max="16128" width="11.42578125" style="131" customWidth="1"/>
    <col min="16129" max="16129" width="1.5703125" style="131" customWidth="1"/>
    <col min="16130" max="16130" width="10.7109375" style="131" customWidth="1"/>
    <col min="16131" max="16131" width="1.5703125" style="131" customWidth="1"/>
    <col min="16132" max="16132" width="11.42578125" style="131" customWidth="1"/>
    <col min="16133" max="16133" width="11.7109375" style="131" customWidth="1"/>
    <col min="16134" max="16134" width="10.28515625" style="131" customWidth="1"/>
    <col min="16135" max="16135" width="10.7109375" style="131" customWidth="1"/>
    <col min="16136" max="16136" width="10.5703125" style="131" customWidth="1"/>
    <col min="16137" max="16137" width="8.7109375" style="131" customWidth="1"/>
    <col min="16138" max="16146" width="4.5703125" style="131" customWidth="1"/>
    <col min="16147" max="16384" width="11.42578125" style="131"/>
  </cols>
  <sheetData>
    <row r="1" spans="1:10" s="91" customFormat="1" ht="12.75">
      <c r="A1" s="89" t="str">
        <f>+'[36]Vancouver Consolidated IS'!A1</f>
        <v>Waste Connections of Washington, G-253</v>
      </c>
      <c r="B1" s="90"/>
      <c r="D1" s="92"/>
      <c r="E1" s="93"/>
      <c r="H1" s="90"/>
      <c r="J1" s="90"/>
    </row>
    <row r="2" spans="1:10" s="91" customFormat="1" ht="12.75">
      <c r="A2" s="92" t="s">
        <v>642</v>
      </c>
      <c r="B2" s="90"/>
      <c r="D2" s="92"/>
      <c r="E2" s="93"/>
      <c r="F2" s="95"/>
      <c r="J2" s="90"/>
    </row>
    <row r="3" spans="1:10" s="91" customFormat="1" ht="12.75">
      <c r="A3" s="94" t="str">
        <f>+'[36]Vancouver Consolidated IS'!A3</f>
        <v>Test Period Ending 9-30-2017</v>
      </c>
      <c r="B3" s="96"/>
      <c r="D3" s="92"/>
      <c r="E3" s="93"/>
      <c r="F3" s="97"/>
      <c r="J3" s="90"/>
    </row>
    <row r="4" spans="1:10" s="91" customFormat="1" ht="12.75">
      <c r="A4" s="98"/>
      <c r="B4" s="99"/>
      <c r="D4" s="92"/>
      <c r="E4" s="93"/>
      <c r="F4" s="97"/>
      <c r="J4" s="90"/>
    </row>
    <row r="5" spans="1:10" s="91" customFormat="1" ht="12.75">
      <c r="A5" s="98"/>
      <c r="B5" s="99"/>
      <c r="D5" s="100"/>
      <c r="E5" s="93"/>
      <c r="H5" s="90"/>
    </row>
    <row r="6" spans="1:10" s="91" customFormat="1" ht="12.75">
      <c r="A6" s="101"/>
      <c r="B6" s="102"/>
      <c r="C6" s="103"/>
      <c r="D6" s="104"/>
      <c r="E6" s="105"/>
      <c r="F6" s="106"/>
      <c r="H6" s="90"/>
    </row>
    <row r="7" spans="1:10" s="91" customFormat="1" ht="12.75">
      <c r="A7" s="101"/>
      <c r="B7" s="102" t="s">
        <v>261</v>
      </c>
      <c r="C7" s="103"/>
      <c r="D7" s="104"/>
      <c r="E7" s="105"/>
      <c r="F7" s="106" t="s">
        <v>262</v>
      </c>
      <c r="H7" s="90"/>
    </row>
    <row r="8" spans="1:10" s="91" customFormat="1" ht="12.75">
      <c r="A8" s="107"/>
      <c r="B8" s="108" t="s">
        <v>263</v>
      </c>
      <c r="C8" s="103"/>
      <c r="D8" s="106" t="s">
        <v>264</v>
      </c>
      <c r="E8" s="106"/>
      <c r="F8" s="102">
        <v>43101</v>
      </c>
      <c r="H8" s="90"/>
    </row>
    <row r="9" spans="1:10" s="91" customFormat="1" ht="12.75">
      <c r="A9" s="109"/>
      <c r="B9" s="108" t="s">
        <v>77</v>
      </c>
      <c r="C9" s="103"/>
      <c r="D9" s="106" t="s">
        <v>65</v>
      </c>
      <c r="E9" s="106"/>
      <c r="F9" s="106" t="s">
        <v>77</v>
      </c>
      <c r="H9" s="90"/>
    </row>
    <row r="10" spans="1:10" s="91" customFormat="1" ht="12.75">
      <c r="A10" s="110" t="s">
        <v>265</v>
      </c>
      <c r="B10" s="111"/>
      <c r="C10" s="112"/>
      <c r="D10" s="113"/>
      <c r="E10" s="114"/>
      <c r="F10" s="115"/>
      <c r="H10" s="90"/>
    </row>
    <row r="11" spans="1:10" s="91" customFormat="1" ht="12.75">
      <c r="A11" s="91" t="s">
        <v>266</v>
      </c>
      <c r="B11" s="117">
        <v>4.66</v>
      </c>
      <c r="C11" s="121"/>
      <c r="D11" s="100">
        <f>+'Regulated DF Calc'!P25</f>
        <v>5.9515714362638729E-2</v>
      </c>
      <c r="E11" s="100"/>
      <c r="F11" s="90">
        <f>+B11+D11</f>
        <v>4.7195157143626387</v>
      </c>
      <c r="H11" s="90"/>
    </row>
    <row r="12" spans="1:10" s="91" customFormat="1" ht="12.75">
      <c r="B12" s="117"/>
      <c r="C12" s="121"/>
      <c r="D12" s="100"/>
      <c r="E12" s="100"/>
      <c r="F12" s="90"/>
      <c r="H12" s="90"/>
    </row>
    <row r="13" spans="1:10" s="91" customFormat="1" ht="12.75">
      <c r="A13" s="112" t="s">
        <v>268</v>
      </c>
      <c r="B13" s="120"/>
      <c r="C13" s="122"/>
      <c r="D13" s="123"/>
      <c r="E13" s="123"/>
      <c r="F13" s="115"/>
      <c r="H13" s="90"/>
    </row>
    <row r="14" spans="1:10" s="91" customFormat="1" ht="12.75">
      <c r="A14" s="91" t="s">
        <v>269</v>
      </c>
      <c r="B14" s="90">
        <v>10.24</v>
      </c>
      <c r="D14" s="100">
        <f>+'Regulated DF Calc'!P12</f>
        <v>0.15159002540601513</v>
      </c>
      <c r="E14" s="93"/>
      <c r="F14" s="90">
        <f t="shared" ref="F14:F27" si="0">+B14+D14</f>
        <v>10.391590025406016</v>
      </c>
      <c r="H14" s="125"/>
    </row>
    <row r="15" spans="1:10" s="91" customFormat="1" ht="12.75">
      <c r="A15" s="91" t="s">
        <v>270</v>
      </c>
      <c r="B15" s="90">
        <v>7.73</v>
      </c>
      <c r="D15" s="100">
        <f>+'Regulated DF Calc'!P11</f>
        <v>7.5970058921721192E-2</v>
      </c>
      <c r="E15" s="93"/>
      <c r="F15" s="90">
        <f t="shared" si="0"/>
        <v>7.805970058921722</v>
      </c>
      <c r="H15" s="125"/>
    </row>
    <row r="16" spans="1:10" s="91" customFormat="1" ht="12.75">
      <c r="A16" s="91" t="s">
        <v>271</v>
      </c>
      <c r="B16" s="90">
        <v>13.01</v>
      </c>
      <c r="D16" s="100">
        <f>+'Regulated DF Calc'!P15</f>
        <v>0.25770304319022569</v>
      </c>
      <c r="E16" s="93"/>
      <c r="F16" s="90">
        <f t="shared" si="0"/>
        <v>13.267703043190226</v>
      </c>
      <c r="G16" s="126"/>
      <c r="H16" s="125"/>
    </row>
    <row r="17" spans="1:8" s="91" customFormat="1" ht="12.75">
      <c r="A17" s="91" t="s">
        <v>272</v>
      </c>
      <c r="B17" s="90">
        <v>18.940000000000001</v>
      </c>
      <c r="D17" s="100">
        <f>+'Regulated DF Calc'!P16</f>
        <v>0.38655456478533856</v>
      </c>
      <c r="E17" s="93"/>
      <c r="F17" s="90">
        <f t="shared" si="0"/>
        <v>19.32655456478534</v>
      </c>
      <c r="H17" s="125"/>
    </row>
    <row r="18" spans="1:8" s="91" customFormat="1" ht="12.75">
      <c r="A18" s="91" t="s">
        <v>273</v>
      </c>
      <c r="B18" s="90">
        <v>28.07</v>
      </c>
      <c r="D18" s="100">
        <f>+'Regulated DF Calc'!P17</f>
        <v>0.58362159781315825</v>
      </c>
      <c r="E18" s="93"/>
      <c r="F18" s="90">
        <f t="shared" si="0"/>
        <v>28.65362159781316</v>
      </c>
      <c r="H18" s="125"/>
    </row>
    <row r="19" spans="1:8" s="91" customFormat="1" ht="12.75">
      <c r="A19" s="91" t="s">
        <v>274</v>
      </c>
      <c r="B19" s="90">
        <v>34.880000000000003</v>
      </c>
      <c r="D19" s="100">
        <f>+'Regulated DF Calc'!P18</f>
        <v>0.73521162321917322</v>
      </c>
      <c r="E19" s="93"/>
      <c r="F19" s="90">
        <f t="shared" si="0"/>
        <v>35.615211623219174</v>
      </c>
      <c r="H19" s="125"/>
    </row>
    <row r="20" spans="1:8" s="91" customFormat="1" ht="12.75">
      <c r="A20" s="91" t="s">
        <v>275</v>
      </c>
      <c r="B20" s="90">
        <v>43.54</v>
      </c>
      <c r="D20" s="100">
        <f>+'Regulated DF Calc'!P19</f>
        <v>0.8868016486251884</v>
      </c>
      <c r="E20" s="93"/>
      <c r="F20" s="90">
        <f t="shared" si="0"/>
        <v>44.426801648625187</v>
      </c>
      <c r="H20" s="125"/>
    </row>
    <row r="21" spans="1:8" s="91" customFormat="1" ht="12.75">
      <c r="A21" s="91" t="s">
        <v>276</v>
      </c>
      <c r="B21" s="90">
        <v>52.29</v>
      </c>
      <c r="D21" s="100">
        <f>+'Regulated DF Calc'!P20</f>
        <v>1.0383916740312034</v>
      </c>
      <c r="E21" s="93"/>
      <c r="F21" s="90">
        <f t="shared" si="0"/>
        <v>53.328391674031202</v>
      </c>
      <c r="H21" s="125"/>
    </row>
    <row r="22" spans="1:8" s="91" customFormat="1" ht="12.75">
      <c r="A22" s="91" t="s">
        <v>277</v>
      </c>
      <c r="B22" s="90">
        <v>60.59</v>
      </c>
      <c r="D22" s="100">
        <f>+'Regulated DF Calc'!P21</f>
        <v>1.2158945242929475</v>
      </c>
      <c r="E22" s="93"/>
      <c r="F22" s="90">
        <f t="shared" si="0"/>
        <v>61.805894524292952</v>
      </c>
      <c r="H22" s="125"/>
    </row>
    <row r="23" spans="1:8" s="91" customFormat="1" ht="12.75">
      <c r="A23" s="91" t="s">
        <v>278</v>
      </c>
      <c r="B23" s="90">
        <v>66.540000000000006</v>
      </c>
      <c r="D23" s="100">
        <f>+'Regulated DF Calc'!P22</f>
        <v>1.3415717248432337</v>
      </c>
      <c r="E23" s="93"/>
      <c r="F23" s="90">
        <f t="shared" si="0"/>
        <v>67.881571724843241</v>
      </c>
      <c r="H23" s="125"/>
    </row>
    <row r="24" spans="1:8" s="91" customFormat="1" ht="12.75">
      <c r="A24" s="91" t="s">
        <v>279</v>
      </c>
      <c r="B24" s="90">
        <v>78.069999999999993</v>
      </c>
      <c r="D24" s="156">
        <f>D23+D16</f>
        <v>1.5992747680334594</v>
      </c>
      <c r="E24" s="93"/>
      <c r="F24" s="90">
        <f t="shared" si="0"/>
        <v>79.669274768033446</v>
      </c>
      <c r="H24" s="231"/>
    </row>
    <row r="25" spans="1:8" s="91" customFormat="1" ht="12.75">
      <c r="A25" s="91" t="s">
        <v>638</v>
      </c>
      <c r="B25" s="90">
        <v>11.55</v>
      </c>
      <c r="D25" s="156">
        <f>D11</f>
        <v>5.9515714362638729E-2</v>
      </c>
      <c r="E25" s="93"/>
      <c r="F25" s="90">
        <f t="shared" si="0"/>
        <v>11.60951571436264</v>
      </c>
      <c r="H25" s="90"/>
    </row>
    <row r="26" spans="1:8" s="91" customFormat="1" ht="12.75">
      <c r="A26" s="91" t="s">
        <v>280</v>
      </c>
      <c r="B26" s="90">
        <v>4.8</v>
      </c>
      <c r="D26" s="100">
        <f>+'Regulated DF Calc'!P14</f>
        <v>5.9515714362638729E-2</v>
      </c>
      <c r="E26" s="93"/>
      <c r="F26" s="90">
        <f t="shared" si="0"/>
        <v>4.8595157143626384</v>
      </c>
      <c r="G26" s="126"/>
    </row>
    <row r="27" spans="1:8" s="91" customFormat="1" ht="12.75">
      <c r="A27" s="91" t="s">
        <v>281</v>
      </c>
      <c r="B27" s="90">
        <v>8.84</v>
      </c>
      <c r="D27" s="100">
        <f>+'Regulated DF Calc'!P13</f>
        <v>0.12914910016692605</v>
      </c>
      <c r="E27" s="93"/>
      <c r="F27" s="90">
        <f t="shared" si="0"/>
        <v>8.9691491001669252</v>
      </c>
      <c r="G27" s="126"/>
      <c r="H27" s="125"/>
    </row>
    <row r="28" spans="1:8" s="91" customFormat="1" ht="12.75">
      <c r="B28" s="90"/>
      <c r="D28" s="100"/>
      <c r="E28" s="93"/>
      <c r="F28" s="90"/>
      <c r="H28" s="125"/>
    </row>
    <row r="29" spans="1:8" s="91" customFormat="1" ht="12.75">
      <c r="A29" s="112" t="s">
        <v>282</v>
      </c>
      <c r="B29" s="115"/>
      <c r="C29" s="127"/>
      <c r="D29" s="123"/>
      <c r="E29" s="128"/>
      <c r="F29" s="115"/>
      <c r="H29" s="90"/>
    </row>
    <row r="30" spans="1:8" s="91" customFormat="1" ht="12.75">
      <c r="A30" s="155" t="s">
        <v>346</v>
      </c>
      <c r="B30" s="129">
        <v>3.59</v>
      </c>
      <c r="D30" s="156">
        <f>+'Regulated DF Calc'!P23</f>
        <v>5.9515714362638722E-2</v>
      </c>
      <c r="E30" s="93"/>
      <c r="F30" s="90">
        <f t="shared" ref="F30:F35" si="1">+B30+D30</f>
        <v>3.6495157143626384</v>
      </c>
      <c r="H30" s="90"/>
    </row>
    <row r="31" spans="1:8" s="91" customFormat="1" ht="12.75">
      <c r="A31" s="91" t="s">
        <v>283</v>
      </c>
      <c r="B31" s="90">
        <v>3.59</v>
      </c>
      <c r="D31" s="156">
        <f>+D14/References!C11</f>
        <v>3.5009243742728666E-2</v>
      </c>
      <c r="E31" s="93"/>
      <c r="F31" s="90">
        <f t="shared" si="1"/>
        <v>3.6250092437427286</v>
      </c>
      <c r="H31" s="90"/>
    </row>
    <row r="32" spans="1:8" s="91" customFormat="1" ht="12.75">
      <c r="A32" s="91" t="s">
        <v>284</v>
      </c>
      <c r="B32" s="90">
        <v>3.59</v>
      </c>
      <c r="D32" s="156">
        <f>+D11*2</f>
        <v>0.11903142872527746</v>
      </c>
      <c r="E32" s="93"/>
      <c r="F32" s="90">
        <f t="shared" si="1"/>
        <v>3.7090314287252775</v>
      </c>
      <c r="H32" s="90"/>
    </row>
    <row r="33" spans="1:9" s="91" customFormat="1" ht="12.75">
      <c r="A33" s="91" t="s">
        <v>285</v>
      </c>
      <c r="B33" s="90">
        <v>3.59</v>
      </c>
      <c r="D33" s="156">
        <f>+D11*3</f>
        <v>0.17854714308791619</v>
      </c>
      <c r="E33" s="93"/>
      <c r="F33" s="90">
        <f t="shared" si="1"/>
        <v>3.7685471430879161</v>
      </c>
      <c r="H33" s="90"/>
    </row>
    <row r="34" spans="1:9" s="91" customFormat="1" ht="12.75">
      <c r="A34" s="91" t="s">
        <v>286</v>
      </c>
      <c r="B34" s="90">
        <v>3.59</v>
      </c>
      <c r="D34" s="156">
        <f>+D11</f>
        <v>5.9515714362638729E-2</v>
      </c>
      <c r="E34" s="93"/>
      <c r="F34" s="90">
        <f t="shared" si="1"/>
        <v>3.6495157143626384</v>
      </c>
      <c r="H34" s="90"/>
    </row>
    <row r="35" spans="1:9" s="91" customFormat="1" ht="12.75">
      <c r="A35" s="91" t="s">
        <v>287</v>
      </c>
      <c r="B35" s="90">
        <v>4.8</v>
      </c>
      <c r="D35" s="156">
        <f>+'Regulated DF Calc'!P24</f>
        <v>5.9515714362638729E-2</v>
      </c>
      <c r="E35" s="93"/>
      <c r="F35" s="90">
        <f t="shared" si="1"/>
        <v>4.8595157143626384</v>
      </c>
      <c r="H35" s="90"/>
    </row>
    <row r="36" spans="1:9" s="91" customFormat="1" ht="12.75">
      <c r="B36" s="90"/>
      <c r="D36" s="100"/>
      <c r="E36" s="93"/>
      <c r="F36" s="90"/>
      <c r="H36" s="90"/>
    </row>
    <row r="37" spans="1:9" s="91" customFormat="1" ht="12.75">
      <c r="A37" s="112" t="s">
        <v>288</v>
      </c>
      <c r="B37" s="115"/>
      <c r="C37" s="127"/>
      <c r="D37" s="123"/>
      <c r="E37" s="128"/>
      <c r="F37" s="115"/>
      <c r="H37" s="124" t="s">
        <v>347</v>
      </c>
      <c r="I37" s="92" t="s">
        <v>65</v>
      </c>
    </row>
    <row r="38" spans="1:9" s="91" customFormat="1" ht="12.75">
      <c r="A38" s="91" t="s">
        <v>289</v>
      </c>
      <c r="B38" s="90">
        <v>18.399999999999999</v>
      </c>
      <c r="D38" s="156">
        <f>I38</f>
        <v>8.2271722795412366E-2</v>
      </c>
      <c r="E38" s="93"/>
      <c r="F38" s="90">
        <f t="shared" ref="F38:F39" si="2">+B38+D38</f>
        <v>18.48227172279541</v>
      </c>
      <c r="H38" s="90">
        <f>References!C26*'Regulated DF Calc'!J111</f>
        <v>37.182458681350617</v>
      </c>
      <c r="I38" s="157">
        <f>H38*(References!$D$67/References!$F$76)</f>
        <v>8.2271722795412366E-2</v>
      </c>
    </row>
    <row r="39" spans="1:9" s="91" customFormat="1" ht="12.75">
      <c r="A39" s="91" t="s">
        <v>290</v>
      </c>
      <c r="B39" s="90">
        <v>25.55</v>
      </c>
      <c r="D39" s="156">
        <f>I38</f>
        <v>8.2271722795412366E-2</v>
      </c>
      <c r="E39" s="93"/>
      <c r="F39" s="90">
        <f t="shared" si="2"/>
        <v>25.632271722795412</v>
      </c>
      <c r="H39" s="90"/>
    </row>
    <row r="40" spans="1:9" s="91" customFormat="1" ht="12.75">
      <c r="B40" s="90"/>
      <c r="D40" s="100"/>
      <c r="E40" s="93"/>
      <c r="F40" s="90"/>
      <c r="H40" s="90"/>
    </row>
    <row r="41" spans="1:9" s="91" customFormat="1" ht="12.75">
      <c r="A41" s="112" t="s">
        <v>291</v>
      </c>
      <c r="B41" s="115"/>
      <c r="C41" s="127"/>
      <c r="D41" s="123"/>
      <c r="E41" s="128"/>
      <c r="F41" s="115"/>
      <c r="H41" s="90"/>
    </row>
    <row r="42" spans="1:9" s="91" customFormat="1" ht="12.75">
      <c r="A42" s="91" t="s">
        <v>292</v>
      </c>
      <c r="B42" s="90">
        <v>16.12</v>
      </c>
      <c r="D42" s="156">
        <f>$D$57</f>
        <v>0.21880777339205412</v>
      </c>
      <c r="E42" s="93"/>
      <c r="F42" s="90">
        <f t="shared" ref="F42:F44" si="3">+B42+D42</f>
        <v>16.338807773392055</v>
      </c>
      <c r="H42" s="90"/>
    </row>
    <row r="43" spans="1:9" s="91" customFormat="1" ht="12.75">
      <c r="A43" s="91" t="s">
        <v>293</v>
      </c>
      <c r="B43" s="90">
        <v>16.12</v>
      </c>
      <c r="D43" s="156">
        <f>$D$57</f>
        <v>0.21880777339205412</v>
      </c>
      <c r="E43" s="93"/>
      <c r="F43" s="90">
        <f t="shared" si="3"/>
        <v>16.338807773392055</v>
      </c>
      <c r="H43" s="90"/>
    </row>
    <row r="44" spans="1:9" s="91" customFormat="1" ht="12.75">
      <c r="A44" s="91" t="s">
        <v>267</v>
      </c>
      <c r="B44" s="90">
        <v>16.12</v>
      </c>
      <c r="D44" s="156">
        <f>$D$57</f>
        <v>0.21880777339205412</v>
      </c>
      <c r="E44" s="93"/>
      <c r="F44" s="90">
        <f t="shared" si="3"/>
        <v>16.338807773392055</v>
      </c>
      <c r="H44" s="90"/>
    </row>
    <row r="45" spans="1:9" s="91" customFormat="1" ht="12.75">
      <c r="B45" s="90"/>
      <c r="D45" s="100"/>
      <c r="E45" s="93"/>
      <c r="F45" s="90"/>
      <c r="H45" s="90"/>
    </row>
    <row r="46" spans="1:9" s="91" customFormat="1" ht="12.75">
      <c r="A46" s="112" t="s">
        <v>294</v>
      </c>
      <c r="B46" s="115"/>
      <c r="C46" s="127"/>
      <c r="D46" s="123"/>
      <c r="E46" s="128"/>
      <c r="F46" s="115"/>
      <c r="H46" s="90"/>
    </row>
    <row r="47" spans="1:9" s="92" customFormat="1" ht="12.75">
      <c r="A47" s="92" t="s">
        <v>295</v>
      </c>
      <c r="B47" s="124"/>
      <c r="D47" s="119"/>
      <c r="E47" s="130"/>
      <c r="F47" s="124"/>
      <c r="H47" s="124" t="s">
        <v>347</v>
      </c>
      <c r="I47" s="92" t="s">
        <v>65</v>
      </c>
    </row>
    <row r="48" spans="1:9" s="91" customFormat="1" ht="12.75">
      <c r="A48" s="91" t="s">
        <v>296</v>
      </c>
      <c r="B48" s="90">
        <v>2.4500000000000002</v>
      </c>
      <c r="D48" s="156">
        <f>$I$48</f>
        <v>0.11063244028652265</v>
      </c>
      <c r="E48" s="93"/>
      <c r="F48" s="90">
        <f t="shared" ref="F48:F54" si="4">+B48+D48</f>
        <v>2.5606324402865228</v>
      </c>
      <c r="H48" s="90">
        <v>50</v>
      </c>
      <c r="I48" s="157">
        <f>H48*(References!$D$67/References!$F$76)</f>
        <v>0.11063244028652265</v>
      </c>
    </row>
    <row r="49" spans="1:10" s="91" customFormat="1" ht="12.75">
      <c r="A49" s="91" t="s">
        <v>297</v>
      </c>
      <c r="B49" s="90">
        <v>2.4500000000000002</v>
      </c>
      <c r="D49" s="156">
        <f t="shared" ref="D49:D54" si="5">$I$48</f>
        <v>0.11063244028652265</v>
      </c>
      <c r="E49" s="93"/>
      <c r="F49" s="90">
        <f t="shared" si="4"/>
        <v>2.5606324402865228</v>
      </c>
      <c r="H49" s="90"/>
    </row>
    <row r="50" spans="1:10" s="91" customFormat="1" ht="12.75">
      <c r="A50" s="91" t="s">
        <v>298</v>
      </c>
      <c r="B50" s="90">
        <v>2.4500000000000002</v>
      </c>
      <c r="D50" s="156">
        <f t="shared" si="5"/>
        <v>0.11063244028652265</v>
      </c>
      <c r="E50" s="93"/>
      <c r="F50" s="90">
        <f t="shared" si="4"/>
        <v>2.5606324402865228</v>
      </c>
      <c r="H50" s="90"/>
    </row>
    <row r="51" spans="1:10" s="91" customFormat="1" ht="12.75">
      <c r="A51" s="91" t="s">
        <v>299</v>
      </c>
      <c r="B51" s="90">
        <v>2.4500000000000002</v>
      </c>
      <c r="D51" s="156">
        <f t="shared" si="5"/>
        <v>0.11063244028652265</v>
      </c>
      <c r="E51" s="93"/>
      <c r="F51" s="90">
        <f t="shared" si="4"/>
        <v>2.5606324402865228</v>
      </c>
      <c r="H51" s="90"/>
    </row>
    <row r="52" spans="1:10" s="91" customFormat="1" ht="12.75">
      <c r="A52" s="91" t="s">
        <v>300</v>
      </c>
      <c r="B52" s="90">
        <v>2.4500000000000002</v>
      </c>
      <c r="D52" s="156">
        <f t="shared" si="5"/>
        <v>0.11063244028652265</v>
      </c>
      <c r="E52" s="93"/>
      <c r="F52" s="90">
        <f t="shared" si="4"/>
        <v>2.5606324402865228</v>
      </c>
      <c r="H52" s="90"/>
    </row>
    <row r="53" spans="1:10" s="91" customFormat="1" ht="12.75">
      <c r="A53" s="91" t="s">
        <v>301</v>
      </c>
      <c r="B53" s="90">
        <v>2.4500000000000002</v>
      </c>
      <c r="D53" s="156">
        <f t="shared" si="5"/>
        <v>0.11063244028652265</v>
      </c>
      <c r="E53" s="93"/>
      <c r="F53" s="90">
        <f t="shared" si="4"/>
        <v>2.5606324402865228</v>
      </c>
      <c r="H53" s="90"/>
    </row>
    <row r="54" spans="1:10" s="91" customFormat="1" ht="12.75">
      <c r="A54" s="91" t="s">
        <v>302</v>
      </c>
      <c r="B54" s="90">
        <v>2.4500000000000002</v>
      </c>
      <c r="D54" s="156">
        <f t="shared" si="5"/>
        <v>0.11063244028652265</v>
      </c>
      <c r="E54" s="93"/>
      <c r="F54" s="90">
        <f t="shared" si="4"/>
        <v>2.5606324402865228</v>
      </c>
      <c r="H54" s="90"/>
    </row>
    <row r="55" spans="1:10" s="91" customFormat="1" ht="12.75">
      <c r="B55" s="90"/>
      <c r="D55" s="100"/>
      <c r="E55" s="93"/>
      <c r="F55" s="90"/>
      <c r="H55" s="90"/>
    </row>
    <row r="56" spans="1:10" s="91" customFormat="1" ht="12.75">
      <c r="B56" s="90"/>
      <c r="D56" s="100"/>
      <c r="E56" s="93"/>
      <c r="F56" s="90"/>
      <c r="H56" s="90"/>
    </row>
    <row r="57" spans="1:10" s="91" customFormat="1" ht="12.75">
      <c r="A57" s="91" t="s">
        <v>341</v>
      </c>
      <c r="B57" s="90">
        <v>17.579999999999998</v>
      </c>
      <c r="D57" s="100">
        <f>+'Regulated DF Calc'!P98</f>
        <v>0.21880777339205412</v>
      </c>
      <c r="E57" s="93"/>
      <c r="F57" s="90">
        <f t="shared" ref="F57:F58" si="6">+B57+D57</f>
        <v>17.798807773392053</v>
      </c>
      <c r="H57" s="90"/>
    </row>
    <row r="58" spans="1:10" s="91" customFormat="1" ht="12.75">
      <c r="A58" s="91" t="s">
        <v>342</v>
      </c>
      <c r="B58" s="90">
        <v>17.579999999999998</v>
      </c>
      <c r="D58" s="100">
        <f>+'Regulated DF Calc'!P99</f>
        <v>0.21880777339205409</v>
      </c>
      <c r="E58" s="93"/>
      <c r="F58" s="90">
        <f t="shared" si="6"/>
        <v>17.798807773392053</v>
      </c>
      <c r="H58" s="90"/>
    </row>
    <row r="59" spans="1:10">
      <c r="A59" s="131" t="s">
        <v>317</v>
      </c>
      <c r="F59" s="132"/>
      <c r="G59" s="131"/>
      <c r="J59" s="131"/>
    </row>
    <row r="60" spans="1:10" s="91" customFormat="1" ht="12.75">
      <c r="A60" s="112" t="s">
        <v>303</v>
      </c>
      <c r="B60" s="115"/>
      <c r="C60" s="127"/>
      <c r="D60" s="123"/>
      <c r="E60" s="128"/>
      <c r="F60" s="115"/>
      <c r="H60" s="90"/>
    </row>
    <row r="61" spans="1:10" s="91" customFormat="1" ht="12.75">
      <c r="A61" s="92" t="s">
        <v>304</v>
      </c>
      <c r="B61" s="90"/>
      <c r="D61" s="100"/>
      <c r="E61" s="93"/>
      <c r="F61" s="90"/>
      <c r="H61" s="90"/>
    </row>
    <row r="62" spans="1:10" s="91" customFormat="1" ht="12.75">
      <c r="A62" s="91" t="s">
        <v>631</v>
      </c>
      <c r="B62" s="90">
        <v>78.760000000000005</v>
      </c>
      <c r="D62" s="100">
        <f>+References!E67</f>
        <v>4.019999999999996</v>
      </c>
      <c r="E62" s="93"/>
      <c r="F62" s="90">
        <f t="shared" ref="F62:F72" si="7">+B62+D62</f>
        <v>82.78</v>
      </c>
      <c r="H62" s="222"/>
    </row>
    <row r="63" spans="1:10" s="91" customFormat="1" ht="12.75">
      <c r="A63" s="91" t="s">
        <v>305</v>
      </c>
      <c r="B63" s="90">
        <v>88.88</v>
      </c>
      <c r="D63" s="100">
        <f>+References!C67</f>
        <v>4.3400000000000034</v>
      </c>
      <c r="E63" s="93"/>
      <c r="F63" s="90">
        <f t="shared" si="7"/>
        <v>93.22</v>
      </c>
    </row>
    <row r="64" spans="1:10" s="91" customFormat="1" ht="12.75">
      <c r="A64" s="91" t="s">
        <v>306</v>
      </c>
      <c r="B64" s="90">
        <v>10</v>
      </c>
      <c r="D64" s="156">
        <f t="shared" ref="D64:D72" si="8">B64*$F$2</f>
        <v>0</v>
      </c>
      <c r="E64" s="93"/>
      <c r="F64" s="90">
        <f t="shared" si="7"/>
        <v>10</v>
      </c>
      <c r="H64" s="90"/>
    </row>
    <row r="65" spans="1:16" s="91" customFormat="1" ht="12.75">
      <c r="A65" s="91" t="s">
        <v>307</v>
      </c>
      <c r="B65" s="90">
        <v>5.75</v>
      </c>
      <c r="D65" s="156">
        <f t="shared" si="8"/>
        <v>0</v>
      </c>
      <c r="E65" s="93"/>
      <c r="F65" s="90">
        <f t="shared" si="7"/>
        <v>5.75</v>
      </c>
      <c r="H65" s="90"/>
    </row>
    <row r="66" spans="1:16" s="91" customFormat="1" ht="12.75">
      <c r="A66" s="91" t="s">
        <v>308</v>
      </c>
      <c r="B66" s="90">
        <v>11.5</v>
      </c>
      <c r="D66" s="156">
        <v>8.5</v>
      </c>
      <c r="E66" s="93"/>
      <c r="F66" s="90">
        <f t="shared" si="7"/>
        <v>20</v>
      </c>
      <c r="H66" s="90"/>
    </row>
    <row r="67" spans="1:16" s="91" customFormat="1" ht="12.75">
      <c r="A67" s="91" t="s">
        <v>309</v>
      </c>
      <c r="B67" s="90">
        <v>5.75</v>
      </c>
      <c r="D67" s="156">
        <f t="shared" si="8"/>
        <v>0</v>
      </c>
      <c r="E67" s="93"/>
      <c r="F67" s="90">
        <f t="shared" si="7"/>
        <v>5.75</v>
      </c>
      <c r="H67" s="90"/>
    </row>
    <row r="68" spans="1:16" s="91" customFormat="1" ht="12.75">
      <c r="A68" s="91" t="s">
        <v>310</v>
      </c>
      <c r="B68" s="90">
        <v>2.35</v>
      </c>
      <c r="D68" s="156">
        <f t="shared" si="8"/>
        <v>0</v>
      </c>
      <c r="E68" s="93"/>
      <c r="F68" s="90">
        <f t="shared" si="7"/>
        <v>2.35</v>
      </c>
      <c r="H68" s="90"/>
    </row>
    <row r="69" spans="1:16" s="91" customFormat="1" ht="12.75">
      <c r="A69" s="91" t="s">
        <v>311</v>
      </c>
      <c r="B69" s="90">
        <v>4.6900000000000004</v>
      </c>
      <c r="D69" s="156">
        <f t="shared" si="8"/>
        <v>0</v>
      </c>
      <c r="E69" s="93"/>
      <c r="F69" s="90">
        <f t="shared" si="7"/>
        <v>4.6900000000000004</v>
      </c>
      <c r="H69" s="90"/>
    </row>
    <row r="70" spans="1:16" s="91" customFormat="1" ht="12.75">
      <c r="A70" s="91" t="s">
        <v>312</v>
      </c>
      <c r="B70" s="90">
        <v>9.3800000000000008</v>
      </c>
      <c r="D70" s="156">
        <f t="shared" si="8"/>
        <v>0</v>
      </c>
      <c r="E70" s="93"/>
      <c r="F70" s="90">
        <f t="shared" si="7"/>
        <v>9.3800000000000008</v>
      </c>
      <c r="H70" s="90"/>
    </row>
    <row r="71" spans="1:16" s="91" customFormat="1" ht="12.75">
      <c r="A71" s="91" t="s">
        <v>313</v>
      </c>
      <c r="B71" s="90">
        <v>18.77</v>
      </c>
      <c r="D71" s="156">
        <f t="shared" si="8"/>
        <v>0</v>
      </c>
      <c r="E71" s="93"/>
      <c r="F71" s="90">
        <f t="shared" si="7"/>
        <v>18.77</v>
      </c>
      <c r="H71" s="90"/>
    </row>
    <row r="72" spans="1:16" s="91" customFormat="1" ht="12.75">
      <c r="A72" s="91" t="s">
        <v>314</v>
      </c>
      <c r="B72" s="90">
        <v>28.75</v>
      </c>
      <c r="D72" s="156">
        <f t="shared" si="8"/>
        <v>0</v>
      </c>
      <c r="E72" s="93"/>
      <c r="F72" s="90">
        <f t="shared" si="7"/>
        <v>28.75</v>
      </c>
      <c r="H72" s="90"/>
    </row>
    <row r="73" spans="1:16" s="91" customFormat="1" ht="12.75">
      <c r="B73" s="90"/>
      <c r="D73" s="100"/>
      <c r="E73" s="93"/>
      <c r="F73" s="90"/>
      <c r="H73" s="90"/>
    </row>
    <row r="74" spans="1:16" s="91" customFormat="1" ht="12.75">
      <c r="A74" s="112" t="s">
        <v>315</v>
      </c>
      <c r="B74" s="115"/>
      <c r="C74" s="127"/>
      <c r="D74" s="123"/>
      <c r="E74" s="128"/>
      <c r="F74" s="115"/>
      <c r="H74" s="90"/>
    </row>
    <row r="75" spans="1:16" s="90" customFormat="1" ht="12.75">
      <c r="A75" s="118" t="s">
        <v>345</v>
      </c>
      <c r="C75" s="91"/>
      <c r="D75" s="100"/>
      <c r="E75" s="93"/>
      <c r="G75" s="91"/>
      <c r="I75" s="91"/>
      <c r="J75" s="91"/>
      <c r="K75" s="91"/>
      <c r="L75" s="91"/>
      <c r="M75" s="91"/>
      <c r="N75" s="91"/>
      <c r="O75" s="91"/>
      <c r="P75" s="91"/>
    </row>
    <row r="76" spans="1:16" s="90" customFormat="1" ht="12.75">
      <c r="A76" s="118" t="s">
        <v>1</v>
      </c>
      <c r="C76" s="91"/>
      <c r="D76" s="100"/>
      <c r="E76" s="93"/>
      <c r="G76" s="91"/>
      <c r="I76" s="91"/>
      <c r="J76" s="91"/>
      <c r="K76" s="91"/>
      <c r="L76" s="91"/>
      <c r="M76" s="91"/>
      <c r="N76" s="91"/>
      <c r="O76" s="91"/>
      <c r="P76" s="91"/>
    </row>
    <row r="77" spans="1:16" s="90" customFormat="1" ht="12.75">
      <c r="A77" s="158" t="s">
        <v>296</v>
      </c>
      <c r="B77" s="90">
        <v>16.899999999999999</v>
      </c>
      <c r="C77" s="91"/>
      <c r="D77" s="100">
        <f>+'Regulated DF Calc'!P33</f>
        <v>0.30633088274887577</v>
      </c>
      <c r="E77" s="93"/>
      <c r="F77" s="90">
        <f t="shared" ref="F77:F84" si="9">+B77+D77</f>
        <v>17.206330882748873</v>
      </c>
      <c r="G77" s="91"/>
      <c r="I77" s="91"/>
      <c r="J77" s="91"/>
      <c r="K77" s="91"/>
      <c r="L77" s="91"/>
      <c r="M77" s="91"/>
      <c r="N77" s="91"/>
      <c r="O77" s="91"/>
      <c r="P77" s="91"/>
    </row>
    <row r="78" spans="1:16" s="90" customFormat="1" ht="12.75">
      <c r="A78" s="158" t="s">
        <v>297</v>
      </c>
      <c r="B78" s="90">
        <v>22.77</v>
      </c>
      <c r="C78" s="91"/>
      <c r="D78" s="100">
        <f>+'Regulated DF Calc'!P36</f>
        <v>0.4376155467841083</v>
      </c>
      <c r="E78" s="93"/>
      <c r="F78" s="90">
        <f t="shared" si="9"/>
        <v>23.207615546784108</v>
      </c>
      <c r="G78" s="91"/>
      <c r="I78" s="91"/>
      <c r="J78" s="91"/>
      <c r="K78" s="91"/>
      <c r="L78" s="91"/>
      <c r="M78" s="91"/>
      <c r="N78" s="91"/>
      <c r="O78" s="91"/>
      <c r="P78" s="91"/>
    </row>
    <row r="79" spans="1:16" s="90" customFormat="1" ht="12.75">
      <c r="A79" s="158" t="s">
        <v>316</v>
      </c>
      <c r="B79" s="90">
        <v>27.06</v>
      </c>
      <c r="C79" s="91"/>
      <c r="D79" s="100">
        <f>+'Regulated DF Calc'!P39</f>
        <v>0.56714974863220435</v>
      </c>
      <c r="E79" s="93"/>
      <c r="F79" s="90">
        <f t="shared" si="9"/>
        <v>27.627149748632203</v>
      </c>
      <c r="G79" s="91"/>
      <c r="I79" s="91"/>
      <c r="J79" s="91"/>
      <c r="K79" s="91"/>
      <c r="L79" s="91"/>
      <c r="M79" s="91"/>
      <c r="N79" s="91"/>
      <c r="O79" s="91"/>
      <c r="P79" s="91"/>
    </row>
    <row r="80" spans="1:16" s="90" customFormat="1" ht="12.75">
      <c r="A80" s="158" t="s">
        <v>298</v>
      </c>
      <c r="B80" s="90">
        <v>37.72</v>
      </c>
      <c r="C80" s="91"/>
      <c r="D80" s="100">
        <f>+'Regulated DF Calc'!P45</f>
        <v>0.82796861451553283</v>
      </c>
      <c r="E80" s="93"/>
      <c r="F80" s="90">
        <f t="shared" si="9"/>
        <v>38.547968614515533</v>
      </c>
      <c r="G80" s="91"/>
      <c r="I80" s="91"/>
      <c r="J80" s="91"/>
      <c r="K80" s="91"/>
      <c r="L80" s="91"/>
      <c r="M80" s="91"/>
      <c r="N80" s="91"/>
      <c r="O80" s="91"/>
      <c r="P80" s="91"/>
    </row>
    <row r="81" spans="1:16" s="90" customFormat="1" ht="12.75">
      <c r="A81" s="158" t="s">
        <v>299</v>
      </c>
      <c r="B81" s="90">
        <v>48.82</v>
      </c>
      <c r="C81" s="91"/>
      <c r="D81" s="100">
        <f>+'Regulated DF Calc'!P51</f>
        <v>1.0730333207146334</v>
      </c>
      <c r="E81" s="93"/>
      <c r="F81" s="90">
        <f t="shared" si="9"/>
        <v>49.893033320714636</v>
      </c>
      <c r="G81" s="91"/>
      <c r="I81" s="91"/>
      <c r="J81" s="91"/>
      <c r="K81" s="91"/>
      <c r="L81" s="91"/>
      <c r="M81" s="91"/>
      <c r="N81" s="91"/>
      <c r="O81" s="91"/>
      <c r="P81" s="91"/>
    </row>
    <row r="82" spans="1:16" s="90" customFormat="1" ht="12.75">
      <c r="A82" s="158" t="s">
        <v>300</v>
      </c>
      <c r="B82" s="90">
        <v>59.96</v>
      </c>
      <c r="C82" s="91"/>
      <c r="D82" s="100">
        <f>+'Regulated DF Calc'!P58</f>
        <v>1.2743364722353234</v>
      </c>
      <c r="E82" s="93"/>
      <c r="F82" s="90">
        <f t="shared" si="9"/>
        <v>61.234336472235327</v>
      </c>
      <c r="G82" s="91"/>
      <c r="I82" s="91"/>
      <c r="J82" s="91"/>
      <c r="K82" s="91"/>
      <c r="L82" s="91"/>
      <c r="M82" s="91"/>
      <c r="N82" s="91"/>
      <c r="O82" s="91"/>
      <c r="P82" s="91"/>
    </row>
    <row r="83" spans="1:16" s="90" customFormat="1" ht="12.75">
      <c r="A83" s="158" t="s">
        <v>301</v>
      </c>
      <c r="B83" s="90">
        <v>71.010000000000005</v>
      </c>
      <c r="C83" s="91"/>
      <c r="D83" s="100">
        <f>+'Regulated DF Calc'!P60</f>
        <v>1.4703882371946038</v>
      </c>
      <c r="E83" s="93"/>
      <c r="F83" s="90">
        <f t="shared" si="9"/>
        <v>72.480388237194603</v>
      </c>
      <c r="G83" s="91"/>
      <c r="I83" s="91"/>
      <c r="J83" s="91"/>
      <c r="K83" s="91"/>
      <c r="L83" s="91"/>
      <c r="M83" s="91"/>
      <c r="N83" s="91"/>
      <c r="O83" s="91"/>
      <c r="P83" s="91"/>
    </row>
    <row r="84" spans="1:16" s="90" customFormat="1" ht="12.75">
      <c r="A84" s="158" t="s">
        <v>302</v>
      </c>
      <c r="B84" s="90">
        <v>92.97</v>
      </c>
      <c r="C84" s="91"/>
      <c r="D84" s="100">
        <f>+'Regulated DF Calc'!P69</f>
        <v>1.7154529433937047</v>
      </c>
      <c r="E84" s="93"/>
      <c r="F84" s="90">
        <f t="shared" si="9"/>
        <v>94.685452943393699</v>
      </c>
      <c r="G84" s="91"/>
      <c r="I84" s="91"/>
      <c r="J84" s="91"/>
      <c r="K84" s="91"/>
      <c r="L84" s="91"/>
      <c r="M84" s="91"/>
      <c r="N84" s="91"/>
      <c r="O84" s="91"/>
      <c r="P84" s="91"/>
    </row>
    <row r="85" spans="1:16" s="90" customFormat="1" ht="12.75">
      <c r="A85" s="116"/>
      <c r="B85" s="90" t="s">
        <v>317</v>
      </c>
      <c r="C85" s="91"/>
      <c r="D85" s="100"/>
      <c r="E85" s="93"/>
      <c r="G85" s="91"/>
      <c r="I85" s="91"/>
      <c r="J85" s="91"/>
      <c r="K85" s="91"/>
      <c r="L85" s="91"/>
      <c r="M85" s="91"/>
      <c r="N85" s="91"/>
      <c r="O85" s="91"/>
      <c r="P85" s="91"/>
    </row>
    <row r="86" spans="1:16" s="90" customFormat="1" ht="12.75">
      <c r="A86" s="92" t="s">
        <v>318</v>
      </c>
      <c r="C86" s="91"/>
      <c r="D86" s="100"/>
      <c r="E86" s="93"/>
      <c r="G86" s="91"/>
      <c r="I86" s="91"/>
      <c r="J86" s="91"/>
      <c r="K86" s="91"/>
      <c r="L86" s="91"/>
      <c r="M86" s="91"/>
      <c r="N86" s="91"/>
      <c r="O86" s="91"/>
      <c r="P86" s="91"/>
    </row>
    <row r="87" spans="1:16" s="90" customFormat="1" ht="12.75">
      <c r="A87" s="91" t="s">
        <v>296</v>
      </c>
      <c r="B87" s="90">
        <v>17.899999999999999</v>
      </c>
      <c r="C87" s="91"/>
      <c r="D87" s="100">
        <f>+'Regulated DF Calc'!P73</f>
        <v>0.30633088274887582</v>
      </c>
      <c r="E87" s="93"/>
      <c r="F87" s="90">
        <f t="shared" ref="F87:F94" si="10">+B87+D87</f>
        <v>18.206330882748876</v>
      </c>
      <c r="G87" s="91"/>
      <c r="I87" s="91"/>
      <c r="J87" s="91"/>
      <c r="K87" s="91"/>
      <c r="L87" s="91"/>
      <c r="M87" s="91"/>
      <c r="N87" s="91"/>
      <c r="O87" s="91"/>
      <c r="P87" s="91"/>
    </row>
    <row r="88" spans="1:16" s="90" customFormat="1" ht="12.75">
      <c r="A88" s="91" t="s">
        <v>297</v>
      </c>
      <c r="B88" s="90">
        <v>23.77</v>
      </c>
      <c r="C88" s="91"/>
      <c r="D88" s="100">
        <f>+'Regulated DF Calc'!P74</f>
        <v>0.43761554678410824</v>
      </c>
      <c r="E88" s="93"/>
      <c r="F88" s="90">
        <f t="shared" si="10"/>
        <v>24.207615546784108</v>
      </c>
      <c r="G88" s="91"/>
      <c r="I88" s="91"/>
      <c r="J88" s="91"/>
      <c r="K88" s="91"/>
      <c r="L88" s="91"/>
      <c r="M88" s="91"/>
      <c r="N88" s="91"/>
      <c r="O88" s="91"/>
      <c r="P88" s="91"/>
    </row>
    <row r="89" spans="1:16" s="90" customFormat="1" ht="12.75">
      <c r="A89" s="91" t="s">
        <v>316</v>
      </c>
      <c r="B89" s="90">
        <v>28.06</v>
      </c>
      <c r="C89" s="91"/>
      <c r="D89" s="100">
        <f>+'Regulated DF Calc'!P75</f>
        <v>0.56714974863220435</v>
      </c>
      <c r="E89" s="93"/>
      <c r="F89" s="90">
        <f t="shared" si="10"/>
        <v>28.627149748632203</v>
      </c>
      <c r="G89" s="91"/>
      <c r="I89" s="91"/>
      <c r="J89" s="91"/>
      <c r="K89" s="91"/>
      <c r="L89" s="91"/>
      <c r="M89" s="91"/>
      <c r="N89" s="91"/>
      <c r="O89" s="91"/>
      <c r="P89" s="91"/>
    </row>
    <row r="90" spans="1:16" s="90" customFormat="1" ht="12.75">
      <c r="A90" s="91" t="s">
        <v>298</v>
      </c>
      <c r="B90" s="90">
        <v>38.72</v>
      </c>
      <c r="C90" s="91"/>
      <c r="D90" s="100">
        <f>+'Regulated DF Calc'!P76</f>
        <v>0.82796861451553283</v>
      </c>
      <c r="E90" s="93"/>
      <c r="F90" s="90">
        <f t="shared" si="10"/>
        <v>39.547968614515533</v>
      </c>
      <c r="G90" s="91"/>
      <c r="I90" s="91"/>
      <c r="J90" s="91"/>
      <c r="K90" s="91"/>
      <c r="L90" s="91"/>
      <c r="M90" s="91"/>
      <c r="N90" s="91"/>
      <c r="O90" s="91"/>
      <c r="P90" s="91"/>
    </row>
    <row r="91" spans="1:16" s="90" customFormat="1" ht="12.75">
      <c r="A91" s="91" t="s">
        <v>299</v>
      </c>
      <c r="B91" s="90">
        <v>49.82</v>
      </c>
      <c r="C91" s="91"/>
      <c r="D91" s="100">
        <f>+'Regulated DF Calc'!P79</f>
        <v>1.0730333207146336</v>
      </c>
      <c r="E91" s="93"/>
      <c r="F91" s="90">
        <f t="shared" si="10"/>
        <v>50.893033320714636</v>
      </c>
      <c r="G91" s="91"/>
      <c r="I91" s="91"/>
      <c r="J91" s="91"/>
      <c r="K91" s="91"/>
      <c r="L91" s="91"/>
      <c r="M91" s="91"/>
      <c r="N91" s="91"/>
      <c r="O91" s="91"/>
      <c r="P91" s="91"/>
    </row>
    <row r="92" spans="1:16" s="90" customFormat="1" ht="12.75">
      <c r="A92" s="91" t="s">
        <v>300</v>
      </c>
      <c r="B92" s="90">
        <v>60.96</v>
      </c>
      <c r="C92" s="91"/>
      <c r="D92" s="100">
        <f>+'Regulated DF Calc'!P80</f>
        <v>1.2743364722353232</v>
      </c>
      <c r="E92" s="93"/>
      <c r="F92" s="90">
        <f t="shared" si="10"/>
        <v>62.234336472235327</v>
      </c>
      <c r="G92" s="91"/>
      <c r="I92" s="91"/>
      <c r="J92" s="91"/>
      <c r="K92" s="91"/>
      <c r="L92" s="91"/>
      <c r="M92" s="91"/>
      <c r="N92" s="91"/>
      <c r="O92" s="91"/>
      <c r="P92" s="91"/>
    </row>
    <row r="93" spans="1:16" s="90" customFormat="1" ht="12.75">
      <c r="A93" s="91" t="s">
        <v>301</v>
      </c>
      <c r="B93" s="90">
        <v>72.010000000000005</v>
      </c>
      <c r="C93" s="91"/>
      <c r="D93" s="100">
        <f>+'Regulated DF Calc'!P81</f>
        <v>1.470388237194604</v>
      </c>
      <c r="E93" s="93"/>
      <c r="F93" s="90">
        <f t="shared" si="10"/>
        <v>73.480388237194603</v>
      </c>
      <c r="G93" s="91"/>
      <c r="I93" s="91"/>
      <c r="J93" s="91"/>
      <c r="K93" s="91"/>
      <c r="L93" s="91"/>
      <c r="M93" s="91"/>
      <c r="N93" s="91"/>
      <c r="O93" s="91"/>
      <c r="P93" s="91"/>
    </row>
    <row r="94" spans="1:16" s="90" customFormat="1" ht="12.75">
      <c r="A94" s="91" t="s">
        <v>302</v>
      </c>
      <c r="B94" s="90">
        <v>93.97</v>
      </c>
      <c r="C94" s="91"/>
      <c r="D94" s="100">
        <f>+'Regulated DF Calc'!P82</f>
        <v>1.7154529433937045</v>
      </c>
      <c r="E94" s="93"/>
      <c r="F94" s="90">
        <f t="shared" si="10"/>
        <v>95.685452943393699</v>
      </c>
      <c r="G94" s="91"/>
      <c r="I94" s="91"/>
      <c r="J94" s="91"/>
      <c r="K94" s="91"/>
      <c r="L94" s="91"/>
      <c r="M94" s="91"/>
      <c r="N94" s="91"/>
      <c r="O94" s="91"/>
      <c r="P94" s="91"/>
    </row>
    <row r="95" spans="1:16" s="90" customFormat="1" ht="12.75">
      <c r="A95" s="116"/>
      <c r="B95" s="90" t="s">
        <v>317</v>
      </c>
      <c r="C95" s="91"/>
      <c r="D95" s="100"/>
      <c r="E95" s="93"/>
      <c r="G95" s="91"/>
      <c r="I95" s="91"/>
      <c r="J95" s="91"/>
      <c r="K95" s="91"/>
      <c r="L95" s="91"/>
      <c r="M95" s="91"/>
      <c r="N95" s="91"/>
      <c r="O95" s="91"/>
      <c r="P95" s="91"/>
    </row>
    <row r="96" spans="1:16" s="90" customFormat="1" ht="12.75">
      <c r="A96" s="118" t="s">
        <v>319</v>
      </c>
      <c r="C96" s="91"/>
      <c r="D96" s="100"/>
      <c r="E96" s="93"/>
      <c r="G96" s="91"/>
      <c r="I96" s="91"/>
      <c r="J96" s="91"/>
      <c r="K96" s="91"/>
      <c r="L96" s="91"/>
      <c r="M96" s="91"/>
      <c r="N96" s="91"/>
      <c r="O96" s="91"/>
      <c r="P96" s="91"/>
    </row>
    <row r="97" spans="1:16" s="90" customFormat="1" ht="12.75">
      <c r="A97" s="92" t="s">
        <v>1</v>
      </c>
      <c r="C97" s="91"/>
      <c r="D97" s="100"/>
      <c r="E97" s="93"/>
      <c r="G97" s="91"/>
      <c r="I97" s="91"/>
      <c r="J97" s="91"/>
      <c r="K97" s="91"/>
      <c r="L97" s="91"/>
      <c r="M97" s="91"/>
      <c r="N97" s="91"/>
      <c r="O97" s="91"/>
      <c r="P97" s="91"/>
    </row>
    <row r="98" spans="1:16" s="90" customFormat="1" ht="12.75">
      <c r="A98" s="91" t="s">
        <v>296</v>
      </c>
      <c r="B98" s="90">
        <v>16.899999999999999</v>
      </c>
      <c r="C98" s="91"/>
      <c r="D98" s="100">
        <f>+'Regulated DF Calc'!P83</f>
        <v>0.30633088274887577</v>
      </c>
      <c r="E98" s="93"/>
      <c r="F98" s="90">
        <f>+B98+D98</f>
        <v>17.206330882748873</v>
      </c>
      <c r="G98" s="91"/>
      <c r="I98" s="91"/>
      <c r="J98" s="91"/>
      <c r="K98" s="91"/>
      <c r="L98" s="91"/>
      <c r="M98" s="91"/>
      <c r="N98" s="91"/>
      <c r="O98" s="91"/>
      <c r="P98" s="91"/>
    </row>
    <row r="99" spans="1:16" s="90" customFormat="1" ht="12.75">
      <c r="A99" s="91" t="s">
        <v>297</v>
      </c>
      <c r="B99" s="90">
        <v>22.77</v>
      </c>
      <c r="C99" s="91"/>
      <c r="D99" s="100">
        <f>+'Regulated DF Calc'!P84</f>
        <v>0.4376155467841083</v>
      </c>
      <c r="E99" s="93"/>
      <c r="F99" s="90">
        <f t="shared" ref="F99:F105" si="11">+B99+D99</f>
        <v>23.207615546784108</v>
      </c>
      <c r="G99" s="91"/>
      <c r="I99" s="91"/>
      <c r="J99" s="91"/>
      <c r="K99" s="91"/>
      <c r="L99" s="91"/>
      <c r="M99" s="91"/>
      <c r="N99" s="91"/>
      <c r="O99" s="91"/>
      <c r="P99" s="91"/>
    </row>
    <row r="100" spans="1:16" s="90" customFormat="1" ht="12.75">
      <c r="A100" s="91" t="s">
        <v>316</v>
      </c>
      <c r="B100" s="90">
        <v>27.06</v>
      </c>
      <c r="C100" s="91"/>
      <c r="D100" s="100">
        <f>+'Regulated DF Calc'!P85</f>
        <v>0.56714974863220435</v>
      </c>
      <c r="E100" s="93"/>
      <c r="F100" s="90">
        <f t="shared" si="11"/>
        <v>27.627149748632203</v>
      </c>
      <c r="G100" s="91"/>
      <c r="I100" s="91"/>
      <c r="J100" s="91"/>
      <c r="K100" s="91"/>
      <c r="L100" s="91"/>
      <c r="M100" s="91"/>
      <c r="N100" s="91"/>
      <c r="O100" s="91"/>
      <c r="P100" s="91"/>
    </row>
    <row r="101" spans="1:16" s="90" customFormat="1" ht="12.75">
      <c r="A101" s="91" t="s">
        <v>298</v>
      </c>
      <c r="B101" s="90">
        <v>37.72</v>
      </c>
      <c r="C101" s="91"/>
      <c r="D101" s="100">
        <f>+'Regulated DF Calc'!P86</f>
        <v>0.82796861451553283</v>
      </c>
      <c r="E101" s="93"/>
      <c r="F101" s="90">
        <f t="shared" si="11"/>
        <v>38.547968614515533</v>
      </c>
      <c r="G101" s="91"/>
      <c r="I101" s="91"/>
      <c r="J101" s="91"/>
      <c r="K101" s="91"/>
      <c r="L101" s="91"/>
      <c r="M101" s="91"/>
      <c r="N101" s="91"/>
      <c r="O101" s="91"/>
      <c r="P101" s="91"/>
    </row>
    <row r="102" spans="1:16" s="90" customFormat="1" ht="12.75">
      <c r="A102" s="91" t="s">
        <v>299</v>
      </c>
      <c r="B102" s="90">
        <v>48.82</v>
      </c>
      <c r="C102" s="91"/>
      <c r="D102" s="100">
        <f>+'Regulated DF Calc'!P87</f>
        <v>1.0730333207146334</v>
      </c>
      <c r="E102" s="93"/>
      <c r="F102" s="90">
        <f t="shared" si="11"/>
        <v>49.893033320714636</v>
      </c>
      <c r="G102" s="91"/>
      <c r="I102" s="91"/>
      <c r="J102" s="91"/>
      <c r="K102" s="91"/>
      <c r="L102" s="91"/>
      <c r="M102" s="91"/>
      <c r="N102" s="91"/>
      <c r="O102" s="91"/>
      <c r="P102" s="91"/>
    </row>
    <row r="103" spans="1:16" s="90" customFormat="1" ht="12.75">
      <c r="A103" s="91" t="s">
        <v>300</v>
      </c>
      <c r="B103" s="90">
        <v>59.96</v>
      </c>
      <c r="C103" s="91"/>
      <c r="D103" s="156">
        <f>D92</f>
        <v>1.2743364722353232</v>
      </c>
      <c r="E103" s="93"/>
      <c r="F103" s="90">
        <f t="shared" si="11"/>
        <v>61.234336472235327</v>
      </c>
      <c r="G103" s="91"/>
      <c r="I103" s="91"/>
      <c r="J103" s="91"/>
      <c r="K103" s="91"/>
      <c r="L103" s="91"/>
      <c r="M103" s="91"/>
      <c r="N103" s="91"/>
      <c r="O103" s="91"/>
      <c r="P103" s="91"/>
    </row>
    <row r="104" spans="1:16" s="90" customFormat="1" ht="12.75">
      <c r="A104" s="91" t="s">
        <v>301</v>
      </c>
      <c r="B104" s="90">
        <v>71.010000000000005</v>
      </c>
      <c r="C104" s="91"/>
      <c r="D104" s="156">
        <f>D93</f>
        <v>1.470388237194604</v>
      </c>
      <c r="E104" s="93"/>
      <c r="F104" s="90">
        <f t="shared" si="11"/>
        <v>72.480388237194603</v>
      </c>
      <c r="G104" s="91"/>
      <c r="I104" s="91"/>
      <c r="J104" s="91"/>
      <c r="K104" s="91"/>
      <c r="L104" s="91"/>
      <c r="M104" s="91"/>
      <c r="N104" s="91"/>
      <c r="O104" s="91"/>
      <c r="P104" s="91"/>
    </row>
    <row r="105" spans="1:16" s="91" customFormat="1" ht="12.75">
      <c r="A105" s="91" t="s">
        <v>302</v>
      </c>
      <c r="B105" s="90">
        <v>92.97</v>
      </c>
      <c r="D105" s="100">
        <f>+'Regulated DF Calc'!P88</f>
        <v>1.7154529433937047</v>
      </c>
      <c r="E105" s="93"/>
      <c r="F105" s="90">
        <f t="shared" si="11"/>
        <v>94.685452943393699</v>
      </c>
      <c r="H105" s="90"/>
    </row>
    <row r="106" spans="1:16" s="91" customFormat="1" ht="12.75">
      <c r="B106" s="90"/>
      <c r="D106" s="100"/>
      <c r="E106" s="93"/>
      <c r="F106" s="90"/>
      <c r="H106" s="90"/>
    </row>
    <row r="107" spans="1:16" s="91" customFormat="1" ht="12.75">
      <c r="A107" s="112" t="s">
        <v>320</v>
      </c>
      <c r="B107" s="115"/>
      <c r="C107" s="127"/>
      <c r="D107" s="123"/>
      <c r="E107" s="128"/>
      <c r="F107" s="115"/>
      <c r="H107" s="90"/>
    </row>
    <row r="108" spans="1:16" s="91" customFormat="1" ht="12.75">
      <c r="A108" s="91" t="s">
        <v>321</v>
      </c>
      <c r="B108" s="90">
        <v>2.72</v>
      </c>
      <c r="D108" s="100">
        <f>+'Regulated DF Calc'!P90</f>
        <v>5.0763403426956566E-2</v>
      </c>
      <c r="E108" s="93"/>
      <c r="F108" s="90">
        <f t="shared" ref="F108" si="12">+B108+D108</f>
        <v>2.7707634034269568</v>
      </c>
      <c r="G108" s="126"/>
      <c r="H108" s="90"/>
    </row>
    <row r="109" spans="1:16" s="90" customFormat="1" ht="12.75">
      <c r="A109" s="116"/>
      <c r="C109" s="91"/>
      <c r="D109" s="100"/>
      <c r="E109" s="93"/>
      <c r="G109" s="91"/>
      <c r="I109" s="91"/>
      <c r="J109" s="91"/>
      <c r="K109" s="91"/>
      <c r="L109" s="91"/>
      <c r="M109" s="91"/>
      <c r="N109" s="91"/>
      <c r="O109" s="91"/>
      <c r="P109" s="91"/>
    </row>
    <row r="110" spans="1:16" s="124" customFormat="1" ht="12.75">
      <c r="A110" s="92" t="s">
        <v>322</v>
      </c>
      <c r="C110" s="92"/>
      <c r="D110" s="119"/>
      <c r="E110" s="130"/>
      <c r="G110" s="92"/>
      <c r="I110" s="92"/>
      <c r="J110" s="92"/>
      <c r="K110" s="92"/>
      <c r="L110" s="92"/>
      <c r="M110" s="92"/>
      <c r="N110" s="92"/>
      <c r="O110" s="92"/>
      <c r="P110" s="92"/>
    </row>
    <row r="111" spans="1:16" s="90" customFormat="1" ht="12.75">
      <c r="A111" s="91" t="s">
        <v>321</v>
      </c>
      <c r="B111" s="90">
        <v>11.45</v>
      </c>
      <c r="C111" s="91"/>
      <c r="D111" s="156">
        <f>D108</f>
        <v>5.0763403426956566E-2</v>
      </c>
      <c r="E111" s="93"/>
      <c r="F111" s="90">
        <f t="shared" ref="F111" si="13">+B111+D111</f>
        <v>11.500763403426955</v>
      </c>
      <c r="G111" s="91"/>
      <c r="I111" s="91"/>
      <c r="J111" s="91"/>
      <c r="K111" s="91"/>
      <c r="L111" s="91"/>
      <c r="M111" s="91"/>
      <c r="N111" s="91"/>
      <c r="O111" s="91"/>
      <c r="P111" s="91"/>
    </row>
    <row r="112" spans="1:16" s="90" customFormat="1" ht="12.75">
      <c r="A112" s="91"/>
      <c r="C112" s="91"/>
      <c r="D112" s="156"/>
      <c r="E112" s="93"/>
      <c r="G112" s="91"/>
      <c r="I112" s="91"/>
      <c r="J112" s="91"/>
      <c r="K112" s="91"/>
      <c r="L112" s="91"/>
      <c r="M112" s="91"/>
      <c r="N112" s="91"/>
      <c r="O112" s="91"/>
      <c r="P112" s="91"/>
    </row>
    <row r="113" spans="1:16" s="90" customFormat="1" ht="12.75">
      <c r="A113" s="91" t="s">
        <v>323</v>
      </c>
      <c r="B113" s="90">
        <v>12.28</v>
      </c>
      <c r="C113" s="91"/>
      <c r="D113" s="156">
        <f>D108*References!C11</f>
        <v>0.21980553683872192</v>
      </c>
      <c r="E113" s="93"/>
      <c r="F113" s="90">
        <f t="shared" ref="F113:F114" si="14">+B113+D113</f>
        <v>12.499805536838721</v>
      </c>
      <c r="G113" s="91"/>
      <c r="I113" s="91"/>
      <c r="J113" s="91"/>
      <c r="K113" s="91"/>
      <c r="L113" s="91"/>
      <c r="M113" s="91"/>
      <c r="N113" s="91"/>
      <c r="O113" s="91"/>
      <c r="P113" s="91"/>
    </row>
    <row r="114" spans="1:16" s="90" customFormat="1" ht="12.75">
      <c r="A114" s="91" t="s">
        <v>324</v>
      </c>
      <c r="B114" s="90">
        <v>3.85</v>
      </c>
      <c r="C114" s="91"/>
      <c r="D114" s="156">
        <f>D108</f>
        <v>5.0763403426956566E-2</v>
      </c>
      <c r="E114" s="93"/>
      <c r="F114" s="90">
        <f t="shared" si="14"/>
        <v>3.9007634034269567</v>
      </c>
      <c r="G114" s="91"/>
      <c r="I114" s="91"/>
      <c r="J114" s="91"/>
      <c r="K114" s="91"/>
      <c r="L114" s="91"/>
      <c r="M114" s="91"/>
      <c r="N114" s="91"/>
      <c r="O114" s="91"/>
      <c r="P114" s="91"/>
    </row>
    <row r="115" spans="1:16" s="90" customFormat="1" ht="12.75">
      <c r="A115" s="116"/>
      <c r="C115" s="91"/>
      <c r="D115" s="100"/>
      <c r="E115" s="93"/>
      <c r="G115" s="91"/>
      <c r="I115" s="91"/>
      <c r="J115" s="91"/>
      <c r="K115" s="91"/>
      <c r="L115" s="91"/>
      <c r="M115" s="91"/>
      <c r="N115" s="91"/>
      <c r="O115" s="91"/>
      <c r="P115" s="91"/>
    </row>
    <row r="116" spans="1:16" s="90" customFormat="1" ht="12.75">
      <c r="A116" s="112" t="s">
        <v>325</v>
      </c>
      <c r="B116" s="115"/>
      <c r="C116" s="127"/>
      <c r="D116" s="123"/>
      <c r="E116" s="128"/>
      <c r="F116" s="115"/>
      <c r="G116" s="91"/>
      <c r="I116" s="91"/>
      <c r="J116" s="91"/>
      <c r="K116" s="91"/>
      <c r="L116" s="91"/>
      <c r="M116" s="91"/>
      <c r="N116" s="91"/>
      <c r="O116" s="91"/>
      <c r="P116" s="91"/>
    </row>
    <row r="117" spans="1:16" s="90" customFormat="1" ht="12.75">
      <c r="A117" s="118" t="s">
        <v>329</v>
      </c>
      <c r="C117" s="91"/>
      <c r="D117" s="100"/>
      <c r="E117" s="93"/>
      <c r="G117" s="91"/>
      <c r="I117" s="91"/>
      <c r="J117" s="91"/>
      <c r="K117" s="91"/>
      <c r="L117" s="91"/>
      <c r="M117" s="91"/>
      <c r="N117" s="91"/>
      <c r="O117" s="91"/>
      <c r="P117" s="91"/>
    </row>
    <row r="118" spans="1:16" s="90" customFormat="1" ht="12.75">
      <c r="A118" s="116" t="s">
        <v>316</v>
      </c>
      <c r="B118" s="90">
        <v>56.53</v>
      </c>
      <c r="C118" s="91"/>
      <c r="D118" s="100">
        <f>+'Regulated DF Calc'!P70</f>
        <v>2.2685989945288174</v>
      </c>
      <c r="E118" s="93"/>
      <c r="F118" s="90">
        <f t="shared" ref="F118:F121" si="15">+B118+D118</f>
        <v>58.798598994528817</v>
      </c>
      <c r="G118" s="91"/>
      <c r="I118" s="91"/>
      <c r="J118" s="91"/>
      <c r="K118" s="91"/>
      <c r="L118" s="91"/>
      <c r="M118" s="91"/>
      <c r="N118" s="91"/>
      <c r="O118" s="91"/>
      <c r="P118" s="91"/>
    </row>
    <row r="119" spans="1:16" s="90" customFormat="1" ht="12.75">
      <c r="A119" s="116" t="s">
        <v>326</v>
      </c>
      <c r="B119" s="90">
        <v>77.31</v>
      </c>
      <c r="C119" s="91"/>
      <c r="D119" s="100">
        <f>+'Regulated DF Calc'!P71</f>
        <v>3.3118744580621318</v>
      </c>
      <c r="E119" s="93"/>
      <c r="F119" s="90">
        <f t="shared" si="15"/>
        <v>80.621874458062138</v>
      </c>
      <c r="G119" s="91"/>
      <c r="I119" s="91"/>
      <c r="J119" s="91"/>
      <c r="K119" s="91"/>
      <c r="L119" s="91"/>
      <c r="M119" s="91"/>
      <c r="N119" s="91"/>
      <c r="O119" s="91"/>
      <c r="P119" s="91"/>
    </row>
    <row r="120" spans="1:16" s="90" customFormat="1" ht="12.75">
      <c r="A120" s="116" t="s">
        <v>327</v>
      </c>
      <c r="B120" s="90">
        <v>100.5</v>
      </c>
      <c r="C120" s="91"/>
      <c r="D120" s="100">
        <f>+'Regulated DF Calc'!P72</f>
        <v>4.2921332828585337</v>
      </c>
      <c r="E120" s="93"/>
      <c r="F120" s="90">
        <f t="shared" si="15"/>
        <v>104.79213328285853</v>
      </c>
      <c r="G120" s="91"/>
      <c r="H120" s="124" t="s">
        <v>347</v>
      </c>
      <c r="I120" s="92" t="s">
        <v>65</v>
      </c>
      <c r="J120" s="91"/>
      <c r="K120" s="91"/>
      <c r="L120" s="91"/>
      <c r="M120" s="157"/>
      <c r="N120" s="91"/>
      <c r="O120" s="91"/>
      <c r="P120" s="91"/>
    </row>
    <row r="121" spans="1:16" s="90" customFormat="1" ht="12.75">
      <c r="A121" s="116" t="s">
        <v>328</v>
      </c>
      <c r="B121" s="90">
        <v>134.47999999999999</v>
      </c>
      <c r="C121" s="91"/>
      <c r="D121" s="100">
        <f>+D118*3</f>
        <v>6.8057969835864522</v>
      </c>
      <c r="E121" s="93"/>
      <c r="F121" s="90">
        <f t="shared" si="15"/>
        <v>141.28579698358644</v>
      </c>
      <c r="G121" s="91"/>
      <c r="H121" s="90">
        <f>+References!C41*'Regulated DF Calc'!$J$111</f>
        <v>664.53755941137274</v>
      </c>
      <c r="I121" s="157">
        <f>H121*(References!$D$67/References!$F$76)</f>
        <v>1.470388237194604</v>
      </c>
      <c r="J121" s="91"/>
      <c r="K121" s="91"/>
      <c r="L121" s="91"/>
      <c r="M121" s="91"/>
      <c r="N121" s="91"/>
      <c r="O121" s="91"/>
      <c r="P121" s="91"/>
    </row>
    <row r="122" spans="1:16" s="90" customFormat="1" ht="12.75">
      <c r="A122" s="116"/>
      <c r="C122" s="91"/>
      <c r="D122" s="100"/>
      <c r="E122" s="93"/>
      <c r="G122" s="91"/>
      <c r="I122" s="91"/>
      <c r="J122" s="91"/>
      <c r="K122" s="91"/>
      <c r="L122" s="91"/>
      <c r="M122" s="91"/>
      <c r="N122" s="91"/>
      <c r="O122" s="91"/>
      <c r="P122" s="91"/>
    </row>
    <row r="123" spans="1:16" s="90" customFormat="1" ht="12.75">
      <c r="A123" s="118" t="s">
        <v>330</v>
      </c>
      <c r="C123" s="91"/>
      <c r="D123" s="100"/>
      <c r="E123" s="93"/>
      <c r="G123" s="91"/>
      <c r="I123" s="91"/>
      <c r="J123" s="91"/>
      <c r="K123" s="91"/>
      <c r="L123" s="91"/>
      <c r="M123" s="91"/>
      <c r="N123" s="91"/>
      <c r="O123" s="91"/>
      <c r="P123" s="91"/>
    </row>
    <row r="124" spans="1:16" s="90" customFormat="1" ht="12.75">
      <c r="A124" s="116" t="s">
        <v>316</v>
      </c>
      <c r="B124" s="90">
        <v>57.53</v>
      </c>
      <c r="C124" s="91"/>
      <c r="D124" s="100">
        <f>+'Regulated DF Calc'!P77</f>
        <v>2.2685989945288174</v>
      </c>
      <c r="E124" s="93"/>
      <c r="F124" s="90">
        <f t="shared" ref="F124:F127" si="16">+B124+D124</f>
        <v>59.798598994528817</v>
      </c>
      <c r="G124" s="91"/>
      <c r="I124" s="91"/>
      <c r="J124" s="91"/>
      <c r="K124" s="91"/>
      <c r="L124" s="91"/>
      <c r="M124" s="91"/>
      <c r="N124" s="91"/>
      <c r="O124" s="91"/>
      <c r="P124" s="91"/>
    </row>
    <row r="125" spans="1:16" s="90" customFormat="1" ht="12.75">
      <c r="A125" s="116" t="s">
        <v>326</v>
      </c>
      <c r="B125" s="90">
        <v>78.31</v>
      </c>
      <c r="C125" s="91"/>
      <c r="D125" s="100">
        <f>+D119</f>
        <v>3.3118744580621318</v>
      </c>
      <c r="E125" s="93"/>
      <c r="F125" s="90">
        <f t="shared" si="16"/>
        <v>81.621874458062138</v>
      </c>
      <c r="G125" s="91"/>
      <c r="I125" s="91"/>
      <c r="J125" s="91"/>
      <c r="K125" s="91"/>
      <c r="L125" s="91"/>
      <c r="M125" s="91"/>
      <c r="N125" s="91"/>
      <c r="O125" s="91"/>
      <c r="P125" s="91"/>
    </row>
    <row r="126" spans="1:16" s="90" customFormat="1" ht="12.75">
      <c r="A126" s="116" t="s">
        <v>327</v>
      </c>
      <c r="B126" s="90">
        <v>101.5</v>
      </c>
      <c r="C126" s="91"/>
      <c r="D126" s="100">
        <f>+'Regulated DF Calc'!P78</f>
        <v>4.2921332828585337</v>
      </c>
      <c r="E126" s="93"/>
      <c r="F126" s="90">
        <f t="shared" si="16"/>
        <v>105.79213328285853</v>
      </c>
      <c r="G126" s="91"/>
      <c r="I126" s="91"/>
      <c r="J126" s="91"/>
      <c r="K126" s="91"/>
      <c r="L126" s="91"/>
      <c r="M126" s="91"/>
      <c r="N126" s="91"/>
      <c r="O126" s="91"/>
      <c r="P126" s="91"/>
    </row>
    <row r="127" spans="1:16" s="90" customFormat="1" ht="12.75">
      <c r="A127" s="116" t="s">
        <v>328</v>
      </c>
      <c r="B127" s="90">
        <v>135.47999999999999</v>
      </c>
      <c r="C127" s="91"/>
      <c r="D127" s="100">
        <f>+D121</f>
        <v>6.8057969835864522</v>
      </c>
      <c r="E127" s="93"/>
      <c r="F127" s="90">
        <f t="shared" si="16"/>
        <v>142.28579698358644</v>
      </c>
      <c r="G127" s="91"/>
      <c r="I127" s="91"/>
      <c r="J127" s="91"/>
      <c r="K127" s="91"/>
      <c r="L127" s="91"/>
      <c r="M127" s="91"/>
      <c r="N127" s="91"/>
      <c r="O127" s="91"/>
      <c r="P127" s="91"/>
    </row>
    <row r="128" spans="1:16" s="90" customFormat="1" ht="12.75">
      <c r="A128" s="116"/>
      <c r="C128" s="91"/>
      <c r="D128" s="100"/>
      <c r="E128" s="93"/>
      <c r="G128" s="91"/>
      <c r="I128" s="91"/>
      <c r="J128" s="91"/>
      <c r="K128" s="91"/>
      <c r="L128" s="91"/>
      <c r="M128" s="91"/>
      <c r="N128" s="91"/>
      <c r="O128" s="91"/>
      <c r="P128" s="91"/>
    </row>
    <row r="129" spans="1:18" s="90" customFormat="1" ht="12.75">
      <c r="A129" s="118" t="s">
        <v>331</v>
      </c>
      <c r="C129" s="91"/>
      <c r="D129" s="100"/>
      <c r="E129" s="93"/>
      <c r="G129" s="91"/>
      <c r="I129" s="91"/>
      <c r="J129" s="91"/>
      <c r="K129" s="91"/>
      <c r="L129" s="91"/>
      <c r="M129" s="91"/>
      <c r="N129" s="91"/>
      <c r="O129" s="91"/>
      <c r="P129" s="91"/>
    </row>
    <row r="130" spans="1:18" s="90" customFormat="1" ht="12.75">
      <c r="A130" s="118" t="s">
        <v>332</v>
      </c>
      <c r="C130" s="91"/>
      <c r="D130" s="100"/>
      <c r="E130" s="93"/>
      <c r="G130" s="91"/>
      <c r="I130" s="91"/>
      <c r="J130" s="91"/>
      <c r="K130" s="91"/>
      <c r="L130" s="91"/>
      <c r="M130" s="91"/>
      <c r="N130" s="91"/>
      <c r="O130" s="91"/>
      <c r="P130" s="91"/>
    </row>
    <row r="131" spans="1:18" s="90" customFormat="1" ht="12.75">
      <c r="A131" s="116" t="s">
        <v>316</v>
      </c>
      <c r="B131" s="90">
        <v>56.53</v>
      </c>
      <c r="C131" s="91"/>
      <c r="D131" s="100">
        <f>+D118</f>
        <v>2.2685989945288174</v>
      </c>
      <c r="E131" s="93"/>
      <c r="F131" s="90">
        <f t="shared" ref="F131:F134" si="17">+B131+D131</f>
        <v>58.798598994528817</v>
      </c>
      <c r="G131" s="91"/>
      <c r="I131" s="91"/>
      <c r="J131" s="91"/>
      <c r="K131" s="91"/>
      <c r="L131" s="91"/>
      <c r="M131" s="91"/>
      <c r="N131" s="91"/>
      <c r="O131" s="91"/>
      <c r="P131" s="91"/>
    </row>
    <row r="132" spans="1:18" s="90" customFormat="1" ht="12.75">
      <c r="A132" s="116" t="s">
        <v>326</v>
      </c>
      <c r="B132" s="90">
        <v>77.31</v>
      </c>
      <c r="C132" s="91"/>
      <c r="D132" s="100">
        <f t="shared" ref="D132:D134" si="18">+D119</f>
        <v>3.3118744580621318</v>
      </c>
      <c r="E132" s="93"/>
      <c r="F132" s="90">
        <f t="shared" si="17"/>
        <v>80.621874458062138</v>
      </c>
      <c r="G132" s="91"/>
      <c r="I132" s="91"/>
      <c r="J132" s="91"/>
      <c r="K132" s="91"/>
      <c r="L132" s="91"/>
      <c r="M132" s="91"/>
      <c r="N132" s="91"/>
      <c r="O132" s="91"/>
      <c r="P132" s="91"/>
    </row>
    <row r="133" spans="1:18" s="90" customFormat="1" ht="12.75">
      <c r="A133" s="116" t="s">
        <v>327</v>
      </c>
      <c r="B133" s="90">
        <v>100.5</v>
      </c>
      <c r="C133" s="91"/>
      <c r="D133" s="100">
        <f t="shared" si="18"/>
        <v>4.2921332828585337</v>
      </c>
      <c r="E133" s="93"/>
      <c r="F133" s="90">
        <f t="shared" si="17"/>
        <v>104.79213328285853</v>
      </c>
      <c r="G133" s="91"/>
      <c r="I133" s="91"/>
      <c r="J133" s="91"/>
      <c r="K133" s="91"/>
      <c r="L133" s="91"/>
      <c r="M133" s="91"/>
      <c r="N133" s="91"/>
      <c r="O133" s="91"/>
      <c r="P133" s="91"/>
    </row>
    <row r="134" spans="1:18" s="90" customFormat="1" ht="12.75">
      <c r="A134" s="116" t="s">
        <v>328</v>
      </c>
      <c r="B134" s="90">
        <v>134.47999999999999</v>
      </c>
      <c r="C134" s="91"/>
      <c r="D134" s="100">
        <f t="shared" si="18"/>
        <v>6.8057969835864522</v>
      </c>
      <c r="E134" s="93"/>
      <c r="F134" s="90">
        <f t="shared" si="17"/>
        <v>141.28579698358644</v>
      </c>
      <c r="G134" s="91"/>
      <c r="I134" s="91"/>
      <c r="J134" s="91"/>
      <c r="K134" s="91"/>
      <c r="L134" s="91"/>
      <c r="M134" s="91"/>
      <c r="N134" s="91"/>
      <c r="O134" s="91"/>
      <c r="P134" s="91"/>
    </row>
    <row r="135" spans="1:18" s="90" customFormat="1" ht="12.75">
      <c r="A135" s="116"/>
      <c r="C135" s="91"/>
      <c r="D135" s="100"/>
      <c r="E135" s="93"/>
      <c r="G135" s="91"/>
      <c r="I135" s="91"/>
      <c r="J135" s="91"/>
      <c r="K135" s="91"/>
      <c r="L135" s="91"/>
      <c r="M135" s="91"/>
      <c r="N135" s="91"/>
      <c r="O135" s="91"/>
      <c r="P135" s="91"/>
    </row>
    <row r="136" spans="1:18" s="90" customFormat="1" ht="12.75">
      <c r="A136" s="112" t="s">
        <v>333</v>
      </c>
      <c r="B136" s="115"/>
      <c r="C136" s="127"/>
      <c r="D136" s="123"/>
      <c r="E136" s="128"/>
      <c r="F136" s="115"/>
      <c r="G136" s="91"/>
      <c r="I136" s="91"/>
      <c r="J136" s="91"/>
      <c r="K136" s="91"/>
      <c r="L136" s="91"/>
      <c r="M136" s="91"/>
      <c r="N136" s="91"/>
      <c r="O136" s="91"/>
      <c r="P136" s="91"/>
    </row>
    <row r="137" spans="1:18" s="124" customFormat="1" ht="12.75">
      <c r="A137" s="92" t="s">
        <v>334</v>
      </c>
      <c r="C137" s="92"/>
      <c r="D137" s="119"/>
      <c r="E137" s="130"/>
      <c r="G137" s="92"/>
      <c r="I137" s="92"/>
      <c r="J137" s="92"/>
      <c r="K137" s="92"/>
      <c r="L137" s="92"/>
      <c r="M137" s="92"/>
      <c r="N137" s="92"/>
      <c r="O137" s="92"/>
      <c r="P137" s="92"/>
    </row>
    <row r="138" spans="1:18" s="91" customFormat="1" ht="12.75">
      <c r="A138" s="91" t="s">
        <v>335</v>
      </c>
      <c r="B138" s="90">
        <v>100.85</v>
      </c>
      <c r="D138" s="100">
        <f>+D120</f>
        <v>4.2921332828585337</v>
      </c>
      <c r="E138" s="93"/>
      <c r="F138" s="90">
        <f t="shared" ref="F138" si="19">+B138+D138</f>
        <v>105.14213328285852</v>
      </c>
      <c r="H138" s="90"/>
    </row>
    <row r="139" spans="1:18">
      <c r="F139" s="132"/>
      <c r="G139" s="131"/>
      <c r="J139" s="131"/>
    </row>
    <row r="140" spans="1:18" s="92" customFormat="1" ht="12.75">
      <c r="A140" s="92" t="s">
        <v>336</v>
      </c>
      <c r="B140" s="124"/>
      <c r="D140" s="119"/>
      <c r="E140" s="130"/>
      <c r="F140" s="124"/>
      <c r="H140" s="124"/>
    </row>
    <row r="141" spans="1:18" s="91" customFormat="1" ht="12.75">
      <c r="A141" s="91" t="s">
        <v>337</v>
      </c>
      <c r="B141" s="90">
        <v>100.85</v>
      </c>
      <c r="D141" s="100">
        <f>+D120</f>
        <v>4.2921332828585337</v>
      </c>
      <c r="E141" s="93"/>
      <c r="F141" s="90">
        <f t="shared" ref="F141" si="20">+B141+D141</f>
        <v>105.14213328285852</v>
      </c>
      <c r="H141" s="90"/>
    </row>
    <row r="142" spans="1:18" s="91" customFormat="1" ht="12.75">
      <c r="B142" s="90"/>
      <c r="D142" s="100"/>
      <c r="E142" s="93"/>
      <c r="F142" s="90"/>
      <c r="H142" s="90"/>
    </row>
    <row r="143" spans="1:18" s="90" customFormat="1" ht="12.75">
      <c r="A143" s="91"/>
      <c r="B143" s="93"/>
      <c r="C143" s="91"/>
      <c r="D143" s="100"/>
      <c r="E143" s="93"/>
      <c r="F143" s="93"/>
      <c r="I143" s="91"/>
      <c r="K143" s="91"/>
      <c r="L143" s="91"/>
      <c r="M143" s="91"/>
      <c r="N143" s="91"/>
      <c r="O143" s="91"/>
      <c r="P143" s="91"/>
      <c r="Q143" s="91"/>
      <c r="R143" s="91"/>
    </row>
    <row r="144" spans="1:18" s="90" customFormat="1" ht="12.75">
      <c r="A144" s="91"/>
      <c r="B144" s="93"/>
      <c r="C144" s="91"/>
      <c r="D144" s="100"/>
      <c r="E144" s="93"/>
      <c r="F144" s="93"/>
      <c r="I144" s="91"/>
      <c r="K144" s="91"/>
      <c r="L144" s="91"/>
      <c r="M144" s="91"/>
      <c r="N144" s="91"/>
      <c r="O144" s="91"/>
      <c r="P144" s="91"/>
      <c r="Q144" s="91"/>
      <c r="R144" s="91"/>
    </row>
    <row r="145" spans="1:1322" s="90" customFormat="1" ht="12.75">
      <c r="A145" s="92"/>
      <c r="B145" s="93"/>
      <c r="C145" s="91"/>
      <c r="D145" s="100"/>
      <c r="E145" s="93"/>
      <c r="F145" s="93"/>
      <c r="I145" s="91"/>
      <c r="K145" s="91"/>
      <c r="L145" s="91"/>
      <c r="M145" s="91"/>
      <c r="N145" s="91"/>
      <c r="O145" s="91"/>
      <c r="P145" s="91"/>
      <c r="Q145" s="91"/>
      <c r="R145" s="91"/>
    </row>
    <row r="146" spans="1:1322" s="90" customFormat="1" ht="12.75">
      <c r="A146" s="91"/>
      <c r="B146" s="93"/>
      <c r="C146" s="91"/>
      <c r="D146" s="100"/>
      <c r="E146" s="93"/>
      <c r="F146" s="93"/>
      <c r="I146" s="91"/>
      <c r="K146" s="91"/>
      <c r="L146" s="91"/>
      <c r="M146" s="91"/>
      <c r="N146" s="91"/>
      <c r="O146" s="91"/>
      <c r="P146" s="91"/>
      <c r="Q146" s="91"/>
      <c r="R146" s="91"/>
    </row>
    <row r="147" spans="1:1322" s="90" customFormat="1" ht="12.75">
      <c r="A147" s="91"/>
      <c r="B147" s="93"/>
      <c r="C147" s="91"/>
      <c r="D147" s="100"/>
      <c r="E147" s="93"/>
      <c r="F147" s="93"/>
      <c r="I147" s="91"/>
      <c r="K147" s="91"/>
      <c r="L147" s="91"/>
      <c r="M147" s="91"/>
      <c r="N147" s="91"/>
      <c r="O147" s="91"/>
      <c r="P147" s="91"/>
      <c r="Q147" s="91"/>
      <c r="R147" s="91"/>
    </row>
    <row r="148" spans="1:1322" s="90" customFormat="1" ht="12.75">
      <c r="A148" s="91"/>
      <c r="B148" s="93"/>
      <c r="C148" s="91"/>
      <c r="D148" s="100"/>
      <c r="E148" s="93"/>
      <c r="F148" s="93"/>
      <c r="I148" s="91"/>
      <c r="K148" s="91"/>
      <c r="L148" s="91"/>
      <c r="M148" s="91"/>
      <c r="N148" s="91"/>
      <c r="O148" s="91"/>
      <c r="P148" s="91"/>
      <c r="Q148" s="91"/>
      <c r="R148" s="91"/>
    </row>
    <row r="149" spans="1:1322" s="90" customFormat="1" ht="12.75">
      <c r="A149" s="91"/>
      <c r="B149" s="93"/>
      <c r="C149" s="91"/>
      <c r="D149" s="100"/>
      <c r="E149" s="93"/>
      <c r="F149" s="93"/>
      <c r="I149" s="91"/>
      <c r="K149" s="91"/>
      <c r="L149" s="91"/>
      <c r="M149" s="91"/>
      <c r="N149" s="91"/>
      <c r="O149" s="91"/>
      <c r="P149" s="91"/>
      <c r="Q149" s="91"/>
      <c r="R149" s="91"/>
    </row>
    <row r="150" spans="1:1322" s="90" customFormat="1" ht="12.75">
      <c r="A150" s="91"/>
      <c r="B150" s="93"/>
      <c r="C150" s="91"/>
      <c r="D150" s="100"/>
      <c r="E150" s="93"/>
      <c r="F150" s="93"/>
      <c r="I150" s="91"/>
      <c r="K150" s="91"/>
      <c r="L150" s="91"/>
      <c r="M150" s="91"/>
      <c r="N150" s="91"/>
      <c r="O150" s="91"/>
      <c r="P150" s="91"/>
      <c r="Q150" s="91"/>
      <c r="R150" s="91"/>
    </row>
    <row r="151" spans="1:1322" s="90" customFormat="1" ht="12.75">
      <c r="A151" s="91"/>
      <c r="B151" s="93"/>
      <c r="C151" s="91"/>
      <c r="D151" s="100"/>
      <c r="E151" s="93"/>
      <c r="F151" s="93"/>
      <c r="I151" s="91"/>
      <c r="K151" s="91"/>
      <c r="L151" s="91"/>
      <c r="M151" s="91"/>
      <c r="N151" s="91"/>
      <c r="O151" s="91"/>
      <c r="P151" s="91"/>
      <c r="Q151" s="91"/>
      <c r="R151" s="91"/>
    </row>
    <row r="152" spans="1:1322" s="90" customFormat="1" ht="12.75">
      <c r="A152" s="91"/>
      <c r="B152" s="93"/>
      <c r="C152" s="91"/>
      <c r="D152" s="100"/>
      <c r="E152" s="93"/>
      <c r="F152" s="93"/>
      <c r="I152" s="91"/>
      <c r="K152" s="91"/>
      <c r="L152" s="91"/>
      <c r="M152" s="91"/>
      <c r="N152" s="91"/>
      <c r="O152" s="91"/>
      <c r="P152" s="91"/>
      <c r="Q152" s="91"/>
      <c r="R152" s="91"/>
    </row>
    <row r="153" spans="1:1322" s="90" customFormat="1" ht="12.75">
      <c r="A153" s="91"/>
      <c r="C153" s="91"/>
      <c r="D153" s="100"/>
      <c r="E153" s="93"/>
      <c r="F153" s="93"/>
      <c r="I153" s="91"/>
      <c r="K153" s="91"/>
      <c r="L153" s="91"/>
      <c r="M153" s="91"/>
      <c r="N153" s="91"/>
      <c r="O153" s="91"/>
      <c r="P153" s="91"/>
      <c r="Q153" s="91"/>
      <c r="R153" s="91"/>
    </row>
    <row r="154" spans="1:1322" s="135" customFormat="1" ht="12.75">
      <c r="A154" s="91"/>
      <c r="B154" s="90"/>
      <c r="C154" s="91"/>
      <c r="D154" s="100"/>
      <c r="E154" s="93"/>
      <c r="F154" s="93"/>
      <c r="G154" s="90"/>
      <c r="H154" s="90"/>
      <c r="I154" s="91"/>
      <c r="J154" s="90"/>
      <c r="K154" s="91"/>
      <c r="L154" s="91"/>
      <c r="M154" s="91"/>
      <c r="N154" s="91"/>
      <c r="O154" s="91"/>
      <c r="P154" s="91"/>
      <c r="Q154" s="91"/>
      <c r="R154" s="91"/>
      <c r="S154" s="90"/>
      <c r="T154" s="90"/>
      <c r="U154" s="90"/>
      <c r="V154" s="90"/>
      <c r="W154" s="90"/>
      <c r="X154" s="90"/>
      <c r="Y154" s="90"/>
      <c r="Z154" s="90"/>
      <c r="AA154" s="90"/>
      <c r="AB154" s="90"/>
      <c r="AC154" s="90"/>
      <c r="AD154" s="90"/>
      <c r="AE154" s="90"/>
      <c r="AF154" s="90"/>
      <c r="AG154" s="90"/>
      <c r="AH154" s="90"/>
      <c r="AI154" s="90"/>
      <c r="AJ154" s="90"/>
      <c r="AK154" s="90"/>
      <c r="AL154" s="90"/>
      <c r="AM154" s="90"/>
      <c r="AN154" s="90"/>
      <c r="AO154" s="90"/>
      <c r="AP154" s="90"/>
      <c r="AQ154" s="90"/>
      <c r="AR154" s="90"/>
      <c r="AS154" s="90"/>
      <c r="AT154" s="90"/>
      <c r="AU154" s="90"/>
      <c r="AV154" s="90"/>
      <c r="AW154" s="90"/>
      <c r="AX154" s="90"/>
      <c r="AY154" s="90"/>
      <c r="AZ154" s="90"/>
      <c r="BA154" s="90"/>
      <c r="BB154" s="90"/>
      <c r="BC154" s="90"/>
      <c r="BD154" s="90"/>
      <c r="BE154" s="90"/>
      <c r="BF154" s="90"/>
      <c r="BG154" s="90"/>
      <c r="BH154" s="90"/>
      <c r="BI154" s="90"/>
      <c r="BJ154" s="90"/>
      <c r="BK154" s="90"/>
      <c r="BL154" s="90"/>
      <c r="BM154" s="90"/>
      <c r="BN154" s="90"/>
      <c r="BO154" s="90"/>
      <c r="BP154" s="90"/>
      <c r="BQ154" s="90"/>
      <c r="BR154" s="90"/>
      <c r="BS154" s="90"/>
      <c r="BT154" s="90"/>
      <c r="BU154" s="90"/>
      <c r="BV154" s="90"/>
      <c r="BW154" s="90"/>
      <c r="BX154" s="90"/>
      <c r="BY154" s="90"/>
      <c r="BZ154" s="90"/>
      <c r="CA154" s="90"/>
      <c r="CB154" s="90"/>
      <c r="CC154" s="90"/>
      <c r="CD154" s="90"/>
      <c r="CE154" s="90"/>
      <c r="CF154" s="90"/>
      <c r="CG154" s="90"/>
      <c r="CH154" s="90"/>
      <c r="CI154" s="90"/>
      <c r="CJ154" s="90"/>
      <c r="CK154" s="90"/>
      <c r="CL154" s="90"/>
      <c r="CM154" s="90"/>
      <c r="CN154" s="90"/>
      <c r="CO154" s="90"/>
      <c r="CP154" s="90"/>
      <c r="CQ154" s="90"/>
      <c r="CR154" s="90"/>
      <c r="CS154" s="90"/>
      <c r="CT154" s="90"/>
      <c r="CU154" s="90"/>
      <c r="CV154" s="90"/>
      <c r="CW154" s="90"/>
      <c r="CX154" s="90"/>
      <c r="CY154" s="90"/>
      <c r="CZ154" s="90"/>
      <c r="DA154" s="90"/>
      <c r="DB154" s="90"/>
      <c r="DC154" s="90"/>
      <c r="DD154" s="90"/>
      <c r="DE154" s="90"/>
      <c r="DF154" s="90"/>
      <c r="DG154" s="90"/>
      <c r="DH154" s="90"/>
      <c r="DI154" s="90"/>
      <c r="DJ154" s="90"/>
      <c r="DK154" s="90"/>
      <c r="DL154" s="90"/>
      <c r="DM154" s="90"/>
      <c r="DN154" s="90"/>
      <c r="DO154" s="90"/>
      <c r="DP154" s="90"/>
      <c r="DQ154" s="90"/>
      <c r="DR154" s="90"/>
      <c r="DS154" s="90"/>
      <c r="DT154" s="90"/>
      <c r="DU154" s="90"/>
      <c r="DV154" s="90"/>
      <c r="DW154" s="90"/>
      <c r="DX154" s="90"/>
      <c r="DY154" s="90"/>
      <c r="DZ154" s="90"/>
      <c r="EA154" s="90"/>
      <c r="EB154" s="90"/>
      <c r="EC154" s="90"/>
      <c r="ED154" s="90"/>
      <c r="EE154" s="90"/>
      <c r="EF154" s="90"/>
      <c r="EG154" s="90"/>
      <c r="EH154" s="90"/>
      <c r="EI154" s="90"/>
      <c r="EJ154" s="90"/>
      <c r="EK154" s="90"/>
      <c r="EL154" s="90"/>
      <c r="EM154" s="90"/>
      <c r="EN154" s="90"/>
      <c r="EO154" s="90"/>
      <c r="EP154" s="90"/>
      <c r="EQ154" s="90"/>
      <c r="ER154" s="90"/>
      <c r="ES154" s="90"/>
      <c r="ET154" s="90"/>
      <c r="EU154" s="90"/>
      <c r="EV154" s="90"/>
      <c r="EW154" s="90"/>
      <c r="EX154" s="90"/>
      <c r="EY154" s="90"/>
      <c r="EZ154" s="90"/>
      <c r="FA154" s="90"/>
      <c r="FB154" s="90"/>
      <c r="FC154" s="90"/>
      <c r="FD154" s="90"/>
      <c r="FE154" s="90"/>
      <c r="FF154" s="90"/>
      <c r="FG154" s="90"/>
      <c r="FH154" s="90"/>
      <c r="FI154" s="90"/>
      <c r="FJ154" s="90"/>
      <c r="FK154" s="90"/>
      <c r="FL154" s="90"/>
      <c r="FM154" s="90"/>
      <c r="FN154" s="90"/>
      <c r="FO154" s="90"/>
      <c r="FP154" s="90"/>
      <c r="FQ154" s="90"/>
      <c r="FR154" s="90"/>
      <c r="FS154" s="90"/>
      <c r="FT154" s="90"/>
      <c r="FU154" s="90"/>
      <c r="FV154" s="90"/>
      <c r="FW154" s="90"/>
      <c r="FX154" s="90"/>
      <c r="FY154" s="90"/>
      <c r="FZ154" s="90"/>
      <c r="GA154" s="90"/>
      <c r="GB154" s="90"/>
      <c r="GC154" s="90"/>
      <c r="GD154" s="90"/>
      <c r="GE154" s="90"/>
      <c r="GF154" s="90"/>
      <c r="GG154" s="90"/>
      <c r="GH154" s="90"/>
      <c r="GI154" s="90"/>
      <c r="GJ154" s="90"/>
      <c r="GK154" s="90"/>
      <c r="GL154" s="90"/>
      <c r="GM154" s="90"/>
      <c r="GN154" s="90"/>
      <c r="GO154" s="90"/>
      <c r="GP154" s="90"/>
      <c r="GQ154" s="90"/>
      <c r="GR154" s="90"/>
      <c r="GS154" s="90"/>
      <c r="GT154" s="90"/>
      <c r="GU154" s="90"/>
      <c r="GV154" s="90"/>
      <c r="GW154" s="90"/>
      <c r="GX154" s="90"/>
      <c r="GY154" s="90"/>
      <c r="GZ154" s="90"/>
      <c r="HA154" s="90"/>
      <c r="HB154" s="90"/>
      <c r="HC154" s="90"/>
      <c r="HD154" s="90"/>
      <c r="HE154" s="90"/>
      <c r="HF154" s="90"/>
      <c r="HG154" s="90"/>
      <c r="HH154" s="90"/>
      <c r="HI154" s="90"/>
      <c r="HJ154" s="90"/>
      <c r="HK154" s="90"/>
      <c r="HL154" s="90"/>
      <c r="HM154" s="90"/>
      <c r="HN154" s="90"/>
      <c r="HO154" s="90"/>
      <c r="HP154" s="90"/>
      <c r="HQ154" s="90"/>
      <c r="HR154" s="90"/>
      <c r="HS154" s="90"/>
      <c r="HT154" s="90"/>
      <c r="HU154" s="90"/>
      <c r="HV154" s="90"/>
      <c r="HW154" s="90"/>
      <c r="HX154" s="90"/>
      <c r="HY154" s="90"/>
      <c r="HZ154" s="90"/>
      <c r="IA154" s="90"/>
      <c r="IB154" s="90"/>
      <c r="IC154" s="90"/>
      <c r="ID154" s="90"/>
      <c r="IE154" s="90"/>
      <c r="IF154" s="90"/>
      <c r="IG154" s="90"/>
      <c r="IH154" s="90"/>
      <c r="II154" s="90"/>
      <c r="IJ154" s="90"/>
      <c r="IK154" s="90"/>
      <c r="IL154" s="90"/>
      <c r="IM154" s="90"/>
      <c r="IN154" s="90"/>
      <c r="IO154" s="90"/>
      <c r="IP154" s="90"/>
      <c r="IQ154" s="90"/>
      <c r="IR154" s="90"/>
      <c r="IS154" s="90"/>
      <c r="IT154" s="90"/>
      <c r="IU154" s="90"/>
      <c r="IV154" s="90"/>
      <c r="IW154" s="90"/>
      <c r="IX154" s="90"/>
      <c r="IY154" s="90"/>
      <c r="IZ154" s="90"/>
      <c r="JA154" s="90"/>
      <c r="JB154" s="90"/>
      <c r="JC154" s="90"/>
      <c r="JD154" s="90"/>
      <c r="JE154" s="90"/>
      <c r="JF154" s="90"/>
      <c r="JG154" s="90"/>
      <c r="JH154" s="90"/>
      <c r="JI154" s="90"/>
      <c r="JJ154" s="90"/>
      <c r="JK154" s="90"/>
      <c r="JL154" s="90"/>
      <c r="JM154" s="90"/>
      <c r="JN154" s="90"/>
      <c r="JO154" s="90"/>
      <c r="JP154" s="90"/>
      <c r="JQ154" s="90"/>
      <c r="JR154" s="90"/>
      <c r="JS154" s="90"/>
      <c r="JT154" s="90"/>
      <c r="JU154" s="90"/>
      <c r="JV154" s="90"/>
      <c r="JW154" s="90"/>
      <c r="JX154" s="90"/>
      <c r="JY154" s="90"/>
      <c r="JZ154" s="90"/>
      <c r="KA154" s="90"/>
      <c r="KB154" s="90"/>
      <c r="KC154" s="90"/>
      <c r="KD154" s="90"/>
      <c r="KE154" s="90"/>
      <c r="KF154" s="90"/>
      <c r="KG154" s="90"/>
      <c r="KH154" s="90"/>
      <c r="KI154" s="90"/>
      <c r="KJ154" s="90"/>
      <c r="KK154" s="90"/>
      <c r="KL154" s="90"/>
      <c r="KM154" s="90"/>
      <c r="KN154" s="90"/>
      <c r="KO154" s="90"/>
      <c r="KP154" s="90"/>
      <c r="KQ154" s="90"/>
      <c r="KR154" s="90"/>
      <c r="KS154" s="90"/>
      <c r="KT154" s="90"/>
      <c r="KU154" s="90"/>
      <c r="KV154" s="90"/>
      <c r="KW154" s="90"/>
      <c r="KX154" s="90"/>
      <c r="KY154" s="90"/>
      <c r="KZ154" s="90"/>
      <c r="LA154" s="90"/>
      <c r="LB154" s="90"/>
      <c r="LC154" s="90"/>
      <c r="LD154" s="90"/>
      <c r="LE154" s="90"/>
      <c r="LF154" s="90"/>
      <c r="LG154" s="90"/>
      <c r="LH154" s="90"/>
      <c r="LI154" s="90"/>
      <c r="LJ154" s="90"/>
      <c r="LK154" s="90"/>
      <c r="LL154" s="90"/>
      <c r="LM154" s="90"/>
      <c r="LN154" s="90"/>
      <c r="LO154" s="90"/>
      <c r="LP154" s="90"/>
      <c r="LQ154" s="90"/>
      <c r="LR154" s="90"/>
      <c r="LS154" s="90"/>
      <c r="LT154" s="90"/>
      <c r="LU154" s="90"/>
      <c r="LV154" s="90"/>
      <c r="LW154" s="90"/>
      <c r="LX154" s="90"/>
      <c r="LY154" s="90"/>
      <c r="LZ154" s="90"/>
      <c r="MA154" s="90"/>
      <c r="MB154" s="90"/>
      <c r="MC154" s="90"/>
      <c r="MD154" s="90"/>
      <c r="ME154" s="90"/>
      <c r="MF154" s="90"/>
      <c r="MG154" s="90"/>
      <c r="MH154" s="90"/>
      <c r="MI154" s="90"/>
      <c r="MJ154" s="90"/>
      <c r="MK154" s="90"/>
      <c r="ML154" s="90"/>
      <c r="MM154" s="90"/>
      <c r="MN154" s="90"/>
      <c r="MO154" s="90"/>
      <c r="MP154" s="90"/>
      <c r="MQ154" s="90"/>
      <c r="MR154" s="90"/>
      <c r="MS154" s="90"/>
      <c r="MT154" s="90"/>
      <c r="MU154" s="90"/>
      <c r="MV154" s="90"/>
      <c r="MW154" s="90"/>
      <c r="MX154" s="90"/>
      <c r="MY154" s="90"/>
      <c r="MZ154" s="90"/>
      <c r="NA154" s="90"/>
      <c r="NB154" s="90"/>
      <c r="NC154" s="90"/>
      <c r="ND154" s="90"/>
      <c r="NE154" s="90"/>
      <c r="NF154" s="90"/>
      <c r="NG154" s="90"/>
      <c r="NH154" s="90"/>
      <c r="NI154" s="90"/>
      <c r="NJ154" s="90"/>
      <c r="NK154" s="90"/>
      <c r="NL154" s="90"/>
      <c r="NM154" s="90"/>
      <c r="NN154" s="90"/>
      <c r="NO154" s="90"/>
      <c r="NP154" s="90"/>
      <c r="NQ154" s="90"/>
      <c r="NR154" s="90"/>
      <c r="NS154" s="90"/>
      <c r="NT154" s="90"/>
      <c r="NU154" s="90"/>
      <c r="NV154" s="90"/>
      <c r="NW154" s="90"/>
      <c r="NX154" s="90"/>
      <c r="NY154" s="90"/>
      <c r="NZ154" s="90"/>
      <c r="OA154" s="90"/>
      <c r="OB154" s="90"/>
      <c r="OC154" s="90"/>
      <c r="OD154" s="90"/>
      <c r="OE154" s="90"/>
      <c r="OF154" s="90"/>
      <c r="OG154" s="90"/>
      <c r="OH154" s="90"/>
      <c r="OI154" s="90"/>
      <c r="OJ154" s="90"/>
      <c r="OK154" s="90"/>
      <c r="OL154" s="90"/>
      <c r="OM154" s="90"/>
      <c r="ON154" s="90"/>
      <c r="OO154" s="90"/>
      <c r="OP154" s="90"/>
      <c r="OQ154" s="90"/>
      <c r="OR154" s="90"/>
      <c r="OS154" s="90"/>
      <c r="OT154" s="90"/>
      <c r="OU154" s="90"/>
      <c r="OV154" s="90"/>
      <c r="OW154" s="90"/>
      <c r="OX154" s="90"/>
      <c r="OY154" s="90"/>
      <c r="OZ154" s="90"/>
      <c r="PA154" s="90"/>
      <c r="PB154" s="90"/>
      <c r="PC154" s="90"/>
      <c r="PD154" s="90"/>
      <c r="PE154" s="90"/>
      <c r="PF154" s="90"/>
      <c r="PG154" s="90"/>
      <c r="PH154" s="90"/>
      <c r="PI154" s="90"/>
      <c r="PJ154" s="90"/>
      <c r="PK154" s="90"/>
      <c r="PL154" s="90"/>
      <c r="PM154" s="90"/>
      <c r="PN154" s="90"/>
      <c r="PO154" s="90"/>
      <c r="PP154" s="90"/>
      <c r="PQ154" s="90"/>
      <c r="PR154" s="90"/>
      <c r="PS154" s="90"/>
      <c r="PT154" s="90"/>
      <c r="PU154" s="90"/>
      <c r="PV154" s="90"/>
      <c r="PW154" s="90"/>
      <c r="PX154" s="90"/>
      <c r="PY154" s="90"/>
      <c r="PZ154" s="90"/>
      <c r="QA154" s="90"/>
      <c r="QB154" s="90"/>
      <c r="QC154" s="90"/>
      <c r="QD154" s="90"/>
      <c r="QE154" s="90"/>
      <c r="QF154" s="90"/>
      <c r="QG154" s="90"/>
      <c r="QH154" s="90"/>
      <c r="QI154" s="90"/>
      <c r="QJ154" s="90"/>
      <c r="QK154" s="90"/>
      <c r="QL154" s="90"/>
      <c r="QM154" s="90"/>
      <c r="QN154" s="90"/>
      <c r="QO154" s="90"/>
      <c r="QP154" s="90"/>
      <c r="QQ154" s="90"/>
      <c r="QR154" s="90"/>
      <c r="QS154" s="90"/>
      <c r="QT154" s="90"/>
      <c r="QU154" s="90"/>
      <c r="QV154" s="90"/>
      <c r="QW154" s="90"/>
      <c r="QX154" s="90"/>
      <c r="QY154" s="90"/>
      <c r="QZ154" s="90"/>
      <c r="RA154" s="90"/>
      <c r="RB154" s="90"/>
      <c r="RC154" s="90"/>
      <c r="RD154" s="90"/>
      <c r="RE154" s="90"/>
      <c r="RF154" s="90"/>
      <c r="RG154" s="90"/>
      <c r="RH154" s="90"/>
      <c r="RI154" s="90"/>
      <c r="RJ154" s="90"/>
      <c r="RK154" s="90"/>
      <c r="RL154" s="90"/>
      <c r="RM154" s="90"/>
      <c r="RN154" s="90"/>
      <c r="RO154" s="90"/>
      <c r="RP154" s="90"/>
      <c r="RQ154" s="90"/>
      <c r="RR154" s="90"/>
      <c r="RS154" s="90"/>
      <c r="RT154" s="90"/>
      <c r="RU154" s="90"/>
      <c r="RV154" s="90"/>
      <c r="RW154" s="90"/>
      <c r="RX154" s="90"/>
      <c r="RY154" s="90"/>
      <c r="RZ154" s="90"/>
      <c r="SA154" s="90"/>
      <c r="SB154" s="90"/>
      <c r="SC154" s="90"/>
      <c r="SD154" s="90"/>
      <c r="SE154" s="90"/>
      <c r="SF154" s="90"/>
      <c r="SG154" s="90"/>
      <c r="SH154" s="90"/>
      <c r="SI154" s="90"/>
      <c r="SJ154" s="90"/>
      <c r="SK154" s="90"/>
      <c r="SL154" s="90"/>
      <c r="SM154" s="90"/>
      <c r="SN154" s="90"/>
      <c r="SO154" s="90"/>
      <c r="SP154" s="90"/>
      <c r="SQ154" s="90"/>
      <c r="SR154" s="90"/>
      <c r="SS154" s="90"/>
      <c r="ST154" s="90"/>
      <c r="SU154" s="90"/>
      <c r="SV154" s="90"/>
      <c r="SW154" s="90"/>
      <c r="SX154" s="90"/>
      <c r="SY154" s="90"/>
      <c r="SZ154" s="90"/>
      <c r="TA154" s="90"/>
      <c r="TB154" s="90"/>
      <c r="TC154" s="90"/>
      <c r="TD154" s="90"/>
      <c r="TE154" s="90"/>
      <c r="TF154" s="90"/>
      <c r="TG154" s="90"/>
      <c r="TH154" s="90"/>
      <c r="TI154" s="90"/>
      <c r="TJ154" s="90"/>
      <c r="TK154" s="90"/>
      <c r="TL154" s="90"/>
      <c r="TM154" s="90"/>
      <c r="TN154" s="90"/>
      <c r="TO154" s="90"/>
      <c r="TP154" s="90"/>
      <c r="TQ154" s="90"/>
      <c r="TR154" s="90"/>
      <c r="TS154" s="90"/>
      <c r="TT154" s="90"/>
      <c r="TU154" s="90"/>
      <c r="TV154" s="90"/>
      <c r="TW154" s="90"/>
      <c r="TX154" s="90"/>
      <c r="TY154" s="90"/>
      <c r="TZ154" s="90"/>
      <c r="UA154" s="90"/>
      <c r="UB154" s="90"/>
      <c r="UC154" s="90"/>
      <c r="UD154" s="90"/>
      <c r="UE154" s="90"/>
      <c r="UF154" s="90"/>
      <c r="UG154" s="90"/>
      <c r="UH154" s="90"/>
      <c r="UI154" s="90"/>
      <c r="UJ154" s="90"/>
      <c r="UK154" s="90"/>
      <c r="UL154" s="90"/>
      <c r="UM154" s="90"/>
      <c r="UN154" s="90"/>
      <c r="UO154" s="90"/>
      <c r="UP154" s="90"/>
      <c r="UQ154" s="90"/>
      <c r="UR154" s="90"/>
      <c r="US154" s="90"/>
      <c r="UT154" s="90"/>
      <c r="UU154" s="90"/>
      <c r="UV154" s="90"/>
      <c r="UW154" s="90"/>
      <c r="UX154" s="90"/>
      <c r="UY154" s="90"/>
      <c r="UZ154" s="90"/>
      <c r="VA154" s="90"/>
      <c r="VB154" s="90"/>
      <c r="VC154" s="90"/>
      <c r="VD154" s="90"/>
      <c r="VE154" s="90"/>
      <c r="VF154" s="90"/>
      <c r="VG154" s="90"/>
      <c r="VH154" s="90"/>
      <c r="VI154" s="90"/>
      <c r="VJ154" s="90"/>
      <c r="VK154" s="90"/>
      <c r="VL154" s="90"/>
      <c r="VM154" s="90"/>
      <c r="VN154" s="90"/>
      <c r="VO154" s="90"/>
      <c r="VP154" s="90"/>
      <c r="VQ154" s="90"/>
      <c r="VR154" s="90"/>
      <c r="VS154" s="90"/>
      <c r="VT154" s="90"/>
      <c r="VU154" s="90"/>
      <c r="VV154" s="90"/>
      <c r="VW154" s="90"/>
      <c r="VX154" s="90"/>
      <c r="VY154" s="90"/>
      <c r="VZ154" s="90"/>
      <c r="WA154" s="90"/>
      <c r="WB154" s="90"/>
      <c r="WC154" s="90"/>
      <c r="WD154" s="90"/>
      <c r="WE154" s="90"/>
      <c r="WF154" s="90"/>
      <c r="WG154" s="90"/>
      <c r="WH154" s="90"/>
      <c r="WI154" s="90"/>
      <c r="WJ154" s="90"/>
      <c r="WK154" s="90"/>
      <c r="WL154" s="90"/>
      <c r="WM154" s="90"/>
      <c r="WN154" s="90"/>
      <c r="WO154" s="90"/>
      <c r="WP154" s="90"/>
      <c r="WQ154" s="90"/>
      <c r="WR154" s="90"/>
      <c r="WS154" s="90"/>
      <c r="WT154" s="90"/>
      <c r="WU154" s="90"/>
      <c r="WV154" s="90"/>
      <c r="WW154" s="90"/>
      <c r="WX154" s="90"/>
      <c r="WY154" s="90"/>
      <c r="WZ154" s="90"/>
      <c r="XA154" s="90"/>
      <c r="XB154" s="90"/>
      <c r="XC154" s="90"/>
      <c r="XD154" s="90"/>
      <c r="XE154" s="90"/>
      <c r="XF154" s="90"/>
      <c r="XG154" s="90"/>
      <c r="XH154" s="90"/>
      <c r="XI154" s="90"/>
      <c r="XJ154" s="90"/>
      <c r="XK154" s="90"/>
      <c r="XL154" s="90"/>
      <c r="XM154" s="90"/>
      <c r="XN154" s="90"/>
      <c r="XO154" s="90"/>
      <c r="XP154" s="90"/>
      <c r="XQ154" s="90"/>
      <c r="XR154" s="90"/>
      <c r="XS154" s="90"/>
      <c r="XT154" s="90"/>
      <c r="XU154" s="90"/>
      <c r="XV154" s="90"/>
      <c r="XW154" s="90"/>
      <c r="XX154" s="90"/>
      <c r="XY154" s="90"/>
      <c r="XZ154" s="90"/>
      <c r="YA154" s="90"/>
      <c r="YB154" s="90"/>
      <c r="YC154" s="90"/>
      <c r="YD154" s="90"/>
      <c r="YE154" s="90"/>
      <c r="YF154" s="90"/>
      <c r="YG154" s="90"/>
      <c r="YH154" s="90"/>
      <c r="YI154" s="90"/>
      <c r="YJ154" s="90"/>
      <c r="YK154" s="90"/>
      <c r="YL154" s="90"/>
      <c r="YM154" s="90"/>
      <c r="YN154" s="90"/>
      <c r="YO154" s="90"/>
      <c r="YP154" s="90"/>
      <c r="YQ154" s="90"/>
      <c r="YR154" s="90"/>
      <c r="YS154" s="90"/>
      <c r="YT154" s="90"/>
      <c r="YU154" s="90"/>
      <c r="YV154" s="90"/>
      <c r="YW154" s="90"/>
      <c r="YX154" s="90"/>
      <c r="YY154" s="90"/>
      <c r="YZ154" s="90"/>
      <c r="ZA154" s="90"/>
      <c r="ZB154" s="90"/>
      <c r="ZC154" s="90"/>
      <c r="ZD154" s="90"/>
      <c r="ZE154" s="90"/>
      <c r="ZF154" s="90"/>
      <c r="ZG154" s="90"/>
      <c r="ZH154" s="90"/>
      <c r="ZI154" s="90"/>
      <c r="ZJ154" s="90"/>
      <c r="ZK154" s="90"/>
      <c r="ZL154" s="90"/>
      <c r="ZM154" s="90"/>
      <c r="ZN154" s="90"/>
      <c r="ZO154" s="90"/>
      <c r="ZP154" s="90"/>
      <c r="ZQ154" s="90"/>
      <c r="ZR154" s="90"/>
      <c r="ZS154" s="90"/>
      <c r="ZT154" s="90"/>
      <c r="ZU154" s="90"/>
      <c r="ZV154" s="90"/>
      <c r="ZW154" s="90"/>
      <c r="ZX154" s="90"/>
      <c r="ZY154" s="90"/>
      <c r="ZZ154" s="90"/>
      <c r="AAA154" s="90"/>
      <c r="AAB154" s="90"/>
      <c r="AAC154" s="90"/>
      <c r="AAD154" s="90"/>
      <c r="AAE154" s="90"/>
      <c r="AAF154" s="90"/>
      <c r="AAG154" s="90"/>
      <c r="AAH154" s="90"/>
      <c r="AAI154" s="90"/>
      <c r="AAJ154" s="90"/>
      <c r="AAK154" s="90"/>
      <c r="AAL154" s="90"/>
      <c r="AAM154" s="90"/>
      <c r="AAN154" s="90"/>
      <c r="AAO154" s="90"/>
      <c r="AAP154" s="90"/>
      <c r="AAQ154" s="90"/>
      <c r="AAR154" s="90"/>
      <c r="AAS154" s="90"/>
      <c r="AAT154" s="90"/>
      <c r="AAU154" s="90"/>
      <c r="AAV154" s="90"/>
      <c r="AAW154" s="90"/>
      <c r="AAX154" s="90"/>
      <c r="AAY154" s="90"/>
      <c r="AAZ154" s="90"/>
      <c r="ABA154" s="90"/>
      <c r="ABB154" s="90"/>
      <c r="ABC154" s="90"/>
      <c r="ABD154" s="90"/>
      <c r="ABE154" s="90"/>
      <c r="ABF154" s="90"/>
      <c r="ABG154" s="90"/>
      <c r="ABH154" s="90"/>
      <c r="ABI154" s="90"/>
      <c r="ABJ154" s="90"/>
      <c r="ABK154" s="90"/>
      <c r="ABL154" s="90"/>
      <c r="ABM154" s="90"/>
      <c r="ABN154" s="90"/>
      <c r="ABO154" s="90"/>
      <c r="ABP154" s="90"/>
      <c r="ABQ154" s="90"/>
      <c r="ABR154" s="90"/>
      <c r="ABS154" s="90"/>
      <c r="ABT154" s="90"/>
      <c r="ABU154" s="90"/>
      <c r="ABV154" s="90"/>
      <c r="ABW154" s="90"/>
      <c r="ABX154" s="90"/>
      <c r="ABY154" s="90"/>
      <c r="ABZ154" s="90"/>
      <c r="ACA154" s="90"/>
      <c r="ACB154" s="90"/>
      <c r="ACC154" s="90"/>
      <c r="ACD154" s="90"/>
      <c r="ACE154" s="90"/>
      <c r="ACF154" s="90"/>
      <c r="ACG154" s="90"/>
      <c r="ACH154" s="90"/>
      <c r="ACI154" s="90"/>
      <c r="ACJ154" s="90"/>
      <c r="ACK154" s="90"/>
      <c r="ACL154" s="90"/>
      <c r="ACM154" s="90"/>
      <c r="ACN154" s="90"/>
      <c r="ACO154" s="90"/>
      <c r="ACP154" s="90"/>
      <c r="ACQ154" s="90"/>
      <c r="ACR154" s="90"/>
      <c r="ACS154" s="90"/>
      <c r="ACT154" s="90"/>
      <c r="ACU154" s="90"/>
      <c r="ACV154" s="90"/>
      <c r="ACW154" s="90"/>
      <c r="ACX154" s="90"/>
      <c r="ACY154" s="90"/>
      <c r="ACZ154" s="90"/>
      <c r="ADA154" s="90"/>
      <c r="ADB154" s="90"/>
      <c r="ADC154" s="90"/>
      <c r="ADD154" s="90"/>
      <c r="ADE154" s="90"/>
      <c r="ADF154" s="90"/>
      <c r="ADG154" s="90"/>
      <c r="ADH154" s="90"/>
      <c r="ADI154" s="90"/>
      <c r="ADJ154" s="90"/>
      <c r="ADK154" s="90"/>
      <c r="ADL154" s="90"/>
      <c r="ADM154" s="90"/>
      <c r="ADN154" s="90"/>
      <c r="ADO154" s="90"/>
      <c r="ADP154" s="90"/>
      <c r="ADQ154" s="90"/>
      <c r="ADR154" s="90"/>
      <c r="ADS154" s="90"/>
      <c r="ADT154" s="90"/>
      <c r="ADU154" s="90"/>
      <c r="ADV154" s="90"/>
      <c r="ADW154" s="90"/>
      <c r="ADX154" s="90"/>
      <c r="ADY154" s="90"/>
      <c r="ADZ154" s="90"/>
      <c r="AEA154" s="90"/>
      <c r="AEB154" s="90"/>
      <c r="AEC154" s="90"/>
      <c r="AED154" s="90"/>
      <c r="AEE154" s="90"/>
      <c r="AEF154" s="90"/>
      <c r="AEG154" s="90"/>
      <c r="AEH154" s="90"/>
      <c r="AEI154" s="90"/>
      <c r="AEJ154" s="90"/>
      <c r="AEK154" s="90"/>
      <c r="AEL154" s="90"/>
      <c r="AEM154" s="90"/>
      <c r="AEN154" s="90"/>
      <c r="AEO154" s="90"/>
      <c r="AEP154" s="90"/>
      <c r="AEQ154" s="90"/>
      <c r="AER154" s="90"/>
      <c r="AES154" s="90"/>
      <c r="AET154" s="90"/>
      <c r="AEU154" s="90"/>
      <c r="AEV154" s="90"/>
      <c r="AEW154" s="90"/>
      <c r="AEX154" s="90"/>
      <c r="AEY154" s="90"/>
      <c r="AEZ154" s="90"/>
      <c r="AFA154" s="90"/>
      <c r="AFB154" s="90"/>
      <c r="AFC154" s="90"/>
      <c r="AFD154" s="90"/>
      <c r="AFE154" s="90"/>
      <c r="AFF154" s="90"/>
      <c r="AFG154" s="90"/>
      <c r="AFH154" s="90"/>
      <c r="AFI154" s="90"/>
      <c r="AFJ154" s="90"/>
      <c r="AFK154" s="90"/>
      <c r="AFL154" s="90"/>
      <c r="AFM154" s="90"/>
      <c r="AFN154" s="90"/>
      <c r="AFO154" s="90"/>
      <c r="AFP154" s="90"/>
      <c r="AFQ154" s="90"/>
      <c r="AFR154" s="90"/>
      <c r="AFS154" s="90"/>
      <c r="AFT154" s="90"/>
      <c r="AFU154" s="90"/>
      <c r="AFV154" s="90"/>
      <c r="AFW154" s="90"/>
      <c r="AFX154" s="90"/>
      <c r="AFY154" s="90"/>
      <c r="AFZ154" s="90"/>
      <c r="AGA154" s="90"/>
      <c r="AGB154" s="90"/>
      <c r="AGC154" s="90"/>
      <c r="AGD154" s="90"/>
      <c r="AGE154" s="90"/>
      <c r="AGF154" s="90"/>
      <c r="AGG154" s="90"/>
      <c r="AGH154" s="90"/>
      <c r="AGI154" s="90"/>
      <c r="AGJ154" s="90"/>
      <c r="AGK154" s="90"/>
      <c r="AGL154" s="90"/>
      <c r="AGM154" s="90"/>
      <c r="AGN154" s="90"/>
      <c r="AGO154" s="90"/>
      <c r="AGP154" s="90"/>
      <c r="AGQ154" s="90"/>
      <c r="AGR154" s="90"/>
      <c r="AGS154" s="90"/>
      <c r="AGT154" s="90"/>
      <c r="AGU154" s="90"/>
      <c r="AGV154" s="90"/>
      <c r="AGW154" s="90"/>
      <c r="AGX154" s="90"/>
      <c r="AGY154" s="90"/>
      <c r="AGZ154" s="90"/>
      <c r="AHA154" s="90"/>
      <c r="AHB154" s="90"/>
      <c r="AHC154" s="90"/>
      <c r="AHD154" s="90"/>
      <c r="AHE154" s="90"/>
      <c r="AHF154" s="90"/>
      <c r="AHG154" s="90"/>
      <c r="AHH154" s="90"/>
      <c r="AHI154" s="90"/>
      <c r="AHJ154" s="90"/>
      <c r="AHK154" s="90"/>
      <c r="AHL154" s="90"/>
      <c r="AHM154" s="90"/>
      <c r="AHN154" s="90"/>
      <c r="AHO154" s="90"/>
      <c r="AHP154" s="90"/>
      <c r="AHQ154" s="90"/>
      <c r="AHR154" s="90"/>
      <c r="AHS154" s="90"/>
      <c r="AHT154" s="90"/>
      <c r="AHU154" s="90"/>
      <c r="AHV154" s="90"/>
      <c r="AHW154" s="90"/>
      <c r="AHX154" s="90"/>
      <c r="AHY154" s="90"/>
      <c r="AHZ154" s="90"/>
      <c r="AIA154" s="90"/>
      <c r="AIB154" s="90"/>
      <c r="AIC154" s="90"/>
      <c r="AID154" s="90"/>
      <c r="AIE154" s="90"/>
      <c r="AIF154" s="90"/>
      <c r="AIG154" s="90"/>
      <c r="AIH154" s="90"/>
      <c r="AII154" s="90"/>
      <c r="AIJ154" s="90"/>
      <c r="AIK154" s="90"/>
      <c r="AIL154" s="90"/>
      <c r="AIM154" s="90"/>
      <c r="AIN154" s="90"/>
      <c r="AIO154" s="90"/>
      <c r="AIP154" s="90"/>
      <c r="AIQ154" s="90"/>
      <c r="AIR154" s="90"/>
      <c r="AIS154" s="90"/>
      <c r="AIT154" s="90"/>
      <c r="AIU154" s="90"/>
      <c r="AIV154" s="90"/>
      <c r="AIW154" s="90"/>
      <c r="AIX154" s="90"/>
      <c r="AIY154" s="90"/>
      <c r="AIZ154" s="90"/>
      <c r="AJA154" s="90"/>
      <c r="AJB154" s="90"/>
      <c r="AJC154" s="90"/>
      <c r="AJD154" s="90"/>
      <c r="AJE154" s="90"/>
      <c r="AJF154" s="90"/>
      <c r="AJG154" s="90"/>
      <c r="AJH154" s="90"/>
      <c r="AJI154" s="90"/>
      <c r="AJJ154" s="90"/>
      <c r="AJK154" s="90"/>
      <c r="AJL154" s="90"/>
      <c r="AJM154" s="90"/>
      <c r="AJN154" s="90"/>
      <c r="AJO154" s="90"/>
      <c r="AJP154" s="90"/>
      <c r="AJQ154" s="90"/>
      <c r="AJR154" s="90"/>
      <c r="AJS154" s="90"/>
      <c r="AJT154" s="90"/>
      <c r="AJU154" s="90"/>
      <c r="AJV154" s="90"/>
      <c r="AJW154" s="90"/>
      <c r="AJX154" s="90"/>
      <c r="AJY154" s="90"/>
      <c r="AJZ154" s="90"/>
      <c r="AKA154" s="90"/>
      <c r="AKB154" s="90"/>
      <c r="AKC154" s="90"/>
      <c r="AKD154" s="90"/>
      <c r="AKE154" s="90"/>
      <c r="AKF154" s="90"/>
      <c r="AKG154" s="90"/>
      <c r="AKH154" s="90"/>
      <c r="AKI154" s="90"/>
      <c r="AKJ154" s="90"/>
      <c r="AKK154" s="90"/>
      <c r="AKL154" s="90"/>
      <c r="AKM154" s="90"/>
      <c r="AKN154" s="90"/>
      <c r="AKO154" s="90"/>
      <c r="AKP154" s="90"/>
      <c r="AKQ154" s="90"/>
      <c r="AKR154" s="90"/>
      <c r="AKS154" s="90"/>
      <c r="AKT154" s="90"/>
      <c r="AKU154" s="90"/>
      <c r="AKV154" s="90"/>
      <c r="AKW154" s="90"/>
      <c r="AKX154" s="90"/>
      <c r="AKY154" s="90"/>
      <c r="AKZ154" s="90"/>
      <c r="ALA154" s="90"/>
      <c r="ALB154" s="90"/>
      <c r="ALC154" s="90"/>
      <c r="ALD154" s="90"/>
      <c r="ALE154" s="90"/>
      <c r="ALF154" s="90"/>
      <c r="ALG154" s="90"/>
      <c r="ALH154" s="90"/>
      <c r="ALI154" s="90"/>
      <c r="ALJ154" s="90"/>
      <c r="ALK154" s="90"/>
      <c r="ALL154" s="90"/>
      <c r="ALM154" s="90"/>
      <c r="ALN154" s="90"/>
      <c r="ALO154" s="90"/>
      <c r="ALP154" s="90"/>
      <c r="ALQ154" s="90"/>
      <c r="ALR154" s="90"/>
      <c r="ALS154" s="90"/>
      <c r="ALT154" s="90"/>
      <c r="ALU154" s="90"/>
      <c r="ALV154" s="90"/>
      <c r="ALW154" s="90"/>
      <c r="ALX154" s="90"/>
      <c r="ALY154" s="90"/>
      <c r="ALZ154" s="90"/>
      <c r="AMA154" s="90"/>
      <c r="AMB154" s="90"/>
      <c r="AMC154" s="90"/>
      <c r="AMD154" s="90"/>
      <c r="AME154" s="90"/>
      <c r="AMF154" s="90"/>
      <c r="AMG154" s="90"/>
      <c r="AMH154" s="90"/>
      <c r="AMI154" s="90"/>
      <c r="AMJ154" s="90"/>
      <c r="AMK154" s="90"/>
      <c r="AML154" s="90"/>
      <c r="AMM154" s="90"/>
      <c r="AMN154" s="90"/>
      <c r="AMO154" s="90"/>
      <c r="AMP154" s="90"/>
      <c r="AMQ154" s="90"/>
      <c r="AMR154" s="90"/>
      <c r="AMS154" s="90"/>
      <c r="AMT154" s="90"/>
      <c r="AMU154" s="90"/>
      <c r="AMV154" s="90"/>
      <c r="AMW154" s="90"/>
      <c r="AMX154" s="90"/>
      <c r="AMY154" s="90"/>
      <c r="AMZ154" s="90"/>
      <c r="ANA154" s="90"/>
      <c r="ANB154" s="90"/>
      <c r="ANC154" s="90"/>
      <c r="AND154" s="90"/>
      <c r="ANE154" s="90"/>
      <c r="ANF154" s="90"/>
      <c r="ANG154" s="90"/>
      <c r="ANH154" s="90"/>
      <c r="ANI154" s="90"/>
      <c r="ANJ154" s="90"/>
      <c r="ANK154" s="90"/>
      <c r="ANL154" s="90"/>
      <c r="ANM154" s="90"/>
      <c r="ANN154" s="90"/>
      <c r="ANO154" s="90"/>
      <c r="ANP154" s="90"/>
      <c r="ANQ154" s="90"/>
      <c r="ANR154" s="90"/>
      <c r="ANS154" s="90"/>
      <c r="ANT154" s="90"/>
      <c r="ANU154" s="90"/>
      <c r="ANV154" s="90"/>
      <c r="ANW154" s="90"/>
      <c r="ANX154" s="90"/>
      <c r="ANY154" s="90"/>
      <c r="ANZ154" s="90"/>
      <c r="AOA154" s="90"/>
      <c r="AOB154" s="90"/>
      <c r="AOC154" s="90"/>
      <c r="AOD154" s="90"/>
      <c r="AOE154" s="90"/>
      <c r="AOF154" s="90"/>
      <c r="AOG154" s="90"/>
      <c r="AOH154" s="90"/>
      <c r="AOI154" s="90"/>
      <c r="AOJ154" s="90"/>
      <c r="AOK154" s="90"/>
      <c r="AOL154" s="90"/>
      <c r="AOM154" s="90"/>
      <c r="AON154" s="90"/>
      <c r="AOO154" s="90"/>
      <c r="AOP154" s="90"/>
      <c r="AOQ154" s="90"/>
      <c r="AOR154" s="90"/>
      <c r="AOS154" s="90"/>
      <c r="AOT154" s="90"/>
      <c r="AOU154" s="90"/>
      <c r="AOV154" s="90"/>
      <c r="AOW154" s="90"/>
      <c r="AOX154" s="90"/>
      <c r="AOY154" s="90"/>
      <c r="AOZ154" s="90"/>
      <c r="APA154" s="90"/>
      <c r="APB154" s="90"/>
      <c r="APC154" s="90"/>
      <c r="APD154" s="90"/>
      <c r="APE154" s="90"/>
      <c r="APF154" s="90"/>
      <c r="APG154" s="90"/>
      <c r="APH154" s="90"/>
      <c r="API154" s="90"/>
      <c r="APJ154" s="90"/>
      <c r="APK154" s="90"/>
      <c r="APL154" s="90"/>
      <c r="APM154" s="90"/>
      <c r="APN154" s="90"/>
      <c r="APO154" s="90"/>
      <c r="APP154" s="90"/>
      <c r="APQ154" s="90"/>
      <c r="APR154" s="90"/>
      <c r="APS154" s="90"/>
      <c r="APT154" s="90"/>
      <c r="APU154" s="90"/>
      <c r="APV154" s="90"/>
      <c r="APW154" s="90"/>
      <c r="APX154" s="90"/>
      <c r="APY154" s="90"/>
      <c r="APZ154" s="90"/>
      <c r="AQA154" s="90"/>
      <c r="AQB154" s="90"/>
      <c r="AQC154" s="90"/>
      <c r="AQD154" s="90"/>
      <c r="AQE154" s="90"/>
      <c r="AQF154" s="90"/>
      <c r="AQG154" s="90"/>
      <c r="AQH154" s="90"/>
      <c r="AQI154" s="90"/>
      <c r="AQJ154" s="90"/>
      <c r="AQK154" s="90"/>
      <c r="AQL154" s="90"/>
      <c r="AQM154" s="90"/>
      <c r="AQN154" s="90"/>
      <c r="AQO154" s="90"/>
      <c r="AQP154" s="90"/>
      <c r="AQQ154" s="90"/>
      <c r="AQR154" s="90"/>
      <c r="AQS154" s="90"/>
      <c r="AQT154" s="90"/>
      <c r="AQU154" s="90"/>
      <c r="AQV154" s="90"/>
      <c r="AQW154" s="90"/>
      <c r="AQX154" s="90"/>
      <c r="AQY154" s="90"/>
      <c r="AQZ154" s="90"/>
      <c r="ARA154" s="90"/>
      <c r="ARB154" s="90"/>
      <c r="ARC154" s="90"/>
      <c r="ARD154" s="90"/>
      <c r="ARE154" s="90"/>
      <c r="ARF154" s="90"/>
      <c r="ARG154" s="90"/>
      <c r="ARH154" s="90"/>
      <c r="ARI154" s="90"/>
      <c r="ARJ154" s="90"/>
      <c r="ARK154" s="90"/>
      <c r="ARL154" s="90"/>
      <c r="ARM154" s="90"/>
      <c r="ARN154" s="90"/>
      <c r="ARO154" s="90"/>
      <c r="ARP154" s="90"/>
      <c r="ARQ154" s="90"/>
      <c r="ARR154" s="90"/>
      <c r="ARS154" s="90"/>
      <c r="ART154" s="90"/>
      <c r="ARU154" s="90"/>
      <c r="ARV154" s="90"/>
      <c r="ARW154" s="90"/>
      <c r="ARX154" s="90"/>
      <c r="ARY154" s="90"/>
      <c r="ARZ154" s="90"/>
      <c r="ASA154" s="90"/>
      <c r="ASB154" s="90"/>
      <c r="ASC154" s="90"/>
      <c r="ASD154" s="90"/>
      <c r="ASE154" s="90"/>
      <c r="ASF154" s="90"/>
      <c r="ASG154" s="90"/>
      <c r="ASH154" s="90"/>
      <c r="ASI154" s="90"/>
      <c r="ASJ154" s="90"/>
      <c r="ASK154" s="90"/>
      <c r="ASL154" s="90"/>
      <c r="ASM154" s="90"/>
      <c r="ASN154" s="90"/>
      <c r="ASO154" s="90"/>
      <c r="ASP154" s="90"/>
      <c r="ASQ154" s="90"/>
      <c r="ASR154" s="90"/>
      <c r="ASS154" s="90"/>
      <c r="AST154" s="90"/>
      <c r="ASU154" s="90"/>
      <c r="ASV154" s="90"/>
      <c r="ASW154" s="90"/>
      <c r="ASX154" s="90"/>
      <c r="ASY154" s="90"/>
      <c r="ASZ154" s="90"/>
      <c r="ATA154" s="90"/>
      <c r="ATB154" s="90"/>
      <c r="ATC154" s="90"/>
      <c r="ATD154" s="90"/>
      <c r="ATE154" s="90"/>
      <c r="ATF154" s="90"/>
      <c r="ATG154" s="90"/>
      <c r="ATH154" s="90"/>
      <c r="ATI154" s="90"/>
      <c r="ATJ154" s="90"/>
      <c r="ATK154" s="90"/>
      <c r="ATL154" s="90"/>
      <c r="ATM154" s="90"/>
      <c r="ATN154" s="90"/>
      <c r="ATO154" s="90"/>
      <c r="ATP154" s="90"/>
      <c r="ATQ154" s="90"/>
      <c r="ATR154" s="90"/>
      <c r="ATS154" s="90"/>
      <c r="ATT154" s="90"/>
      <c r="ATU154" s="90"/>
      <c r="ATV154" s="90"/>
      <c r="ATW154" s="90"/>
      <c r="ATX154" s="90"/>
      <c r="ATY154" s="90"/>
      <c r="ATZ154" s="90"/>
      <c r="AUA154" s="90"/>
      <c r="AUB154" s="90"/>
      <c r="AUC154" s="90"/>
      <c r="AUD154" s="90"/>
      <c r="AUE154" s="90"/>
      <c r="AUF154" s="90"/>
      <c r="AUG154" s="90"/>
      <c r="AUH154" s="90"/>
      <c r="AUI154" s="90"/>
      <c r="AUJ154" s="90"/>
      <c r="AUK154" s="90"/>
      <c r="AUL154" s="90"/>
      <c r="AUM154" s="90"/>
      <c r="AUN154" s="90"/>
      <c r="AUO154" s="90"/>
      <c r="AUP154" s="90"/>
      <c r="AUQ154" s="90"/>
      <c r="AUR154" s="90"/>
      <c r="AUS154" s="90"/>
      <c r="AUT154" s="90"/>
      <c r="AUU154" s="90"/>
      <c r="AUV154" s="90"/>
      <c r="AUW154" s="90"/>
      <c r="AUX154" s="90"/>
      <c r="AUY154" s="90"/>
      <c r="AUZ154" s="90"/>
      <c r="AVA154" s="90"/>
      <c r="AVB154" s="90"/>
      <c r="AVC154" s="90"/>
      <c r="AVD154" s="90"/>
      <c r="AVE154" s="90"/>
      <c r="AVF154" s="90"/>
      <c r="AVG154" s="90"/>
      <c r="AVH154" s="90"/>
      <c r="AVI154" s="90"/>
      <c r="AVJ154" s="90"/>
      <c r="AVK154" s="90"/>
      <c r="AVL154" s="90"/>
      <c r="AVM154" s="90"/>
      <c r="AVN154" s="90"/>
      <c r="AVO154" s="90"/>
      <c r="AVP154" s="90"/>
      <c r="AVQ154" s="90"/>
      <c r="AVR154" s="90"/>
      <c r="AVS154" s="90"/>
      <c r="AVT154" s="90"/>
      <c r="AVU154" s="90"/>
      <c r="AVV154" s="90"/>
      <c r="AVW154" s="90"/>
      <c r="AVX154" s="90"/>
      <c r="AVY154" s="90"/>
      <c r="AVZ154" s="90"/>
      <c r="AWA154" s="90"/>
      <c r="AWB154" s="90"/>
      <c r="AWC154" s="90"/>
      <c r="AWD154" s="90"/>
      <c r="AWE154" s="90"/>
      <c r="AWF154" s="90"/>
      <c r="AWG154" s="90"/>
      <c r="AWH154" s="90"/>
      <c r="AWI154" s="90"/>
      <c r="AWJ154" s="90"/>
      <c r="AWK154" s="90"/>
      <c r="AWL154" s="90"/>
      <c r="AWM154" s="90"/>
      <c r="AWN154" s="90"/>
      <c r="AWO154" s="90"/>
      <c r="AWP154" s="90"/>
      <c r="AWQ154" s="90"/>
      <c r="AWR154" s="90"/>
      <c r="AWS154" s="90"/>
      <c r="AWT154" s="90"/>
      <c r="AWU154" s="90"/>
      <c r="AWV154" s="90"/>
      <c r="AWW154" s="90"/>
      <c r="AWX154" s="90"/>
      <c r="AWY154" s="90"/>
      <c r="AWZ154" s="90"/>
      <c r="AXA154" s="90"/>
      <c r="AXB154" s="90"/>
      <c r="AXC154" s="90"/>
      <c r="AXD154" s="90"/>
      <c r="AXE154" s="90"/>
      <c r="AXF154" s="90"/>
      <c r="AXG154" s="90"/>
      <c r="AXH154" s="90"/>
      <c r="AXI154" s="90"/>
      <c r="AXJ154" s="90"/>
      <c r="AXK154" s="90"/>
      <c r="AXL154" s="90"/>
      <c r="AXM154" s="90"/>
      <c r="AXN154" s="90"/>
      <c r="AXO154" s="90"/>
      <c r="AXP154" s="90"/>
      <c r="AXQ154" s="90"/>
      <c r="AXR154" s="90"/>
      <c r="AXS154" s="90"/>
      <c r="AXT154" s="90"/>
      <c r="AXU154" s="90"/>
      <c r="AXV154" s="90"/>
    </row>
    <row r="155" spans="1:1322" s="135" customFormat="1" ht="12.75">
      <c r="A155" s="136"/>
      <c r="C155" s="137"/>
      <c r="D155" s="138"/>
      <c r="E155" s="139"/>
      <c r="F155" s="139"/>
      <c r="I155" s="137"/>
      <c r="K155" s="137"/>
      <c r="L155" s="137"/>
      <c r="M155" s="137"/>
      <c r="N155" s="137"/>
      <c r="O155" s="137"/>
      <c r="P155" s="137"/>
      <c r="Q155" s="137"/>
      <c r="R155" s="137"/>
    </row>
    <row r="156" spans="1:1322" s="137" customFormat="1" ht="12.75">
      <c r="A156" s="140"/>
      <c r="B156" s="135"/>
      <c r="D156" s="138"/>
      <c r="E156" s="139"/>
      <c r="F156" s="139"/>
      <c r="G156" s="135"/>
      <c r="H156" s="135"/>
      <c r="J156" s="135"/>
    </row>
    <row r="157" spans="1:1322" s="135" customFormat="1" ht="12.75">
      <c r="A157" s="137"/>
      <c r="C157" s="137"/>
      <c r="D157" s="138"/>
      <c r="E157" s="139"/>
      <c r="F157" s="139"/>
      <c r="I157" s="137"/>
      <c r="K157" s="137"/>
      <c r="L157" s="137"/>
      <c r="M157" s="137"/>
      <c r="N157" s="137"/>
      <c r="O157" s="137"/>
      <c r="P157" s="137"/>
      <c r="Q157" s="137"/>
      <c r="R157" s="137"/>
    </row>
    <row r="158" spans="1:1322" s="135" customFormat="1" ht="12.75">
      <c r="A158" s="137"/>
      <c r="C158" s="137"/>
      <c r="D158" s="138"/>
      <c r="E158" s="139"/>
      <c r="F158" s="139"/>
      <c r="I158" s="137"/>
      <c r="K158" s="137"/>
      <c r="L158" s="137"/>
      <c r="M158" s="137"/>
      <c r="N158" s="137"/>
      <c r="O158" s="137"/>
      <c r="P158" s="137"/>
      <c r="Q158" s="137"/>
      <c r="R158" s="137"/>
    </row>
    <row r="159" spans="1:1322" s="137" customFormat="1" ht="12.75">
      <c r="A159" s="140"/>
      <c r="B159" s="135"/>
      <c r="D159" s="138"/>
      <c r="E159" s="139"/>
      <c r="F159" s="139"/>
      <c r="G159" s="135"/>
      <c r="H159" s="135"/>
      <c r="J159" s="135"/>
    </row>
    <row r="161" spans="1:18" s="137" customFormat="1" ht="12.75">
      <c r="B161" s="135" t="s">
        <v>317</v>
      </c>
      <c r="D161" s="138"/>
      <c r="E161" s="139"/>
      <c r="F161" s="139"/>
      <c r="G161" s="135"/>
      <c r="H161" s="135"/>
      <c r="J161" s="135"/>
    </row>
    <row r="162" spans="1:18" s="137" customFormat="1" ht="12.75">
      <c r="A162" s="136"/>
      <c r="B162" s="135"/>
      <c r="D162" s="138"/>
      <c r="E162" s="139"/>
      <c r="F162" s="139"/>
      <c r="G162" s="135"/>
      <c r="H162" s="135"/>
      <c r="J162" s="135"/>
    </row>
    <row r="163" spans="1:18" s="137" customFormat="1" ht="12.75">
      <c r="A163" s="136"/>
      <c r="B163" s="135"/>
      <c r="D163" s="138"/>
      <c r="E163" s="139"/>
      <c r="F163" s="139"/>
      <c r="G163" s="135"/>
      <c r="H163" s="135"/>
      <c r="J163" s="135"/>
    </row>
    <row r="164" spans="1:18" s="137" customFormat="1" ht="12.75">
      <c r="A164" s="136"/>
      <c r="B164" s="135"/>
      <c r="D164" s="138"/>
      <c r="E164" s="139"/>
      <c r="F164" s="139"/>
      <c r="G164" s="135"/>
      <c r="H164" s="135"/>
      <c r="J164" s="135"/>
    </row>
    <row r="165" spans="1:18" s="137" customFormat="1" ht="12.75">
      <c r="A165" s="136"/>
      <c r="B165" s="135"/>
      <c r="D165" s="138"/>
      <c r="E165" s="139"/>
      <c r="F165" s="139"/>
      <c r="G165" s="135"/>
      <c r="H165" s="135"/>
      <c r="J165" s="135"/>
    </row>
    <row r="166" spans="1:18" s="137" customFormat="1" ht="12.75">
      <c r="A166" s="136"/>
      <c r="B166" s="135"/>
      <c r="D166" s="138"/>
      <c r="E166" s="139"/>
      <c r="F166" s="139"/>
      <c r="G166" s="135"/>
      <c r="H166" s="135"/>
      <c r="J166" s="135"/>
    </row>
    <row r="167" spans="1:18" s="137" customFormat="1" ht="12.75">
      <c r="A167" s="136"/>
      <c r="B167" s="135"/>
      <c r="D167" s="138"/>
      <c r="E167" s="139"/>
      <c r="F167" s="139"/>
      <c r="G167" s="135"/>
      <c r="H167" s="135"/>
      <c r="J167" s="135"/>
    </row>
    <row r="168" spans="1:18" s="137" customFormat="1" ht="12.75">
      <c r="A168" s="136"/>
      <c r="B168" s="135"/>
      <c r="D168" s="138"/>
      <c r="E168" s="139"/>
      <c r="F168" s="139"/>
      <c r="G168" s="135"/>
      <c r="H168" s="135"/>
      <c r="J168" s="135"/>
    </row>
    <row r="169" spans="1:18" s="137" customFormat="1" ht="12.75">
      <c r="A169" s="136"/>
      <c r="B169" s="135"/>
      <c r="D169" s="138"/>
      <c r="E169" s="139"/>
      <c r="F169" s="139"/>
      <c r="G169" s="135"/>
      <c r="H169" s="135"/>
      <c r="J169" s="135"/>
    </row>
    <row r="170" spans="1:18" s="137" customFormat="1" ht="12.75">
      <c r="A170" s="136"/>
      <c r="B170" s="135"/>
      <c r="D170" s="138"/>
      <c r="E170" s="139"/>
      <c r="F170" s="139"/>
      <c r="G170" s="135"/>
      <c r="H170" s="135"/>
      <c r="J170" s="135"/>
    </row>
    <row r="171" spans="1:18" s="137" customFormat="1" ht="12.75">
      <c r="A171" s="136"/>
      <c r="B171" s="135"/>
      <c r="D171" s="138"/>
      <c r="E171" s="139"/>
      <c r="F171" s="139"/>
      <c r="G171" s="135"/>
      <c r="H171" s="135"/>
      <c r="J171" s="135"/>
    </row>
    <row r="172" spans="1:18" s="137" customFormat="1" ht="12.75">
      <c r="A172" s="136"/>
      <c r="B172" s="135"/>
      <c r="D172" s="138"/>
      <c r="E172" s="139"/>
      <c r="F172" s="139"/>
      <c r="G172" s="135"/>
      <c r="H172" s="135"/>
      <c r="J172" s="135"/>
    </row>
    <row r="173" spans="1:18" s="137" customFormat="1" ht="12.75">
      <c r="A173" s="136"/>
      <c r="B173" s="135"/>
      <c r="D173" s="138"/>
      <c r="E173" s="139"/>
      <c r="F173" s="139"/>
      <c r="G173" s="135"/>
      <c r="H173" s="135"/>
      <c r="J173" s="135"/>
    </row>
    <row r="174" spans="1:18" s="137" customFormat="1" ht="12.75">
      <c r="A174" s="136"/>
      <c r="B174" s="135"/>
      <c r="D174" s="138"/>
      <c r="E174" s="139"/>
      <c r="F174" s="139"/>
      <c r="G174" s="135"/>
      <c r="H174" s="135"/>
      <c r="J174" s="135"/>
    </row>
    <row r="175" spans="1:18" s="137" customFormat="1" ht="12.75">
      <c r="A175" s="136"/>
      <c r="B175" s="135"/>
      <c r="D175" s="138"/>
      <c r="E175" s="139"/>
      <c r="F175" s="139"/>
      <c r="G175" s="135"/>
      <c r="H175" s="135"/>
      <c r="J175" s="135"/>
    </row>
    <row r="176" spans="1:18" s="135" customFormat="1" ht="12.75">
      <c r="A176" s="136"/>
      <c r="C176" s="137"/>
      <c r="D176" s="138"/>
      <c r="E176" s="139"/>
      <c r="F176" s="139"/>
      <c r="I176" s="137"/>
      <c r="K176" s="137"/>
      <c r="L176" s="137"/>
      <c r="M176" s="137"/>
      <c r="N176" s="137"/>
      <c r="O176" s="137"/>
      <c r="P176" s="137"/>
      <c r="Q176" s="137"/>
      <c r="R176" s="137"/>
    </row>
    <row r="177" spans="1:1760" s="135" customFormat="1" ht="12.75">
      <c r="A177" s="141"/>
      <c r="C177" s="137"/>
      <c r="D177" s="138"/>
      <c r="E177" s="139"/>
      <c r="F177" s="139"/>
      <c r="I177" s="137"/>
      <c r="K177" s="137"/>
      <c r="L177" s="137"/>
      <c r="M177" s="137"/>
      <c r="N177" s="137"/>
      <c r="O177" s="137"/>
      <c r="P177" s="137"/>
      <c r="Q177" s="137"/>
      <c r="R177" s="137"/>
    </row>
    <row r="178" spans="1:1760" s="135" customFormat="1" ht="12.75">
      <c r="A178" s="136"/>
      <c r="C178" s="137"/>
      <c r="D178" s="138"/>
      <c r="E178" s="139"/>
      <c r="F178" s="139"/>
      <c r="I178" s="137"/>
      <c r="K178" s="137"/>
      <c r="L178" s="137"/>
      <c r="M178" s="137"/>
      <c r="N178" s="137"/>
      <c r="O178" s="137"/>
      <c r="P178" s="137"/>
      <c r="Q178" s="137"/>
      <c r="R178" s="137"/>
    </row>
    <row r="179" spans="1:1760" s="135" customFormat="1" ht="12.75">
      <c r="A179" s="136"/>
      <c r="C179" s="137"/>
      <c r="D179" s="138"/>
      <c r="E179" s="139"/>
      <c r="F179" s="139"/>
      <c r="I179" s="137"/>
      <c r="K179" s="137"/>
      <c r="L179" s="137"/>
      <c r="M179" s="137"/>
      <c r="N179" s="137"/>
      <c r="O179" s="137"/>
      <c r="P179" s="137"/>
      <c r="Q179" s="137"/>
      <c r="R179" s="137"/>
    </row>
    <row r="180" spans="1:1760" s="135" customFormat="1" ht="12.75">
      <c r="A180" s="141"/>
      <c r="C180" s="137"/>
      <c r="D180" s="138"/>
      <c r="E180" s="139"/>
      <c r="F180" s="139"/>
      <c r="I180" s="137"/>
      <c r="K180" s="137"/>
      <c r="L180" s="137"/>
      <c r="M180" s="137"/>
      <c r="N180" s="137"/>
      <c r="O180" s="137"/>
      <c r="P180" s="137"/>
      <c r="Q180" s="137"/>
      <c r="R180" s="137"/>
    </row>
    <row r="181" spans="1:1760" s="135" customFormat="1" ht="12.75">
      <c r="A181" s="141"/>
      <c r="C181" s="137"/>
      <c r="D181" s="138"/>
      <c r="E181" s="139"/>
      <c r="F181" s="139"/>
      <c r="I181" s="137"/>
      <c r="K181" s="137"/>
      <c r="L181" s="137"/>
      <c r="M181" s="137"/>
      <c r="N181" s="137"/>
      <c r="O181" s="137"/>
      <c r="P181" s="137"/>
      <c r="Q181" s="137"/>
      <c r="R181" s="137"/>
    </row>
    <row r="182" spans="1:1760" s="135" customFormat="1" ht="12.75">
      <c r="A182" s="136"/>
      <c r="C182" s="137"/>
      <c r="D182" s="138"/>
      <c r="E182" s="139"/>
      <c r="F182" s="139"/>
      <c r="I182" s="137"/>
      <c r="K182" s="137"/>
      <c r="L182" s="137"/>
      <c r="M182" s="137"/>
      <c r="N182" s="137"/>
      <c r="O182" s="137"/>
      <c r="P182" s="137"/>
      <c r="Q182" s="137"/>
      <c r="R182" s="137"/>
    </row>
    <row r="183" spans="1:1760" s="135" customFormat="1" ht="12.75">
      <c r="A183" s="136"/>
      <c r="C183" s="137"/>
      <c r="D183" s="138"/>
      <c r="E183" s="139"/>
      <c r="F183" s="139"/>
      <c r="I183" s="137"/>
      <c r="K183" s="137"/>
      <c r="L183" s="137"/>
      <c r="M183" s="137"/>
      <c r="N183" s="137"/>
      <c r="O183" s="137"/>
      <c r="P183" s="137"/>
      <c r="Q183" s="137"/>
      <c r="R183" s="137"/>
    </row>
    <row r="184" spans="1:1760" s="135" customFormat="1" ht="12.75">
      <c r="A184" s="136"/>
      <c r="C184" s="137"/>
      <c r="D184" s="138"/>
      <c r="E184" s="139"/>
      <c r="F184" s="139"/>
      <c r="I184" s="137"/>
      <c r="K184" s="137"/>
      <c r="L184" s="137"/>
      <c r="M184" s="137"/>
      <c r="N184" s="137"/>
      <c r="O184" s="137"/>
      <c r="P184" s="137"/>
      <c r="Q184" s="137"/>
      <c r="R184" s="137"/>
    </row>
    <row r="185" spans="1:1760" s="135" customFormat="1" ht="12.75">
      <c r="A185" s="136"/>
      <c r="C185" s="137"/>
      <c r="D185" s="138"/>
      <c r="E185" s="139"/>
      <c r="F185" s="139"/>
      <c r="I185" s="137"/>
      <c r="K185" s="137"/>
      <c r="L185" s="137"/>
      <c r="M185" s="137"/>
      <c r="N185" s="137"/>
      <c r="O185" s="137"/>
      <c r="P185" s="137"/>
      <c r="Q185" s="137"/>
      <c r="R185" s="137"/>
    </row>
    <row r="186" spans="1:1760" s="135" customFormat="1" ht="12.75">
      <c r="A186" s="142"/>
      <c r="C186" s="137"/>
      <c r="D186" s="138"/>
      <c r="E186" s="139"/>
      <c r="F186" s="139"/>
      <c r="I186" s="137"/>
      <c r="K186" s="137"/>
      <c r="L186" s="137"/>
      <c r="M186" s="137"/>
      <c r="N186" s="137"/>
      <c r="O186" s="137"/>
      <c r="P186" s="137"/>
      <c r="Q186" s="137"/>
      <c r="R186" s="137"/>
    </row>
    <row r="187" spans="1:1760" s="135" customFormat="1" ht="12.75">
      <c r="A187" s="136"/>
      <c r="C187" s="137"/>
      <c r="D187" s="138"/>
      <c r="E187" s="139"/>
      <c r="F187" s="139"/>
      <c r="I187" s="137"/>
      <c r="K187" s="137"/>
      <c r="L187" s="137"/>
      <c r="M187" s="137"/>
      <c r="N187" s="137"/>
      <c r="O187" s="137"/>
      <c r="P187" s="137"/>
      <c r="Q187" s="137"/>
      <c r="R187" s="137"/>
    </row>
    <row r="188" spans="1:1760" s="135" customFormat="1" ht="12.75">
      <c r="A188" s="143"/>
      <c r="C188" s="137"/>
      <c r="D188" s="138"/>
      <c r="E188" s="139"/>
      <c r="F188" s="139"/>
      <c r="I188" s="137"/>
      <c r="K188" s="137"/>
      <c r="L188" s="137"/>
      <c r="M188" s="137"/>
      <c r="N188" s="137"/>
      <c r="O188" s="137"/>
      <c r="P188" s="137"/>
      <c r="Q188" s="137"/>
      <c r="R188" s="137"/>
    </row>
    <row r="189" spans="1:1760" s="132" customFormat="1" ht="12.75">
      <c r="A189" s="143"/>
      <c r="B189" s="135"/>
      <c r="C189" s="137"/>
      <c r="D189" s="138"/>
      <c r="E189" s="139"/>
      <c r="F189" s="139"/>
      <c r="G189" s="135"/>
      <c r="H189" s="135"/>
      <c r="I189" s="137"/>
      <c r="J189" s="135"/>
      <c r="K189" s="137"/>
      <c r="L189" s="137"/>
      <c r="M189" s="137"/>
      <c r="N189" s="137"/>
      <c r="O189" s="137"/>
      <c r="P189" s="137"/>
      <c r="Q189" s="137"/>
      <c r="R189" s="137"/>
      <c r="S189" s="135"/>
      <c r="T189" s="135"/>
      <c r="U189" s="135"/>
      <c r="V189" s="135"/>
      <c r="W189" s="135"/>
      <c r="X189" s="135"/>
      <c r="Y189" s="135"/>
      <c r="Z189" s="135"/>
      <c r="AA189" s="135"/>
      <c r="AB189" s="135"/>
      <c r="AC189" s="135"/>
      <c r="AD189" s="135"/>
      <c r="AE189" s="135"/>
      <c r="AF189" s="135"/>
      <c r="AG189" s="135"/>
      <c r="AH189" s="135"/>
      <c r="AI189" s="135"/>
      <c r="AJ189" s="135"/>
      <c r="AK189" s="135"/>
      <c r="AL189" s="135"/>
      <c r="AM189" s="135"/>
      <c r="AN189" s="135"/>
      <c r="AO189" s="135"/>
      <c r="AP189" s="135"/>
      <c r="AQ189" s="135"/>
      <c r="AR189" s="135"/>
      <c r="AS189" s="135"/>
      <c r="AT189" s="135"/>
      <c r="AU189" s="135"/>
      <c r="AV189" s="135"/>
      <c r="AW189" s="135"/>
      <c r="AX189" s="135"/>
      <c r="AY189" s="135"/>
      <c r="AZ189" s="135"/>
      <c r="BA189" s="135"/>
      <c r="BB189" s="135"/>
      <c r="BC189" s="135"/>
      <c r="BD189" s="135"/>
      <c r="BE189" s="135"/>
      <c r="BF189" s="135"/>
      <c r="BG189" s="135"/>
      <c r="BH189" s="135"/>
      <c r="BI189" s="135"/>
      <c r="BJ189" s="135"/>
      <c r="BK189" s="135"/>
      <c r="BL189" s="135"/>
      <c r="BM189" s="135"/>
      <c r="BN189" s="135"/>
      <c r="BO189" s="135"/>
      <c r="BP189" s="135"/>
      <c r="BQ189" s="135"/>
      <c r="BR189" s="135"/>
      <c r="BS189" s="135"/>
      <c r="BT189" s="135"/>
      <c r="BU189" s="135"/>
      <c r="BV189" s="135"/>
      <c r="BW189" s="135"/>
      <c r="BX189" s="135"/>
      <c r="BY189" s="135"/>
      <c r="BZ189" s="135"/>
      <c r="CA189" s="135"/>
      <c r="CB189" s="135"/>
      <c r="CC189" s="135"/>
      <c r="CD189" s="135"/>
      <c r="CE189" s="135"/>
      <c r="CF189" s="135"/>
      <c r="CG189" s="135"/>
      <c r="CH189" s="135"/>
      <c r="CI189" s="135"/>
      <c r="CJ189" s="135"/>
      <c r="CK189" s="135"/>
      <c r="CL189" s="135"/>
      <c r="CM189" s="135"/>
      <c r="CN189" s="135"/>
      <c r="CO189" s="135"/>
      <c r="CP189" s="135"/>
      <c r="CQ189" s="135"/>
      <c r="CR189" s="135"/>
      <c r="CS189" s="135"/>
      <c r="CT189" s="135"/>
      <c r="CU189" s="135"/>
      <c r="CV189" s="135"/>
      <c r="CW189" s="135"/>
      <c r="CX189" s="135"/>
      <c r="CY189" s="135"/>
      <c r="CZ189" s="135"/>
      <c r="DA189" s="135"/>
      <c r="DB189" s="135"/>
      <c r="DC189" s="135"/>
      <c r="DD189" s="135"/>
      <c r="DE189" s="135"/>
      <c r="DF189" s="135"/>
      <c r="DG189" s="135"/>
      <c r="DH189" s="135"/>
      <c r="DI189" s="135"/>
      <c r="DJ189" s="135"/>
      <c r="DK189" s="135"/>
      <c r="DL189" s="135"/>
      <c r="DM189" s="135"/>
      <c r="DN189" s="135"/>
      <c r="DO189" s="135"/>
      <c r="DP189" s="135"/>
      <c r="DQ189" s="135"/>
      <c r="DR189" s="135"/>
      <c r="DS189" s="135"/>
      <c r="DT189" s="135"/>
      <c r="DU189" s="135"/>
      <c r="DV189" s="135"/>
      <c r="DW189" s="135"/>
      <c r="DX189" s="135"/>
      <c r="DY189" s="135"/>
      <c r="DZ189" s="135"/>
      <c r="EA189" s="135"/>
      <c r="EB189" s="135"/>
      <c r="EC189" s="135"/>
      <c r="ED189" s="135"/>
      <c r="EE189" s="135"/>
      <c r="EF189" s="135"/>
      <c r="EG189" s="135"/>
      <c r="EH189" s="135"/>
      <c r="EI189" s="135"/>
      <c r="EJ189" s="135"/>
      <c r="EK189" s="135"/>
      <c r="EL189" s="135"/>
      <c r="EM189" s="135"/>
      <c r="EN189" s="135"/>
      <c r="EO189" s="135"/>
      <c r="EP189" s="135"/>
      <c r="EQ189" s="135"/>
      <c r="ER189" s="135"/>
      <c r="ES189" s="135"/>
      <c r="ET189" s="135"/>
      <c r="EU189" s="135"/>
      <c r="EV189" s="135"/>
      <c r="EW189" s="135"/>
      <c r="EX189" s="135"/>
      <c r="EY189" s="135"/>
      <c r="EZ189" s="135"/>
      <c r="FA189" s="135"/>
      <c r="FB189" s="135"/>
      <c r="FC189" s="135"/>
      <c r="FD189" s="135"/>
      <c r="FE189" s="135"/>
      <c r="FF189" s="135"/>
      <c r="FG189" s="135"/>
      <c r="FH189" s="135"/>
      <c r="FI189" s="135"/>
      <c r="FJ189" s="135"/>
      <c r="FK189" s="135"/>
      <c r="FL189" s="135"/>
      <c r="FM189" s="135"/>
      <c r="FN189" s="135"/>
      <c r="FO189" s="135"/>
      <c r="FP189" s="135"/>
      <c r="FQ189" s="135"/>
      <c r="FR189" s="135"/>
      <c r="FS189" s="135"/>
      <c r="FT189" s="135"/>
      <c r="FU189" s="135"/>
      <c r="FV189" s="135"/>
      <c r="FW189" s="135"/>
      <c r="FX189" s="135"/>
      <c r="FY189" s="135"/>
      <c r="FZ189" s="135"/>
      <c r="GA189" s="135"/>
      <c r="GB189" s="135"/>
      <c r="GC189" s="135"/>
      <c r="GD189" s="135"/>
      <c r="GE189" s="135"/>
      <c r="GF189" s="135"/>
      <c r="GG189" s="135"/>
      <c r="GH189" s="135"/>
      <c r="GI189" s="135"/>
      <c r="GJ189" s="135"/>
      <c r="GK189" s="135"/>
      <c r="GL189" s="135"/>
      <c r="GM189" s="135"/>
      <c r="GN189" s="135"/>
      <c r="GO189" s="135"/>
      <c r="GP189" s="135"/>
      <c r="GQ189" s="135"/>
      <c r="GR189" s="135"/>
      <c r="GS189" s="135"/>
      <c r="GT189" s="135"/>
      <c r="GU189" s="135"/>
      <c r="GV189" s="135"/>
      <c r="GW189" s="135"/>
      <c r="GX189" s="135"/>
      <c r="GY189" s="135"/>
      <c r="GZ189" s="135"/>
      <c r="HA189" s="135"/>
      <c r="HB189" s="135"/>
      <c r="HC189" s="135"/>
      <c r="HD189" s="135"/>
      <c r="HE189" s="135"/>
      <c r="HF189" s="135"/>
      <c r="HG189" s="135"/>
      <c r="HH189" s="135"/>
      <c r="HI189" s="135"/>
      <c r="HJ189" s="135"/>
      <c r="HK189" s="135"/>
      <c r="HL189" s="135"/>
      <c r="HM189" s="135"/>
      <c r="HN189" s="135"/>
      <c r="HO189" s="135"/>
      <c r="HP189" s="135"/>
      <c r="HQ189" s="135"/>
      <c r="HR189" s="135"/>
      <c r="HS189" s="135"/>
      <c r="HT189" s="135"/>
      <c r="HU189" s="135"/>
      <c r="HV189" s="135"/>
      <c r="HW189" s="135"/>
      <c r="HX189" s="135"/>
      <c r="HY189" s="135"/>
      <c r="HZ189" s="135"/>
      <c r="IA189" s="135"/>
      <c r="IB189" s="135"/>
      <c r="IC189" s="135"/>
      <c r="ID189" s="135"/>
      <c r="IE189" s="135"/>
      <c r="IF189" s="135"/>
      <c r="IG189" s="135"/>
      <c r="IH189" s="135"/>
      <c r="II189" s="135"/>
      <c r="IJ189" s="135"/>
      <c r="IK189" s="135"/>
      <c r="IL189" s="135"/>
      <c r="IM189" s="135"/>
      <c r="IN189" s="135"/>
      <c r="IO189" s="135"/>
      <c r="IP189" s="135"/>
      <c r="IQ189" s="135"/>
      <c r="IR189" s="135"/>
      <c r="IS189" s="135"/>
      <c r="IT189" s="135"/>
      <c r="IU189" s="135"/>
      <c r="IV189" s="135"/>
      <c r="IW189" s="135"/>
      <c r="IX189" s="135"/>
      <c r="IY189" s="135"/>
      <c r="IZ189" s="135"/>
      <c r="JA189" s="135"/>
      <c r="JB189" s="135"/>
      <c r="JC189" s="135"/>
      <c r="JD189" s="135"/>
      <c r="JE189" s="135"/>
      <c r="JF189" s="135"/>
      <c r="JG189" s="135"/>
      <c r="JH189" s="135"/>
      <c r="JI189" s="135"/>
      <c r="JJ189" s="135"/>
      <c r="JK189" s="135"/>
      <c r="JL189" s="135"/>
      <c r="JM189" s="135"/>
      <c r="JN189" s="135"/>
      <c r="JO189" s="135"/>
      <c r="JP189" s="135"/>
      <c r="JQ189" s="135"/>
      <c r="JR189" s="135"/>
      <c r="JS189" s="135"/>
      <c r="JT189" s="135"/>
      <c r="JU189" s="135"/>
      <c r="JV189" s="135"/>
      <c r="JW189" s="135"/>
      <c r="JX189" s="135"/>
      <c r="JY189" s="135"/>
      <c r="JZ189" s="135"/>
      <c r="KA189" s="135"/>
      <c r="KB189" s="135"/>
      <c r="KC189" s="135"/>
      <c r="KD189" s="135"/>
      <c r="KE189" s="135"/>
      <c r="KF189" s="135"/>
      <c r="KG189" s="135"/>
      <c r="KH189" s="135"/>
      <c r="KI189" s="135"/>
      <c r="KJ189" s="135"/>
      <c r="KK189" s="135"/>
      <c r="KL189" s="135"/>
      <c r="KM189" s="135"/>
      <c r="KN189" s="135"/>
      <c r="KO189" s="135"/>
      <c r="KP189" s="135"/>
      <c r="KQ189" s="135"/>
      <c r="KR189" s="135"/>
      <c r="KS189" s="135"/>
      <c r="KT189" s="135"/>
      <c r="KU189" s="135"/>
      <c r="KV189" s="135"/>
      <c r="KW189" s="135"/>
      <c r="KX189" s="135"/>
      <c r="KY189" s="135"/>
      <c r="KZ189" s="135"/>
      <c r="LA189" s="135"/>
      <c r="LB189" s="135"/>
      <c r="LC189" s="135"/>
      <c r="LD189" s="135"/>
      <c r="LE189" s="135"/>
      <c r="LF189" s="135"/>
      <c r="LG189" s="135"/>
      <c r="LH189" s="135"/>
      <c r="LI189" s="135"/>
      <c r="LJ189" s="135"/>
      <c r="LK189" s="135"/>
      <c r="LL189" s="135"/>
      <c r="LM189" s="135"/>
      <c r="LN189" s="135"/>
      <c r="LO189" s="135"/>
      <c r="LP189" s="135"/>
      <c r="LQ189" s="135"/>
      <c r="LR189" s="135"/>
      <c r="LS189" s="135"/>
      <c r="LT189" s="135"/>
      <c r="LU189" s="135"/>
      <c r="LV189" s="135"/>
      <c r="LW189" s="135"/>
      <c r="LX189" s="135"/>
      <c r="LY189" s="135"/>
      <c r="LZ189" s="135"/>
      <c r="MA189" s="135"/>
      <c r="MB189" s="135"/>
      <c r="MC189" s="135"/>
      <c r="MD189" s="135"/>
      <c r="ME189" s="135"/>
      <c r="MF189" s="135"/>
      <c r="MG189" s="135"/>
      <c r="MH189" s="135"/>
      <c r="MI189" s="135"/>
      <c r="MJ189" s="135"/>
      <c r="MK189" s="135"/>
      <c r="ML189" s="135"/>
      <c r="MM189" s="135"/>
      <c r="MN189" s="135"/>
      <c r="MO189" s="135"/>
      <c r="MP189" s="135"/>
      <c r="MQ189" s="135"/>
      <c r="MR189" s="135"/>
      <c r="MS189" s="135"/>
      <c r="MT189" s="135"/>
      <c r="MU189" s="135"/>
      <c r="MV189" s="135"/>
      <c r="MW189" s="135"/>
      <c r="MX189" s="135"/>
      <c r="MY189" s="135"/>
      <c r="MZ189" s="135"/>
      <c r="NA189" s="135"/>
      <c r="NB189" s="135"/>
      <c r="NC189" s="135"/>
      <c r="ND189" s="135"/>
      <c r="NE189" s="135"/>
      <c r="NF189" s="135"/>
      <c r="NG189" s="135"/>
      <c r="NH189" s="135"/>
      <c r="NI189" s="135"/>
      <c r="NJ189" s="135"/>
      <c r="NK189" s="135"/>
      <c r="NL189" s="135"/>
      <c r="NM189" s="135"/>
      <c r="NN189" s="135"/>
      <c r="NO189" s="135"/>
      <c r="NP189" s="135"/>
      <c r="NQ189" s="135"/>
      <c r="NR189" s="135"/>
      <c r="NS189" s="135"/>
      <c r="NT189" s="135"/>
      <c r="NU189" s="135"/>
      <c r="NV189" s="135"/>
      <c r="NW189" s="135"/>
      <c r="NX189" s="135"/>
      <c r="NY189" s="135"/>
      <c r="NZ189" s="135"/>
      <c r="OA189" s="135"/>
      <c r="OB189" s="135"/>
      <c r="OC189" s="135"/>
      <c r="OD189" s="135"/>
      <c r="OE189" s="135"/>
      <c r="OF189" s="135"/>
      <c r="OG189" s="135"/>
      <c r="OH189" s="135"/>
      <c r="OI189" s="135"/>
      <c r="OJ189" s="135"/>
      <c r="OK189" s="135"/>
      <c r="OL189" s="135"/>
      <c r="OM189" s="135"/>
      <c r="ON189" s="135"/>
      <c r="OO189" s="135"/>
      <c r="OP189" s="135"/>
      <c r="OQ189" s="135"/>
      <c r="OR189" s="135"/>
      <c r="OS189" s="135"/>
      <c r="OT189" s="135"/>
      <c r="OU189" s="135"/>
      <c r="OV189" s="135"/>
      <c r="OW189" s="135"/>
      <c r="OX189" s="135"/>
      <c r="OY189" s="135"/>
      <c r="OZ189" s="135"/>
      <c r="PA189" s="135"/>
      <c r="PB189" s="135"/>
      <c r="PC189" s="135"/>
      <c r="PD189" s="135"/>
      <c r="PE189" s="135"/>
      <c r="PF189" s="135"/>
      <c r="PG189" s="135"/>
      <c r="PH189" s="135"/>
      <c r="PI189" s="135"/>
      <c r="PJ189" s="135"/>
      <c r="PK189" s="135"/>
      <c r="PL189" s="135"/>
      <c r="PM189" s="135"/>
      <c r="PN189" s="135"/>
      <c r="PO189" s="135"/>
      <c r="PP189" s="135"/>
      <c r="PQ189" s="135"/>
      <c r="PR189" s="135"/>
      <c r="PS189" s="135"/>
      <c r="PT189" s="135"/>
      <c r="PU189" s="135"/>
      <c r="PV189" s="135"/>
      <c r="PW189" s="135"/>
      <c r="PX189" s="135"/>
      <c r="PY189" s="135"/>
      <c r="PZ189" s="135"/>
      <c r="QA189" s="135"/>
      <c r="QB189" s="135"/>
      <c r="QC189" s="135"/>
      <c r="QD189" s="135"/>
      <c r="QE189" s="135"/>
      <c r="QF189" s="135"/>
      <c r="QG189" s="135"/>
      <c r="QH189" s="135"/>
      <c r="QI189" s="135"/>
      <c r="QJ189" s="135"/>
      <c r="QK189" s="135"/>
      <c r="QL189" s="135"/>
      <c r="QM189" s="135"/>
      <c r="QN189" s="135"/>
      <c r="QO189" s="135"/>
      <c r="QP189" s="135"/>
      <c r="QQ189" s="135"/>
      <c r="QR189" s="135"/>
      <c r="QS189" s="135"/>
      <c r="QT189" s="135"/>
      <c r="QU189" s="135"/>
      <c r="QV189" s="135"/>
      <c r="QW189" s="135"/>
      <c r="QX189" s="135"/>
      <c r="QY189" s="135"/>
      <c r="QZ189" s="135"/>
      <c r="RA189" s="135"/>
      <c r="RB189" s="135"/>
      <c r="RC189" s="135"/>
      <c r="RD189" s="135"/>
      <c r="RE189" s="135"/>
      <c r="RF189" s="135"/>
      <c r="RG189" s="135"/>
      <c r="RH189" s="135"/>
      <c r="RI189" s="135"/>
      <c r="RJ189" s="135"/>
      <c r="RK189" s="135"/>
      <c r="RL189" s="135"/>
      <c r="RM189" s="135"/>
      <c r="RN189" s="135"/>
      <c r="RO189" s="135"/>
      <c r="RP189" s="135"/>
      <c r="RQ189" s="135"/>
      <c r="RR189" s="135"/>
      <c r="RS189" s="135"/>
      <c r="RT189" s="135"/>
      <c r="RU189" s="135"/>
      <c r="RV189" s="135"/>
      <c r="RW189" s="135"/>
      <c r="RX189" s="135"/>
      <c r="RY189" s="135"/>
      <c r="RZ189" s="135"/>
      <c r="SA189" s="135"/>
      <c r="SB189" s="135"/>
      <c r="SC189" s="135"/>
      <c r="SD189" s="135"/>
      <c r="SE189" s="135"/>
      <c r="SF189" s="135"/>
      <c r="SG189" s="135"/>
      <c r="SH189" s="135"/>
      <c r="SI189" s="135"/>
      <c r="SJ189" s="135"/>
      <c r="SK189" s="135"/>
      <c r="SL189" s="135"/>
      <c r="SM189" s="135"/>
      <c r="SN189" s="135"/>
      <c r="SO189" s="135"/>
      <c r="SP189" s="135"/>
      <c r="SQ189" s="135"/>
      <c r="SR189" s="135"/>
      <c r="SS189" s="135"/>
      <c r="ST189" s="135"/>
      <c r="SU189" s="135"/>
      <c r="SV189" s="135"/>
      <c r="SW189" s="135"/>
      <c r="SX189" s="135"/>
      <c r="SY189" s="135"/>
      <c r="SZ189" s="135"/>
      <c r="TA189" s="135"/>
      <c r="TB189" s="135"/>
      <c r="TC189" s="135"/>
      <c r="TD189" s="135"/>
      <c r="TE189" s="135"/>
      <c r="TF189" s="135"/>
      <c r="TG189" s="135"/>
      <c r="TH189" s="135"/>
      <c r="TI189" s="135"/>
      <c r="TJ189" s="135"/>
      <c r="TK189" s="135"/>
      <c r="TL189" s="135"/>
      <c r="TM189" s="135"/>
      <c r="TN189" s="135"/>
      <c r="TO189" s="135"/>
      <c r="TP189" s="135"/>
      <c r="TQ189" s="135"/>
      <c r="TR189" s="135"/>
      <c r="TS189" s="135"/>
      <c r="TT189" s="135"/>
      <c r="TU189" s="135"/>
      <c r="TV189" s="135"/>
      <c r="TW189" s="135"/>
      <c r="TX189" s="135"/>
      <c r="TY189" s="135"/>
      <c r="TZ189" s="135"/>
      <c r="UA189" s="135"/>
      <c r="UB189" s="135"/>
      <c r="UC189" s="135"/>
      <c r="UD189" s="135"/>
      <c r="UE189" s="135"/>
      <c r="UF189" s="135"/>
      <c r="UG189" s="135"/>
      <c r="UH189" s="135"/>
      <c r="UI189" s="135"/>
      <c r="UJ189" s="135"/>
      <c r="UK189" s="135"/>
      <c r="UL189" s="135"/>
      <c r="UM189" s="135"/>
      <c r="UN189" s="135"/>
      <c r="UO189" s="135"/>
      <c r="UP189" s="135"/>
      <c r="UQ189" s="135"/>
      <c r="UR189" s="135"/>
      <c r="US189" s="135"/>
      <c r="UT189" s="135"/>
      <c r="UU189" s="135"/>
      <c r="UV189" s="135"/>
      <c r="UW189" s="135"/>
      <c r="UX189" s="135"/>
      <c r="UY189" s="135"/>
      <c r="UZ189" s="135"/>
      <c r="VA189" s="135"/>
      <c r="VB189" s="135"/>
      <c r="VC189" s="135"/>
      <c r="VD189" s="135"/>
      <c r="VE189" s="135"/>
      <c r="VF189" s="135"/>
      <c r="VG189" s="135"/>
      <c r="VH189" s="135"/>
      <c r="VI189" s="135"/>
      <c r="VJ189" s="135"/>
      <c r="VK189" s="135"/>
      <c r="VL189" s="135"/>
      <c r="VM189" s="135"/>
      <c r="VN189" s="135"/>
      <c r="VO189" s="135"/>
      <c r="VP189" s="135"/>
      <c r="VQ189" s="135"/>
      <c r="VR189" s="135"/>
      <c r="VS189" s="135"/>
      <c r="VT189" s="135"/>
      <c r="VU189" s="135"/>
      <c r="VV189" s="135"/>
      <c r="VW189" s="135"/>
      <c r="VX189" s="135"/>
      <c r="VY189" s="135"/>
      <c r="VZ189" s="135"/>
      <c r="WA189" s="135"/>
      <c r="WB189" s="135"/>
      <c r="WC189" s="135"/>
      <c r="WD189" s="135"/>
      <c r="WE189" s="135"/>
      <c r="WF189" s="135"/>
      <c r="WG189" s="135"/>
      <c r="WH189" s="135"/>
      <c r="WI189" s="135"/>
      <c r="WJ189" s="135"/>
      <c r="WK189" s="135"/>
      <c r="WL189" s="135"/>
      <c r="WM189" s="135"/>
      <c r="WN189" s="135"/>
      <c r="WO189" s="135"/>
      <c r="WP189" s="135"/>
      <c r="WQ189" s="135"/>
      <c r="WR189" s="135"/>
      <c r="WS189" s="135"/>
      <c r="WT189" s="135"/>
      <c r="WU189" s="135"/>
      <c r="WV189" s="135"/>
      <c r="WW189" s="135"/>
      <c r="WX189" s="135"/>
      <c r="WY189" s="135"/>
      <c r="WZ189" s="135"/>
      <c r="XA189" s="135"/>
      <c r="XB189" s="135"/>
      <c r="XC189" s="135"/>
      <c r="XD189" s="135"/>
      <c r="XE189" s="135"/>
      <c r="XF189" s="135"/>
      <c r="XG189" s="135"/>
      <c r="XH189" s="135"/>
      <c r="XI189" s="135"/>
      <c r="XJ189" s="135"/>
      <c r="XK189" s="135"/>
      <c r="XL189" s="135"/>
      <c r="XM189" s="135"/>
      <c r="XN189" s="135"/>
      <c r="XO189" s="135"/>
      <c r="XP189" s="135"/>
      <c r="XQ189" s="135"/>
      <c r="XR189" s="135"/>
      <c r="XS189" s="135"/>
      <c r="XT189" s="135"/>
      <c r="XU189" s="135"/>
      <c r="XV189" s="135"/>
      <c r="XW189" s="135"/>
      <c r="XX189" s="135"/>
      <c r="XY189" s="135"/>
      <c r="XZ189" s="135"/>
      <c r="YA189" s="135"/>
      <c r="YB189" s="135"/>
      <c r="YC189" s="135"/>
      <c r="YD189" s="135"/>
      <c r="YE189" s="135"/>
      <c r="YF189" s="135"/>
      <c r="YG189" s="135"/>
      <c r="YH189" s="135"/>
      <c r="YI189" s="135"/>
      <c r="YJ189" s="135"/>
      <c r="YK189" s="135"/>
      <c r="YL189" s="135"/>
      <c r="YM189" s="135"/>
      <c r="YN189" s="135"/>
      <c r="YO189" s="135"/>
      <c r="YP189" s="135"/>
      <c r="YQ189" s="135"/>
      <c r="YR189" s="135"/>
      <c r="YS189" s="135"/>
      <c r="YT189" s="135"/>
      <c r="YU189" s="135"/>
      <c r="YV189" s="135"/>
      <c r="YW189" s="135"/>
      <c r="YX189" s="135"/>
      <c r="YY189" s="135"/>
      <c r="YZ189" s="135"/>
      <c r="ZA189" s="135"/>
      <c r="ZB189" s="135"/>
      <c r="ZC189" s="135"/>
      <c r="ZD189" s="135"/>
      <c r="ZE189" s="135"/>
      <c r="ZF189" s="135"/>
      <c r="ZG189" s="135"/>
      <c r="ZH189" s="135"/>
      <c r="ZI189" s="135"/>
      <c r="ZJ189" s="135"/>
      <c r="ZK189" s="135"/>
      <c r="ZL189" s="135"/>
      <c r="ZM189" s="135"/>
      <c r="ZN189" s="135"/>
      <c r="ZO189" s="135"/>
      <c r="ZP189" s="135"/>
      <c r="ZQ189" s="135"/>
      <c r="ZR189" s="135"/>
      <c r="ZS189" s="135"/>
      <c r="ZT189" s="135"/>
      <c r="ZU189" s="135"/>
      <c r="ZV189" s="135"/>
      <c r="ZW189" s="135"/>
      <c r="ZX189" s="135"/>
      <c r="ZY189" s="135"/>
      <c r="ZZ189" s="135"/>
      <c r="AAA189" s="135"/>
      <c r="AAB189" s="135"/>
      <c r="AAC189" s="135"/>
      <c r="AAD189" s="135"/>
      <c r="AAE189" s="135"/>
      <c r="AAF189" s="135"/>
      <c r="AAG189" s="135"/>
      <c r="AAH189" s="135"/>
      <c r="AAI189" s="135"/>
      <c r="AAJ189" s="135"/>
      <c r="AAK189" s="135"/>
      <c r="AAL189" s="135"/>
      <c r="AAM189" s="135"/>
      <c r="AAN189" s="135"/>
      <c r="AAO189" s="135"/>
      <c r="AAP189" s="135"/>
      <c r="AAQ189" s="135"/>
      <c r="AAR189" s="135"/>
      <c r="AAS189" s="135"/>
      <c r="AAT189" s="135"/>
      <c r="AAU189" s="135"/>
      <c r="AAV189" s="135"/>
      <c r="AAW189" s="135"/>
      <c r="AAX189" s="135"/>
      <c r="AAY189" s="135"/>
      <c r="AAZ189" s="135"/>
      <c r="ABA189" s="135"/>
      <c r="ABB189" s="135"/>
      <c r="ABC189" s="135"/>
      <c r="ABD189" s="135"/>
      <c r="ABE189" s="135"/>
      <c r="ABF189" s="135"/>
      <c r="ABG189" s="135"/>
      <c r="ABH189" s="135"/>
      <c r="ABI189" s="135"/>
      <c r="ABJ189" s="135"/>
      <c r="ABK189" s="135"/>
      <c r="ABL189" s="135"/>
      <c r="ABM189" s="135"/>
      <c r="ABN189" s="135"/>
      <c r="ABO189" s="135"/>
      <c r="ABP189" s="135"/>
      <c r="ABQ189" s="135"/>
      <c r="ABR189" s="135"/>
      <c r="ABS189" s="135"/>
      <c r="ABT189" s="135"/>
      <c r="ABU189" s="135"/>
      <c r="ABV189" s="135"/>
      <c r="ABW189" s="135"/>
      <c r="ABX189" s="135"/>
      <c r="ABY189" s="135"/>
      <c r="ABZ189" s="135"/>
      <c r="ACA189" s="135"/>
      <c r="ACB189" s="135"/>
      <c r="ACC189" s="135"/>
      <c r="ACD189" s="135"/>
      <c r="ACE189" s="135"/>
      <c r="ACF189" s="135"/>
      <c r="ACG189" s="135"/>
      <c r="ACH189" s="135"/>
      <c r="ACI189" s="135"/>
      <c r="ACJ189" s="135"/>
      <c r="ACK189" s="135"/>
      <c r="ACL189" s="135"/>
      <c r="ACM189" s="135"/>
      <c r="ACN189" s="135"/>
      <c r="ACO189" s="135"/>
      <c r="ACP189" s="135"/>
      <c r="ACQ189" s="135"/>
      <c r="ACR189" s="135"/>
      <c r="ACS189" s="135"/>
      <c r="ACT189" s="135"/>
      <c r="ACU189" s="135"/>
      <c r="ACV189" s="135"/>
      <c r="ACW189" s="135"/>
      <c r="ACX189" s="135"/>
      <c r="ACY189" s="135"/>
      <c r="ACZ189" s="135"/>
      <c r="ADA189" s="135"/>
      <c r="ADB189" s="135"/>
      <c r="ADC189" s="135"/>
      <c r="ADD189" s="135"/>
      <c r="ADE189" s="135"/>
      <c r="ADF189" s="135"/>
      <c r="ADG189" s="135"/>
      <c r="ADH189" s="135"/>
      <c r="ADI189" s="135"/>
      <c r="ADJ189" s="135"/>
      <c r="ADK189" s="135"/>
      <c r="ADL189" s="135"/>
      <c r="ADM189" s="135"/>
      <c r="ADN189" s="135"/>
      <c r="ADO189" s="135"/>
      <c r="ADP189" s="135"/>
      <c r="ADQ189" s="135"/>
      <c r="ADR189" s="135"/>
      <c r="ADS189" s="135"/>
      <c r="ADT189" s="135"/>
      <c r="ADU189" s="135"/>
      <c r="ADV189" s="135"/>
      <c r="ADW189" s="135"/>
      <c r="ADX189" s="135"/>
      <c r="ADY189" s="135"/>
      <c r="ADZ189" s="135"/>
      <c r="AEA189" s="135"/>
      <c r="AEB189" s="135"/>
      <c r="AEC189" s="135"/>
      <c r="AED189" s="135"/>
      <c r="AEE189" s="135"/>
      <c r="AEF189" s="135"/>
      <c r="AEG189" s="135"/>
      <c r="AEH189" s="135"/>
      <c r="AEI189" s="135"/>
      <c r="AEJ189" s="135"/>
      <c r="AEK189" s="135"/>
      <c r="AEL189" s="135"/>
      <c r="AEM189" s="135"/>
      <c r="AEN189" s="135"/>
      <c r="AEO189" s="135"/>
      <c r="AEP189" s="135"/>
      <c r="AEQ189" s="135"/>
      <c r="AER189" s="135"/>
      <c r="AES189" s="135"/>
      <c r="AET189" s="135"/>
      <c r="AEU189" s="135"/>
      <c r="AEV189" s="135"/>
      <c r="AEW189" s="135"/>
      <c r="AEX189" s="135"/>
      <c r="AEY189" s="135"/>
      <c r="AEZ189" s="135"/>
      <c r="AFA189" s="135"/>
      <c r="AFB189" s="135"/>
      <c r="AFC189" s="135"/>
      <c r="AFD189" s="135"/>
      <c r="AFE189" s="135"/>
      <c r="AFF189" s="135"/>
      <c r="AFG189" s="135"/>
      <c r="AFH189" s="135"/>
      <c r="AFI189" s="135"/>
      <c r="AFJ189" s="135"/>
      <c r="AFK189" s="135"/>
      <c r="AFL189" s="135"/>
      <c r="AFM189" s="135"/>
      <c r="AFN189" s="135"/>
      <c r="AFO189" s="135"/>
      <c r="AFP189" s="135"/>
      <c r="AFQ189" s="135"/>
      <c r="AFR189" s="135"/>
      <c r="AFS189" s="135"/>
      <c r="AFT189" s="135"/>
      <c r="AFU189" s="135"/>
      <c r="AFV189" s="135"/>
      <c r="AFW189" s="135"/>
      <c r="AFX189" s="135"/>
      <c r="AFY189" s="135"/>
      <c r="AFZ189" s="135"/>
      <c r="AGA189" s="135"/>
      <c r="AGB189" s="135"/>
      <c r="AGC189" s="135"/>
      <c r="AGD189" s="135"/>
      <c r="AGE189" s="135"/>
      <c r="AGF189" s="135"/>
      <c r="AGG189" s="135"/>
      <c r="AGH189" s="135"/>
      <c r="AGI189" s="135"/>
      <c r="AGJ189" s="135"/>
      <c r="AGK189" s="135"/>
      <c r="AGL189" s="135"/>
      <c r="AGM189" s="135"/>
      <c r="AGN189" s="135"/>
      <c r="AGO189" s="135"/>
      <c r="AGP189" s="135"/>
      <c r="AGQ189" s="135"/>
      <c r="AGR189" s="135"/>
      <c r="AGS189" s="135"/>
      <c r="AGT189" s="135"/>
      <c r="AGU189" s="135"/>
      <c r="AGV189" s="135"/>
      <c r="AGW189" s="135"/>
      <c r="AGX189" s="135"/>
      <c r="AGY189" s="135"/>
      <c r="AGZ189" s="135"/>
      <c r="AHA189" s="135"/>
      <c r="AHB189" s="135"/>
      <c r="AHC189" s="135"/>
      <c r="AHD189" s="135"/>
      <c r="AHE189" s="135"/>
      <c r="AHF189" s="135"/>
      <c r="AHG189" s="135"/>
      <c r="AHH189" s="135"/>
      <c r="AHI189" s="135"/>
      <c r="AHJ189" s="135"/>
      <c r="AHK189" s="135"/>
      <c r="AHL189" s="135"/>
      <c r="AHM189" s="135"/>
      <c r="AHN189" s="135"/>
      <c r="AHO189" s="135"/>
      <c r="AHP189" s="135"/>
      <c r="AHQ189" s="135"/>
      <c r="AHR189" s="135"/>
      <c r="AHS189" s="135"/>
      <c r="AHT189" s="135"/>
      <c r="AHU189" s="135"/>
      <c r="AHV189" s="135"/>
      <c r="AHW189" s="135"/>
      <c r="AHX189" s="135"/>
      <c r="AHY189" s="135"/>
      <c r="AHZ189" s="135"/>
      <c r="AIA189" s="135"/>
      <c r="AIB189" s="135"/>
      <c r="AIC189" s="135"/>
      <c r="AID189" s="135"/>
      <c r="AIE189" s="135"/>
      <c r="AIF189" s="135"/>
      <c r="AIG189" s="135"/>
      <c r="AIH189" s="135"/>
      <c r="AII189" s="135"/>
      <c r="AIJ189" s="135"/>
      <c r="AIK189" s="135"/>
      <c r="AIL189" s="135"/>
      <c r="AIM189" s="135"/>
      <c r="AIN189" s="135"/>
      <c r="AIO189" s="135"/>
      <c r="AIP189" s="135"/>
      <c r="AIQ189" s="135"/>
      <c r="AIR189" s="135"/>
      <c r="AIS189" s="135"/>
      <c r="AIT189" s="135"/>
      <c r="AIU189" s="135"/>
      <c r="AIV189" s="135"/>
      <c r="AIW189" s="135"/>
      <c r="AIX189" s="135"/>
      <c r="AIY189" s="135"/>
      <c r="AIZ189" s="135"/>
      <c r="AJA189" s="135"/>
      <c r="AJB189" s="135"/>
      <c r="AJC189" s="135"/>
      <c r="AJD189" s="135"/>
      <c r="AJE189" s="135"/>
      <c r="AJF189" s="135"/>
      <c r="AJG189" s="135"/>
      <c r="AJH189" s="135"/>
      <c r="AJI189" s="135"/>
      <c r="AJJ189" s="135"/>
      <c r="AJK189" s="135"/>
      <c r="AJL189" s="135"/>
      <c r="AJM189" s="135"/>
      <c r="AJN189" s="135"/>
      <c r="AJO189" s="135"/>
      <c r="AJP189" s="135"/>
      <c r="AJQ189" s="135"/>
      <c r="AJR189" s="135"/>
      <c r="AJS189" s="135"/>
      <c r="AJT189" s="135"/>
      <c r="AJU189" s="135"/>
      <c r="AJV189" s="135"/>
      <c r="AJW189" s="135"/>
      <c r="AJX189" s="135"/>
      <c r="AJY189" s="135"/>
      <c r="AJZ189" s="135"/>
      <c r="AKA189" s="135"/>
      <c r="AKB189" s="135"/>
      <c r="AKC189" s="135"/>
      <c r="AKD189" s="135"/>
      <c r="AKE189" s="135"/>
      <c r="AKF189" s="135"/>
      <c r="AKG189" s="135"/>
      <c r="AKH189" s="135"/>
      <c r="AKI189" s="135"/>
      <c r="AKJ189" s="135"/>
      <c r="AKK189" s="135"/>
      <c r="AKL189" s="135"/>
      <c r="AKM189" s="135"/>
      <c r="AKN189" s="135"/>
      <c r="AKO189" s="135"/>
      <c r="AKP189" s="135"/>
      <c r="AKQ189" s="135"/>
      <c r="AKR189" s="135"/>
      <c r="AKS189" s="135"/>
      <c r="AKT189" s="135"/>
      <c r="AKU189" s="135"/>
      <c r="AKV189" s="135"/>
      <c r="AKW189" s="135"/>
      <c r="AKX189" s="135"/>
      <c r="AKY189" s="135"/>
      <c r="AKZ189" s="135"/>
      <c r="ALA189" s="135"/>
      <c r="ALB189" s="135"/>
      <c r="ALC189" s="135"/>
      <c r="ALD189" s="135"/>
      <c r="ALE189" s="135"/>
      <c r="ALF189" s="135"/>
      <c r="ALG189" s="135"/>
      <c r="ALH189" s="135"/>
      <c r="ALI189" s="135"/>
      <c r="ALJ189" s="135"/>
      <c r="ALK189" s="135"/>
      <c r="ALL189" s="135"/>
      <c r="ALM189" s="135"/>
      <c r="ALN189" s="135"/>
      <c r="ALO189" s="135"/>
      <c r="ALP189" s="135"/>
      <c r="ALQ189" s="135"/>
      <c r="ALR189" s="135"/>
      <c r="ALS189" s="135"/>
      <c r="ALT189" s="135"/>
      <c r="ALU189" s="135"/>
      <c r="ALV189" s="135"/>
      <c r="ALW189" s="135"/>
      <c r="ALX189" s="135"/>
      <c r="ALY189" s="135"/>
      <c r="ALZ189" s="135"/>
      <c r="AMA189" s="135"/>
      <c r="AMB189" s="135"/>
      <c r="AMC189" s="135"/>
      <c r="AMD189" s="135"/>
      <c r="AME189" s="135"/>
      <c r="AMF189" s="135"/>
      <c r="AMG189" s="135"/>
      <c r="AMH189" s="135"/>
      <c r="AMI189" s="135"/>
      <c r="AMJ189" s="135"/>
      <c r="AMK189" s="135"/>
      <c r="AML189" s="135"/>
      <c r="AMM189" s="135"/>
      <c r="AMN189" s="135"/>
      <c r="AMO189" s="135"/>
      <c r="AMP189" s="135"/>
      <c r="AMQ189" s="135"/>
      <c r="AMR189" s="135"/>
      <c r="AMS189" s="135"/>
      <c r="AMT189" s="135"/>
      <c r="AMU189" s="135"/>
      <c r="AMV189" s="135"/>
      <c r="AMW189" s="135"/>
      <c r="AMX189" s="135"/>
      <c r="AMY189" s="135"/>
      <c r="AMZ189" s="135"/>
      <c r="ANA189" s="135"/>
      <c r="ANB189" s="135"/>
      <c r="ANC189" s="135"/>
      <c r="AND189" s="135"/>
      <c r="ANE189" s="135"/>
      <c r="ANF189" s="135"/>
      <c r="ANG189" s="135"/>
      <c r="ANH189" s="135"/>
      <c r="ANI189" s="135"/>
      <c r="ANJ189" s="135"/>
      <c r="ANK189" s="135"/>
      <c r="ANL189" s="135"/>
      <c r="ANM189" s="135"/>
      <c r="ANN189" s="135"/>
      <c r="ANO189" s="135"/>
      <c r="ANP189" s="135"/>
      <c r="ANQ189" s="135"/>
      <c r="ANR189" s="135"/>
      <c r="ANS189" s="135"/>
      <c r="ANT189" s="135"/>
      <c r="ANU189" s="135"/>
      <c r="ANV189" s="135"/>
      <c r="ANW189" s="135"/>
      <c r="ANX189" s="135"/>
      <c r="ANY189" s="135"/>
      <c r="ANZ189" s="135"/>
      <c r="AOA189" s="135"/>
      <c r="AOB189" s="135"/>
      <c r="AOC189" s="135"/>
      <c r="AOD189" s="135"/>
      <c r="AOE189" s="135"/>
      <c r="AOF189" s="135"/>
      <c r="AOG189" s="135"/>
      <c r="AOH189" s="135"/>
      <c r="AOI189" s="135"/>
      <c r="AOJ189" s="135"/>
      <c r="AOK189" s="135"/>
      <c r="AOL189" s="135"/>
      <c r="AOM189" s="135"/>
      <c r="AON189" s="135"/>
      <c r="AOO189" s="135"/>
      <c r="AOP189" s="135"/>
      <c r="AOQ189" s="135"/>
      <c r="AOR189" s="135"/>
      <c r="AOS189" s="135"/>
      <c r="AOT189" s="135"/>
      <c r="AOU189" s="135"/>
      <c r="AOV189" s="135"/>
      <c r="AOW189" s="135"/>
      <c r="AOX189" s="135"/>
      <c r="AOY189" s="135"/>
      <c r="AOZ189" s="135"/>
      <c r="APA189" s="135"/>
      <c r="APB189" s="135"/>
      <c r="APC189" s="135"/>
      <c r="APD189" s="135"/>
      <c r="APE189" s="135"/>
      <c r="APF189" s="135"/>
      <c r="APG189" s="135"/>
      <c r="APH189" s="135"/>
      <c r="API189" s="135"/>
      <c r="APJ189" s="135"/>
      <c r="APK189" s="135"/>
      <c r="APL189" s="135"/>
      <c r="APM189" s="135"/>
      <c r="APN189" s="135"/>
      <c r="APO189" s="135"/>
      <c r="APP189" s="135"/>
      <c r="APQ189" s="135"/>
      <c r="APR189" s="135"/>
      <c r="APS189" s="135"/>
      <c r="APT189" s="135"/>
      <c r="APU189" s="135"/>
      <c r="APV189" s="135"/>
      <c r="APW189" s="135"/>
      <c r="APX189" s="135"/>
      <c r="APY189" s="135"/>
      <c r="APZ189" s="135"/>
      <c r="AQA189" s="135"/>
      <c r="AQB189" s="135"/>
      <c r="AQC189" s="135"/>
      <c r="AQD189" s="135"/>
      <c r="AQE189" s="135"/>
      <c r="AQF189" s="135"/>
      <c r="AQG189" s="135"/>
      <c r="AQH189" s="135"/>
      <c r="AQI189" s="135"/>
      <c r="AQJ189" s="135"/>
      <c r="AQK189" s="135"/>
      <c r="AQL189" s="135"/>
      <c r="AQM189" s="135"/>
      <c r="AQN189" s="135"/>
      <c r="AQO189" s="135"/>
      <c r="AQP189" s="135"/>
      <c r="AQQ189" s="135"/>
      <c r="AQR189" s="135"/>
      <c r="AQS189" s="135"/>
      <c r="AQT189" s="135"/>
      <c r="AQU189" s="135"/>
      <c r="AQV189" s="135"/>
      <c r="AQW189" s="135"/>
      <c r="AQX189" s="135"/>
      <c r="AQY189" s="135"/>
      <c r="AQZ189" s="135"/>
      <c r="ARA189" s="135"/>
      <c r="ARB189" s="135"/>
      <c r="ARC189" s="135"/>
      <c r="ARD189" s="135"/>
      <c r="ARE189" s="135"/>
      <c r="ARF189" s="135"/>
      <c r="ARG189" s="135"/>
      <c r="ARH189" s="135"/>
      <c r="ARI189" s="135"/>
      <c r="ARJ189" s="135"/>
      <c r="ARK189" s="135"/>
      <c r="ARL189" s="135"/>
      <c r="ARM189" s="135"/>
      <c r="ARN189" s="135"/>
      <c r="ARO189" s="135"/>
      <c r="ARP189" s="135"/>
      <c r="ARQ189" s="135"/>
      <c r="ARR189" s="135"/>
      <c r="ARS189" s="135"/>
      <c r="ART189" s="135"/>
      <c r="ARU189" s="135"/>
      <c r="ARV189" s="135"/>
      <c r="ARW189" s="135"/>
      <c r="ARX189" s="135"/>
      <c r="ARY189" s="135"/>
      <c r="ARZ189" s="135"/>
      <c r="ASA189" s="135"/>
      <c r="ASB189" s="135"/>
      <c r="ASC189" s="135"/>
      <c r="ASD189" s="135"/>
      <c r="ASE189" s="135"/>
      <c r="ASF189" s="135"/>
      <c r="ASG189" s="135"/>
      <c r="ASH189" s="135"/>
      <c r="ASI189" s="135"/>
      <c r="ASJ189" s="135"/>
      <c r="ASK189" s="135"/>
      <c r="ASL189" s="135"/>
      <c r="ASM189" s="135"/>
      <c r="ASN189" s="135"/>
      <c r="ASO189" s="135"/>
      <c r="ASP189" s="135"/>
      <c r="ASQ189" s="135"/>
      <c r="ASR189" s="135"/>
      <c r="ASS189" s="135"/>
      <c r="AST189" s="135"/>
      <c r="ASU189" s="135"/>
      <c r="ASV189" s="135"/>
      <c r="ASW189" s="135"/>
      <c r="ASX189" s="135"/>
      <c r="ASY189" s="135"/>
      <c r="ASZ189" s="135"/>
      <c r="ATA189" s="135"/>
      <c r="ATB189" s="135"/>
      <c r="ATC189" s="135"/>
      <c r="ATD189" s="135"/>
      <c r="ATE189" s="135"/>
      <c r="ATF189" s="135"/>
      <c r="ATG189" s="135"/>
      <c r="ATH189" s="135"/>
      <c r="ATI189" s="135"/>
      <c r="ATJ189" s="135"/>
      <c r="ATK189" s="135"/>
      <c r="ATL189" s="135"/>
      <c r="ATM189" s="135"/>
      <c r="ATN189" s="135"/>
      <c r="ATO189" s="135"/>
      <c r="ATP189" s="135"/>
      <c r="ATQ189" s="135"/>
      <c r="ATR189" s="135"/>
      <c r="ATS189" s="135"/>
      <c r="ATT189" s="135"/>
      <c r="ATU189" s="135"/>
      <c r="ATV189" s="135"/>
      <c r="ATW189" s="135"/>
      <c r="ATX189" s="135"/>
      <c r="ATY189" s="135"/>
      <c r="ATZ189" s="135"/>
      <c r="AUA189" s="135"/>
      <c r="AUB189" s="135"/>
      <c r="AUC189" s="135"/>
      <c r="AUD189" s="135"/>
      <c r="AUE189" s="135"/>
      <c r="AUF189" s="135"/>
      <c r="AUG189" s="135"/>
      <c r="AUH189" s="135"/>
      <c r="AUI189" s="135"/>
      <c r="AUJ189" s="135"/>
      <c r="AUK189" s="135"/>
      <c r="AUL189" s="135"/>
      <c r="AUM189" s="135"/>
      <c r="AUN189" s="135"/>
      <c r="AUO189" s="135"/>
      <c r="AUP189" s="135"/>
      <c r="AUQ189" s="135"/>
      <c r="AUR189" s="135"/>
      <c r="AUS189" s="135"/>
      <c r="AUT189" s="135"/>
      <c r="AUU189" s="135"/>
      <c r="AUV189" s="135"/>
      <c r="AUW189" s="135"/>
      <c r="AUX189" s="135"/>
      <c r="AUY189" s="135"/>
      <c r="AUZ189" s="135"/>
      <c r="AVA189" s="135"/>
      <c r="AVB189" s="135"/>
      <c r="AVC189" s="135"/>
      <c r="AVD189" s="135"/>
      <c r="AVE189" s="135"/>
      <c r="AVF189" s="135"/>
      <c r="AVG189" s="135"/>
      <c r="AVH189" s="135"/>
      <c r="AVI189" s="135"/>
      <c r="AVJ189" s="135"/>
      <c r="AVK189" s="135"/>
      <c r="AVL189" s="135"/>
      <c r="AVM189" s="135"/>
      <c r="AVN189" s="135"/>
      <c r="AVO189" s="135"/>
      <c r="AVP189" s="135"/>
      <c r="AVQ189" s="135"/>
      <c r="AVR189" s="135"/>
      <c r="AVS189" s="135"/>
      <c r="AVT189" s="135"/>
      <c r="AVU189" s="135"/>
      <c r="AVV189" s="135"/>
      <c r="AVW189" s="135"/>
      <c r="AVX189" s="135"/>
      <c r="AVY189" s="135"/>
      <c r="AVZ189" s="135"/>
      <c r="AWA189" s="135"/>
      <c r="AWB189" s="135"/>
      <c r="AWC189" s="135"/>
      <c r="AWD189" s="135"/>
      <c r="AWE189" s="135"/>
      <c r="AWF189" s="135"/>
      <c r="AWG189" s="135"/>
      <c r="AWH189" s="135"/>
      <c r="AWI189" s="135"/>
      <c r="AWJ189" s="135"/>
      <c r="AWK189" s="135"/>
      <c r="AWL189" s="135"/>
      <c r="AWM189" s="135"/>
      <c r="AWN189" s="135"/>
      <c r="AWO189" s="135"/>
      <c r="AWP189" s="135"/>
      <c r="AWQ189" s="135"/>
      <c r="AWR189" s="135"/>
      <c r="AWS189" s="135"/>
      <c r="AWT189" s="135"/>
      <c r="AWU189" s="135"/>
      <c r="AWV189" s="135"/>
      <c r="AWW189" s="135"/>
      <c r="AWX189" s="135"/>
      <c r="AWY189" s="135"/>
      <c r="AWZ189" s="135"/>
      <c r="AXA189" s="135"/>
      <c r="AXB189" s="135"/>
      <c r="AXC189" s="135"/>
      <c r="AXD189" s="135"/>
      <c r="AXE189" s="135"/>
      <c r="AXF189" s="135"/>
      <c r="AXG189" s="135"/>
      <c r="AXH189" s="135"/>
      <c r="AXI189" s="135"/>
      <c r="AXJ189" s="135"/>
      <c r="AXK189" s="135"/>
      <c r="AXL189" s="135"/>
      <c r="AXM189" s="135"/>
      <c r="AXN189" s="135"/>
      <c r="AXO189" s="135"/>
      <c r="AXP189" s="135"/>
      <c r="AXQ189" s="135"/>
      <c r="AXR189" s="135"/>
      <c r="AXS189" s="135"/>
      <c r="AXT189" s="135"/>
      <c r="AXU189" s="135"/>
      <c r="AXV189" s="135"/>
      <c r="AXW189" s="135"/>
      <c r="AXX189" s="135"/>
      <c r="AXY189" s="135"/>
      <c r="AXZ189" s="135"/>
      <c r="AYA189" s="135"/>
      <c r="AYB189" s="135"/>
      <c r="AYC189" s="135"/>
      <c r="AYD189" s="135"/>
      <c r="AYE189" s="135"/>
      <c r="AYF189" s="135"/>
      <c r="AYG189" s="135"/>
      <c r="AYH189" s="135"/>
      <c r="AYI189" s="135"/>
      <c r="AYJ189" s="135"/>
      <c r="AYK189" s="135"/>
      <c r="AYL189" s="135"/>
      <c r="AYM189" s="135"/>
      <c r="AYN189" s="135"/>
      <c r="AYO189" s="135"/>
      <c r="AYP189" s="135"/>
      <c r="AYQ189" s="135"/>
      <c r="AYR189" s="135"/>
      <c r="AYS189" s="135"/>
      <c r="AYT189" s="135"/>
      <c r="AYU189" s="135"/>
      <c r="AYV189" s="135"/>
      <c r="AYW189" s="135"/>
      <c r="AYX189" s="135"/>
      <c r="AYY189" s="135"/>
      <c r="AYZ189" s="135"/>
      <c r="AZA189" s="135"/>
      <c r="AZB189" s="135"/>
      <c r="AZC189" s="135"/>
      <c r="AZD189" s="135"/>
      <c r="AZE189" s="135"/>
      <c r="AZF189" s="135"/>
      <c r="AZG189" s="135"/>
      <c r="AZH189" s="135"/>
      <c r="AZI189" s="135"/>
      <c r="AZJ189" s="135"/>
      <c r="AZK189" s="135"/>
      <c r="AZL189" s="135"/>
      <c r="AZM189" s="135"/>
      <c r="AZN189" s="135"/>
      <c r="AZO189" s="135"/>
      <c r="AZP189" s="135"/>
      <c r="AZQ189" s="135"/>
      <c r="AZR189" s="135"/>
      <c r="AZS189" s="135"/>
      <c r="AZT189" s="135"/>
      <c r="AZU189" s="135"/>
      <c r="AZV189" s="135"/>
      <c r="AZW189" s="135"/>
      <c r="AZX189" s="135"/>
      <c r="AZY189" s="135"/>
      <c r="AZZ189" s="135"/>
      <c r="BAA189" s="135"/>
      <c r="BAB189" s="135"/>
      <c r="BAC189" s="135"/>
      <c r="BAD189" s="135"/>
      <c r="BAE189" s="135"/>
      <c r="BAF189" s="135"/>
      <c r="BAG189" s="135"/>
      <c r="BAH189" s="135"/>
      <c r="BAI189" s="135"/>
      <c r="BAJ189" s="135"/>
      <c r="BAK189" s="135"/>
      <c r="BAL189" s="135"/>
      <c r="BAM189" s="135"/>
      <c r="BAN189" s="135"/>
      <c r="BAO189" s="135"/>
      <c r="BAP189" s="135"/>
      <c r="BAQ189" s="135"/>
      <c r="BAR189" s="135"/>
      <c r="BAS189" s="135"/>
      <c r="BAT189" s="135"/>
      <c r="BAU189" s="135"/>
      <c r="BAV189" s="135"/>
      <c r="BAW189" s="135"/>
      <c r="BAX189" s="135"/>
      <c r="BAY189" s="135"/>
      <c r="BAZ189" s="135"/>
      <c r="BBA189" s="135"/>
      <c r="BBB189" s="135"/>
      <c r="BBC189" s="135"/>
      <c r="BBD189" s="135"/>
      <c r="BBE189" s="135"/>
      <c r="BBF189" s="135"/>
      <c r="BBG189" s="135"/>
      <c r="BBH189" s="135"/>
      <c r="BBI189" s="135"/>
      <c r="BBJ189" s="135"/>
      <c r="BBK189" s="135"/>
      <c r="BBL189" s="135"/>
      <c r="BBM189" s="135"/>
      <c r="BBN189" s="135"/>
      <c r="BBO189" s="135"/>
      <c r="BBP189" s="135"/>
      <c r="BBQ189" s="135"/>
      <c r="BBR189" s="135"/>
      <c r="BBS189" s="135"/>
      <c r="BBT189" s="135"/>
      <c r="BBU189" s="135"/>
      <c r="BBV189" s="135"/>
      <c r="BBW189" s="135"/>
      <c r="BBX189" s="135"/>
      <c r="BBY189" s="135"/>
      <c r="BBZ189" s="135"/>
      <c r="BCA189" s="135"/>
      <c r="BCB189" s="135"/>
      <c r="BCC189" s="135"/>
      <c r="BCD189" s="135"/>
      <c r="BCE189" s="135"/>
      <c r="BCF189" s="135"/>
      <c r="BCG189" s="135"/>
      <c r="BCH189" s="135"/>
      <c r="BCI189" s="135"/>
      <c r="BCJ189" s="135"/>
      <c r="BCK189" s="135"/>
      <c r="BCL189" s="135"/>
      <c r="BCM189" s="135"/>
      <c r="BCN189" s="135"/>
      <c r="BCO189" s="135"/>
      <c r="BCP189" s="135"/>
      <c r="BCQ189" s="135"/>
      <c r="BCR189" s="135"/>
      <c r="BCS189" s="135"/>
      <c r="BCT189" s="135"/>
      <c r="BCU189" s="135"/>
      <c r="BCV189" s="135"/>
      <c r="BCW189" s="135"/>
      <c r="BCX189" s="135"/>
      <c r="BCY189" s="135"/>
      <c r="BCZ189" s="135"/>
      <c r="BDA189" s="135"/>
      <c r="BDB189" s="135"/>
      <c r="BDC189" s="135"/>
      <c r="BDD189" s="135"/>
      <c r="BDE189" s="135"/>
      <c r="BDF189" s="135"/>
      <c r="BDG189" s="135"/>
      <c r="BDH189" s="135"/>
      <c r="BDI189" s="135"/>
      <c r="BDJ189" s="135"/>
      <c r="BDK189" s="135"/>
      <c r="BDL189" s="135"/>
      <c r="BDM189" s="135"/>
      <c r="BDN189" s="135"/>
      <c r="BDO189" s="135"/>
      <c r="BDP189" s="135"/>
      <c r="BDQ189" s="135"/>
      <c r="BDR189" s="135"/>
      <c r="BDS189" s="135"/>
      <c r="BDT189" s="135"/>
      <c r="BDU189" s="135"/>
      <c r="BDV189" s="135"/>
      <c r="BDW189" s="135"/>
      <c r="BDX189" s="135"/>
      <c r="BDY189" s="135"/>
      <c r="BDZ189" s="135"/>
      <c r="BEA189" s="135"/>
      <c r="BEB189" s="135"/>
      <c r="BEC189" s="135"/>
      <c r="BED189" s="135"/>
      <c r="BEE189" s="135"/>
      <c r="BEF189" s="135"/>
      <c r="BEG189" s="135"/>
      <c r="BEH189" s="135"/>
      <c r="BEI189" s="135"/>
      <c r="BEJ189" s="135"/>
      <c r="BEK189" s="135"/>
      <c r="BEL189" s="135"/>
      <c r="BEM189" s="135"/>
      <c r="BEN189" s="135"/>
      <c r="BEO189" s="135"/>
      <c r="BEP189" s="135"/>
      <c r="BEQ189" s="135"/>
      <c r="BER189" s="135"/>
      <c r="BES189" s="135"/>
      <c r="BET189" s="135"/>
      <c r="BEU189" s="135"/>
      <c r="BEV189" s="135"/>
      <c r="BEW189" s="135"/>
      <c r="BEX189" s="135"/>
      <c r="BEY189" s="135"/>
      <c r="BEZ189" s="135"/>
      <c r="BFA189" s="135"/>
      <c r="BFB189" s="135"/>
      <c r="BFC189" s="135"/>
      <c r="BFD189" s="135"/>
      <c r="BFE189" s="135"/>
      <c r="BFF189" s="135"/>
      <c r="BFG189" s="135"/>
      <c r="BFH189" s="135"/>
      <c r="BFI189" s="135"/>
      <c r="BFJ189" s="135"/>
      <c r="BFK189" s="135"/>
      <c r="BFL189" s="135"/>
      <c r="BFM189" s="135"/>
      <c r="BFN189" s="135"/>
      <c r="BFO189" s="135"/>
      <c r="BFP189" s="135"/>
      <c r="BFQ189" s="135"/>
      <c r="BFR189" s="135"/>
      <c r="BFS189" s="135"/>
      <c r="BFT189" s="135"/>
      <c r="BFU189" s="135"/>
      <c r="BFV189" s="135"/>
      <c r="BFW189" s="135"/>
      <c r="BFX189" s="135"/>
      <c r="BFY189" s="135"/>
      <c r="BFZ189" s="135"/>
      <c r="BGA189" s="135"/>
      <c r="BGB189" s="135"/>
      <c r="BGC189" s="135"/>
      <c r="BGD189" s="135"/>
      <c r="BGE189" s="135"/>
      <c r="BGF189" s="135"/>
      <c r="BGG189" s="135"/>
      <c r="BGH189" s="135"/>
      <c r="BGI189" s="135"/>
      <c r="BGJ189" s="135"/>
      <c r="BGK189" s="135"/>
      <c r="BGL189" s="135"/>
      <c r="BGM189" s="135"/>
      <c r="BGN189" s="135"/>
      <c r="BGO189" s="135"/>
      <c r="BGP189" s="135"/>
      <c r="BGQ189" s="135"/>
      <c r="BGR189" s="135"/>
      <c r="BGS189" s="135"/>
      <c r="BGT189" s="135"/>
      <c r="BGU189" s="135"/>
      <c r="BGV189" s="135"/>
      <c r="BGW189" s="135"/>
      <c r="BGX189" s="135"/>
      <c r="BGY189" s="135"/>
      <c r="BGZ189" s="135"/>
      <c r="BHA189" s="135"/>
      <c r="BHB189" s="135"/>
      <c r="BHC189" s="135"/>
      <c r="BHD189" s="135"/>
      <c r="BHE189" s="135"/>
      <c r="BHF189" s="135"/>
      <c r="BHG189" s="135"/>
      <c r="BHH189" s="135"/>
      <c r="BHI189" s="135"/>
      <c r="BHJ189" s="135"/>
      <c r="BHK189" s="135"/>
      <c r="BHL189" s="135"/>
      <c r="BHM189" s="135"/>
      <c r="BHN189" s="135"/>
      <c r="BHO189" s="135"/>
      <c r="BHP189" s="135"/>
      <c r="BHQ189" s="135"/>
      <c r="BHR189" s="135"/>
      <c r="BHS189" s="135"/>
      <c r="BHT189" s="135"/>
      <c r="BHU189" s="135"/>
      <c r="BHV189" s="135"/>
      <c r="BHW189" s="135"/>
      <c r="BHX189" s="135"/>
      <c r="BHY189" s="135"/>
      <c r="BHZ189" s="135"/>
      <c r="BIA189" s="135"/>
      <c r="BIB189" s="135"/>
      <c r="BIC189" s="135"/>
      <c r="BID189" s="135"/>
      <c r="BIE189" s="135"/>
      <c r="BIF189" s="135"/>
      <c r="BIG189" s="135"/>
      <c r="BIH189" s="135"/>
      <c r="BII189" s="135"/>
      <c r="BIJ189" s="135"/>
      <c r="BIK189" s="135"/>
      <c r="BIL189" s="135"/>
      <c r="BIM189" s="135"/>
      <c r="BIN189" s="135"/>
      <c r="BIO189" s="135"/>
      <c r="BIP189" s="135"/>
      <c r="BIQ189" s="135"/>
      <c r="BIR189" s="135"/>
      <c r="BIS189" s="135"/>
      <c r="BIT189" s="135"/>
      <c r="BIU189" s="135"/>
      <c r="BIV189" s="135"/>
      <c r="BIW189" s="135"/>
      <c r="BIX189" s="135"/>
      <c r="BIY189" s="135"/>
      <c r="BIZ189" s="135"/>
      <c r="BJA189" s="135"/>
      <c r="BJB189" s="135"/>
      <c r="BJC189" s="135"/>
      <c r="BJD189" s="135"/>
      <c r="BJE189" s="135"/>
      <c r="BJF189" s="135"/>
      <c r="BJG189" s="135"/>
      <c r="BJH189" s="135"/>
      <c r="BJI189" s="135"/>
      <c r="BJJ189" s="135"/>
      <c r="BJK189" s="135"/>
      <c r="BJL189" s="135"/>
      <c r="BJM189" s="135"/>
      <c r="BJN189" s="135"/>
      <c r="BJO189" s="135"/>
      <c r="BJP189" s="135"/>
      <c r="BJQ189" s="135"/>
      <c r="BJR189" s="135"/>
      <c r="BJS189" s="135"/>
      <c r="BJT189" s="135"/>
      <c r="BJU189" s="135"/>
      <c r="BJV189" s="135"/>
      <c r="BJW189" s="135"/>
      <c r="BJX189" s="135"/>
      <c r="BJY189" s="135"/>
      <c r="BJZ189" s="135"/>
      <c r="BKA189" s="135"/>
      <c r="BKB189" s="135"/>
      <c r="BKC189" s="135"/>
      <c r="BKD189" s="135"/>
      <c r="BKE189" s="135"/>
      <c r="BKF189" s="135"/>
      <c r="BKG189" s="135"/>
      <c r="BKH189" s="135"/>
      <c r="BKI189" s="135"/>
      <c r="BKJ189" s="135"/>
      <c r="BKK189" s="135"/>
      <c r="BKL189" s="135"/>
      <c r="BKM189" s="135"/>
      <c r="BKN189" s="135"/>
      <c r="BKO189" s="135"/>
      <c r="BKP189" s="135"/>
      <c r="BKQ189" s="135"/>
      <c r="BKR189" s="135"/>
      <c r="BKS189" s="135"/>
      <c r="BKT189" s="135"/>
      <c r="BKU189" s="135"/>
      <c r="BKV189" s="135"/>
      <c r="BKW189" s="135"/>
      <c r="BKX189" s="135"/>
      <c r="BKY189" s="135"/>
      <c r="BKZ189" s="135"/>
      <c r="BLA189" s="135"/>
      <c r="BLB189" s="135"/>
      <c r="BLC189" s="135"/>
      <c r="BLD189" s="135"/>
      <c r="BLE189" s="135"/>
      <c r="BLF189" s="135"/>
      <c r="BLG189" s="135"/>
      <c r="BLH189" s="135"/>
      <c r="BLI189" s="135"/>
      <c r="BLJ189" s="135"/>
      <c r="BLK189" s="135"/>
      <c r="BLL189" s="135"/>
      <c r="BLM189" s="135"/>
      <c r="BLN189" s="135"/>
      <c r="BLO189" s="135"/>
      <c r="BLP189" s="135"/>
      <c r="BLQ189" s="135"/>
      <c r="BLR189" s="135"/>
      <c r="BLS189" s="135"/>
      <c r="BLT189" s="135"/>
      <c r="BLU189" s="135"/>
      <c r="BLV189" s="135"/>
      <c r="BLW189" s="135"/>
      <c r="BLX189" s="135"/>
      <c r="BLY189" s="135"/>
      <c r="BLZ189" s="135"/>
      <c r="BMA189" s="135"/>
      <c r="BMB189" s="135"/>
      <c r="BMC189" s="135"/>
      <c r="BMD189" s="135"/>
      <c r="BME189" s="135"/>
      <c r="BMF189" s="135"/>
      <c r="BMG189" s="135"/>
      <c r="BMH189" s="135"/>
      <c r="BMI189" s="135"/>
      <c r="BMJ189" s="135"/>
      <c r="BMK189" s="135"/>
      <c r="BML189" s="135"/>
      <c r="BMM189" s="135"/>
      <c r="BMN189" s="135"/>
      <c r="BMO189" s="135"/>
      <c r="BMP189" s="135"/>
      <c r="BMQ189" s="135"/>
      <c r="BMR189" s="135"/>
      <c r="BMS189" s="135"/>
      <c r="BMT189" s="135"/>
      <c r="BMU189" s="135"/>
      <c r="BMV189" s="135"/>
      <c r="BMW189" s="135"/>
      <c r="BMX189" s="135"/>
      <c r="BMY189" s="135"/>
      <c r="BMZ189" s="135"/>
      <c r="BNA189" s="135"/>
      <c r="BNB189" s="135"/>
      <c r="BNC189" s="135"/>
      <c r="BND189" s="135"/>
      <c r="BNE189" s="135"/>
      <c r="BNF189" s="135"/>
      <c r="BNG189" s="135"/>
      <c r="BNH189" s="135"/>
      <c r="BNI189" s="135"/>
      <c r="BNJ189" s="135"/>
      <c r="BNK189" s="135"/>
      <c r="BNL189" s="135"/>
      <c r="BNM189" s="135"/>
      <c r="BNN189" s="135"/>
      <c r="BNO189" s="135"/>
      <c r="BNP189" s="135"/>
      <c r="BNQ189" s="135"/>
      <c r="BNR189" s="135"/>
      <c r="BNS189" s="135"/>
      <c r="BNT189" s="135"/>
      <c r="BNU189" s="135"/>
      <c r="BNV189" s="135"/>
      <c r="BNW189" s="135"/>
      <c r="BNX189" s="135"/>
      <c r="BNY189" s="135"/>
      <c r="BNZ189" s="135"/>
      <c r="BOA189" s="135"/>
      <c r="BOB189" s="135"/>
      <c r="BOC189" s="135"/>
      <c r="BOD189" s="135"/>
      <c r="BOE189" s="135"/>
      <c r="BOF189" s="135"/>
      <c r="BOG189" s="135"/>
      <c r="BOH189" s="135"/>
      <c r="BOI189" s="135"/>
      <c r="BOJ189" s="135"/>
      <c r="BOK189" s="135"/>
      <c r="BOL189" s="135"/>
      <c r="BOM189" s="135"/>
      <c r="BON189" s="135"/>
      <c r="BOO189" s="135"/>
      <c r="BOP189" s="135"/>
      <c r="BOQ189" s="135"/>
      <c r="BOR189" s="135"/>
    </row>
    <row r="190" spans="1:1760" s="132" customFormat="1" ht="11.25">
      <c r="A190" s="144"/>
      <c r="C190" s="131"/>
      <c r="D190" s="133"/>
      <c r="E190" s="134"/>
      <c r="F190" s="134"/>
      <c r="I190" s="131"/>
      <c r="K190" s="131"/>
      <c r="L190" s="131"/>
      <c r="M190" s="131"/>
      <c r="N190" s="131"/>
      <c r="O190" s="131"/>
      <c r="P190" s="131"/>
      <c r="Q190" s="131"/>
      <c r="R190" s="131"/>
    </row>
    <row r="191" spans="1:1760" s="132" customFormat="1" ht="11.25">
      <c r="A191" s="145"/>
      <c r="C191" s="131"/>
      <c r="D191" s="133"/>
      <c r="E191" s="134"/>
      <c r="F191" s="134"/>
      <c r="I191" s="131"/>
      <c r="K191" s="131"/>
      <c r="L191" s="131"/>
      <c r="M191" s="131"/>
      <c r="N191" s="131"/>
      <c r="O191" s="131"/>
      <c r="P191" s="131"/>
      <c r="Q191" s="131"/>
      <c r="R191" s="131"/>
    </row>
    <row r="192" spans="1:1760" s="132" customFormat="1" ht="11.25">
      <c r="A192" s="146"/>
      <c r="C192" s="131"/>
      <c r="D192" s="133"/>
      <c r="E192" s="134"/>
      <c r="F192" s="134"/>
      <c r="I192" s="131"/>
      <c r="K192" s="131"/>
      <c r="L192" s="131"/>
      <c r="M192" s="131"/>
      <c r="N192" s="131"/>
      <c r="O192" s="131"/>
      <c r="P192" s="131"/>
      <c r="Q192" s="131"/>
      <c r="R192" s="131"/>
    </row>
    <row r="193" spans="1:18" s="132" customFormat="1" ht="11.25">
      <c r="A193" s="147"/>
      <c r="C193" s="131"/>
      <c r="D193" s="133"/>
      <c r="E193" s="134"/>
      <c r="F193" s="134"/>
      <c r="I193" s="131"/>
      <c r="K193" s="131"/>
      <c r="L193" s="131"/>
      <c r="M193" s="131"/>
      <c r="N193" s="131"/>
      <c r="O193" s="131"/>
      <c r="P193" s="131"/>
      <c r="Q193" s="131"/>
      <c r="R193" s="131"/>
    </row>
    <row r="194" spans="1:18" s="132" customFormat="1" ht="11.25">
      <c r="A194" s="144"/>
      <c r="C194" s="131"/>
      <c r="D194" s="133"/>
      <c r="E194" s="134"/>
      <c r="F194" s="134"/>
      <c r="I194" s="131"/>
      <c r="K194" s="131"/>
      <c r="L194" s="131"/>
      <c r="M194" s="131"/>
      <c r="N194" s="131"/>
      <c r="O194" s="131"/>
      <c r="P194" s="131"/>
      <c r="Q194" s="131"/>
      <c r="R194" s="131"/>
    </row>
    <row r="195" spans="1:18" s="132" customFormat="1" ht="11.25">
      <c r="A195" s="144"/>
      <c r="C195" s="131"/>
      <c r="D195" s="133"/>
      <c r="E195" s="134"/>
      <c r="F195" s="134"/>
      <c r="I195" s="131"/>
      <c r="K195" s="131"/>
      <c r="L195" s="131"/>
      <c r="M195" s="131"/>
      <c r="N195" s="131"/>
      <c r="O195" s="131"/>
      <c r="P195" s="131"/>
      <c r="Q195" s="131"/>
      <c r="R195" s="131"/>
    </row>
    <row r="196" spans="1:18" s="132" customFormat="1" ht="11.25">
      <c r="A196" s="144"/>
      <c r="C196" s="131"/>
      <c r="D196" s="133"/>
      <c r="E196" s="134"/>
      <c r="F196" s="134"/>
      <c r="I196" s="131"/>
      <c r="K196" s="131"/>
      <c r="L196" s="131"/>
      <c r="M196" s="131"/>
      <c r="N196" s="131"/>
      <c r="O196" s="131"/>
      <c r="P196" s="131"/>
      <c r="Q196" s="131"/>
      <c r="R196" s="131"/>
    </row>
    <row r="197" spans="1:18" s="132" customFormat="1" ht="11.25">
      <c r="A197" s="144"/>
      <c r="C197" s="131"/>
      <c r="D197" s="133"/>
      <c r="E197" s="134"/>
      <c r="F197" s="134"/>
      <c r="I197" s="131"/>
      <c r="K197" s="131"/>
      <c r="L197" s="131"/>
      <c r="M197" s="131"/>
      <c r="N197" s="131"/>
      <c r="O197" s="131"/>
      <c r="P197" s="131"/>
      <c r="Q197" s="131"/>
      <c r="R197" s="131"/>
    </row>
    <row r="198" spans="1:18" s="132" customFormat="1" ht="11.25">
      <c r="A198" s="144"/>
      <c r="C198" s="131"/>
      <c r="D198" s="133"/>
      <c r="E198" s="134"/>
      <c r="F198" s="134"/>
      <c r="I198" s="131"/>
      <c r="K198" s="131"/>
      <c r="L198" s="131"/>
      <c r="M198" s="131"/>
      <c r="N198" s="131"/>
      <c r="O198" s="131"/>
      <c r="P198" s="131"/>
      <c r="Q198" s="131"/>
      <c r="R198" s="131"/>
    </row>
    <row r="199" spans="1:18" s="132" customFormat="1" ht="11.25">
      <c r="A199" s="144"/>
      <c r="C199" s="131"/>
      <c r="D199" s="133"/>
      <c r="E199" s="134"/>
      <c r="F199" s="134"/>
      <c r="I199" s="131"/>
      <c r="K199" s="131"/>
      <c r="L199" s="131"/>
      <c r="M199" s="131"/>
      <c r="N199" s="131"/>
      <c r="O199" s="131"/>
      <c r="P199" s="131"/>
      <c r="Q199" s="131"/>
      <c r="R199" s="131"/>
    </row>
    <row r="200" spans="1:18" s="132" customFormat="1" ht="11.25">
      <c r="A200" s="144"/>
      <c r="C200" s="131"/>
      <c r="D200" s="133"/>
      <c r="E200" s="134"/>
      <c r="F200" s="134"/>
      <c r="I200" s="131"/>
      <c r="K200" s="131"/>
      <c r="L200" s="131"/>
      <c r="M200" s="131"/>
      <c r="N200" s="131"/>
      <c r="O200" s="131"/>
      <c r="P200" s="131"/>
      <c r="Q200" s="131"/>
      <c r="R200" s="131"/>
    </row>
    <row r="201" spans="1:18" s="132" customFormat="1" ht="11.25">
      <c r="A201" s="144"/>
      <c r="C201" s="131"/>
      <c r="D201" s="133"/>
      <c r="E201" s="134"/>
      <c r="F201" s="134"/>
      <c r="I201" s="131"/>
      <c r="K201" s="131"/>
      <c r="L201" s="131"/>
      <c r="M201" s="131"/>
      <c r="N201" s="131"/>
      <c r="O201" s="131"/>
      <c r="P201" s="131"/>
      <c r="Q201" s="131"/>
      <c r="R201" s="131"/>
    </row>
    <row r="202" spans="1:18" s="132" customFormat="1" ht="11.25">
      <c r="A202" s="144"/>
      <c r="C202" s="131"/>
      <c r="D202" s="133"/>
      <c r="E202" s="134"/>
      <c r="F202" s="134"/>
      <c r="I202" s="131"/>
      <c r="K202" s="131"/>
      <c r="L202" s="131"/>
      <c r="M202" s="131"/>
      <c r="N202" s="131"/>
      <c r="O202" s="131"/>
      <c r="P202" s="131"/>
      <c r="Q202" s="131"/>
      <c r="R202" s="131"/>
    </row>
    <row r="203" spans="1:18" s="132" customFormat="1" ht="11.25">
      <c r="A203" s="144"/>
      <c r="C203" s="131"/>
      <c r="D203" s="133"/>
      <c r="E203" s="134"/>
      <c r="F203" s="134"/>
      <c r="I203" s="131"/>
      <c r="K203" s="131"/>
      <c r="L203" s="131"/>
      <c r="M203" s="131"/>
      <c r="N203" s="131"/>
      <c r="O203" s="131"/>
      <c r="P203" s="131"/>
      <c r="Q203" s="131"/>
      <c r="R203" s="131"/>
    </row>
    <row r="204" spans="1:18" s="132" customFormat="1" ht="11.25">
      <c r="A204" s="144"/>
      <c r="C204" s="131"/>
      <c r="D204" s="133"/>
      <c r="E204" s="134"/>
      <c r="F204" s="134"/>
      <c r="I204" s="131"/>
      <c r="K204" s="131"/>
      <c r="L204" s="131"/>
      <c r="M204" s="131"/>
      <c r="N204" s="131"/>
      <c r="O204" s="131"/>
      <c r="P204" s="131"/>
      <c r="Q204" s="131"/>
      <c r="R204" s="131"/>
    </row>
    <row r="205" spans="1:18" s="132" customFormat="1" ht="11.25">
      <c r="A205" s="144"/>
      <c r="C205" s="131"/>
      <c r="D205" s="133"/>
      <c r="E205" s="134"/>
      <c r="F205" s="134"/>
      <c r="I205" s="131"/>
      <c r="K205" s="131"/>
      <c r="L205" s="131"/>
      <c r="M205" s="131"/>
      <c r="N205" s="131"/>
      <c r="O205" s="131"/>
      <c r="P205" s="131"/>
      <c r="Q205" s="131"/>
      <c r="R205" s="131"/>
    </row>
    <row r="206" spans="1:18" s="132" customFormat="1" ht="11.25">
      <c r="A206" s="144"/>
      <c r="C206" s="131"/>
      <c r="D206" s="133"/>
      <c r="E206" s="134"/>
      <c r="F206" s="134"/>
      <c r="I206" s="131"/>
      <c r="K206" s="131"/>
      <c r="L206" s="131"/>
      <c r="M206" s="131"/>
      <c r="N206" s="131"/>
      <c r="O206" s="131"/>
      <c r="P206" s="131"/>
      <c r="Q206" s="131"/>
      <c r="R206" s="131"/>
    </row>
    <row r="207" spans="1:18" s="132" customFormat="1" ht="11.25">
      <c r="A207" s="144"/>
      <c r="C207" s="131"/>
      <c r="D207" s="133"/>
      <c r="E207" s="134"/>
      <c r="F207" s="134"/>
      <c r="I207" s="131"/>
      <c r="K207" s="131"/>
      <c r="L207" s="131"/>
      <c r="M207" s="131"/>
      <c r="N207" s="131"/>
      <c r="O207" s="131"/>
      <c r="P207" s="131"/>
      <c r="Q207" s="131"/>
      <c r="R207" s="131"/>
    </row>
    <row r="208" spans="1:18" s="132" customFormat="1" ht="11.25">
      <c r="A208" s="144"/>
      <c r="C208" s="131"/>
      <c r="D208" s="133"/>
      <c r="E208" s="134"/>
      <c r="F208" s="134"/>
      <c r="I208" s="131"/>
      <c r="K208" s="131"/>
      <c r="L208" s="131"/>
      <c r="M208" s="131"/>
      <c r="N208" s="131"/>
      <c r="O208" s="131"/>
      <c r="P208" s="131"/>
      <c r="Q208" s="131"/>
      <c r="R208" s="131"/>
    </row>
    <row r="209" spans="1:18" s="132" customFormat="1" ht="11.25">
      <c r="A209" s="144"/>
      <c r="C209" s="131"/>
      <c r="D209" s="133"/>
      <c r="E209" s="134"/>
      <c r="F209" s="134"/>
      <c r="I209" s="131"/>
      <c r="K209" s="131"/>
      <c r="L209" s="131"/>
      <c r="M209" s="131"/>
      <c r="N209" s="131"/>
      <c r="O209" s="131"/>
      <c r="P209" s="131"/>
      <c r="Q209" s="131"/>
      <c r="R209" s="131"/>
    </row>
    <row r="210" spans="1:18" s="132" customFormat="1" ht="11.25">
      <c r="A210" s="144"/>
      <c r="C210" s="131"/>
      <c r="D210" s="133"/>
      <c r="E210" s="134"/>
      <c r="F210" s="134"/>
      <c r="I210" s="131"/>
      <c r="K210" s="131"/>
      <c r="L210" s="131"/>
      <c r="M210" s="131"/>
      <c r="N210" s="131"/>
      <c r="O210" s="131"/>
      <c r="P210" s="131"/>
      <c r="Q210" s="131"/>
      <c r="R210" s="131"/>
    </row>
    <row r="211" spans="1:18" s="132" customFormat="1" ht="11.25">
      <c r="A211" s="144"/>
      <c r="C211" s="131"/>
      <c r="D211" s="133"/>
      <c r="E211" s="134"/>
      <c r="F211" s="134"/>
      <c r="I211" s="131"/>
      <c r="K211" s="131"/>
      <c r="L211" s="131"/>
      <c r="M211" s="131"/>
      <c r="N211" s="131"/>
      <c r="O211" s="131"/>
      <c r="P211" s="131"/>
      <c r="Q211" s="131"/>
      <c r="R211" s="131"/>
    </row>
    <row r="212" spans="1:18" s="132" customFormat="1" ht="11.25">
      <c r="A212" s="144"/>
      <c r="C212" s="131"/>
      <c r="D212" s="133"/>
      <c r="E212" s="134"/>
      <c r="F212" s="134"/>
      <c r="I212" s="131"/>
      <c r="K212" s="131"/>
      <c r="L212" s="131"/>
      <c r="M212" s="131"/>
      <c r="N212" s="131"/>
      <c r="O212" s="131"/>
      <c r="P212" s="131"/>
      <c r="Q212" s="131"/>
      <c r="R212" s="131"/>
    </row>
    <row r="213" spans="1:18" s="132" customFormat="1" ht="11.25">
      <c r="A213" s="144"/>
      <c r="C213" s="131"/>
      <c r="D213" s="133"/>
      <c r="E213" s="134"/>
      <c r="F213" s="134"/>
      <c r="I213" s="131"/>
      <c r="K213" s="131"/>
      <c r="L213" s="131"/>
      <c r="M213" s="131"/>
      <c r="N213" s="131"/>
      <c r="O213" s="131"/>
      <c r="P213" s="131"/>
      <c r="Q213" s="131"/>
      <c r="R213" s="131"/>
    </row>
    <row r="214" spans="1:18" s="132" customFormat="1" ht="11.25">
      <c r="A214" s="144"/>
      <c r="C214" s="131"/>
      <c r="D214" s="133"/>
      <c r="E214" s="134"/>
      <c r="F214" s="134"/>
      <c r="I214" s="131"/>
      <c r="K214" s="131"/>
      <c r="L214" s="131"/>
      <c r="M214" s="131"/>
      <c r="N214" s="131"/>
      <c r="O214" s="131"/>
      <c r="P214" s="131"/>
      <c r="Q214" s="131"/>
      <c r="R214" s="131"/>
    </row>
    <row r="215" spans="1:18" s="132" customFormat="1" ht="11.25">
      <c r="A215" s="144"/>
      <c r="C215" s="131"/>
      <c r="D215" s="133"/>
      <c r="E215" s="134"/>
      <c r="F215" s="134"/>
      <c r="I215" s="131"/>
      <c r="K215" s="131"/>
      <c r="L215" s="131"/>
      <c r="M215" s="131"/>
      <c r="N215" s="131"/>
      <c r="O215" s="131"/>
      <c r="P215" s="131"/>
      <c r="Q215" s="131"/>
      <c r="R215" s="131"/>
    </row>
    <row r="216" spans="1:18" s="132" customFormat="1" ht="11.25">
      <c r="A216" s="144"/>
      <c r="C216" s="131"/>
      <c r="D216" s="133"/>
      <c r="E216" s="134"/>
      <c r="F216" s="134"/>
      <c r="I216" s="131"/>
      <c r="K216" s="131"/>
      <c r="L216" s="131"/>
      <c r="M216" s="131"/>
      <c r="N216" s="131"/>
      <c r="O216" s="131"/>
      <c r="P216" s="131"/>
      <c r="Q216" s="131"/>
      <c r="R216" s="131"/>
    </row>
    <row r="217" spans="1:18" s="132" customFormat="1" ht="11.25">
      <c r="A217" s="144"/>
      <c r="C217" s="131"/>
      <c r="D217" s="133"/>
      <c r="E217" s="134"/>
      <c r="F217" s="134"/>
      <c r="I217" s="131"/>
      <c r="K217" s="131"/>
      <c r="L217" s="131"/>
      <c r="M217" s="131"/>
      <c r="N217" s="131"/>
      <c r="O217" s="131"/>
      <c r="P217" s="131"/>
      <c r="Q217" s="131"/>
      <c r="R217" s="131"/>
    </row>
    <row r="218" spans="1:18" s="132" customFormat="1" ht="11.25">
      <c r="A218" s="144"/>
      <c r="C218" s="131"/>
      <c r="D218" s="133"/>
      <c r="E218" s="134"/>
      <c r="F218" s="134"/>
      <c r="I218" s="131"/>
      <c r="K218" s="131"/>
      <c r="L218" s="131"/>
      <c r="M218" s="131"/>
      <c r="N218" s="131"/>
      <c r="O218" s="131"/>
      <c r="P218" s="131"/>
      <c r="Q218" s="131"/>
      <c r="R218" s="131"/>
    </row>
    <row r="219" spans="1:18" s="132" customFormat="1" ht="11.25">
      <c r="A219" s="144"/>
      <c r="C219" s="131"/>
      <c r="D219" s="133"/>
      <c r="E219" s="134"/>
      <c r="F219" s="134"/>
      <c r="I219" s="131"/>
      <c r="K219" s="131"/>
      <c r="L219" s="131"/>
      <c r="M219" s="131"/>
      <c r="N219" s="131"/>
      <c r="O219" s="131"/>
      <c r="P219" s="131"/>
      <c r="Q219" s="131"/>
      <c r="R219" s="131"/>
    </row>
    <row r="220" spans="1:18" s="132" customFormat="1" ht="11.25">
      <c r="A220" s="144"/>
      <c r="C220" s="131"/>
      <c r="D220" s="133"/>
      <c r="E220" s="134"/>
      <c r="F220" s="134"/>
      <c r="I220" s="131"/>
      <c r="K220" s="131"/>
      <c r="L220" s="131"/>
      <c r="M220" s="131"/>
      <c r="N220" s="131"/>
      <c r="O220" s="131"/>
      <c r="P220" s="131"/>
      <c r="Q220" s="131"/>
      <c r="R220" s="131"/>
    </row>
    <row r="221" spans="1:18" s="132" customFormat="1" ht="11.25">
      <c r="A221" s="144"/>
      <c r="C221" s="131"/>
      <c r="D221" s="133"/>
      <c r="E221" s="134"/>
      <c r="F221" s="134"/>
      <c r="I221" s="131"/>
      <c r="K221" s="131"/>
      <c r="L221" s="131"/>
      <c r="M221" s="131"/>
      <c r="N221" s="131"/>
      <c r="O221" s="131"/>
      <c r="P221" s="131"/>
      <c r="Q221" s="131"/>
      <c r="R221" s="131"/>
    </row>
    <row r="222" spans="1:18" s="132" customFormat="1" ht="11.25">
      <c r="A222" s="144"/>
      <c r="C222" s="131"/>
      <c r="D222" s="133"/>
      <c r="E222" s="134"/>
      <c r="F222" s="134"/>
      <c r="I222" s="131"/>
      <c r="K222" s="131"/>
      <c r="L222" s="131"/>
      <c r="M222" s="131"/>
      <c r="N222" s="131"/>
      <c r="O222" s="131"/>
      <c r="P222" s="131"/>
      <c r="Q222" s="131"/>
      <c r="R222" s="131"/>
    </row>
    <row r="223" spans="1:18" s="132" customFormat="1" ht="11.25">
      <c r="A223" s="144"/>
      <c r="C223" s="131"/>
      <c r="D223" s="133"/>
      <c r="E223" s="134"/>
      <c r="F223" s="134"/>
      <c r="I223" s="131"/>
      <c r="K223" s="131"/>
      <c r="L223" s="131"/>
      <c r="M223" s="131"/>
      <c r="N223" s="131"/>
      <c r="O223" s="131"/>
      <c r="P223" s="131"/>
      <c r="Q223" s="131"/>
      <c r="R223" s="131"/>
    </row>
    <row r="224" spans="1:18" s="132" customFormat="1" ht="11.25">
      <c r="A224" s="144"/>
      <c r="C224" s="131"/>
      <c r="D224" s="133"/>
      <c r="E224" s="134"/>
      <c r="F224" s="134"/>
      <c r="I224" s="131"/>
      <c r="K224" s="131"/>
      <c r="L224" s="131"/>
      <c r="M224" s="131"/>
      <c r="N224" s="131"/>
      <c r="O224" s="131"/>
      <c r="P224" s="131"/>
      <c r="Q224" s="131"/>
      <c r="R224" s="131"/>
    </row>
    <row r="225" spans="1:18" s="132" customFormat="1" ht="11.25">
      <c r="A225" s="144"/>
      <c r="C225" s="131"/>
      <c r="D225" s="133"/>
      <c r="E225" s="134"/>
      <c r="F225" s="134"/>
      <c r="I225" s="131"/>
      <c r="K225" s="131"/>
      <c r="L225" s="131"/>
      <c r="M225" s="131"/>
      <c r="N225" s="131"/>
      <c r="O225" s="131"/>
      <c r="P225" s="131"/>
      <c r="Q225" s="131"/>
      <c r="R225" s="131"/>
    </row>
    <row r="226" spans="1:18" s="132" customFormat="1" ht="11.25">
      <c r="A226" s="144"/>
      <c r="C226" s="131"/>
      <c r="D226" s="133"/>
      <c r="E226" s="134"/>
      <c r="F226" s="134"/>
      <c r="I226" s="131"/>
      <c r="K226" s="131"/>
      <c r="L226" s="131"/>
      <c r="M226" s="131"/>
      <c r="N226" s="131"/>
      <c r="O226" s="131"/>
      <c r="P226" s="131"/>
      <c r="Q226" s="131"/>
      <c r="R226" s="131"/>
    </row>
    <row r="227" spans="1:18" s="132" customFormat="1" ht="11.25">
      <c r="A227" s="144"/>
      <c r="C227" s="131"/>
      <c r="D227" s="133"/>
      <c r="E227" s="134"/>
      <c r="F227" s="134"/>
      <c r="I227" s="131"/>
      <c r="K227" s="131"/>
      <c r="L227" s="131"/>
      <c r="M227" s="131"/>
      <c r="N227" s="131"/>
      <c r="O227" s="131"/>
      <c r="P227" s="131"/>
      <c r="Q227" s="131"/>
      <c r="R227" s="131"/>
    </row>
    <row r="228" spans="1:18" s="132" customFormat="1" ht="11.25">
      <c r="A228" s="144"/>
      <c r="C228" s="131"/>
      <c r="D228" s="133"/>
      <c r="E228" s="134"/>
      <c r="F228" s="134"/>
      <c r="I228" s="131"/>
      <c r="K228" s="131"/>
      <c r="L228" s="131"/>
      <c r="M228" s="131"/>
      <c r="N228" s="131"/>
      <c r="O228" s="131"/>
      <c r="P228" s="131"/>
      <c r="Q228" s="131"/>
      <c r="R228" s="131"/>
    </row>
    <row r="229" spans="1:18" s="132" customFormat="1" ht="11.25">
      <c r="A229" s="144"/>
      <c r="C229" s="131"/>
      <c r="D229" s="133"/>
      <c r="E229" s="134"/>
      <c r="F229" s="134"/>
      <c r="I229" s="131"/>
      <c r="K229" s="131"/>
      <c r="L229" s="131"/>
      <c r="M229" s="131"/>
      <c r="N229" s="131"/>
      <c r="O229" s="131"/>
      <c r="P229" s="131"/>
      <c r="Q229" s="131"/>
      <c r="R229" s="131"/>
    </row>
    <row r="230" spans="1:18" s="132" customFormat="1" ht="11.25">
      <c r="A230" s="144"/>
      <c r="C230" s="131"/>
      <c r="D230" s="133"/>
      <c r="E230" s="134"/>
      <c r="F230" s="134"/>
      <c r="I230" s="131"/>
      <c r="K230" s="131"/>
      <c r="L230" s="131"/>
      <c r="M230" s="131"/>
      <c r="N230" s="131"/>
      <c r="O230" s="131"/>
      <c r="P230" s="131"/>
      <c r="Q230" s="131"/>
      <c r="R230" s="131"/>
    </row>
    <row r="231" spans="1:18" s="132" customFormat="1" ht="11.25">
      <c r="A231" s="144"/>
      <c r="C231" s="131"/>
      <c r="D231" s="133"/>
      <c r="E231" s="134"/>
      <c r="F231" s="134"/>
      <c r="I231" s="131"/>
      <c r="K231" s="131"/>
      <c r="L231" s="131"/>
      <c r="M231" s="131"/>
      <c r="N231" s="131"/>
      <c r="O231" s="131"/>
      <c r="P231" s="131"/>
      <c r="Q231" s="131"/>
      <c r="R231" s="131"/>
    </row>
    <row r="232" spans="1:18" s="132" customFormat="1" ht="11.25">
      <c r="A232" s="144"/>
      <c r="C232" s="131"/>
      <c r="D232" s="133"/>
      <c r="E232" s="134"/>
      <c r="F232" s="134"/>
      <c r="I232" s="131"/>
      <c r="K232" s="131"/>
      <c r="L232" s="131"/>
      <c r="M232" s="131"/>
      <c r="N232" s="131"/>
      <c r="O232" s="131"/>
      <c r="P232" s="131"/>
      <c r="Q232" s="131"/>
      <c r="R232" s="131"/>
    </row>
    <row r="233" spans="1:18" s="132" customFormat="1" ht="11.25">
      <c r="A233" s="144"/>
      <c r="C233" s="131"/>
      <c r="D233" s="133"/>
      <c r="E233" s="134"/>
      <c r="F233" s="134"/>
      <c r="I233" s="131"/>
      <c r="K233" s="131"/>
      <c r="L233" s="131"/>
      <c r="M233" s="131"/>
      <c r="N233" s="131"/>
      <c r="O233" s="131"/>
      <c r="P233" s="131"/>
      <c r="Q233" s="131"/>
      <c r="R233" s="131"/>
    </row>
    <row r="234" spans="1:18" s="132" customFormat="1" ht="11.25">
      <c r="A234" s="144"/>
      <c r="C234" s="131"/>
      <c r="D234" s="133"/>
      <c r="E234" s="134"/>
      <c r="F234" s="134"/>
      <c r="I234" s="131"/>
      <c r="K234" s="131"/>
      <c r="L234" s="131"/>
      <c r="M234" s="131"/>
      <c r="N234" s="131"/>
      <c r="O234" s="131"/>
      <c r="P234" s="131"/>
      <c r="Q234" s="131"/>
      <c r="R234" s="131"/>
    </row>
    <row r="235" spans="1:18" s="132" customFormat="1" ht="11.25">
      <c r="A235" s="144"/>
      <c r="C235" s="131"/>
      <c r="D235" s="133"/>
      <c r="E235" s="134"/>
      <c r="F235" s="134"/>
      <c r="I235" s="131"/>
      <c r="K235" s="131"/>
      <c r="L235" s="131"/>
      <c r="M235" s="131"/>
      <c r="N235" s="131"/>
      <c r="O235" s="131"/>
      <c r="P235" s="131"/>
      <c r="Q235" s="131"/>
      <c r="R235" s="131"/>
    </row>
    <row r="236" spans="1:18" s="132" customFormat="1" ht="11.25">
      <c r="A236" s="144"/>
      <c r="C236" s="131"/>
      <c r="D236" s="133"/>
      <c r="E236" s="134"/>
      <c r="F236" s="134"/>
      <c r="I236" s="131"/>
      <c r="K236" s="131"/>
      <c r="L236" s="131"/>
      <c r="M236" s="131"/>
      <c r="N236" s="131"/>
      <c r="O236" s="131"/>
      <c r="P236" s="131"/>
      <c r="Q236" s="131"/>
      <c r="R236" s="131"/>
    </row>
    <row r="237" spans="1:18" s="132" customFormat="1" ht="11.25">
      <c r="A237" s="144"/>
      <c r="C237" s="131"/>
      <c r="D237" s="133"/>
      <c r="E237" s="134"/>
      <c r="F237" s="134"/>
      <c r="I237" s="131"/>
      <c r="K237" s="131"/>
      <c r="L237" s="131"/>
      <c r="M237" s="131"/>
      <c r="N237" s="131"/>
      <c r="O237" s="131"/>
      <c r="P237" s="131"/>
      <c r="Q237" s="131"/>
      <c r="R237" s="131"/>
    </row>
    <row r="238" spans="1:18" s="132" customFormat="1" ht="11.25">
      <c r="A238" s="144"/>
      <c r="C238" s="131"/>
      <c r="D238" s="133"/>
      <c r="E238" s="134"/>
      <c r="F238" s="134"/>
      <c r="I238" s="131"/>
      <c r="K238" s="131"/>
      <c r="L238" s="131"/>
      <c r="M238" s="131"/>
      <c r="N238" s="131"/>
      <c r="O238" s="131"/>
      <c r="P238" s="131"/>
      <c r="Q238" s="131"/>
      <c r="R238" s="131"/>
    </row>
    <row r="239" spans="1:18" s="132" customFormat="1" ht="11.25">
      <c r="A239" s="144"/>
      <c r="C239" s="131"/>
      <c r="D239" s="133"/>
      <c r="E239" s="134"/>
      <c r="F239" s="134"/>
      <c r="I239" s="131"/>
      <c r="K239" s="131"/>
      <c r="L239" s="131"/>
      <c r="M239" s="131"/>
      <c r="N239" s="131"/>
      <c r="O239" s="131"/>
      <c r="P239" s="131"/>
      <c r="Q239" s="131"/>
      <c r="R239" s="131"/>
    </row>
    <row r="240" spans="1:18" s="132" customFormat="1" ht="11.25">
      <c r="A240" s="144"/>
      <c r="C240" s="131"/>
      <c r="D240" s="133"/>
      <c r="E240" s="134"/>
      <c r="F240" s="134"/>
      <c r="I240" s="131"/>
      <c r="K240" s="131"/>
      <c r="L240" s="131"/>
      <c r="M240" s="131"/>
      <c r="N240" s="131"/>
      <c r="O240" s="131"/>
      <c r="P240" s="131"/>
      <c r="Q240" s="131"/>
      <c r="R240" s="131"/>
    </row>
    <row r="241" spans="1:18" s="132" customFormat="1" ht="11.25">
      <c r="A241" s="144"/>
      <c r="C241" s="131"/>
      <c r="D241" s="133"/>
      <c r="E241" s="134"/>
      <c r="F241" s="134"/>
      <c r="I241" s="131"/>
      <c r="K241" s="131"/>
      <c r="L241" s="131"/>
      <c r="M241" s="131"/>
      <c r="N241" s="131"/>
      <c r="O241" s="131"/>
      <c r="P241" s="131"/>
      <c r="Q241" s="131"/>
      <c r="R241" s="131"/>
    </row>
    <row r="242" spans="1:18" s="132" customFormat="1" ht="11.25">
      <c r="A242" s="144"/>
      <c r="C242" s="131"/>
      <c r="D242" s="133"/>
      <c r="E242" s="134"/>
      <c r="F242" s="134"/>
      <c r="I242" s="131"/>
      <c r="K242" s="131"/>
      <c r="L242" s="131"/>
      <c r="M242" s="131"/>
      <c r="N242" s="131"/>
      <c r="O242" s="131"/>
      <c r="P242" s="131"/>
      <c r="Q242" s="131"/>
      <c r="R242" s="131"/>
    </row>
    <row r="243" spans="1:18" s="132" customFormat="1" ht="11.25">
      <c r="A243" s="144"/>
      <c r="C243" s="131"/>
      <c r="D243" s="133"/>
      <c r="E243" s="134"/>
      <c r="F243" s="134"/>
      <c r="I243" s="131"/>
      <c r="K243" s="131"/>
      <c r="L243" s="131"/>
      <c r="M243" s="131"/>
      <c r="N243" s="131"/>
      <c r="O243" s="131"/>
      <c r="P243" s="131"/>
      <c r="Q243" s="131"/>
      <c r="R243" s="131"/>
    </row>
    <row r="244" spans="1:18" s="132" customFormat="1" ht="11.25">
      <c r="A244" s="144"/>
      <c r="C244" s="131"/>
      <c r="D244" s="133"/>
      <c r="E244" s="134"/>
      <c r="F244" s="134"/>
      <c r="I244" s="131"/>
      <c r="K244" s="131"/>
      <c r="L244" s="131"/>
      <c r="M244" s="131"/>
      <c r="N244" s="131"/>
      <c r="O244" s="131"/>
      <c r="P244" s="131"/>
      <c r="Q244" s="131"/>
      <c r="R244" s="131"/>
    </row>
    <row r="245" spans="1:18" s="132" customFormat="1" ht="11.25">
      <c r="A245" s="144"/>
      <c r="C245" s="131"/>
      <c r="D245" s="133"/>
      <c r="E245" s="134"/>
      <c r="F245" s="134"/>
      <c r="I245" s="131"/>
      <c r="K245" s="131"/>
      <c r="L245" s="131"/>
      <c r="M245" s="131"/>
      <c r="N245" s="131"/>
      <c r="O245" s="131"/>
      <c r="P245" s="131"/>
      <c r="Q245" s="131"/>
      <c r="R245" s="131"/>
    </row>
    <row r="246" spans="1:18" s="132" customFormat="1" ht="11.25">
      <c r="A246" s="144"/>
      <c r="C246" s="131"/>
      <c r="D246" s="133"/>
      <c r="E246" s="134"/>
      <c r="F246" s="134"/>
      <c r="I246" s="131"/>
      <c r="K246" s="131"/>
      <c r="L246" s="131"/>
      <c r="M246" s="131"/>
      <c r="N246" s="131"/>
      <c r="O246" s="131"/>
      <c r="P246" s="131"/>
      <c r="Q246" s="131"/>
      <c r="R246" s="131"/>
    </row>
    <row r="247" spans="1:18" s="132" customFormat="1" ht="11.25">
      <c r="A247" s="144"/>
      <c r="C247" s="131"/>
      <c r="D247" s="133"/>
      <c r="E247" s="134"/>
      <c r="F247" s="134"/>
      <c r="I247" s="131"/>
      <c r="K247" s="131"/>
      <c r="L247" s="131"/>
      <c r="M247" s="131"/>
      <c r="N247" s="131"/>
      <c r="O247" s="131"/>
      <c r="P247" s="131"/>
      <c r="Q247" s="131"/>
      <c r="R247" s="131"/>
    </row>
    <row r="248" spans="1:18" s="132" customFormat="1" ht="11.25">
      <c r="A248" s="144"/>
      <c r="C248" s="131"/>
      <c r="D248" s="133"/>
      <c r="E248" s="134"/>
      <c r="F248" s="134"/>
      <c r="I248" s="131"/>
      <c r="K248" s="131"/>
      <c r="L248" s="131"/>
      <c r="M248" s="131"/>
      <c r="N248" s="131"/>
      <c r="O248" s="131"/>
      <c r="P248" s="131"/>
      <c r="Q248" s="131"/>
      <c r="R248" s="131"/>
    </row>
    <row r="249" spans="1:18" s="132" customFormat="1" ht="11.25">
      <c r="A249" s="144"/>
      <c r="C249" s="131"/>
      <c r="D249" s="133"/>
      <c r="E249" s="134"/>
      <c r="F249" s="134"/>
      <c r="I249" s="131"/>
      <c r="K249" s="131"/>
      <c r="L249" s="131"/>
      <c r="M249" s="131"/>
      <c r="N249" s="131"/>
      <c r="O249" s="131"/>
      <c r="P249" s="131"/>
      <c r="Q249" s="131"/>
      <c r="R249" s="131"/>
    </row>
    <row r="250" spans="1:18" s="132" customFormat="1" ht="11.25">
      <c r="A250" s="144"/>
      <c r="C250" s="131"/>
      <c r="D250" s="133"/>
      <c r="E250" s="134"/>
      <c r="F250" s="134"/>
      <c r="I250" s="131"/>
      <c r="K250" s="131"/>
      <c r="L250" s="131"/>
      <c r="M250" s="131"/>
      <c r="N250" s="131"/>
      <c r="O250" s="131"/>
      <c r="P250" s="131"/>
      <c r="Q250" s="131"/>
      <c r="R250" s="131"/>
    </row>
    <row r="251" spans="1:18" s="132" customFormat="1" ht="11.25">
      <c r="A251" s="144"/>
      <c r="C251" s="131"/>
      <c r="D251" s="133"/>
      <c r="E251" s="134"/>
      <c r="F251" s="134"/>
      <c r="I251" s="131"/>
      <c r="K251" s="131"/>
      <c r="L251" s="131"/>
      <c r="M251" s="131"/>
      <c r="N251" s="131"/>
      <c r="O251" s="131"/>
      <c r="P251" s="131"/>
      <c r="Q251" s="131"/>
      <c r="R251" s="131"/>
    </row>
    <row r="252" spans="1:18" s="132" customFormat="1" ht="11.25">
      <c r="A252" s="144"/>
      <c r="C252" s="131"/>
      <c r="D252" s="133"/>
      <c r="E252" s="134"/>
      <c r="F252" s="134"/>
      <c r="I252" s="131"/>
      <c r="K252" s="131"/>
      <c r="L252" s="131"/>
      <c r="M252" s="131"/>
      <c r="N252" s="131"/>
      <c r="O252" s="131"/>
      <c r="P252" s="131"/>
      <c r="Q252" s="131"/>
      <c r="R252" s="131"/>
    </row>
    <row r="253" spans="1:18" s="132" customFormat="1" ht="11.25">
      <c r="A253" s="144"/>
      <c r="C253" s="131"/>
      <c r="D253" s="133"/>
      <c r="E253" s="134"/>
      <c r="F253" s="134"/>
      <c r="I253" s="131"/>
      <c r="K253" s="131"/>
      <c r="L253" s="131"/>
      <c r="M253" s="131"/>
      <c r="N253" s="131"/>
      <c r="O253" s="131"/>
      <c r="P253" s="131"/>
      <c r="Q253" s="131"/>
      <c r="R253" s="131"/>
    </row>
    <row r="254" spans="1:18" s="132" customFormat="1" ht="11.25">
      <c r="A254" s="144"/>
      <c r="C254" s="131"/>
      <c r="D254" s="133"/>
      <c r="E254" s="134"/>
      <c r="F254" s="134"/>
      <c r="I254" s="131"/>
      <c r="K254" s="131"/>
      <c r="L254" s="131"/>
      <c r="M254" s="131"/>
      <c r="N254" s="131"/>
      <c r="O254" s="131"/>
      <c r="P254" s="131"/>
      <c r="Q254" s="131"/>
      <c r="R254" s="131"/>
    </row>
    <row r="255" spans="1:18" s="132" customFormat="1" ht="11.25">
      <c r="A255" s="144"/>
      <c r="C255" s="131"/>
      <c r="D255" s="133"/>
      <c r="E255" s="134"/>
      <c r="F255" s="134"/>
      <c r="I255" s="131"/>
      <c r="K255" s="131"/>
      <c r="L255" s="131"/>
      <c r="M255" s="131"/>
      <c r="N255" s="131"/>
      <c r="O255" s="131"/>
      <c r="P255" s="131"/>
      <c r="Q255" s="131"/>
      <c r="R255" s="131"/>
    </row>
    <row r="256" spans="1:18" s="132" customFormat="1" ht="11.25">
      <c r="A256" s="147"/>
      <c r="C256" s="131"/>
      <c r="D256" s="133"/>
      <c r="E256" s="134"/>
      <c r="F256" s="134"/>
      <c r="I256" s="131"/>
      <c r="K256" s="131"/>
      <c r="L256" s="131"/>
      <c r="M256" s="131"/>
      <c r="N256" s="131"/>
      <c r="O256" s="131"/>
      <c r="P256" s="131"/>
      <c r="Q256" s="131"/>
      <c r="R256" s="131"/>
    </row>
    <row r="257" spans="1:18" s="132" customFormat="1" ht="11.25">
      <c r="A257" s="144"/>
      <c r="C257" s="131"/>
      <c r="D257" s="133"/>
      <c r="E257" s="134"/>
      <c r="F257" s="134"/>
      <c r="I257" s="131"/>
      <c r="K257" s="131"/>
      <c r="L257" s="131"/>
      <c r="M257" s="131"/>
      <c r="N257" s="131"/>
      <c r="O257" s="131"/>
      <c r="P257" s="131"/>
      <c r="Q257" s="131"/>
      <c r="R257" s="131"/>
    </row>
    <row r="258" spans="1:18" s="132" customFormat="1" ht="11.25">
      <c r="A258" s="144"/>
      <c r="C258" s="131"/>
      <c r="D258" s="133"/>
      <c r="E258" s="134"/>
      <c r="F258" s="134"/>
      <c r="I258" s="131"/>
      <c r="K258" s="131"/>
      <c r="L258" s="131"/>
      <c r="M258" s="131"/>
      <c r="N258" s="131"/>
      <c r="O258" s="131"/>
      <c r="P258" s="131"/>
      <c r="Q258" s="131"/>
      <c r="R258" s="131"/>
    </row>
    <row r="259" spans="1:18" s="132" customFormat="1" ht="11.25">
      <c r="A259" s="147"/>
      <c r="C259" s="131"/>
      <c r="D259" s="133"/>
      <c r="E259" s="134"/>
      <c r="F259" s="134"/>
      <c r="I259" s="131"/>
      <c r="K259" s="131"/>
      <c r="L259" s="131"/>
      <c r="M259" s="131"/>
      <c r="N259" s="131"/>
      <c r="O259" s="131"/>
      <c r="P259" s="131"/>
      <c r="Q259" s="131"/>
      <c r="R259" s="131"/>
    </row>
    <row r="260" spans="1:18" s="132" customFormat="1" ht="11.25">
      <c r="A260" s="147"/>
      <c r="C260" s="131"/>
      <c r="D260" s="133"/>
      <c r="E260" s="134"/>
      <c r="F260" s="134"/>
      <c r="I260" s="131"/>
      <c r="K260" s="131"/>
      <c r="L260" s="131"/>
      <c r="M260" s="131"/>
      <c r="N260" s="131"/>
      <c r="O260" s="131"/>
      <c r="P260" s="131"/>
      <c r="Q260" s="131"/>
      <c r="R260" s="131"/>
    </row>
    <row r="261" spans="1:18" s="132" customFormat="1" ht="11.25">
      <c r="A261" s="144"/>
      <c r="C261" s="131"/>
      <c r="D261" s="133"/>
      <c r="E261" s="134"/>
      <c r="F261" s="134"/>
      <c r="I261" s="131"/>
      <c r="K261" s="131"/>
      <c r="L261" s="131"/>
      <c r="M261" s="131"/>
      <c r="N261" s="131"/>
      <c r="O261" s="131"/>
      <c r="P261" s="131"/>
      <c r="Q261" s="131"/>
      <c r="R261" s="131"/>
    </row>
    <row r="262" spans="1:18" s="132" customFormat="1" ht="11.25">
      <c r="A262" s="144"/>
      <c r="C262" s="131"/>
      <c r="D262" s="133"/>
      <c r="E262" s="134"/>
      <c r="F262" s="134"/>
      <c r="I262" s="131"/>
      <c r="K262" s="131"/>
      <c r="L262" s="131"/>
      <c r="M262" s="131"/>
      <c r="N262" s="131"/>
      <c r="O262" s="131"/>
      <c r="P262" s="131"/>
      <c r="Q262" s="131"/>
      <c r="R262" s="131"/>
    </row>
    <row r="263" spans="1:18" s="132" customFormat="1" ht="11.25">
      <c r="A263" s="144"/>
      <c r="C263" s="131"/>
      <c r="D263" s="133"/>
      <c r="E263" s="134"/>
      <c r="F263" s="134"/>
      <c r="I263" s="131"/>
      <c r="K263" s="131"/>
      <c r="L263" s="131"/>
      <c r="M263" s="131"/>
      <c r="N263" s="131"/>
      <c r="O263" s="131"/>
      <c r="P263" s="131"/>
      <c r="Q263" s="131"/>
      <c r="R263" s="131"/>
    </row>
    <row r="264" spans="1:18" s="132" customFormat="1" ht="11.25">
      <c r="A264" s="144"/>
      <c r="C264" s="131"/>
      <c r="D264" s="133"/>
      <c r="E264" s="134"/>
      <c r="F264" s="134"/>
      <c r="I264" s="131"/>
      <c r="K264" s="131"/>
      <c r="L264" s="131"/>
      <c r="M264" s="131"/>
      <c r="N264" s="131"/>
      <c r="O264" s="131"/>
      <c r="P264" s="131"/>
      <c r="Q264" s="131"/>
      <c r="R264" s="131"/>
    </row>
    <row r="265" spans="1:18" s="132" customFormat="1" ht="11.25">
      <c r="A265" s="148"/>
      <c r="C265" s="131"/>
      <c r="D265" s="133"/>
      <c r="E265" s="134"/>
      <c r="F265" s="134"/>
      <c r="I265" s="131"/>
      <c r="K265" s="131"/>
      <c r="L265" s="131"/>
      <c r="M265" s="131"/>
      <c r="N265" s="131"/>
      <c r="O265" s="131"/>
      <c r="P265" s="131"/>
      <c r="Q265" s="131"/>
      <c r="R265" s="131"/>
    </row>
    <row r="266" spans="1:18" s="132" customFormat="1" ht="11.25">
      <c r="A266" s="144"/>
      <c r="C266" s="131"/>
      <c r="D266" s="133"/>
      <c r="E266" s="134"/>
      <c r="F266" s="134"/>
      <c r="I266" s="131"/>
      <c r="K266" s="131"/>
      <c r="L266" s="131"/>
      <c r="M266" s="131"/>
      <c r="N266" s="131"/>
      <c r="O266" s="131"/>
      <c r="P266" s="131"/>
      <c r="Q266" s="131"/>
      <c r="R266" s="131"/>
    </row>
    <row r="267" spans="1:18" s="132" customFormat="1" ht="11.25">
      <c r="A267" s="145"/>
      <c r="C267" s="131"/>
      <c r="D267" s="133"/>
      <c r="E267" s="134"/>
      <c r="F267" s="134"/>
      <c r="I267" s="131"/>
      <c r="K267" s="131"/>
      <c r="L267" s="131"/>
      <c r="M267" s="131"/>
      <c r="N267" s="131"/>
      <c r="O267" s="131"/>
      <c r="P267" s="131"/>
      <c r="Q267" s="131"/>
      <c r="R267" s="131"/>
    </row>
    <row r="268" spans="1:18" s="132" customFormat="1" ht="11.25">
      <c r="A268" s="145"/>
      <c r="C268" s="131"/>
      <c r="D268" s="133"/>
      <c r="E268" s="134"/>
      <c r="F268" s="134"/>
      <c r="I268" s="131"/>
      <c r="K268" s="131"/>
      <c r="L268" s="131"/>
      <c r="M268" s="131"/>
      <c r="N268" s="131"/>
      <c r="O268" s="131"/>
      <c r="P268" s="131"/>
      <c r="Q268" s="131"/>
      <c r="R268" s="131"/>
    </row>
    <row r="269" spans="1:18" s="132" customFormat="1" ht="11.25">
      <c r="A269" s="144"/>
      <c r="C269" s="131"/>
      <c r="D269" s="133"/>
      <c r="E269" s="134"/>
      <c r="F269" s="134"/>
      <c r="I269" s="131"/>
      <c r="K269" s="131"/>
      <c r="L269" s="131"/>
      <c r="M269" s="131"/>
      <c r="N269" s="131"/>
      <c r="O269" s="131"/>
      <c r="P269" s="131"/>
      <c r="Q269" s="131"/>
      <c r="R269" s="131"/>
    </row>
    <row r="270" spans="1:18" s="132" customFormat="1" ht="11.25">
      <c r="A270" s="145"/>
      <c r="C270" s="131"/>
      <c r="D270" s="133"/>
      <c r="E270" s="134"/>
      <c r="F270" s="134"/>
      <c r="I270" s="131"/>
      <c r="K270" s="131"/>
      <c r="L270" s="131"/>
      <c r="M270" s="131"/>
      <c r="N270" s="131"/>
      <c r="O270" s="131"/>
      <c r="P270" s="131"/>
      <c r="Q270" s="131"/>
      <c r="R270" s="131"/>
    </row>
    <row r="271" spans="1:18" s="132" customFormat="1" ht="11.25">
      <c r="A271" s="146"/>
      <c r="C271" s="131"/>
      <c r="D271" s="133"/>
      <c r="E271" s="134"/>
      <c r="F271" s="134"/>
      <c r="I271" s="131"/>
      <c r="K271" s="131"/>
      <c r="L271" s="131"/>
      <c r="M271" s="131"/>
      <c r="N271" s="131"/>
      <c r="O271" s="131"/>
      <c r="P271" s="131"/>
      <c r="Q271" s="131"/>
      <c r="R271" s="131"/>
    </row>
    <row r="272" spans="1:18" s="132" customFormat="1" ht="11.25">
      <c r="A272" s="146"/>
      <c r="C272" s="131"/>
      <c r="D272" s="133"/>
      <c r="E272" s="134"/>
      <c r="F272" s="134"/>
      <c r="I272" s="131"/>
      <c r="K272" s="131"/>
      <c r="L272" s="131"/>
      <c r="M272" s="131"/>
      <c r="N272" s="131"/>
      <c r="O272" s="131"/>
      <c r="P272" s="131"/>
      <c r="Q272" s="131"/>
      <c r="R272" s="131"/>
    </row>
    <row r="273" spans="1:18" s="132" customFormat="1" ht="11.25">
      <c r="A273" s="144"/>
      <c r="C273" s="131"/>
      <c r="D273" s="133"/>
      <c r="E273" s="134"/>
      <c r="F273" s="134"/>
      <c r="I273" s="131"/>
      <c r="K273" s="131"/>
      <c r="L273" s="131"/>
      <c r="M273" s="131"/>
      <c r="N273" s="131"/>
      <c r="O273" s="131"/>
      <c r="P273" s="131"/>
      <c r="Q273" s="131"/>
      <c r="R273" s="131"/>
    </row>
    <row r="274" spans="1:18" s="132" customFormat="1" ht="11.25">
      <c r="A274" s="149"/>
      <c r="C274" s="131"/>
      <c r="D274" s="133"/>
      <c r="E274" s="134"/>
      <c r="F274" s="134"/>
      <c r="I274" s="131"/>
      <c r="K274" s="131"/>
      <c r="L274" s="131"/>
      <c r="M274" s="131"/>
      <c r="N274" s="131"/>
      <c r="O274" s="131"/>
      <c r="P274" s="131"/>
      <c r="Q274" s="131"/>
      <c r="R274" s="131"/>
    </row>
    <row r="275" spans="1:18" s="132" customFormat="1" ht="11.25">
      <c r="A275" s="149"/>
      <c r="C275" s="131"/>
      <c r="D275" s="133"/>
      <c r="E275" s="134"/>
      <c r="F275" s="134"/>
      <c r="I275" s="131"/>
      <c r="K275" s="131"/>
      <c r="L275" s="131"/>
      <c r="M275" s="131"/>
      <c r="N275" s="131"/>
      <c r="O275" s="131"/>
      <c r="P275" s="131"/>
      <c r="Q275" s="131"/>
      <c r="R275" s="131"/>
    </row>
    <row r="276" spans="1:18" s="132" customFormat="1" ht="11.25">
      <c r="A276" s="147"/>
      <c r="C276" s="131"/>
      <c r="D276" s="133"/>
      <c r="E276" s="134"/>
      <c r="F276" s="134"/>
      <c r="I276" s="131"/>
      <c r="K276" s="131"/>
      <c r="L276" s="131"/>
      <c r="M276" s="131"/>
      <c r="N276" s="131"/>
      <c r="O276" s="131"/>
      <c r="P276" s="131"/>
      <c r="Q276" s="131"/>
      <c r="R276" s="131"/>
    </row>
    <row r="277" spans="1:18" s="132" customFormat="1" ht="11.25">
      <c r="A277" s="148"/>
      <c r="C277" s="131"/>
      <c r="D277" s="133"/>
      <c r="E277" s="134"/>
      <c r="F277" s="134"/>
      <c r="I277" s="131"/>
      <c r="K277" s="131"/>
      <c r="L277" s="131"/>
      <c r="M277" s="131"/>
      <c r="N277" s="131"/>
      <c r="O277" s="131"/>
      <c r="P277" s="131"/>
      <c r="Q277" s="131"/>
      <c r="R277" s="131"/>
    </row>
    <row r="278" spans="1:18" s="132" customFormat="1" ht="11.25">
      <c r="A278" s="144"/>
      <c r="C278" s="131"/>
      <c r="D278" s="133"/>
      <c r="E278" s="134"/>
      <c r="F278" s="134"/>
      <c r="I278" s="131"/>
      <c r="K278" s="131"/>
      <c r="L278" s="131"/>
      <c r="M278" s="131"/>
      <c r="N278" s="131"/>
      <c r="O278" s="131"/>
      <c r="P278" s="131"/>
      <c r="Q278" s="131"/>
      <c r="R278" s="131"/>
    </row>
    <row r="279" spans="1:18" s="132" customFormat="1" ht="11.25">
      <c r="A279" s="145"/>
      <c r="C279" s="131"/>
      <c r="D279" s="133"/>
      <c r="E279" s="134"/>
      <c r="F279" s="134"/>
      <c r="I279" s="131"/>
      <c r="K279" s="131"/>
      <c r="L279" s="131"/>
      <c r="M279" s="131"/>
      <c r="N279" s="131"/>
      <c r="O279" s="131"/>
      <c r="P279" s="131"/>
      <c r="Q279" s="131"/>
      <c r="R279" s="131"/>
    </row>
    <row r="280" spans="1:18" s="132" customFormat="1" ht="11.25">
      <c r="A280" s="145"/>
      <c r="C280" s="131"/>
      <c r="D280" s="133"/>
      <c r="E280" s="134"/>
      <c r="F280" s="134"/>
      <c r="I280" s="131"/>
      <c r="K280" s="131"/>
      <c r="L280" s="131"/>
      <c r="M280" s="131"/>
      <c r="N280" s="131"/>
      <c r="O280" s="131"/>
      <c r="P280" s="131"/>
      <c r="Q280" s="131"/>
      <c r="R280" s="131"/>
    </row>
    <row r="281" spans="1:18" s="132" customFormat="1" ht="11.25">
      <c r="A281" s="144"/>
      <c r="C281" s="131"/>
      <c r="D281" s="133"/>
      <c r="E281" s="134"/>
      <c r="F281" s="134"/>
      <c r="I281" s="131"/>
      <c r="K281" s="131"/>
      <c r="L281" s="131"/>
      <c r="M281" s="131"/>
      <c r="N281" s="131"/>
      <c r="O281" s="131"/>
      <c r="P281" s="131"/>
      <c r="Q281" s="131"/>
      <c r="R281" s="131"/>
    </row>
    <row r="282" spans="1:18" s="132" customFormat="1" ht="11.25">
      <c r="A282" s="144"/>
      <c r="C282" s="131"/>
      <c r="D282" s="133"/>
      <c r="E282" s="134"/>
      <c r="F282" s="134"/>
      <c r="I282" s="131"/>
      <c r="K282" s="131"/>
      <c r="L282" s="131"/>
      <c r="M282" s="131"/>
      <c r="N282" s="131"/>
      <c r="O282" s="131"/>
      <c r="P282" s="131"/>
      <c r="Q282" s="131"/>
      <c r="R282" s="131"/>
    </row>
    <row r="283" spans="1:18" s="132" customFormat="1" ht="11.25">
      <c r="A283" s="144"/>
      <c r="C283" s="131"/>
      <c r="D283" s="133"/>
      <c r="E283" s="134"/>
      <c r="F283" s="134"/>
      <c r="I283" s="131"/>
      <c r="K283" s="131"/>
      <c r="L283" s="131"/>
      <c r="M283" s="131"/>
      <c r="N283" s="131"/>
      <c r="O283" s="131"/>
      <c r="P283" s="131"/>
      <c r="Q283" s="131"/>
      <c r="R283" s="131"/>
    </row>
    <row r="284" spans="1:18" s="132" customFormat="1" ht="11.25">
      <c r="A284" s="149"/>
      <c r="C284" s="131"/>
      <c r="D284" s="133"/>
      <c r="E284" s="134"/>
      <c r="F284" s="134"/>
      <c r="I284" s="131"/>
      <c r="K284" s="131"/>
      <c r="L284" s="131"/>
      <c r="M284" s="131"/>
      <c r="N284" s="131"/>
      <c r="O284" s="131"/>
      <c r="P284" s="131"/>
      <c r="Q284" s="131"/>
      <c r="R284" s="131"/>
    </row>
    <row r="285" spans="1:18" s="132" customFormat="1" ht="11.25">
      <c r="A285" s="150"/>
      <c r="C285" s="131"/>
      <c r="D285" s="133"/>
      <c r="E285" s="134"/>
      <c r="F285" s="134"/>
      <c r="I285" s="131"/>
      <c r="K285" s="131"/>
      <c r="L285" s="131"/>
      <c r="M285" s="131"/>
      <c r="N285" s="131"/>
      <c r="O285" s="131"/>
      <c r="P285" s="131"/>
      <c r="Q285" s="131"/>
      <c r="R285" s="131"/>
    </row>
    <row r="286" spans="1:18" s="132" customFormat="1" ht="11.25">
      <c r="A286" s="150"/>
      <c r="C286" s="131"/>
      <c r="D286" s="133"/>
      <c r="E286" s="134"/>
      <c r="F286" s="134"/>
      <c r="I286" s="131"/>
      <c r="K286" s="131"/>
      <c r="L286" s="131"/>
      <c r="M286" s="131"/>
      <c r="N286" s="131"/>
      <c r="O286" s="131"/>
      <c r="P286" s="131"/>
      <c r="Q286" s="131"/>
      <c r="R286" s="131"/>
    </row>
    <row r="287" spans="1:18" s="132" customFormat="1" ht="11.25">
      <c r="A287" s="149"/>
      <c r="C287" s="131"/>
      <c r="D287" s="133"/>
      <c r="E287" s="134"/>
      <c r="F287" s="134"/>
      <c r="I287" s="131"/>
      <c r="K287" s="131"/>
      <c r="L287" s="131"/>
      <c r="M287" s="131"/>
      <c r="N287" s="131"/>
      <c r="O287" s="131"/>
      <c r="P287" s="131"/>
      <c r="Q287" s="131"/>
      <c r="R287" s="131"/>
    </row>
    <row r="288" spans="1:18" ht="11.25">
      <c r="A288" s="150"/>
    </row>
    <row r="289" spans="1:1" ht="11.25">
      <c r="A289" s="150"/>
    </row>
  </sheetData>
  <pageMargins left="0.7" right="0.7" top="0.75" bottom="0.75" header="0.3" footer="0.3"/>
  <pageSetup fitToHeight="4" pageOrder="overThenDown" orientation="landscape" r:id="rId1"/>
  <headerFooter>
    <oddFooter xml:space="preserve">&amp;L&amp;F - &amp;A
&amp;R&amp;P of &amp;N
</oddFooter>
  </headerFooter>
  <rowBreaks count="1" manualBreakCount="1">
    <brk id="141" max="8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showGridLines="0" view="pageLayout" topLeftCell="A7" zoomScale="80" zoomScaleNormal="80" zoomScalePageLayoutView="80" workbookViewId="0">
      <selection activeCell="M22" sqref="M22"/>
    </sheetView>
  </sheetViews>
  <sheetFormatPr defaultRowHeight="12.75"/>
  <cols>
    <col min="1" max="1" width="9.7109375" style="49" customWidth="1"/>
    <col min="2" max="2" width="34.140625" style="49" bestFit="1" customWidth="1"/>
    <col min="3" max="4" width="15.85546875" style="49" bestFit="1" customWidth="1"/>
    <col min="5" max="5" width="14.5703125" style="49" bestFit="1" customWidth="1"/>
    <col min="6" max="6" width="8" style="49" customWidth="1"/>
    <col min="7" max="7" width="34.140625" style="49" bestFit="1" customWidth="1"/>
    <col min="8" max="8" width="14.5703125" style="49" bestFit="1" customWidth="1"/>
    <col min="9" max="10" width="9.140625" style="49"/>
    <col min="11" max="11" width="15.28515625" style="49" bestFit="1" customWidth="1"/>
    <col min="12" max="16384" width="9.140625" style="49"/>
  </cols>
  <sheetData>
    <row r="1" spans="1:11">
      <c r="A1" s="162" t="s">
        <v>350</v>
      </c>
    </row>
    <row r="2" spans="1:11">
      <c r="A2" s="162" t="s">
        <v>351</v>
      </c>
    </row>
    <row r="3" spans="1:11" ht="12.75" customHeight="1">
      <c r="A3" s="162" t="s">
        <v>352</v>
      </c>
    </row>
    <row r="4" spans="1:11" ht="12.75" customHeight="1">
      <c r="A4" s="162"/>
    </row>
    <row r="5" spans="1:11" ht="12.75" customHeight="1">
      <c r="A5" s="246" t="s">
        <v>353</v>
      </c>
      <c r="B5" s="246"/>
      <c r="C5" s="246"/>
      <c r="D5" s="246"/>
      <c r="E5" s="246"/>
      <c r="F5" s="234"/>
    </row>
    <row r="6" spans="1:11">
      <c r="A6" s="246"/>
      <c r="B6" s="246"/>
      <c r="C6" s="246"/>
      <c r="D6" s="246"/>
      <c r="E6" s="246"/>
      <c r="F6" s="234"/>
      <c r="G6" s="224"/>
      <c r="H6" s="224"/>
      <c r="I6" s="224"/>
    </row>
    <row r="8" spans="1:11">
      <c r="C8" s="163" t="s">
        <v>354</v>
      </c>
      <c r="D8" s="163" t="s">
        <v>355</v>
      </c>
    </row>
    <row r="9" spans="1:11">
      <c r="B9" s="237" t="s">
        <v>357</v>
      </c>
      <c r="C9" s="166">
        <f>+'[15]WW RO - Garbage Only'!W21469</f>
        <v>78285.730000000345</v>
      </c>
      <c r="D9" s="167">
        <f>+'[15]WW RO - Garbage Only'!Z21469</f>
        <v>6325405.3100000434</v>
      </c>
    </row>
    <row r="10" spans="1:11">
      <c r="B10" s="237" t="s">
        <v>359</v>
      </c>
      <c r="C10" s="166">
        <f>+'[15]WW RO Food Waste'!W11</f>
        <v>0.59000000000000019</v>
      </c>
      <c r="D10" s="167">
        <f>+'[15]WW RO Food Waste'!Z11</f>
        <v>141.58000000000001</v>
      </c>
      <c r="K10" s="171"/>
    </row>
    <row r="11" spans="1:11">
      <c r="B11" s="237" t="s">
        <v>362</v>
      </c>
      <c r="C11" s="166">
        <f>+'[15]WW RO Other'!W1008</f>
        <v>2440.150000000001</v>
      </c>
      <c r="D11" s="167">
        <f>+'[15]WW RO Other'!Z1008</f>
        <v>61370.51</v>
      </c>
    </row>
    <row r="12" spans="1:11" ht="13.5" thickBot="1">
      <c r="B12" s="237"/>
      <c r="C12" s="172">
        <f>SUM(C9:C11)</f>
        <v>80726.470000000336</v>
      </c>
      <c r="D12" s="173">
        <f>SUM(D9:D11)</f>
        <v>6386917.4000000432</v>
      </c>
      <c r="K12" s="171"/>
    </row>
    <row r="13" spans="1:11" ht="13.5" thickTop="1">
      <c r="C13" s="174"/>
      <c r="D13" s="168"/>
    </row>
    <row r="14" spans="1:11">
      <c r="B14" s="49" t="s">
        <v>367</v>
      </c>
      <c r="C14" s="174">
        <f>+'[15]WW ALL RO Only'!W22482</f>
        <v>80726.470000000249</v>
      </c>
      <c r="D14" s="168">
        <f>+'[15]WW ALL RO Only'!Z22482</f>
        <v>6386917.4000000479</v>
      </c>
    </row>
    <row r="15" spans="1:11">
      <c r="B15" s="49" t="s">
        <v>370</v>
      </c>
      <c r="C15" s="174">
        <f>+C14-C12</f>
        <v>0</v>
      </c>
      <c r="D15" s="174">
        <f>+D14-D12</f>
        <v>0</v>
      </c>
    </row>
    <row r="16" spans="1:11">
      <c r="C16" s="174"/>
      <c r="D16" s="168"/>
    </row>
    <row r="17" spans="2:5">
      <c r="C17" s="174"/>
      <c r="D17" s="168"/>
    </row>
    <row r="18" spans="2:5">
      <c r="B18" s="238" t="s">
        <v>374</v>
      </c>
      <c r="C18" s="177">
        <f>+'[15]WW MSW Only'!W15493</f>
        <v>142353.68000000023</v>
      </c>
      <c r="D18" s="178">
        <f>+'[15]WW MSW Only'!Z15493</f>
        <v>12776228.64000003</v>
      </c>
    </row>
    <row r="19" spans="2:5">
      <c r="B19" s="238" t="s">
        <v>375</v>
      </c>
      <c r="C19" s="177">
        <f>+'[15]WW Food Waste'!W532</f>
        <v>1689.4800000000014</v>
      </c>
      <c r="D19" s="178">
        <f>+'[15]WW Food Waste'!Z532</f>
        <v>110572.83000000007</v>
      </c>
    </row>
    <row r="20" spans="2:5">
      <c r="B20" s="238" t="s">
        <v>377</v>
      </c>
      <c r="C20" s="177">
        <f>+'[15]WW Resi Comm Other'!W913</f>
        <v>6922.8299999999917</v>
      </c>
      <c r="D20" s="178">
        <f>+'[15]WW Resi Comm Other'!Z913</f>
        <v>197698.93999999989</v>
      </c>
    </row>
    <row r="21" spans="2:5" ht="13.5" thickBot="1">
      <c r="B21" s="238"/>
      <c r="C21" s="181">
        <f>SUM(C18:C20)</f>
        <v>150965.99000000022</v>
      </c>
      <c r="D21" s="182">
        <f>SUM(D18:D20)</f>
        <v>13084500.41000003</v>
      </c>
    </row>
    <row r="22" spans="2:5" ht="13.5" thickTop="1">
      <c r="C22" s="174"/>
      <c r="D22" s="168"/>
    </row>
    <row r="23" spans="2:5">
      <c r="B23" s="49" t="s">
        <v>381</v>
      </c>
      <c r="C23" s="174">
        <f>+'[15]WW All Resi and Comm'!W16932</f>
        <v>150965.99</v>
      </c>
      <c r="D23" s="168">
        <f>+'[15]WW All Resi and Comm'!Z16932</f>
        <v>13084500.410000021</v>
      </c>
    </row>
    <row r="24" spans="2:5">
      <c r="B24" s="49" t="s">
        <v>370</v>
      </c>
      <c r="C24" s="174">
        <f>+C23-C21</f>
        <v>-2.3283064365386963E-10</v>
      </c>
      <c r="D24" s="174">
        <f>+D23-D21</f>
        <v>0</v>
      </c>
      <c r="E24" s="168"/>
    </row>
    <row r="26" spans="2:5">
      <c r="B26" s="164" t="s">
        <v>356</v>
      </c>
      <c r="C26" s="165">
        <f>'[36]Vancouver Consolidated IS'!C160</f>
        <v>20486867.590000004</v>
      </c>
    </row>
    <row r="27" spans="2:5">
      <c r="C27" s="168"/>
      <c r="D27" s="49" t="s">
        <v>358</v>
      </c>
    </row>
    <row r="28" spans="2:5">
      <c r="B28" s="239" t="s">
        <v>360</v>
      </c>
      <c r="C28" s="169">
        <f>D9</f>
        <v>6325405.3100000434</v>
      </c>
      <c r="D28" s="170" t="s">
        <v>361</v>
      </c>
    </row>
    <row r="29" spans="2:5">
      <c r="B29" s="239" t="s">
        <v>363</v>
      </c>
      <c r="C29" s="169">
        <f>D18</f>
        <v>12776228.64000003</v>
      </c>
      <c r="D29" s="170" t="s">
        <v>361</v>
      </c>
    </row>
    <row r="30" spans="2:5">
      <c r="B30" s="239" t="s">
        <v>364</v>
      </c>
      <c r="C30" s="169">
        <f>SUM(D10:D11,D19:D20)+1760.29</f>
        <v>371544.14999999997</v>
      </c>
      <c r="D30" s="170" t="s">
        <v>361</v>
      </c>
    </row>
    <row r="31" spans="2:5">
      <c r="B31" s="239" t="s">
        <v>365</v>
      </c>
      <c r="C31" s="169">
        <v>4300.1000000000004</v>
      </c>
      <c r="D31" s="170" t="s">
        <v>366</v>
      </c>
    </row>
    <row r="32" spans="2:5">
      <c r="B32" s="239" t="s">
        <v>368</v>
      </c>
      <c r="C32" s="169">
        <v>223134.01</v>
      </c>
      <c r="D32" s="170" t="s">
        <v>369</v>
      </c>
    </row>
    <row r="33" spans="2:5">
      <c r="B33" s="239" t="s">
        <v>371</v>
      </c>
      <c r="C33" s="169">
        <v>786255.38</v>
      </c>
      <c r="D33" s="170" t="s">
        <v>372</v>
      </c>
    </row>
    <row r="34" spans="2:5" ht="13.5" thickBot="1">
      <c r="C34" s="175">
        <f>SUM(C28:C33)</f>
        <v>20486867.590000074</v>
      </c>
    </row>
    <row r="35" spans="2:5" ht="13.5" thickTop="1">
      <c r="B35" s="176" t="s">
        <v>373</v>
      </c>
      <c r="C35" s="168">
        <f>+C34-C26</f>
        <v>7.0780515670776367E-8</v>
      </c>
    </row>
    <row r="36" spans="2:5">
      <c r="E36" s="179"/>
    </row>
    <row r="37" spans="2:5" ht="12.75" customHeight="1">
      <c r="B37" s="225" t="s">
        <v>376</v>
      </c>
      <c r="C37" s="225"/>
    </row>
    <row r="38" spans="2:5">
      <c r="B38" s="180" t="s">
        <v>378</v>
      </c>
      <c r="C38" s="171">
        <f>'[36]Vancouver Consolidated IS'!E17</f>
        <v>6625525.0600000005</v>
      </c>
    </row>
    <row r="39" spans="2:5">
      <c r="B39" s="180" t="s">
        <v>379</v>
      </c>
      <c r="C39" s="171">
        <f>D12</f>
        <v>6386917.4000000432</v>
      </c>
    </row>
    <row r="40" spans="2:5">
      <c r="B40" s="180" t="s">
        <v>380</v>
      </c>
      <c r="C40" s="171">
        <f>C38-C39</f>
        <v>238607.65999995731</v>
      </c>
    </row>
  </sheetData>
  <mergeCells count="1">
    <mergeCell ref="A5:E6"/>
  </mergeCells>
  <pageMargins left="0.7" right="0.7" top="0.75" bottom="0.75" header="0.3" footer="0.3"/>
  <pageSetup pageOrder="overThenDown" orientation="landscape" r:id="rId1"/>
  <headerFooter>
    <oddFooter xml:space="preserve">&amp;L&amp;F - &amp;A
&amp;R&amp;P of &amp;N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7"/>
  <sheetViews>
    <sheetView showGridLines="0" view="pageLayout" topLeftCell="A61" zoomScale="80" zoomScaleNormal="100" zoomScaleSheetLayoutView="85" zoomScalePageLayoutView="80" workbookViewId="0">
      <selection activeCell="M22" sqref="M22"/>
    </sheetView>
  </sheetViews>
  <sheetFormatPr defaultRowHeight="12.75"/>
  <cols>
    <col min="1" max="1" width="25.140625" style="15" bestFit="1" customWidth="1"/>
    <col min="2" max="2" width="7" style="15" customWidth="1"/>
    <col min="3" max="3" width="22" style="15" customWidth="1"/>
    <col min="4" max="4" width="9.5703125" style="15" bestFit="1" customWidth="1"/>
    <col min="5" max="5" width="10.7109375" style="15" bestFit="1" customWidth="1"/>
    <col min="6" max="6" width="9.5703125" style="15" bestFit="1" customWidth="1"/>
    <col min="7" max="7" width="10.140625" style="15" bestFit="1" customWidth="1"/>
    <col min="8" max="8" width="7.5703125" style="15" bestFit="1" customWidth="1"/>
    <col min="9" max="9" width="9.28515625" style="15" bestFit="1" customWidth="1"/>
    <col min="10" max="10" width="9.5703125" style="15" bestFit="1" customWidth="1"/>
    <col min="11" max="11" width="14.5703125" style="15" customWidth="1"/>
    <col min="12" max="12" width="9.140625" style="15"/>
    <col min="13" max="13" width="17.42578125" style="15" customWidth="1"/>
    <col min="14" max="16384" width="9.140625" style="15"/>
  </cols>
  <sheetData>
    <row r="1" spans="1:10">
      <c r="A1" s="162" t="s">
        <v>350</v>
      </c>
    </row>
    <row r="2" spans="1:10">
      <c r="A2" s="162" t="s">
        <v>641</v>
      </c>
    </row>
    <row r="3" spans="1:10">
      <c r="A3" s="162" t="s">
        <v>352</v>
      </c>
    </row>
    <row r="5" spans="1:10">
      <c r="A5" s="247" t="s">
        <v>0</v>
      </c>
      <c r="B5" s="247"/>
      <c r="C5" s="247"/>
      <c r="D5" s="247"/>
      <c r="E5" s="247"/>
      <c r="F5" s="247"/>
      <c r="G5" s="247"/>
      <c r="H5" s="247"/>
      <c r="I5" s="247"/>
      <c r="J5" s="49"/>
    </row>
    <row r="6" spans="1:10">
      <c r="A6" s="15" t="s">
        <v>1</v>
      </c>
      <c r="C6" s="50" t="s">
        <v>2</v>
      </c>
      <c r="D6" s="50" t="s">
        <v>3</v>
      </c>
      <c r="E6" s="50" t="s">
        <v>4</v>
      </c>
      <c r="F6" s="50" t="s">
        <v>5</v>
      </c>
      <c r="G6" s="50" t="s">
        <v>6</v>
      </c>
      <c r="H6" s="50" t="s">
        <v>7</v>
      </c>
      <c r="I6" s="50" t="s">
        <v>8</v>
      </c>
    </row>
    <row r="7" spans="1:10">
      <c r="A7" s="15" t="s">
        <v>9</v>
      </c>
      <c r="C7" s="20">
        <f>+C11*5</f>
        <v>21.65</v>
      </c>
      <c r="D7" s="51">
        <f>ROUND($C$7*2,2)</f>
        <v>43.3</v>
      </c>
      <c r="E7" s="51">
        <f>ROUND($C$7*3,2)</f>
        <v>64.95</v>
      </c>
      <c r="F7" s="51">
        <f>ROUND($C$7*4,2)</f>
        <v>86.6</v>
      </c>
      <c r="G7" s="51">
        <f>ROUND($C$7*5,2)</f>
        <v>108.25</v>
      </c>
      <c r="H7" s="51">
        <f>ROUND($C$7*6,2)</f>
        <v>129.9</v>
      </c>
      <c r="I7" s="51">
        <f>ROUND($C$7*7,2)</f>
        <v>151.55000000000001</v>
      </c>
    </row>
    <row r="8" spans="1:10">
      <c r="A8" s="15" t="s">
        <v>10</v>
      </c>
      <c r="C8" s="20">
        <f>+C11*4</f>
        <v>17.32</v>
      </c>
      <c r="D8" s="51">
        <f>ROUND($C$8*2,2)</f>
        <v>34.64</v>
      </c>
      <c r="E8" s="51">
        <f>ROUND($C$8*3,2)</f>
        <v>51.96</v>
      </c>
      <c r="F8" s="51">
        <f>ROUND($C$8*4,2)</f>
        <v>69.28</v>
      </c>
      <c r="G8" s="51">
        <f>ROUND($C$8*5,2)</f>
        <v>86.6</v>
      </c>
      <c r="H8" s="51">
        <f>ROUND($C$8*6,2)</f>
        <v>103.92</v>
      </c>
      <c r="I8" s="51">
        <f>ROUND($C$8*7,2)</f>
        <v>121.24</v>
      </c>
    </row>
    <row r="9" spans="1:10">
      <c r="A9" s="15" t="s">
        <v>11</v>
      </c>
      <c r="C9" s="20">
        <f>+C11*3</f>
        <v>12.99</v>
      </c>
      <c r="D9" s="51">
        <f>ROUND($C$9*2,2)</f>
        <v>25.98</v>
      </c>
      <c r="E9" s="51">
        <f>ROUND($C$9*3,2)</f>
        <v>38.97</v>
      </c>
      <c r="F9" s="51">
        <f>ROUND($C$9*4,2)</f>
        <v>51.96</v>
      </c>
      <c r="G9" s="51">
        <f>ROUND($C$9*5,2)</f>
        <v>64.95</v>
      </c>
      <c r="H9" s="51">
        <f>ROUND($C$9*6,2)</f>
        <v>77.94</v>
      </c>
      <c r="I9" s="51">
        <f>ROUND($C$9*7,2)</f>
        <v>90.93</v>
      </c>
    </row>
    <row r="10" spans="1:10">
      <c r="A10" s="15" t="s">
        <v>12</v>
      </c>
      <c r="C10" s="20">
        <f>+C11*2</f>
        <v>8.66</v>
      </c>
      <c r="D10" s="22">
        <f>ROUND($C$10*2,2)</f>
        <v>17.32</v>
      </c>
      <c r="E10" s="22">
        <f>ROUND($C$10*3,2)</f>
        <v>25.98</v>
      </c>
      <c r="F10" s="22">
        <f>ROUND($C$10*4,2)</f>
        <v>34.64</v>
      </c>
      <c r="G10" s="22">
        <f>ROUND($C$10*5,2)</f>
        <v>43.3</v>
      </c>
      <c r="H10" s="22">
        <f>ROUND($C$10*6,2)</f>
        <v>51.96</v>
      </c>
      <c r="I10" s="22">
        <f>ROUND($C$10*7,2)</f>
        <v>60.62</v>
      </c>
    </row>
    <row r="11" spans="1:10">
      <c r="A11" s="15" t="s">
        <v>13</v>
      </c>
      <c r="C11" s="153">
        <f>ROUND(52/12,2)</f>
        <v>4.33</v>
      </c>
      <c r="D11" s="22">
        <f>ROUND($C$11*2,2)</f>
        <v>8.66</v>
      </c>
      <c r="E11" s="22">
        <f>ROUND($C$11*3,2)</f>
        <v>12.99</v>
      </c>
      <c r="F11" s="22">
        <f>ROUND($C$11*4,2)</f>
        <v>17.32</v>
      </c>
      <c r="G11" s="22">
        <f>ROUND($C$11*5,2)</f>
        <v>21.65</v>
      </c>
      <c r="H11" s="22">
        <f>ROUND($C$11*6,2)</f>
        <v>25.98</v>
      </c>
      <c r="I11" s="22">
        <f>ROUND($C$11*7,2)</f>
        <v>30.31</v>
      </c>
    </row>
    <row r="12" spans="1:10">
      <c r="A12" s="15" t="s">
        <v>14</v>
      </c>
      <c r="C12" s="20">
        <f>ROUND(26/12,2)</f>
        <v>2.17</v>
      </c>
      <c r="D12" s="22">
        <f>ROUND($C$12*2,2)</f>
        <v>4.34</v>
      </c>
      <c r="E12" s="22">
        <f>ROUND($C$12*3,2)</f>
        <v>6.51</v>
      </c>
      <c r="F12" s="22">
        <f>ROUND($C$12*4,2)</f>
        <v>8.68</v>
      </c>
      <c r="G12" s="22">
        <f>ROUND($C$12*5,2)</f>
        <v>10.85</v>
      </c>
      <c r="H12" s="22">
        <f>ROUND($C$12*6,2)</f>
        <v>13.02</v>
      </c>
      <c r="I12" s="22">
        <f>ROUND($C$12*7,2)</f>
        <v>15.19</v>
      </c>
    </row>
    <row r="13" spans="1:10">
      <c r="A13" s="15" t="s">
        <v>15</v>
      </c>
      <c r="C13" s="153">
        <f>12/12</f>
        <v>1</v>
      </c>
      <c r="D13" s="22">
        <f>$C$13*2</f>
        <v>2</v>
      </c>
      <c r="E13" s="22">
        <f>$C$13*3</f>
        <v>3</v>
      </c>
      <c r="F13" s="22">
        <f>$C$13*4</f>
        <v>4</v>
      </c>
      <c r="G13" s="22">
        <f>$C$13*5</f>
        <v>5</v>
      </c>
      <c r="H13" s="22">
        <f>$C$13*6</f>
        <v>6</v>
      </c>
      <c r="I13" s="22">
        <f>$C$13*7</f>
        <v>7</v>
      </c>
    </row>
    <row r="14" spans="1:10">
      <c r="A14" s="15" t="s">
        <v>16</v>
      </c>
      <c r="C14" s="20">
        <v>1</v>
      </c>
      <c r="D14" s="22"/>
      <c r="E14" s="22"/>
      <c r="F14" s="22"/>
      <c r="G14" s="22"/>
      <c r="H14" s="22"/>
      <c r="I14" s="22"/>
    </row>
    <row r="15" spans="1:10">
      <c r="A15" s="247" t="s">
        <v>17</v>
      </c>
      <c r="B15" s="247"/>
      <c r="C15" s="247"/>
      <c r="D15" s="22"/>
      <c r="E15" s="22"/>
      <c r="F15" s="22"/>
      <c r="G15" s="22"/>
      <c r="H15" s="22"/>
      <c r="I15" s="22"/>
    </row>
    <row r="16" spans="1:10">
      <c r="A16" s="1" t="s">
        <v>18</v>
      </c>
      <c r="B16" s="1"/>
      <c r="C16" s="52" t="s">
        <v>19</v>
      </c>
      <c r="D16" s="22"/>
      <c r="E16" s="22"/>
      <c r="F16" s="22"/>
      <c r="G16" s="22"/>
      <c r="H16" s="22"/>
      <c r="I16" s="22"/>
    </row>
    <row r="17" spans="1:9">
      <c r="A17" s="53" t="s">
        <v>20</v>
      </c>
      <c r="B17" s="53"/>
      <c r="C17" s="21">
        <v>20</v>
      </c>
      <c r="D17" s="22"/>
      <c r="E17" s="22"/>
      <c r="F17" s="22"/>
      <c r="G17" s="22"/>
      <c r="H17" s="22"/>
      <c r="I17" s="22"/>
    </row>
    <row r="18" spans="1:9">
      <c r="A18" s="53" t="s">
        <v>21</v>
      </c>
      <c r="B18" s="53"/>
      <c r="C18" s="21">
        <v>34</v>
      </c>
      <c r="D18" s="22"/>
      <c r="E18" s="22"/>
      <c r="F18" s="22"/>
      <c r="G18" s="22"/>
      <c r="H18" s="22"/>
      <c r="I18" s="22"/>
    </row>
    <row r="19" spans="1:9">
      <c r="A19" s="53" t="s">
        <v>22</v>
      </c>
      <c r="B19" s="53"/>
      <c r="C19" s="21">
        <v>51</v>
      </c>
      <c r="D19" s="22"/>
      <c r="E19" s="22"/>
      <c r="F19" s="22"/>
      <c r="G19" s="22"/>
      <c r="H19" s="22"/>
      <c r="I19" s="22"/>
    </row>
    <row r="20" spans="1:9">
      <c r="A20" s="53" t="s">
        <v>23</v>
      </c>
      <c r="B20" s="53"/>
      <c r="C20" s="21">
        <v>77</v>
      </c>
      <c r="D20" s="22"/>
      <c r="E20" s="22"/>
      <c r="F20" s="22"/>
      <c r="G20" s="15" t="s">
        <v>24</v>
      </c>
      <c r="H20" s="21">
        <v>2000</v>
      </c>
      <c r="I20" s="22"/>
    </row>
    <row r="21" spans="1:9">
      <c r="A21" s="53" t="s">
        <v>25</v>
      </c>
      <c r="B21" s="53"/>
      <c r="C21" s="21">
        <v>97</v>
      </c>
      <c r="D21" s="22"/>
      <c r="E21" s="22"/>
      <c r="F21" s="22"/>
      <c r="G21" s="15" t="s">
        <v>26</v>
      </c>
      <c r="H21" s="202" t="s">
        <v>639</v>
      </c>
      <c r="I21" s="22"/>
    </row>
    <row r="22" spans="1:9">
      <c r="A22" s="53" t="s">
        <v>27</v>
      </c>
      <c r="B22" s="53"/>
      <c r="C22" s="217">
        <v>117</v>
      </c>
      <c r="D22" s="22"/>
      <c r="E22" s="22"/>
      <c r="F22" s="22"/>
      <c r="I22" s="22"/>
    </row>
    <row r="23" spans="1:9">
      <c r="A23" s="53" t="s">
        <v>28</v>
      </c>
      <c r="B23" s="53"/>
      <c r="C23" s="217">
        <v>137</v>
      </c>
      <c r="D23" s="22"/>
      <c r="E23" s="22"/>
      <c r="F23" s="22"/>
      <c r="G23" s="9" t="s">
        <v>29</v>
      </c>
      <c r="H23" s="54">
        <v>12</v>
      </c>
      <c r="I23" s="22"/>
    </row>
    <row r="24" spans="1:9">
      <c r="A24" s="53" t="s">
        <v>30</v>
      </c>
      <c r="B24" s="53"/>
      <c r="C24" s="217">
        <f>C23+20+20</f>
        <v>177</v>
      </c>
      <c r="D24" s="22"/>
      <c r="E24" s="22"/>
      <c r="F24" s="22"/>
      <c r="G24" s="9"/>
      <c r="H24" s="54"/>
      <c r="I24" s="22"/>
    </row>
    <row r="25" spans="1:9">
      <c r="A25" s="53" t="s">
        <v>31</v>
      </c>
      <c r="B25" s="53"/>
      <c r="C25" s="217">
        <v>40</v>
      </c>
      <c r="D25" s="22" t="s">
        <v>32</v>
      </c>
      <c r="E25" s="22"/>
      <c r="F25" s="22"/>
      <c r="G25" s="55"/>
      <c r="H25" s="56"/>
      <c r="I25" s="22"/>
    </row>
    <row r="26" spans="1:9">
      <c r="A26" s="53" t="s">
        <v>33</v>
      </c>
      <c r="B26" s="53"/>
      <c r="C26" s="217">
        <v>47</v>
      </c>
      <c r="D26" s="22"/>
      <c r="E26" s="22"/>
      <c r="F26" s="22"/>
      <c r="G26" s="22"/>
      <c r="H26" s="22"/>
      <c r="I26" s="22"/>
    </row>
    <row r="27" spans="1:9">
      <c r="A27" s="53" t="s">
        <v>34</v>
      </c>
      <c r="B27" s="53"/>
      <c r="C27" s="217">
        <f>C19</f>
        <v>51</v>
      </c>
      <c r="D27" s="22"/>
      <c r="E27" s="22"/>
      <c r="F27" s="22"/>
      <c r="G27" s="22"/>
      <c r="H27" s="22"/>
      <c r="I27" s="22"/>
    </row>
    <row r="28" spans="1:9">
      <c r="A28" s="53" t="s">
        <v>35</v>
      </c>
      <c r="B28" s="53"/>
      <c r="C28" s="217">
        <v>68</v>
      </c>
      <c r="D28" s="22"/>
      <c r="E28" s="22"/>
      <c r="F28" s="22"/>
      <c r="G28" s="22"/>
      <c r="H28" s="22"/>
      <c r="I28" s="22"/>
    </row>
    <row r="29" spans="1:9">
      <c r="A29" s="53" t="s">
        <v>36</v>
      </c>
      <c r="B29" s="53"/>
      <c r="C29" s="217">
        <f>C20</f>
        <v>77</v>
      </c>
      <c r="D29" s="22"/>
      <c r="E29" s="22"/>
      <c r="F29" s="22"/>
      <c r="G29" s="22"/>
      <c r="H29" s="22"/>
      <c r="I29" s="22"/>
    </row>
    <row r="30" spans="1:9">
      <c r="A30" s="53" t="s">
        <v>37</v>
      </c>
      <c r="B30" s="53"/>
      <c r="C30" s="217">
        <v>34</v>
      </c>
      <c r="D30" s="22"/>
      <c r="E30" s="22"/>
      <c r="F30" s="22"/>
      <c r="G30" s="22"/>
      <c r="H30" s="22"/>
      <c r="I30" s="22"/>
    </row>
    <row r="31" spans="1:9">
      <c r="A31" s="53" t="s">
        <v>38</v>
      </c>
      <c r="B31" s="53"/>
      <c r="C31" s="217">
        <v>34</v>
      </c>
      <c r="D31" s="22"/>
      <c r="E31" s="22"/>
      <c r="F31" s="22"/>
      <c r="G31" s="22"/>
      <c r="H31" s="22"/>
      <c r="I31" s="22"/>
    </row>
    <row r="32" spans="1:9">
      <c r="A32" s="1" t="s">
        <v>39</v>
      </c>
      <c r="B32" s="1"/>
      <c r="C32" s="217"/>
      <c r="D32" s="22"/>
      <c r="E32" s="22"/>
      <c r="F32" s="22"/>
      <c r="G32" s="22"/>
      <c r="H32" s="22"/>
      <c r="I32" s="22"/>
    </row>
    <row r="33" spans="1:9">
      <c r="A33" s="53" t="s">
        <v>40</v>
      </c>
      <c r="B33" s="53"/>
      <c r="C33" s="217">
        <v>29</v>
      </c>
      <c r="D33" s="22"/>
      <c r="E33" s="22"/>
      <c r="F33" s="22"/>
      <c r="G33" s="22"/>
      <c r="H33" s="22"/>
      <c r="I33" s="22"/>
    </row>
    <row r="34" spans="1:9">
      <c r="A34" s="53" t="s">
        <v>41</v>
      </c>
      <c r="B34" s="53"/>
      <c r="C34" s="217">
        <v>125</v>
      </c>
      <c r="D34" s="22"/>
      <c r="E34" s="22"/>
      <c r="F34" s="22"/>
      <c r="G34" s="22"/>
      <c r="H34" s="22"/>
      <c r="I34" s="22"/>
    </row>
    <row r="35" spans="1:9">
      <c r="A35" s="53" t="s">
        <v>42</v>
      </c>
      <c r="B35" s="53"/>
      <c r="C35" s="217">
        <v>175</v>
      </c>
      <c r="D35" s="22"/>
      <c r="E35" s="22"/>
      <c r="F35" s="22"/>
      <c r="G35" s="22"/>
      <c r="H35" s="22"/>
      <c r="I35" s="22"/>
    </row>
    <row r="36" spans="1:9">
      <c r="A36" s="53" t="s">
        <v>43</v>
      </c>
      <c r="B36" s="53"/>
      <c r="C36" s="217">
        <v>250</v>
      </c>
      <c r="D36" s="22"/>
      <c r="E36" s="22"/>
      <c r="F36" s="22"/>
      <c r="G36" s="22"/>
      <c r="H36" s="22"/>
      <c r="I36" s="22"/>
    </row>
    <row r="37" spans="1:9">
      <c r="A37" s="53" t="s">
        <v>44</v>
      </c>
      <c r="B37" s="53"/>
      <c r="C37" s="217">
        <v>324</v>
      </c>
      <c r="D37" s="22"/>
      <c r="E37" s="22"/>
      <c r="F37" s="22"/>
      <c r="G37" s="22"/>
      <c r="H37" s="22"/>
      <c r="I37" s="22"/>
    </row>
    <row r="38" spans="1:9">
      <c r="A38" s="53" t="s">
        <v>45</v>
      </c>
      <c r="B38" s="53"/>
      <c r="C38" s="217">
        <v>473</v>
      </c>
      <c r="D38" s="22"/>
      <c r="E38" s="22"/>
      <c r="F38" s="22"/>
      <c r="G38" s="22"/>
      <c r="H38" s="22"/>
      <c r="I38" s="22"/>
    </row>
    <row r="39" spans="1:9">
      <c r="A39" s="53" t="s">
        <v>46</v>
      </c>
      <c r="B39" s="53"/>
      <c r="C39" s="217">
        <v>613</v>
      </c>
      <c r="D39" s="22"/>
      <c r="E39" s="22"/>
      <c r="F39" s="22"/>
      <c r="G39" s="22"/>
      <c r="H39" s="22"/>
      <c r="I39" s="22"/>
    </row>
    <row r="40" spans="1:9">
      <c r="A40" s="57" t="s">
        <v>47</v>
      </c>
      <c r="B40" s="57"/>
      <c r="C40" s="217">
        <f>C39+115</f>
        <v>728</v>
      </c>
      <c r="D40" s="22"/>
      <c r="E40" s="22"/>
      <c r="F40" s="22"/>
      <c r="G40" s="22"/>
      <c r="H40" s="22"/>
      <c r="I40" s="22"/>
    </row>
    <row r="41" spans="1:9">
      <c r="A41" s="53" t="s">
        <v>48</v>
      </c>
      <c r="B41" s="53"/>
      <c r="C41" s="217">
        <v>840</v>
      </c>
      <c r="D41" s="22"/>
      <c r="E41" s="22"/>
      <c r="F41" s="22"/>
      <c r="G41" s="22"/>
      <c r="H41" s="22"/>
      <c r="I41" s="22"/>
    </row>
    <row r="42" spans="1:9">
      <c r="A42" s="53" t="s">
        <v>49</v>
      </c>
      <c r="B42" s="53"/>
      <c r="C42" s="217">
        <v>980</v>
      </c>
      <c r="D42" s="22"/>
      <c r="E42" s="22"/>
      <c r="F42" s="22"/>
      <c r="G42" s="22"/>
      <c r="H42" s="22"/>
      <c r="I42" s="22"/>
    </row>
    <row r="43" spans="1:9">
      <c r="A43" s="58" t="s">
        <v>50</v>
      </c>
      <c r="B43" s="58">
        <v>2.25</v>
      </c>
      <c r="C43" s="217"/>
      <c r="D43" s="59"/>
      <c r="E43" s="22"/>
      <c r="F43" s="22"/>
      <c r="G43" s="22"/>
      <c r="H43" s="22"/>
      <c r="I43" s="22"/>
    </row>
    <row r="44" spans="1:9">
      <c r="A44" s="53" t="s">
        <v>51</v>
      </c>
      <c r="B44" s="53"/>
      <c r="C44" s="217">
        <f>C37*$B$43</f>
        <v>729</v>
      </c>
      <c r="D44" s="22" t="s">
        <v>32</v>
      </c>
      <c r="E44" s="22"/>
      <c r="F44" s="22"/>
      <c r="G44" s="22"/>
      <c r="H44" s="22"/>
      <c r="I44" s="22"/>
    </row>
    <row r="45" spans="1:9">
      <c r="A45" s="53" t="s">
        <v>52</v>
      </c>
      <c r="B45" s="53"/>
      <c r="C45" s="21">
        <f>C39*$B$43</f>
        <v>1379.25</v>
      </c>
      <c r="D45" s="22" t="s">
        <v>32</v>
      </c>
      <c r="E45" s="22"/>
      <c r="F45" s="22"/>
      <c r="G45" s="22"/>
      <c r="H45" s="22"/>
      <c r="I45" s="22"/>
    </row>
    <row r="46" spans="1:9">
      <c r="A46" s="53" t="s">
        <v>53</v>
      </c>
      <c r="B46" s="53"/>
      <c r="C46" s="21">
        <f>C41*$B$43</f>
        <v>1890</v>
      </c>
      <c r="D46" s="22" t="s">
        <v>32</v>
      </c>
      <c r="E46" s="22"/>
      <c r="F46" s="22"/>
      <c r="G46" s="22"/>
      <c r="H46" s="22"/>
      <c r="I46" s="22"/>
    </row>
    <row r="47" spans="1:9">
      <c r="A47" s="58" t="s">
        <v>54</v>
      </c>
      <c r="B47" s="58">
        <v>3</v>
      </c>
      <c r="C47" s="21"/>
      <c r="D47" s="22"/>
      <c r="E47" s="22"/>
      <c r="F47" s="22"/>
      <c r="G47" s="22"/>
      <c r="H47" s="22"/>
      <c r="I47" s="22"/>
    </row>
    <row r="48" spans="1:9">
      <c r="A48" s="53" t="s">
        <v>51</v>
      </c>
      <c r="B48" s="53"/>
      <c r="C48" s="60">
        <f>C37*$B$47</f>
        <v>972</v>
      </c>
      <c r="D48" s="22" t="s">
        <v>32</v>
      </c>
      <c r="E48" s="22"/>
      <c r="F48" s="22"/>
      <c r="G48" s="22"/>
      <c r="H48" s="22"/>
      <c r="I48" s="22"/>
    </row>
    <row r="49" spans="1:9">
      <c r="A49" s="53" t="s">
        <v>55</v>
      </c>
      <c r="B49" s="53"/>
      <c r="C49" s="60">
        <f>C38*$B$47</f>
        <v>1419</v>
      </c>
      <c r="D49" s="22" t="s">
        <v>32</v>
      </c>
      <c r="E49" s="22"/>
      <c r="F49" s="22"/>
      <c r="G49" s="22"/>
      <c r="H49" s="22"/>
      <c r="I49" s="22"/>
    </row>
    <row r="50" spans="1:9">
      <c r="A50" s="53" t="s">
        <v>52</v>
      </c>
      <c r="B50" s="53"/>
      <c r="C50" s="60">
        <f>C39*$B$47</f>
        <v>1839</v>
      </c>
      <c r="D50" s="22" t="s">
        <v>32</v>
      </c>
      <c r="E50" s="22"/>
      <c r="F50" s="22"/>
      <c r="G50" s="22"/>
      <c r="H50" s="22"/>
      <c r="I50" s="22"/>
    </row>
    <row r="51" spans="1:9">
      <c r="A51" s="53" t="s">
        <v>53</v>
      </c>
      <c r="B51" s="53"/>
      <c r="C51" s="60">
        <f>C41*$B$47</f>
        <v>2520</v>
      </c>
      <c r="D51" s="22" t="s">
        <v>32</v>
      </c>
      <c r="E51" s="22"/>
      <c r="F51" s="22"/>
      <c r="G51" s="22"/>
      <c r="H51" s="22"/>
      <c r="I51" s="22"/>
    </row>
    <row r="52" spans="1:9">
      <c r="A52" s="58" t="s">
        <v>56</v>
      </c>
      <c r="B52" s="58">
        <v>4</v>
      </c>
      <c r="C52" s="21"/>
      <c r="D52" s="22"/>
      <c r="E52" s="22"/>
      <c r="F52" s="22"/>
      <c r="G52" s="22"/>
      <c r="H52" s="22"/>
      <c r="I52" s="22"/>
    </row>
    <row r="53" spans="1:9">
      <c r="A53" s="53" t="s">
        <v>635</v>
      </c>
      <c r="B53" s="58"/>
      <c r="C53" s="21">
        <f>C36*B52</f>
        <v>1000</v>
      </c>
      <c r="D53" s="22" t="s">
        <v>32</v>
      </c>
      <c r="E53" s="22"/>
      <c r="F53" s="22"/>
      <c r="G53" s="22"/>
      <c r="H53" s="22"/>
      <c r="I53" s="22"/>
    </row>
    <row r="54" spans="1:9">
      <c r="A54" s="53" t="s">
        <v>51</v>
      </c>
      <c r="B54" s="58"/>
      <c r="C54" s="21">
        <f>C37*B52</f>
        <v>1296</v>
      </c>
      <c r="D54" s="22" t="s">
        <v>32</v>
      </c>
      <c r="E54" s="22"/>
      <c r="F54" s="22"/>
      <c r="G54" s="22"/>
      <c r="H54" s="22"/>
      <c r="I54" s="22"/>
    </row>
    <row r="55" spans="1:9">
      <c r="A55" s="53" t="s">
        <v>55</v>
      </c>
      <c r="B55" s="53"/>
      <c r="C55" s="60">
        <f>C38*$B$52</f>
        <v>1892</v>
      </c>
      <c r="D55" s="22" t="s">
        <v>32</v>
      </c>
      <c r="E55" s="22"/>
      <c r="F55" s="22"/>
      <c r="G55" s="22"/>
      <c r="H55" s="22"/>
      <c r="I55" s="22"/>
    </row>
    <row r="56" spans="1:9">
      <c r="A56" s="53" t="s">
        <v>52</v>
      </c>
      <c r="B56" s="53"/>
      <c r="C56" s="60">
        <f>C39*$B$52</f>
        <v>2452</v>
      </c>
      <c r="D56" s="22" t="s">
        <v>32</v>
      </c>
      <c r="E56" s="22"/>
      <c r="F56" s="22"/>
      <c r="G56" s="22"/>
      <c r="H56" s="22"/>
      <c r="I56" s="22"/>
    </row>
    <row r="57" spans="1:9">
      <c r="A57" s="53" t="s">
        <v>53</v>
      </c>
      <c r="B57" s="53"/>
      <c r="C57" s="60">
        <f>C41*$B$52</f>
        <v>3360</v>
      </c>
      <c r="D57" s="22" t="s">
        <v>32</v>
      </c>
      <c r="E57" s="22"/>
      <c r="F57" s="22"/>
      <c r="G57" s="22"/>
      <c r="H57" s="22"/>
      <c r="I57" s="22"/>
    </row>
    <row r="58" spans="1:9">
      <c r="A58" s="58" t="s">
        <v>57</v>
      </c>
      <c r="B58" s="58">
        <v>5</v>
      </c>
      <c r="C58" s="21"/>
      <c r="D58" s="22"/>
      <c r="E58" s="22"/>
      <c r="F58" s="22"/>
      <c r="G58" s="22"/>
      <c r="H58" s="22"/>
      <c r="I58" s="22"/>
    </row>
    <row r="59" spans="1:9">
      <c r="A59" s="53" t="s">
        <v>52</v>
      </c>
      <c r="B59" s="53"/>
      <c r="C59" s="60">
        <f>C39*$B$58</f>
        <v>3065</v>
      </c>
      <c r="D59" s="22" t="s">
        <v>32</v>
      </c>
      <c r="E59" s="22"/>
      <c r="F59" s="22"/>
      <c r="G59" s="22"/>
      <c r="H59" s="22"/>
      <c r="I59" s="22"/>
    </row>
    <row r="60" spans="1:9">
      <c r="A60" s="53" t="s">
        <v>53</v>
      </c>
      <c r="B60" s="53"/>
      <c r="C60" s="60">
        <f>C41*$B$58</f>
        <v>4200</v>
      </c>
      <c r="D60" s="22" t="s">
        <v>32</v>
      </c>
      <c r="E60" s="22"/>
      <c r="F60" s="22"/>
      <c r="G60" s="22"/>
      <c r="H60" s="22"/>
      <c r="I60" s="22"/>
    </row>
    <row r="61" spans="1:9">
      <c r="C61" s="249" t="s">
        <v>640</v>
      </c>
      <c r="D61" s="249"/>
    </row>
    <row r="62" spans="1:9">
      <c r="C62" s="249"/>
      <c r="D62" s="249"/>
    </row>
    <row r="64" spans="1:9">
      <c r="A64" s="61" t="s">
        <v>58</v>
      </c>
      <c r="B64" s="61"/>
      <c r="C64" s="62" t="s">
        <v>259</v>
      </c>
      <c r="D64" s="62" t="s">
        <v>59</v>
      </c>
      <c r="E64" s="62" t="s">
        <v>260</v>
      </c>
      <c r="F64" s="62" t="s">
        <v>59</v>
      </c>
      <c r="G64" s="49"/>
      <c r="H64" s="49"/>
    </row>
    <row r="65" spans="1:12">
      <c r="A65" s="63" t="s">
        <v>61</v>
      </c>
      <c r="B65" s="63"/>
      <c r="C65" s="64">
        <v>88.88</v>
      </c>
      <c r="D65" s="65">
        <f>C65/2000</f>
        <v>4.444E-2</v>
      </c>
      <c r="E65" s="184">
        <v>78.760000000000005</v>
      </c>
      <c r="F65" s="65">
        <f>E65/2000</f>
        <v>3.9380000000000005E-2</v>
      </c>
    </row>
    <row r="66" spans="1:12">
      <c r="A66" s="63" t="s">
        <v>63</v>
      </c>
      <c r="B66" s="63"/>
      <c r="C66" s="67">
        <v>93.22</v>
      </c>
      <c r="D66" s="68">
        <f>C66/2000</f>
        <v>4.6609999999999999E-2</v>
      </c>
      <c r="E66" s="232">
        <v>82.78</v>
      </c>
      <c r="F66" s="68">
        <f>E66/2000</f>
        <v>4.1390000000000003E-2</v>
      </c>
    </row>
    <row r="67" spans="1:12">
      <c r="A67" s="53" t="s">
        <v>65</v>
      </c>
      <c r="B67" s="53"/>
      <c r="C67" s="64">
        <f>C66-C65</f>
        <v>4.3400000000000034</v>
      </c>
      <c r="D67" s="70">
        <f>D66-D65</f>
        <v>2.1699999999999983E-3</v>
      </c>
      <c r="E67" s="64">
        <f>E66-E65</f>
        <v>4.019999999999996</v>
      </c>
      <c r="F67" s="70">
        <f>F66-F65</f>
        <v>2.0099999999999979E-3</v>
      </c>
    </row>
    <row r="68" spans="1:12">
      <c r="C68" s="72">
        <f>C67/C65</f>
        <v>4.8829882988298871E-2</v>
      </c>
      <c r="D68" s="73"/>
      <c r="E68" s="72">
        <f>E67/E65</f>
        <v>5.1041137633316351E-2</v>
      </c>
      <c r="F68" s="72"/>
      <c r="L68" s="75"/>
    </row>
    <row r="70" spans="1:12">
      <c r="A70" s="49"/>
      <c r="B70" s="49"/>
      <c r="C70" s="76" t="s">
        <v>68</v>
      </c>
      <c r="E70" s="248" t="s">
        <v>60</v>
      </c>
      <c r="F70" s="248"/>
    </row>
    <row r="71" spans="1:12">
      <c r="A71" s="15" t="s">
        <v>69</v>
      </c>
      <c r="C71" s="77">
        <f>C67</f>
        <v>4.3400000000000034</v>
      </c>
      <c r="E71" s="15" t="s">
        <v>62</v>
      </c>
      <c r="F71" s="66">
        <f>0.015</f>
        <v>1.4999999999999999E-2</v>
      </c>
    </row>
    <row r="72" spans="1:12">
      <c r="A72" s="15" t="s">
        <v>71</v>
      </c>
      <c r="C72" s="79">
        <f>C71/$F$76</f>
        <v>4.4252976114609126</v>
      </c>
      <c r="D72" s="77"/>
      <c r="E72" s="15" t="s">
        <v>64</v>
      </c>
      <c r="F72" s="69">
        <f>0.004275</f>
        <v>4.2750000000000002E-3</v>
      </c>
    </row>
    <row r="73" spans="1:12">
      <c r="A73" s="49" t="s">
        <v>72</v>
      </c>
      <c r="B73" s="49"/>
      <c r="C73" s="236">
        <f>+'Regulated DF Calc'!J109</f>
        <v>71554.077197630249</v>
      </c>
      <c r="E73" s="15" t="s">
        <v>66</v>
      </c>
      <c r="F73" s="71"/>
    </row>
    <row r="74" spans="1:12">
      <c r="A74" s="1" t="s">
        <v>73</v>
      </c>
      <c r="B74" s="1"/>
      <c r="C74" s="80">
        <f>C72*C73</f>
        <v>316648.0869129629</v>
      </c>
      <c r="E74" s="15" t="s">
        <v>67</v>
      </c>
      <c r="F74" s="74">
        <f>SUM(F71:F73)</f>
        <v>1.9275E-2</v>
      </c>
    </row>
    <row r="76" spans="1:12">
      <c r="E76" s="15" t="s">
        <v>70</v>
      </c>
      <c r="F76" s="78">
        <f>1-F74</f>
        <v>0.98072499999999996</v>
      </c>
    </row>
    <row r="77" spans="1:12">
      <c r="A77" s="81"/>
      <c r="B77" s="81"/>
      <c r="C77" s="82"/>
      <c r="D77" s="38"/>
      <c r="E77" s="38"/>
      <c r="F77" s="38"/>
      <c r="G77" s="77"/>
    </row>
    <row r="78" spans="1:12">
      <c r="A78" s="38"/>
      <c r="B78" s="38"/>
      <c r="C78" s="83"/>
      <c r="D78" s="38"/>
    </row>
    <row r="79" spans="1:12">
      <c r="A79" s="38"/>
      <c r="B79" s="38"/>
      <c r="C79" s="83"/>
      <c r="D79" s="38"/>
    </row>
    <row r="80" spans="1:12">
      <c r="A80" s="38"/>
      <c r="B80" s="38"/>
      <c r="C80" s="38"/>
      <c r="D80" s="38"/>
    </row>
    <row r="81" spans="1:4">
      <c r="A81" s="81"/>
      <c r="B81" s="81"/>
      <c r="C81" s="84"/>
      <c r="D81" s="38"/>
    </row>
    <row r="82" spans="1:4">
      <c r="A82" s="38"/>
      <c r="B82" s="38"/>
      <c r="C82" s="38"/>
      <c r="D82" s="38"/>
    </row>
    <row r="83" spans="1:4">
      <c r="A83" s="38"/>
      <c r="B83" s="38"/>
      <c r="C83" s="38"/>
      <c r="D83" s="38"/>
    </row>
    <row r="222" spans="2:4">
      <c r="B222" s="85" t="s">
        <v>74</v>
      </c>
    </row>
    <row r="223" spans="2:4">
      <c r="C223" s="38"/>
      <c r="D223" s="38"/>
    </row>
    <row r="224" spans="2:4">
      <c r="C224" s="38"/>
      <c r="D224" s="38"/>
    </row>
    <row r="225" spans="3:4">
      <c r="C225" s="38"/>
      <c r="D225" s="38"/>
    </row>
    <row r="226" spans="3:4">
      <c r="C226" s="38"/>
      <c r="D226" s="38"/>
    </row>
    <row r="227" spans="3:4">
      <c r="C227" s="38"/>
      <c r="D227" s="38"/>
    </row>
    <row r="228" spans="3:4">
      <c r="C228" s="38"/>
      <c r="D228" s="38"/>
    </row>
    <row r="229" spans="3:4">
      <c r="C229" s="38"/>
      <c r="D229" s="38"/>
    </row>
    <row r="230" spans="3:4">
      <c r="C230" s="38"/>
      <c r="D230" s="38"/>
    </row>
    <row r="231" spans="3:4">
      <c r="C231" s="38"/>
      <c r="D231" s="38"/>
    </row>
    <row r="232" spans="3:4">
      <c r="C232" s="38"/>
      <c r="D232" s="38"/>
    </row>
    <row r="233" spans="3:4">
      <c r="C233" s="38"/>
      <c r="D233" s="38"/>
    </row>
    <row r="234" spans="3:4">
      <c r="C234" s="38"/>
      <c r="D234" s="38"/>
    </row>
    <row r="235" spans="3:4">
      <c r="C235" s="38"/>
      <c r="D235" s="38"/>
    </row>
    <row r="236" spans="3:4">
      <c r="C236" s="38"/>
      <c r="D236" s="38"/>
    </row>
    <row r="237" spans="3:4">
      <c r="C237" s="38"/>
      <c r="D237" s="38"/>
    </row>
    <row r="238" spans="3:4">
      <c r="C238" s="38"/>
      <c r="D238" s="38"/>
    </row>
    <row r="239" spans="3:4">
      <c r="C239" s="38"/>
      <c r="D239" s="38"/>
    </row>
    <row r="240" spans="3:4">
      <c r="C240" s="38"/>
      <c r="D240" s="38"/>
    </row>
    <row r="241" spans="3:4">
      <c r="C241" s="38"/>
      <c r="D241" s="38"/>
    </row>
    <row r="242" spans="3:4">
      <c r="C242" s="38"/>
      <c r="D242" s="38"/>
    </row>
    <row r="243" spans="3:4">
      <c r="C243" s="38"/>
      <c r="D243" s="38"/>
    </row>
    <row r="244" spans="3:4">
      <c r="C244" s="38"/>
      <c r="D244" s="38"/>
    </row>
    <row r="245" spans="3:4">
      <c r="C245" s="38"/>
      <c r="D245" s="38"/>
    </row>
    <row r="246" spans="3:4">
      <c r="C246" s="38"/>
      <c r="D246" s="38"/>
    </row>
    <row r="247" spans="3:4">
      <c r="C247" s="38"/>
      <c r="D247" s="38"/>
    </row>
    <row r="248" spans="3:4">
      <c r="C248" s="38"/>
      <c r="D248" s="38"/>
    </row>
    <row r="249" spans="3:4">
      <c r="C249" s="38"/>
      <c r="D249" s="38"/>
    </row>
    <row r="250" spans="3:4">
      <c r="C250" s="38"/>
      <c r="D250" s="38"/>
    </row>
    <row r="251" spans="3:4">
      <c r="C251" s="38"/>
      <c r="D251" s="38"/>
    </row>
    <row r="252" spans="3:4">
      <c r="D252" s="86"/>
    </row>
    <row r="253" spans="3:4">
      <c r="C253" s="38"/>
      <c r="D253" s="38"/>
    </row>
    <row r="254" spans="3:4">
      <c r="C254" s="38"/>
      <c r="D254" s="38"/>
    </row>
    <row r="255" spans="3:4">
      <c r="C255" s="38"/>
      <c r="D255" s="38"/>
    </row>
    <row r="256" spans="3:4">
      <c r="C256" s="38"/>
      <c r="D256" s="38"/>
    </row>
    <row r="257" spans="3:4">
      <c r="C257" s="38"/>
      <c r="D257" s="38"/>
    </row>
    <row r="258" spans="3:4">
      <c r="C258" s="38"/>
      <c r="D258" s="38"/>
    </row>
    <row r="259" spans="3:4">
      <c r="C259" s="38"/>
      <c r="D259" s="38"/>
    </row>
    <row r="260" spans="3:4">
      <c r="C260" s="38"/>
      <c r="D260" s="38"/>
    </row>
    <row r="261" spans="3:4">
      <c r="C261" s="38"/>
      <c r="D261" s="38"/>
    </row>
    <row r="262" spans="3:4">
      <c r="C262" s="38"/>
      <c r="D262" s="38"/>
    </row>
    <row r="263" spans="3:4">
      <c r="C263" s="38"/>
      <c r="D263" s="38"/>
    </row>
    <row r="264" spans="3:4">
      <c r="C264" s="38"/>
      <c r="D264" s="38"/>
    </row>
    <row r="265" spans="3:4">
      <c r="C265" s="38"/>
      <c r="D265" s="38"/>
    </row>
    <row r="266" spans="3:4">
      <c r="C266" s="38"/>
      <c r="D266" s="38"/>
    </row>
    <row r="267" spans="3:4">
      <c r="C267" s="38"/>
      <c r="D267" s="38"/>
    </row>
    <row r="268" spans="3:4">
      <c r="C268" s="38"/>
      <c r="D268" s="38"/>
    </row>
    <row r="269" spans="3:4">
      <c r="C269" s="38"/>
      <c r="D269" s="38"/>
    </row>
    <row r="270" spans="3:4">
      <c r="C270" s="38"/>
      <c r="D270" s="38"/>
    </row>
    <row r="271" spans="3:4">
      <c r="C271" s="38"/>
      <c r="D271" s="38"/>
    </row>
    <row r="272" spans="3:4">
      <c r="C272" s="38"/>
      <c r="D272" s="38"/>
    </row>
    <row r="273" spans="3:4">
      <c r="C273" s="38"/>
      <c r="D273" s="38"/>
    </row>
    <row r="274" spans="3:4">
      <c r="C274" s="38"/>
      <c r="D274" s="38"/>
    </row>
    <row r="275" spans="3:4">
      <c r="C275" s="38"/>
      <c r="D275" s="38"/>
    </row>
    <row r="276" spans="3:4">
      <c r="C276" s="38"/>
      <c r="D276" s="38"/>
    </row>
    <row r="277" spans="3:4">
      <c r="C277" s="38"/>
      <c r="D277" s="38"/>
    </row>
    <row r="278" spans="3:4">
      <c r="C278" s="38"/>
      <c r="D278" s="38"/>
    </row>
    <row r="279" spans="3:4">
      <c r="C279" s="38"/>
      <c r="D279" s="38"/>
    </row>
    <row r="280" spans="3:4">
      <c r="C280" s="38"/>
      <c r="D280" s="38"/>
    </row>
    <row r="281" spans="3:4">
      <c r="C281" s="38"/>
      <c r="D281" s="38"/>
    </row>
    <row r="282" spans="3:4">
      <c r="C282" s="38"/>
      <c r="D282" s="38"/>
    </row>
    <row r="283" spans="3:4">
      <c r="C283" s="38"/>
      <c r="D283" s="38"/>
    </row>
    <row r="284" spans="3:4">
      <c r="C284" s="38"/>
      <c r="D284" s="38"/>
    </row>
    <row r="285" spans="3:4">
      <c r="C285" s="38"/>
      <c r="D285" s="38"/>
    </row>
    <row r="286" spans="3:4">
      <c r="C286" s="38"/>
      <c r="D286" s="38"/>
    </row>
    <row r="287" spans="3:4">
      <c r="C287" s="38"/>
      <c r="D287" s="38"/>
    </row>
    <row r="288" spans="3:4">
      <c r="C288" s="38"/>
      <c r="D288" s="38"/>
    </row>
    <row r="289" spans="3:4">
      <c r="C289" s="38"/>
      <c r="D289" s="38"/>
    </row>
    <row r="290" spans="3:4">
      <c r="C290" s="38"/>
      <c r="D290" s="38"/>
    </row>
    <row r="291" spans="3:4">
      <c r="C291" s="38"/>
      <c r="D291" s="38"/>
    </row>
    <row r="292" spans="3:4">
      <c r="C292" s="38"/>
      <c r="D292" s="38"/>
    </row>
    <row r="293" spans="3:4">
      <c r="C293" s="38"/>
      <c r="D293" s="38"/>
    </row>
    <row r="294" spans="3:4">
      <c r="C294" s="38"/>
      <c r="D294" s="38"/>
    </row>
    <row r="295" spans="3:4">
      <c r="C295" s="38"/>
      <c r="D295" s="38"/>
    </row>
    <row r="296" spans="3:4">
      <c r="C296" s="38"/>
      <c r="D296" s="38"/>
    </row>
    <row r="297" spans="3:4">
      <c r="C297" s="38"/>
      <c r="D297" s="38"/>
    </row>
    <row r="298" spans="3:4">
      <c r="C298" s="38"/>
      <c r="D298" s="38"/>
    </row>
    <row r="299" spans="3:4">
      <c r="C299" s="38"/>
      <c r="D299" s="38"/>
    </row>
    <row r="300" spans="3:4">
      <c r="C300" s="38"/>
      <c r="D300" s="38"/>
    </row>
    <row r="301" spans="3:4">
      <c r="C301" s="38"/>
      <c r="D301" s="38"/>
    </row>
    <row r="302" spans="3:4">
      <c r="C302" s="38"/>
      <c r="D302" s="38"/>
    </row>
    <row r="303" spans="3:4">
      <c r="C303" s="38"/>
      <c r="D303" s="38"/>
    </row>
    <row r="304" spans="3:4">
      <c r="C304" s="38"/>
      <c r="D304" s="38"/>
    </row>
    <row r="305" spans="2:12">
      <c r="C305" s="38"/>
      <c r="D305" s="38"/>
    </row>
    <row r="306" spans="2:12">
      <c r="C306" s="38"/>
      <c r="D306" s="38"/>
    </row>
    <row r="307" spans="2:12">
      <c r="C307" s="38"/>
      <c r="D307" s="38"/>
    </row>
    <row r="308" spans="2:12">
      <c r="C308" s="38"/>
      <c r="D308" s="38"/>
    </row>
    <row r="309" spans="2:12">
      <c r="C309" s="38"/>
      <c r="D309" s="38"/>
    </row>
    <row r="310" spans="2:12">
      <c r="C310" s="38"/>
      <c r="D310" s="38"/>
    </row>
    <row r="311" spans="2:12">
      <c r="C311" s="38"/>
      <c r="D311" s="38"/>
    </row>
    <row r="312" spans="2:12">
      <c r="C312" s="38"/>
      <c r="D312" s="38"/>
    </row>
    <row r="313" spans="2:12">
      <c r="B313" s="86"/>
      <c r="C313" s="86"/>
      <c r="D313" s="86"/>
    </row>
    <row r="314" spans="2:12">
      <c r="B314" s="38"/>
      <c r="C314" s="38"/>
      <c r="D314" s="38"/>
    </row>
    <row r="315" spans="2:12">
      <c r="B315" s="38"/>
      <c r="C315" s="38"/>
      <c r="D315" s="38"/>
    </row>
    <row r="316" spans="2:12">
      <c r="B316" s="38"/>
      <c r="C316" s="38"/>
      <c r="D316" s="38"/>
    </row>
    <row r="317" spans="2:12">
      <c r="B317" s="38"/>
      <c r="C317" s="38"/>
      <c r="D317" s="38"/>
    </row>
    <row r="318" spans="2:12">
      <c r="B318" s="38"/>
      <c r="C318" s="38"/>
      <c r="D318" s="38"/>
    </row>
    <row r="320" spans="2:12">
      <c r="L320" s="72"/>
    </row>
    <row r="321" spans="12:13">
      <c r="L321" s="72"/>
    </row>
    <row r="322" spans="12:13">
      <c r="L322" s="72"/>
    </row>
    <row r="323" spans="12:13">
      <c r="L323" s="72"/>
      <c r="M323" s="87"/>
    </row>
    <row r="326" spans="12:13">
      <c r="L326" s="72"/>
    </row>
    <row r="327" spans="12:13">
      <c r="L327" s="72"/>
    </row>
    <row r="328" spans="12:13">
      <c r="L328" s="72"/>
    </row>
    <row r="329" spans="12:13">
      <c r="L329" s="72"/>
      <c r="M329" s="87"/>
    </row>
    <row r="332" spans="12:13">
      <c r="L332" s="72"/>
    </row>
    <row r="333" spans="12:13">
      <c r="L333" s="72"/>
    </row>
    <row r="334" spans="12:13">
      <c r="L334" s="72"/>
    </row>
    <row r="335" spans="12:13">
      <c r="L335" s="72"/>
      <c r="M335" s="87"/>
    </row>
    <row r="337" spans="11:11">
      <c r="K337" s="88"/>
    </row>
  </sheetData>
  <mergeCells count="4">
    <mergeCell ref="A5:I5"/>
    <mergeCell ref="A15:C15"/>
    <mergeCell ref="E70:F70"/>
    <mergeCell ref="C61:D62"/>
  </mergeCells>
  <pageMargins left="0.7" right="0.7" top="0.75" bottom="0.75" header="0.3" footer="0.3"/>
  <pageSetup pageOrder="overThenDown" orientation="landscape" r:id="rId1"/>
  <headerFooter>
    <oddFooter xml:space="preserve">&amp;L&amp;F - &amp;A
&amp;R&amp;P of &amp;N
</oddFooter>
  </headerFooter>
  <rowBreaks count="1" manualBreakCount="1">
    <brk id="62" max="16383" man="1"/>
  </rowBreaks>
  <colBreaks count="1" manualBreakCount="1">
    <brk id="9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5639854C408DC4D8C1DE7476FEB08BC" ma:contentTypeVersion="104" ma:contentTypeDescription="" ma:contentTypeScope="" ma:versionID="d277e660ce9298fd34ce4dc23a0f728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2017-11-08T08:00:00+00:00</OpenedDate>
    <Date1 xmlns="dc463f71-b30c-4ab2-9473-d307f9d35888">2017-11-08T08:00:00+00:00</Date1>
    <IsDocumentOrder xmlns="dc463f71-b30c-4ab2-9473-d307f9d35888" xsi:nil="true"/>
    <IsHighlyConfidential xmlns="dc463f71-b30c-4ab2-9473-d307f9d35888">false</IsHighlyConfidential>
    <CaseCompanyNames xmlns="dc463f71-b30c-4ab2-9473-d307f9d35888">WASTE CONNECTIONS OF WASHINGTON, INC.</CaseCompanyNames>
    <Nickname xmlns="http://schemas.microsoft.com/sharepoint/v3" xsi:nil="true"/>
    <DocketNumber xmlns="dc463f71-b30c-4ab2-9473-d307f9d35888">171114</DocketNumber>
    <DelegatedOrder xmlns="dc463f71-b30c-4ab2-9473-d307f9d35888">false</DelegatedOrder>
    <SignificantOrder xmlns="dc463f71-b30c-4ab2-9473-d307f9d35888">false</SignificantOrder>
  </documentManagement>
</p:properties>
</file>

<file path=customXml/item4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Props1.xml><?xml version="1.0" encoding="utf-8"?>
<ds:datastoreItem xmlns:ds="http://schemas.openxmlformats.org/officeDocument/2006/customXml" ds:itemID="{EE3EF44D-67F0-410D-9E21-0FBA832C549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2F38532-789D-46AD-BD9F-82DAE56563AA}"/>
</file>

<file path=customXml/itemProps3.xml><?xml version="1.0" encoding="utf-8"?>
<ds:datastoreItem xmlns:ds="http://schemas.openxmlformats.org/officeDocument/2006/customXml" ds:itemID="{9007D1F1-5F6D-4D5E-BCEB-2A74E8BD0E31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6a7bd91e-004b-490a-8704-e368d63d59a0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D27D2154-6194-418F-A0ED-1B3F27D310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Regulated DF Calc</vt:lpstr>
      <vt:lpstr>Non-Regulated</vt:lpstr>
      <vt:lpstr>Proposed Rates</vt:lpstr>
      <vt:lpstr>Disposal</vt:lpstr>
      <vt:lpstr>References</vt:lpstr>
      <vt:lpstr>'Non-Regulated'!Print_Area</vt:lpstr>
      <vt:lpstr>'Proposed Rates'!Print_Area</vt:lpstr>
      <vt:lpstr>References!Print_Area</vt:lpstr>
      <vt:lpstr>'Regulated DF Calc'!Print_Area</vt:lpstr>
      <vt:lpstr>'Non-Regulated'!Print_Titles</vt:lpstr>
      <vt:lpstr>'Proposed Rates'!Print_Titles</vt:lpstr>
      <vt:lpstr>'Regulated DF Calc'!Print_Titles</vt:lpstr>
    </vt:vector>
  </TitlesOfParts>
  <Company>R360 Environmental Solutions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Lindsay Waldram</dc:creator>
  <cp:lastModifiedBy>Huff, Ashley (UTC)</cp:lastModifiedBy>
  <cp:lastPrinted>2017-11-08T21:11:16Z</cp:lastPrinted>
  <dcterms:created xsi:type="dcterms:W3CDTF">2017-11-03T16:52:48Z</dcterms:created>
  <dcterms:modified xsi:type="dcterms:W3CDTF">2017-11-09T21:21:00Z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0x0101006E56B4D1795A2E4DB2F0B01679ED314A0055639854C408DC4D8C1DE7476FEB08BC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