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July 2017\July 31\Wahkiakum USF\"/>
    </mc:Choice>
  </mc:AlternateContent>
  <bookViews>
    <workbookView xWindow="0" yWindow="0" windowWidth="21840" windowHeight="931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  <sheet name="Sheet1" sheetId="20" r:id="rId13"/>
  </sheets>
  <externalReferences>
    <externalReference r:id="rId14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  <c r="A3" i="5"/>
  <c r="I35" i="12"/>
  <c r="G35" i="5"/>
  <c r="E14" i="18"/>
  <c r="D10" i="2"/>
  <c r="I35" i="2"/>
  <c r="F35" i="5"/>
  <c r="D14" i="18"/>
  <c r="D22" i="13"/>
  <c r="C22" i="13"/>
  <c r="D22" i="1"/>
  <c r="C22" i="1"/>
  <c r="B4" i="16"/>
  <c r="A3" i="17"/>
  <c r="B3" i="3"/>
  <c r="B3" i="10"/>
  <c r="B3" i="13"/>
  <c r="B3" i="1"/>
  <c r="B3" i="8"/>
  <c r="B3" i="18"/>
  <c r="A3" i="12"/>
  <c r="F14" i="18"/>
  <c r="E19" i="3"/>
  <c r="D19" i="3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E21" i="13"/>
  <c r="D21" i="10"/>
  <c r="E20" i="13"/>
  <c r="D20" i="10"/>
  <c r="E19" i="13"/>
  <c r="D19" i="10"/>
  <c r="E18" i="13"/>
  <c r="D18" i="10"/>
  <c r="E17" i="13"/>
  <c r="D17" i="10"/>
  <c r="E16" i="13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E22" i="13"/>
  <c r="E51" i="13"/>
  <c r="E34" i="13"/>
  <c r="D16" i="10"/>
  <c r="D22" i="10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3" i="12"/>
  <c r="G43" i="5"/>
  <c r="I23" i="12"/>
  <c r="G23" i="5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8" i="12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7" i="1"/>
  <c r="C17" i="10"/>
  <c r="E18" i="1"/>
  <c r="C18" i="10"/>
  <c r="E19" i="1"/>
  <c r="C19" i="10"/>
  <c r="E20" i="1"/>
  <c r="C20" i="10"/>
  <c r="E21" i="1"/>
  <c r="C21" i="10"/>
  <c r="E16" i="1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16" i="10"/>
  <c r="C22" i="10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0" i="3"/>
  <c r="D21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6" i="2"/>
  <c r="I46" i="2"/>
  <c r="F46" i="5"/>
  <c r="F47" i="5"/>
  <c r="F49" i="5"/>
  <c r="C47" i="1"/>
  <c r="C56" i="1"/>
  <c r="C55" i="1"/>
  <c r="D35" i="2"/>
  <c r="D39" i="10"/>
  <c r="D47" i="10"/>
  <c r="G49" i="2"/>
  <c r="B49" i="2"/>
  <c r="B47" i="5"/>
  <c r="G49" i="5"/>
  <c r="B25" i="5"/>
  <c r="C49" i="5"/>
  <c r="H47" i="2"/>
  <c r="H49" i="2"/>
  <c r="D16" i="16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<sst xmlns="http://schemas.openxmlformats.org/spreadsheetml/2006/main" count="644" uniqueCount="281">
  <si>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</si>
  <si>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</si>
  <si>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</si>
  <si>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</si>
  <si>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</si>
  <si>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</si>
  <si>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</si>
  <si>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</si>
  <si>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</si>
  <si>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</si>
  <si>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</si>
  <si>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</si>
  <si>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</si>
  <si>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</si>
  <si>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</si>
  <si>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</si>
  <si>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</si>
  <si>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</si>
  <si>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</si>
  <si>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</si>
  <si>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</si>
  <si>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</si>
  <si>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</si>
  <si>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</si>
  <si>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</si>
  <si>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</si>
  <si>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</si>
  <si>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</si>
  <si>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</si>
  <si>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</si>
  <si>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</si>
  <si>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</si>
  <si>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</si>
  <si>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</si>
  <si>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</si>
  <si>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</si>
  <si>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</si>
  <si>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</si>
  <si>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</si>
  <si>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</si>
  <si>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</si>
  <si>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</si>
  <si>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</si>
  <si>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</si>
  <si>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</si>
  <si>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</si>
  <si>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</si>
  <si>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</si>
  <si>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</si>
  <si>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</si>
  <si>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</si>
  <si>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</si>
  <si>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</si>
  <si>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</si>
  <si>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</si>
  <si>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</si>
  <si>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</si>
  <si>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</si>
  <si>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</si>
  <si>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</si>
  <si>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</si>
  <si>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</si>
  <si>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</si>
  <si>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</si>
  <si>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</si>
  <si>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</si>
  <si>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</si>
  <si>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</si>
  <si>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</si>
  <si>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</si>
  <si>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</si>
  <si>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</si>
  <si>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</si>
  <si>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</si>
  <si>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</si>
  <si>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</si>
  <si>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</si>
  <si>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</si>
  <si>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</si>
  <si>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</si>
  <si>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</si>
  <si>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</si>
  <si>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</si>
  <si>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</si>
  <si>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</si>
  <si>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</si>
  <si>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</si>
  <si>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</si>
  <si>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</si>
  <si>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</si>
  <si>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</si>
  <si>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</si>
  <si>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</si>
  <si>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</si>
  <si>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</si>
  <si>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</si>
  <si>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</si>
  <si>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</si>
  <si>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</si>
  <si>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</si>
  <si>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</si>
  <si>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</si>
  <si>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</si>
  <si>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</si>
  <si>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</si>
  <si>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</si>
  <si>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</si>
  <si>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</si>
  <si>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</si>
  <si>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</si>
  <si>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</si>
  <si>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</si>
  <si>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</si>
  <si>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</si>
  <si>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</si>
  <si>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</si>
  <si>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</si>
  <si>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</si>
  <si>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</si>
  <si>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</si>
  <si>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</si>
  <si>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</si>
  <si>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</si>
  <si>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</si>
  <si>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</si>
  <si>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</si>
  <si>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</si>
  <si>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</si>
  <si>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</si>
  <si>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</si>
  <si>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</si>
  <si>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</si>
  <si>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</si>
  <si>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</si>
  <si>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</si>
  <si>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</si>
  <si>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</si>
  <si>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</si>
  <si>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</si>
  <si>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</si>
  <si>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</si>
  <si>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</si>
  <si>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</si>
  <si>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</si>
  <si>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</si>
  <si>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</si>
  <si>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</si>
  <si>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</si>
  <si>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</si>
  <si>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</si>
  <si>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</si>
  <si>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</si>
  <si>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</si>
  <si>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</si>
  <si>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</si>
  <si>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</si>
  <si>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</si>
  <si>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</si>
  <si>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</si>
  <si>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</si>
  <si>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</si>
  <si>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</si>
  <si>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</si>
  <si>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</si>
  <si>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</si>
  <si>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</si>
  <si>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</si>
  <si>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</si>
  <si>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</si>
  <si>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</si>
  <si>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</si>
  <si>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</si>
  <si>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</si>
  <si>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</si>
  <si>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</si>
  <si>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</si>
  <si>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</si>
  <si>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</si>
  <si>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</si>
  <si>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</si>
  <si>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</si>
  <si>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</si>
  <si>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</si>
  <si>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</si>
  <si>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</si>
  <si>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</si>
  <si>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</si>
  <si>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</si>
  <si>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</si>
  <si>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</si>
  <si>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</si>
  <si>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</si>
  <si>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</si>
  <si>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</si>
  <si>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</si>
  <si>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</si>
  <si>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</si>
  <si>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</si>
  <si>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</si>
  <si>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</si>
  <si>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</si>
  <si>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</si>
  <si>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</si>
  <si>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</si>
  <si>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</si>
  <si>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</si>
  <si>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</si>
  <si>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</si>
  <si>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</si>
  <si>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</si>
  <si>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</si>
  <si>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</si>
  <si>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</si>
  <si>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</si>
  <si>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</si>
  <si>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</si>
  <si>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</si>
  <si>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</si>
  <si>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</si>
  <si>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</si>
  <si>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</si>
  <si>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</si>
  <si>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</si>
  <si>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</si>
  <si>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</si>
  <si>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</si>
  <si>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</si>
  <si>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</si>
  <si>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</si>
  <si>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</si>
  <si>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</si>
  <si>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</si>
  <si>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</si>
  <si>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</si>
  <si>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</si>
  <si>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</si>
  <si>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</si>
  <si>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</si>
  <si>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</si>
  <si>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</si>
  <si>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</si>
  <si>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</si>
  <si>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</si>
  <si>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</si>
  <si>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</si>
  <si>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</si>
  <si>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</si>
  <si>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</si>
  <si>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</si>
  <si>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</si>
  <si>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</si>
  <si>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</si>
  <si>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</si>
  <si>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</si>
  <si>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</si>
  <si>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</si>
  <si>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</si>
  <si>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</si>
  <si>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</si>
  <si>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</si>
  <si>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</si>
  <si>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</si>
  <si>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</si>
  <si>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</si>
  <si>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</si>
  <si>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</si>
  <si>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</si>
  <si>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</si>
  <si>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WESTERN WAHKIAKUM COUNTY TELEPHONE COMPANY</t>
  </si>
  <si>
    <t>Increase to 2015 Interstate Access Revenue recorded in 2016 (Account 2082) to</t>
  </si>
  <si>
    <t>reflect (i) increase in CAF -ICC support due to revision to 10/1/2010-09/30/11 base amount</t>
  </si>
  <si>
    <t>and (ii) decrease in CAF-ICC support due to revision to CAF-ICC reported intrastate"terminating"</t>
  </si>
  <si>
    <t>revenue to include revenue associated with intratate originating 800-type traffic</t>
  </si>
  <si>
    <t>PF</t>
  </si>
  <si>
    <t>Increase to 2015 Interstate Access Revenue recorded in 2015 (Account 2082) to reflect</t>
  </si>
  <si>
    <t>transfer to 2014 of reduction in CAF-ICC support due to revision to 10/1/2010-09/30/11</t>
  </si>
  <si>
    <t>base amount</t>
  </si>
  <si>
    <t>OOP</t>
  </si>
  <si>
    <t xml:space="preserve">transfer to years preceding 2014 of reduction in CAF-ICC support due to revision to </t>
  </si>
  <si>
    <t>10/1/2010-09/30/11 base amount</t>
  </si>
  <si>
    <t>NOTE:  The above amounts have not been adjusted to reflect the effect of Federal Income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</si>
</sst>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168" fontId="0" fillId="0" borderId="7" xfId="5" applyNumberFormat="1" applyFont="1" applyBorder="1"/>
    <xf numFmtId="168" fontId="0" fillId="0" borderId="8" xfId="5" applyNumberFormat="1" applyFont="1" applyBorder="1"/>
    <xf numFmtId="0" fontId="1" fillId="0" borderId="0" xfId="0" applyFont="1" applyFill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13" sqref="A13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A13" sqref="A13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WESTERN WAHKIAKUM COUNTY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138919</v>
      </c>
      <c r="E9" s="55">
        <v>149448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82249</v>
      </c>
      <c r="E11" s="52">
        <v>58390</v>
      </c>
    </row>
    <row r="12" spans="1:5" x14ac:dyDescent="0.25">
      <c r="A12" s="10" t="s">
        <v>183</v>
      </c>
      <c r="B12" s="17" t="s">
        <v>210</v>
      </c>
      <c r="C12" s="10"/>
      <c r="D12" s="52">
        <v>490567</v>
      </c>
      <c r="E12" s="52">
        <v>612745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27810</v>
      </c>
      <c r="E14" s="52">
        <v>16699</v>
      </c>
    </row>
    <row r="15" spans="1:5" x14ac:dyDescent="0.25">
      <c r="A15" s="10" t="s">
        <v>185</v>
      </c>
      <c r="B15" s="17" t="s">
        <v>148</v>
      </c>
      <c r="C15" s="10"/>
      <c r="D15" s="52">
        <v>151244</v>
      </c>
      <c r="E15" s="52">
        <v>169075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1915308</v>
      </c>
      <c r="E16" s="52">
        <v>2020591</v>
      </c>
    </row>
    <row r="17" spans="1:5" x14ac:dyDescent="0.25">
      <c r="A17" s="10">
        <v>5</v>
      </c>
      <c r="B17" s="17" t="s">
        <v>199</v>
      </c>
      <c r="C17" s="10"/>
      <c r="D17" s="52">
        <v>243088</v>
      </c>
      <c r="E17" s="52">
        <v>274316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3049185</v>
      </c>
      <c r="E19" s="35">
        <f>E9+E11+E12+E14+E15+E16+E17+E18</f>
        <v>3301264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3049185</v>
      </c>
      <c r="E20" s="37">
        <f>IncomeStmtSummary!D10</f>
        <v>3301264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workbookViewId="0">
      <selection activeCell="A44" sqref="A44"/>
    </sheetView>
  </sheetViews>
  <sheetFormatPr defaultColWidth="8.85546875" defaultRowHeight="15" x14ac:dyDescent="0.25"/>
  <cols>
    <col min="1" max="1" width="73.42578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WESTERN WAHKIAKUM COUNTY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6" t="s">
        <v>195</v>
      </c>
      <c r="E6" s="127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4" t="s">
        <v>196</v>
      </c>
      <c r="B9" s="17"/>
      <c r="C9" s="17"/>
      <c r="D9" s="10"/>
      <c r="E9" s="10"/>
    </row>
    <row r="10" spans="1:5" x14ac:dyDescent="0.25">
      <c r="A10" s="17" t="s">
        <v>269</v>
      </c>
      <c r="B10" s="17"/>
      <c r="C10" s="17"/>
      <c r="D10" s="116"/>
      <c r="E10" s="116"/>
    </row>
    <row r="11" spans="1:5" x14ac:dyDescent="0.25">
      <c r="A11" s="18" t="s">
        <v>270</v>
      </c>
      <c r="B11" s="17"/>
      <c r="C11" s="17"/>
      <c r="D11" s="116"/>
      <c r="E11" s="116"/>
    </row>
    <row r="12" spans="1:5" x14ac:dyDescent="0.25">
      <c r="A12" s="18" t="s">
        <v>271</v>
      </c>
      <c r="B12" s="17"/>
      <c r="C12" s="17"/>
      <c r="D12" s="116"/>
      <c r="E12" s="116"/>
    </row>
    <row r="13" spans="1:5" x14ac:dyDescent="0.25">
      <c r="A13" s="18" t="s">
        <v>272</v>
      </c>
      <c r="B13" s="17">
        <v>2015</v>
      </c>
      <c r="C13" s="17" t="s">
        <v>273</v>
      </c>
      <c r="D13" s="116"/>
      <c r="E13" s="116">
        <v>47682</v>
      </c>
    </row>
    <row r="14" spans="1:5" x14ac:dyDescent="0.25">
      <c r="A14" s="19"/>
      <c r="B14" s="19"/>
      <c r="C14" s="19"/>
      <c r="D14" s="117"/>
      <c r="E14" s="117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 t="s">
        <v>197</v>
      </c>
      <c r="B16" s="17"/>
      <c r="C16" s="17"/>
      <c r="D16" s="116"/>
      <c r="E16" s="116"/>
    </row>
    <row r="17" spans="1:5" x14ac:dyDescent="0.25">
      <c r="A17" s="17" t="s">
        <v>274</v>
      </c>
      <c r="B17" s="17"/>
      <c r="C17" s="17"/>
      <c r="D17" s="116"/>
      <c r="E17" s="116"/>
    </row>
    <row r="18" spans="1:5" x14ac:dyDescent="0.25">
      <c r="A18" s="14" t="s">
        <v>275</v>
      </c>
      <c r="B18" s="14"/>
      <c r="C18" s="14"/>
      <c r="D18" s="116"/>
      <c r="E18" s="123"/>
    </row>
    <row r="19" spans="1:5" x14ac:dyDescent="0.25">
      <c r="A19" s="14" t="s">
        <v>276</v>
      </c>
      <c r="B19" s="14">
        <v>2015</v>
      </c>
      <c r="C19" s="14" t="s">
        <v>277</v>
      </c>
      <c r="D19" s="116"/>
      <c r="E19" s="123">
        <v>142470</v>
      </c>
    </row>
    <row r="20" spans="1:5" x14ac:dyDescent="0.25">
      <c r="A20" s="19"/>
      <c r="B20" s="19"/>
      <c r="C20" s="19"/>
      <c r="D20" s="117"/>
      <c r="E20" s="117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 t="s">
        <v>198</v>
      </c>
      <c r="B22" s="17"/>
      <c r="C22" s="17"/>
      <c r="D22" s="116"/>
      <c r="E22" s="116"/>
    </row>
    <row r="23" spans="1:5" x14ac:dyDescent="0.25">
      <c r="A23" s="14" t="s">
        <v>274</v>
      </c>
      <c r="B23" s="17"/>
      <c r="C23" s="14"/>
      <c r="D23" s="123"/>
      <c r="E23" s="123"/>
    </row>
    <row r="24" spans="1:5" x14ac:dyDescent="0.25">
      <c r="A24" s="14" t="s">
        <v>278</v>
      </c>
      <c r="B24" s="17"/>
      <c r="C24" s="14"/>
      <c r="D24" s="123"/>
      <c r="E24" s="123"/>
    </row>
    <row r="25" spans="1:5" x14ac:dyDescent="0.25">
      <c r="A25" s="14" t="s">
        <v>279</v>
      </c>
      <c r="B25" s="17">
        <v>2015</v>
      </c>
      <c r="C25" s="14" t="s">
        <v>277</v>
      </c>
      <c r="D25" s="123"/>
      <c r="E25" s="123">
        <v>226310</v>
      </c>
    </row>
    <row r="26" spans="1:5" x14ac:dyDescent="0.25">
      <c r="A26" s="15"/>
      <c r="B26" s="19"/>
      <c r="C26" s="15"/>
      <c r="D26" s="124"/>
      <c r="E26" s="124"/>
    </row>
    <row r="27" spans="1:5" x14ac:dyDescent="0.25">
      <c r="A27" s="17" t="s">
        <v>203</v>
      </c>
      <c r="B27" s="17"/>
      <c r="C27" s="17"/>
      <c r="D27" s="116"/>
      <c r="E27" s="116"/>
    </row>
    <row r="28" spans="1:5" x14ac:dyDescent="0.25">
      <c r="A28" s="17"/>
      <c r="B28" s="17"/>
      <c r="C28" s="17"/>
      <c r="D28" s="116"/>
      <c r="E28" s="116"/>
    </row>
    <row r="29" spans="1:5" x14ac:dyDescent="0.25">
      <c r="A29" s="17"/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9"/>
      <c r="B31" s="19"/>
      <c r="C31" s="19"/>
      <c r="D31" s="117"/>
      <c r="E31" s="117"/>
    </row>
    <row r="32" spans="1:5" x14ac:dyDescent="0.25">
      <c r="A32" s="17" t="s">
        <v>231</v>
      </c>
      <c r="B32" s="17"/>
      <c r="C32" s="17"/>
      <c r="D32" s="116"/>
      <c r="E32" s="116"/>
    </row>
    <row r="33" spans="1:5" x14ac:dyDescent="0.25">
      <c r="A33" s="17"/>
      <c r="B33" s="17"/>
      <c r="C33" s="17"/>
      <c r="D33" s="116"/>
      <c r="E33" s="116"/>
    </row>
    <row r="34" spans="1:5" x14ac:dyDescent="0.25">
      <c r="A34" s="17"/>
      <c r="B34" s="17"/>
      <c r="C34" s="17"/>
      <c r="D34" s="116"/>
      <c r="E34" s="116"/>
    </row>
    <row r="35" spans="1:5" x14ac:dyDescent="0.25">
      <c r="A35" s="17"/>
      <c r="B35" s="17"/>
      <c r="C35" s="17"/>
      <c r="D35" s="116"/>
      <c r="E35" s="116"/>
    </row>
    <row r="36" spans="1:5" x14ac:dyDescent="0.25">
      <c r="A36" s="19"/>
      <c r="B36" s="19"/>
      <c r="C36" s="19"/>
      <c r="D36" s="117"/>
      <c r="E36" s="117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A39" s="125" t="s">
        <v>280</v>
      </c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  <row r="51" spans="4:5" x14ac:dyDescent="0.25">
      <c r="D51" s="110"/>
      <c r="E51" s="110"/>
    </row>
    <row r="52" spans="4:5" x14ac:dyDescent="0.25">
      <c r="D52" s="110"/>
      <c r="E52" s="110"/>
    </row>
    <row r="53" spans="4:5" x14ac:dyDescent="0.25">
      <c r="D53" s="110"/>
      <c r="E53" s="110"/>
    </row>
  </sheetData>
  <mergeCells count="1">
    <mergeCell ref="D6:E6"/>
  </mergeCells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opLeftCell="B1" workbookViewId="0">
      <selection activeCell="A13" sqref="A13"/>
    </sheetView>
  </sheetViews>
  <sheetFormatPr defaultColWidth="8.85546875" defaultRowHeight="15" x14ac:dyDescent="0.25"/>
  <cols>
    <col min="1" max="1" width="5.85546875" style="72" customWidth="1"/>
    <col min="2" max="2" width="40.42578125" style="72" customWidth="1"/>
    <col min="3" max="4" width="13.85546875" style="72" customWidth="1"/>
    <col min="5" max="16384" width="8.8554687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WESTERN WAHKIAKUM COUNTY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6692839</v>
      </c>
      <c r="D10" s="82">
        <f>C10</f>
        <v>6692839</v>
      </c>
    </row>
    <row r="11" spans="1:4" x14ac:dyDescent="0.25">
      <c r="A11" s="75">
        <v>2</v>
      </c>
      <c r="B11" s="79" t="s">
        <v>177</v>
      </c>
      <c r="C11" s="94">
        <f>'RateBase '!E15</f>
        <v>6269391</v>
      </c>
      <c r="D11" s="94">
        <f>C11</f>
        <v>6269391</v>
      </c>
    </row>
    <row r="12" spans="1:4" x14ac:dyDescent="0.25">
      <c r="A12" s="75">
        <v>3</v>
      </c>
      <c r="B12" s="90" t="s">
        <v>178</v>
      </c>
      <c r="C12" s="80">
        <f>(C10+C11)/2</f>
        <v>6481115</v>
      </c>
      <c r="D12" s="80">
        <f>(D10+D11)/2</f>
        <v>6481115</v>
      </c>
    </row>
    <row r="13" spans="1:4" x14ac:dyDescent="0.25">
      <c r="A13" s="75">
        <v>4</v>
      </c>
      <c r="B13" s="79" t="s">
        <v>179</v>
      </c>
      <c r="C13" s="58">
        <f>IncomeStmtSummary!D29</f>
        <v>427772</v>
      </c>
      <c r="D13" s="58">
        <f>C13</f>
        <v>427772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427772</v>
      </c>
      <c r="D15" s="80">
        <f>D13+D14</f>
        <v>427772</v>
      </c>
    </row>
    <row r="16" spans="1:4" x14ac:dyDescent="0.25">
      <c r="A16" s="75">
        <v>7</v>
      </c>
      <c r="B16" s="90" t="s">
        <v>180</v>
      </c>
      <c r="C16" s="81">
        <f>C15/C12</f>
        <v>6.600284056061341E-2</v>
      </c>
      <c r="D16" s="81">
        <f>D15/D12</f>
        <v>6.600284056061341E-2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4" workbookViewId="0">
      <selection activeCell="A13" sqref="A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865390</v>
      </c>
      <c r="C10" s="54"/>
      <c r="D10" s="58">
        <f>SUM(B10:C10)</f>
        <v>865390</v>
      </c>
      <c r="E10" s="17"/>
      <c r="F10" s="17" t="s">
        <v>78</v>
      </c>
      <c r="G10" s="52">
        <v>35462</v>
      </c>
      <c r="H10" s="54"/>
      <c r="I10" s="58">
        <f>SUM(G10:H10)</f>
        <v>35462</v>
      </c>
    </row>
    <row r="11" spans="1:9" x14ac:dyDescent="0.25">
      <c r="A11" s="17" t="s">
        <v>134</v>
      </c>
      <c r="B11" s="52">
        <v>279</v>
      </c>
      <c r="C11" s="54"/>
      <c r="D11" s="58">
        <f>SUM(B11:C11)</f>
        <v>279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19974</v>
      </c>
      <c r="H12" s="54"/>
      <c r="I12" s="58">
        <f t="shared" si="0"/>
        <v>19974</v>
      </c>
    </row>
    <row r="13" spans="1:9" x14ac:dyDescent="0.25">
      <c r="A13" s="17" t="s">
        <v>44</v>
      </c>
      <c r="B13" s="52">
        <v>390771</v>
      </c>
      <c r="C13" s="54"/>
      <c r="D13" s="58">
        <f>SUM(B13:C13)</f>
        <v>390771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>
        <v>137000</v>
      </c>
      <c r="H14" s="54"/>
      <c r="I14" s="58">
        <f t="shared" si="0"/>
        <v>137000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52916</v>
      </c>
      <c r="H18" s="54"/>
      <c r="I18" s="58">
        <f t="shared" si="0"/>
        <v>52916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122813</v>
      </c>
      <c r="H19" s="113"/>
      <c r="I19" s="59">
        <f t="shared" si="0"/>
        <v>122813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368165</v>
      </c>
      <c r="H20" s="58">
        <f>SUM(H10:H19)</f>
        <v>0</v>
      </c>
      <c r="I20" s="58">
        <f t="shared" ref="I20" si="3">SUM(I10:I19)</f>
        <v>368165</v>
      </c>
    </row>
    <row r="21" spans="1:9" x14ac:dyDescent="0.25">
      <c r="A21" s="17" t="s">
        <v>49</v>
      </c>
      <c r="B21" s="52">
        <v>294331</v>
      </c>
      <c r="C21" s="54"/>
      <c r="D21" s="58">
        <f t="shared" si="2"/>
        <v>294331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59</v>
      </c>
      <c r="C22" s="54"/>
      <c r="D22" s="58">
        <f t="shared" si="2"/>
        <v>59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>
        <v>25926</v>
      </c>
      <c r="C23" s="54"/>
      <c r="D23" s="58">
        <f t="shared" si="2"/>
        <v>25926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135907</v>
      </c>
      <c r="C24" s="113"/>
      <c r="D24" s="59">
        <f t="shared" si="2"/>
        <v>135907</v>
      </c>
      <c r="E24" s="17"/>
      <c r="F24" s="17" t="s">
        <v>94</v>
      </c>
      <c r="G24" s="52">
        <v>2504283</v>
      </c>
      <c r="H24" s="54"/>
      <c r="I24" s="58">
        <f t="shared" si="4"/>
        <v>2504283</v>
      </c>
    </row>
    <row r="25" spans="1:9" x14ac:dyDescent="0.25">
      <c r="A25" s="17" t="s">
        <v>41</v>
      </c>
      <c r="B25" s="58">
        <f>B10+B11+B13+B14+B15+B17+B18+B19+B20+B21+B22+B23+B24</f>
        <v>1712663</v>
      </c>
      <c r="C25" s="58">
        <f>C10+C11+C13+C14+C15+C17+C18+C19+C20+C21+C22+C23+C24</f>
        <v>0</v>
      </c>
      <c r="D25" s="58">
        <f t="shared" ref="D25" si="5">D10+D11+D13+D14+D15+D17+D18+D19+D20+D21+D22+D23+D24</f>
        <v>1712663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>
        <v>1506247</v>
      </c>
      <c r="H31" s="113"/>
      <c r="I31" s="59">
        <f t="shared" si="6"/>
        <v>1506247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4010530</v>
      </c>
      <c r="H32" s="121">
        <f>SUM(H22:H31)</f>
        <v>0</v>
      </c>
      <c r="I32" s="121">
        <f>SUM(I22:I31)</f>
        <v>4010530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/>
      <c r="C35" s="69">
        <f>-1*(C25+C30+C31+C33+C34+C36+C37+C38+C47)</f>
        <v>2557</v>
      </c>
      <c r="D35" s="58">
        <f t="shared" si="7"/>
        <v>2557</v>
      </c>
      <c r="E35" s="17"/>
      <c r="F35" s="18" t="s">
        <v>236</v>
      </c>
      <c r="G35" s="52">
        <v>1576834</v>
      </c>
      <c r="H35" s="52">
        <v>211</v>
      </c>
      <c r="I35" s="58">
        <f>SUM(G35:H35)</f>
        <v>1577045</v>
      </c>
    </row>
    <row r="36" spans="1:9" x14ac:dyDescent="0.25">
      <c r="A36" s="17" t="s">
        <v>62</v>
      </c>
      <c r="B36" s="52">
        <v>413993</v>
      </c>
      <c r="C36" s="54"/>
      <c r="D36" s="58">
        <f t="shared" si="7"/>
        <v>413993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1576834</v>
      </c>
      <c r="H38" s="58">
        <f>SUM(H34:H37)</f>
        <v>211</v>
      </c>
      <c r="I38" s="58">
        <f>SUM(I34:I37)</f>
        <v>1577045</v>
      </c>
    </row>
    <row r="39" spans="1:9" x14ac:dyDescent="0.25">
      <c r="A39" s="17" t="s">
        <v>65</v>
      </c>
      <c r="B39" s="58">
        <f>B30+B31+B33+B34+B35+B36+B37+B38</f>
        <v>413993</v>
      </c>
      <c r="C39" s="58">
        <f>C30+C31+C33+C34+C35+C36+C37+C38</f>
        <v>2557</v>
      </c>
      <c r="D39" s="58">
        <f>D30+D31+D33+D34+D35+D36+D37+D38</f>
        <v>416550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54171</v>
      </c>
      <c r="H40" s="22"/>
      <c r="I40" s="58">
        <f>SUM(G40:H40)</f>
        <v>54171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>
        <v>279251</v>
      </c>
      <c r="H41" s="22"/>
      <c r="I41" s="58">
        <f t="shared" ref="I41:I46" si="9">SUM(G41:H41)</f>
        <v>279251</v>
      </c>
    </row>
    <row r="42" spans="1:9" x14ac:dyDescent="0.25">
      <c r="A42" s="17" t="s">
        <v>166</v>
      </c>
      <c r="B42" s="52">
        <v>20965028</v>
      </c>
      <c r="C42" s="52">
        <v>-60235</v>
      </c>
      <c r="D42" s="58">
        <f>SUM(B42:C42)</f>
        <v>20904793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85104</v>
      </c>
      <c r="C44" s="52"/>
      <c r="D44" s="58">
        <f t="shared" si="10"/>
        <v>85104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-12986918</v>
      </c>
      <c r="C46" s="53">
        <v>57678</v>
      </c>
      <c r="D46" s="59">
        <f t="shared" si="10"/>
        <v>-12929240</v>
      </c>
      <c r="E46" s="17"/>
      <c r="F46" s="17" t="s">
        <v>243</v>
      </c>
      <c r="G46" s="53">
        <v>3900919</v>
      </c>
      <c r="H46" s="95">
        <f>-1*(H20+H32+H38)</f>
        <v>-211</v>
      </c>
      <c r="I46" s="59">
        <f t="shared" si="9"/>
        <v>3900708</v>
      </c>
    </row>
    <row r="47" spans="1:9" x14ac:dyDescent="0.25">
      <c r="A47" s="17" t="s">
        <v>71</v>
      </c>
      <c r="B47" s="58">
        <f>B42+B43+B44+B45+B46</f>
        <v>8063214</v>
      </c>
      <c r="C47" s="58">
        <f t="shared" ref="C47:D47" si="11">C42+C43+C44+C45+C46</f>
        <v>-2557</v>
      </c>
      <c r="D47" s="58">
        <f t="shared" si="11"/>
        <v>8060657</v>
      </c>
      <c r="E47" s="17"/>
      <c r="F47" s="17" t="s">
        <v>244</v>
      </c>
      <c r="G47" s="58">
        <f>SUM(G40:G46)</f>
        <v>4234341</v>
      </c>
      <c r="H47" s="61">
        <f t="shared" ref="H47:I47" si="12">SUM(H40:H46)</f>
        <v>-211</v>
      </c>
      <c r="I47" s="58">
        <f t="shared" si="12"/>
        <v>4234130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10189870</v>
      </c>
      <c r="C49" s="60">
        <f>C25+C39+C47</f>
        <v>0</v>
      </c>
      <c r="D49" s="60">
        <f>D25+D39+D47</f>
        <v>10189870</v>
      </c>
      <c r="E49" s="19"/>
      <c r="F49" s="83" t="s">
        <v>248</v>
      </c>
      <c r="G49" s="60">
        <f>G20+G32+G38+G47</f>
        <v>10189870</v>
      </c>
      <c r="H49" s="60">
        <f>H20+H32+H38+H47</f>
        <v>0</v>
      </c>
      <c r="I49" s="60">
        <f>I20+I32+I38+I47</f>
        <v>10189870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24" workbookViewId="0">
      <selection activeCell="A13" sqref="A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WESTERN WAHKIAKUM COUNTY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2145546</v>
      </c>
      <c r="C10" s="54"/>
      <c r="D10" s="58">
        <f>SUM(B10:C10)</f>
        <v>2145546</v>
      </c>
      <c r="E10" s="17"/>
      <c r="F10" s="17" t="s">
        <v>78</v>
      </c>
      <c r="G10" s="52">
        <v>46214</v>
      </c>
      <c r="H10" s="54"/>
      <c r="I10" s="58">
        <f>SUM(G10:H10)</f>
        <v>46214</v>
      </c>
    </row>
    <row r="11" spans="1:9" x14ac:dyDescent="0.25">
      <c r="A11" s="17" t="s">
        <v>134</v>
      </c>
      <c r="B11" s="52">
        <v>285</v>
      </c>
      <c r="C11" s="54"/>
      <c r="D11" s="58">
        <f>SUM(B11:C11)</f>
        <v>285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21054</v>
      </c>
      <c r="H12" s="54"/>
      <c r="I12" s="58">
        <f t="shared" si="0"/>
        <v>21054</v>
      </c>
    </row>
    <row r="13" spans="1:9" x14ac:dyDescent="0.25">
      <c r="A13" s="17" t="s">
        <v>44</v>
      </c>
      <c r="B13" s="52">
        <v>401848</v>
      </c>
      <c r="C13" s="54"/>
      <c r="D13" s="58">
        <f>SUM(B13:C13)</f>
        <v>401848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>
        <v>187700</v>
      </c>
      <c r="H14" s="54"/>
      <c r="I14" s="58">
        <f t="shared" si="0"/>
        <v>187700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>
        <v>56366</v>
      </c>
      <c r="H17" s="54"/>
      <c r="I17" s="58">
        <f t="shared" si="0"/>
        <v>56366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69491</v>
      </c>
      <c r="H18" s="54"/>
      <c r="I18" s="58">
        <f t="shared" si="0"/>
        <v>69491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323469</v>
      </c>
      <c r="H19" s="113"/>
      <c r="I19" s="59">
        <f t="shared" si="0"/>
        <v>323469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704294</v>
      </c>
      <c r="H20" s="58">
        <f>SUM(H10:H19)</f>
        <v>0</v>
      </c>
      <c r="I20" s="58">
        <f t="shared" ref="I20" si="3">SUM(I10:I19)</f>
        <v>704294</v>
      </c>
    </row>
    <row r="21" spans="1:9" x14ac:dyDescent="0.25">
      <c r="A21" s="17" t="s">
        <v>49</v>
      </c>
      <c r="B21" s="52">
        <v>245165</v>
      </c>
      <c r="C21" s="54"/>
      <c r="D21" s="58">
        <f t="shared" si="2"/>
        <v>245165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>
        <v>14992</v>
      </c>
      <c r="C23" s="54"/>
      <c r="D23" s="58">
        <f t="shared" si="2"/>
        <v>14992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>
        <v>3128004</v>
      </c>
      <c r="H24" s="54"/>
      <c r="I24" s="58">
        <f t="shared" si="4"/>
        <v>3128004</v>
      </c>
    </row>
    <row r="25" spans="1:9" x14ac:dyDescent="0.25">
      <c r="A25" s="17" t="s">
        <v>41</v>
      </c>
      <c r="B25" s="58">
        <f>B10+B11+B13+B14+B15+B17+B18+B19+B20+B21+B22+B23+B24</f>
        <v>2807836</v>
      </c>
      <c r="C25" s="58">
        <f>C10+C11+C13+C14+C15+C17+C18+C19+C20+C21+C22+C23+C24</f>
        <v>0</v>
      </c>
      <c r="D25" s="58">
        <f t="shared" ref="D25" si="5">D10+D11+D13+D14+D15+D17+D18+D19+D20+D21+D22+D23+D24</f>
        <v>2807836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>
        <v>1506247</v>
      </c>
      <c r="H31" s="113"/>
      <c r="I31" s="59">
        <f t="shared" si="6"/>
        <v>1506247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4634251</v>
      </c>
      <c r="H32" s="82">
        <f>SUM(H22:H31)</f>
        <v>0</v>
      </c>
      <c r="I32" s="58">
        <f>SUM(I22:I31)</f>
        <v>4634251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/>
      <c r="C35" s="69">
        <f>-1*(C25+C30+C31+C33+C34+C36+C37+C38+C47)</f>
        <v>277901</v>
      </c>
      <c r="D35" s="58">
        <f t="shared" si="7"/>
        <v>277901</v>
      </c>
      <c r="E35" s="17"/>
      <c r="F35" s="18" t="s">
        <v>236</v>
      </c>
      <c r="G35" s="52">
        <v>1678382</v>
      </c>
      <c r="H35" s="52">
        <v>-4943</v>
      </c>
      <c r="I35" s="58">
        <f>SUM(G35:H35)</f>
        <v>1673439</v>
      </c>
    </row>
    <row r="36" spans="1:11" x14ac:dyDescent="0.25">
      <c r="A36" s="17" t="s">
        <v>62</v>
      </c>
      <c r="B36" s="52">
        <v>553999</v>
      </c>
      <c r="C36" s="54"/>
      <c r="D36" s="58">
        <f t="shared" si="7"/>
        <v>553999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1678382</v>
      </c>
      <c r="H38" s="58">
        <f>SUM(H34:H37)</f>
        <v>-4943</v>
      </c>
      <c r="I38" s="58">
        <f>SUM(I34:I37)</f>
        <v>1673439</v>
      </c>
    </row>
    <row r="39" spans="1:11" x14ac:dyDescent="0.25">
      <c r="A39" s="17" t="s">
        <v>65</v>
      </c>
      <c r="B39" s="58">
        <f>B30+B31+B33+B34+B35+B36+B37+B38</f>
        <v>553999</v>
      </c>
      <c r="C39" s="58">
        <f>C30+C31+C33+C34+C35+C36+C37+C38</f>
        <v>277901</v>
      </c>
      <c r="D39" s="58">
        <f t="shared" ref="D39" si="9">D30+D31+D33+D34+D35+D36+D37+D38</f>
        <v>831900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54171</v>
      </c>
      <c r="H40" s="22"/>
      <c r="I40" s="58">
        <f>SUM(G40:H40)</f>
        <v>54171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>
        <v>279251</v>
      </c>
      <c r="H41" s="22"/>
      <c r="I41" s="58">
        <f t="shared" ref="I41:I46" si="10">SUM(G41:H41)</f>
        <v>279251</v>
      </c>
    </row>
    <row r="42" spans="1:11" x14ac:dyDescent="0.25">
      <c r="A42" s="17" t="s">
        <v>166</v>
      </c>
      <c r="B42" s="52">
        <v>21305128</v>
      </c>
      <c r="C42" s="52">
        <v>-504667</v>
      </c>
      <c r="D42" s="58">
        <f>SUM(B42:C42)</f>
        <v>20800461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123420</v>
      </c>
      <c r="C44" s="52"/>
      <c r="D44" s="58">
        <f t="shared" si="11"/>
        <v>123420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-13329562</v>
      </c>
      <c r="C46" s="53">
        <v>226766</v>
      </c>
      <c r="D46" s="59">
        <f t="shared" si="11"/>
        <v>-13102796</v>
      </c>
      <c r="E46" s="17"/>
      <c r="F46" s="17" t="s">
        <v>243</v>
      </c>
      <c r="G46" s="53">
        <v>4110472</v>
      </c>
      <c r="H46" s="95">
        <f>-1*(H20+H32+H38)</f>
        <v>4943</v>
      </c>
      <c r="I46" s="59">
        <f t="shared" si="10"/>
        <v>4115415</v>
      </c>
    </row>
    <row r="47" spans="1:11" x14ac:dyDescent="0.25">
      <c r="A47" s="17" t="s">
        <v>71</v>
      </c>
      <c r="B47" s="58">
        <f>B42+B43+B44+B45+B46</f>
        <v>8098986</v>
      </c>
      <c r="C47" s="58">
        <f t="shared" ref="C47:D47" si="12">C42+C43+C44+C45+C46</f>
        <v>-277901</v>
      </c>
      <c r="D47" s="58">
        <f t="shared" si="12"/>
        <v>7821085</v>
      </c>
      <c r="E47" s="17"/>
      <c r="F47" s="17" t="s">
        <v>244</v>
      </c>
      <c r="G47" s="58">
        <f>SUM(G40:G46)</f>
        <v>4443894</v>
      </c>
      <c r="H47" s="61">
        <f t="shared" ref="H47:I47" si="13">SUM(H40:H46)</f>
        <v>4943</v>
      </c>
      <c r="I47" s="58">
        <f t="shared" si="13"/>
        <v>4448837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11460821</v>
      </c>
      <c r="C49" s="60">
        <f t="shared" ref="C49:D49" si="14">C25+C39+C47</f>
        <v>0</v>
      </c>
      <c r="D49" s="60">
        <f t="shared" si="14"/>
        <v>11460821</v>
      </c>
      <c r="E49" s="19"/>
      <c r="F49" s="83" t="s">
        <v>247</v>
      </c>
      <c r="G49" s="60">
        <f>G20+G32+G38+G47</f>
        <v>11460821</v>
      </c>
      <c r="H49" s="60">
        <f>H20+H32+H38+H47</f>
        <v>0</v>
      </c>
      <c r="I49" s="60">
        <f>I20+I32+I38+I47</f>
        <v>11460821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3" workbookViewId="0">
      <selection activeCell="A13" sqref="A13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WESTERN WAHKIAKUM COUNTY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865390</v>
      </c>
      <c r="C10" s="32">
        <f>'CurrentYearBalanceSheet '!D10</f>
        <v>2145546</v>
      </c>
      <c r="D10" s="17"/>
      <c r="E10" s="17" t="s">
        <v>78</v>
      </c>
      <c r="F10" s="32">
        <f>PriorYearBalanceSheet!I10</f>
        <v>35462</v>
      </c>
      <c r="G10" s="32">
        <f>'CurrentYearBalanceSheet '!I10</f>
        <v>46214</v>
      </c>
    </row>
    <row r="11" spans="1:7" x14ac:dyDescent="0.25">
      <c r="A11" s="17" t="s">
        <v>134</v>
      </c>
      <c r="B11" s="32">
        <f>PriorYearBalanceSheet!D11</f>
        <v>279</v>
      </c>
      <c r="C11" s="32">
        <f>'CurrentYearBalanceSheet '!D11</f>
        <v>285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19974</v>
      </c>
      <c r="G12" s="32">
        <f>'CurrentYearBalanceSheet '!I12</f>
        <v>21054</v>
      </c>
    </row>
    <row r="13" spans="1:7" x14ac:dyDescent="0.25">
      <c r="A13" s="17" t="s">
        <v>44</v>
      </c>
      <c r="B13" s="32">
        <f>PriorYearBalanceSheet!D13</f>
        <v>390771</v>
      </c>
      <c r="C13" s="32">
        <f>'CurrentYearBalanceSheet '!D13</f>
        <v>401848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137000</v>
      </c>
      <c r="G14" s="32">
        <f>'CurrentYearBalanceSheet '!I14</f>
        <v>187700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0</v>
      </c>
      <c r="C17" s="32">
        <f>'CurrentYearBalanceSheet '!D17</f>
        <v>0</v>
      </c>
      <c r="D17" s="17"/>
      <c r="E17" s="17" t="s">
        <v>87</v>
      </c>
      <c r="F17" s="32">
        <f>PriorYearBalanceSheet!I17</f>
        <v>0</v>
      </c>
      <c r="G17" s="32">
        <f>'CurrentYearBalanceSheet '!I17</f>
        <v>56366</v>
      </c>
    </row>
    <row r="18" spans="1:7" x14ac:dyDescent="0.25">
      <c r="A18" s="17" t="s">
        <v>47</v>
      </c>
      <c r="B18" s="32">
        <f>PriorYearBalanceSheet!D18</f>
        <v>0</v>
      </c>
      <c r="C18" s="32">
        <f>'CurrentYearBalanceSheet '!D18</f>
        <v>0</v>
      </c>
      <c r="D18" s="17"/>
      <c r="E18" s="17" t="s">
        <v>88</v>
      </c>
      <c r="F18" s="32">
        <f>PriorYearBalanceSheet!I18</f>
        <v>52916</v>
      </c>
      <c r="G18" s="32">
        <f>'CurrentYearBalanceSheet '!I18</f>
        <v>69491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122813</v>
      </c>
      <c r="G19" s="32">
        <f>'CurrentYearBalanceSheet '!I19</f>
        <v>323469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368165</v>
      </c>
      <c r="G20" s="35">
        <f>SUM(G10:G19)</f>
        <v>704294</v>
      </c>
    </row>
    <row r="21" spans="1:7" x14ac:dyDescent="0.25">
      <c r="A21" s="17" t="s">
        <v>49</v>
      </c>
      <c r="B21" s="32">
        <f>PriorYearBalanceSheet!D21</f>
        <v>294331</v>
      </c>
      <c r="C21" s="32">
        <f>'CurrentYearBalanceSheet '!D21</f>
        <v>245165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59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25926</v>
      </c>
      <c r="C23" s="32">
        <f>'CurrentYearBalanceSheet '!D23</f>
        <v>14992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135907</v>
      </c>
      <c r="C24" s="33">
        <f>'CurrentYearBalanceSheet '!D24</f>
        <v>0</v>
      </c>
      <c r="D24" s="17"/>
      <c r="E24" s="17" t="s">
        <v>94</v>
      </c>
      <c r="F24" s="32">
        <f>PriorYearBalanceSheet!I24</f>
        <v>2504283</v>
      </c>
      <c r="G24" s="32">
        <f>'CurrentYearBalanceSheet '!I24</f>
        <v>3128004</v>
      </c>
    </row>
    <row r="25" spans="1:7" x14ac:dyDescent="0.25">
      <c r="A25" s="17" t="s">
        <v>41</v>
      </c>
      <c r="B25" s="32">
        <f>B10+B11+B13+B14+B15+B17+B18+B19+B20+B21+B22+B23+B24</f>
        <v>1712663</v>
      </c>
      <c r="C25" s="32">
        <f>C10+C11+C13+C14+C15+C17+C18+C19+C20+C21+C22+C23+C24</f>
        <v>2807836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1506247</v>
      </c>
      <c r="G31" s="33">
        <f>'CurrentYearBalanceSheet '!I31</f>
        <v>1506247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4010530</v>
      </c>
      <c r="G32" s="32">
        <f>SUM(G22:G31)</f>
        <v>4634251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2557</v>
      </c>
      <c r="C35" s="32">
        <f>'CurrentYearBalanceSheet '!D35</f>
        <v>277901</v>
      </c>
      <c r="D35" s="17"/>
      <c r="E35" s="18" t="s">
        <v>236</v>
      </c>
      <c r="F35" s="32">
        <f>PriorYearBalanceSheet!I35</f>
        <v>1577045</v>
      </c>
      <c r="G35" s="32">
        <f>'CurrentYearBalanceSheet '!I35</f>
        <v>1673439</v>
      </c>
    </row>
    <row r="36" spans="1:7" x14ac:dyDescent="0.25">
      <c r="A36" s="17" t="s">
        <v>62</v>
      </c>
      <c r="B36" s="32">
        <f>PriorYearBalanceSheet!D36</f>
        <v>413993</v>
      </c>
      <c r="C36" s="32">
        <f>'CurrentYearBalanceSheet '!D36</f>
        <v>553999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1577045</v>
      </c>
      <c r="G38" s="32">
        <f>SUM(G34:G37)</f>
        <v>1673439</v>
      </c>
    </row>
    <row r="39" spans="1:7" x14ac:dyDescent="0.25">
      <c r="A39" s="17" t="s">
        <v>65</v>
      </c>
      <c r="B39" s="32">
        <f>B30+B31+B33+B34+B35+B36+B37+B38</f>
        <v>416550</v>
      </c>
      <c r="C39" s="32">
        <f>C30+C31+C33+C34+C35+C36+C37+C38</f>
        <v>831900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54171</v>
      </c>
      <c r="G40" s="32">
        <f>'CurrentYearBalanceSheet '!I40</f>
        <v>54171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279251</v>
      </c>
      <c r="G41" s="32">
        <f>'CurrentYearBalanceSheet '!I41</f>
        <v>279251</v>
      </c>
    </row>
    <row r="42" spans="1:7" x14ac:dyDescent="0.25">
      <c r="A42" s="17" t="s">
        <v>67</v>
      </c>
      <c r="B42" s="32">
        <f>PriorYearBalanceSheet!D42</f>
        <v>20904793</v>
      </c>
      <c r="C42" s="32">
        <f>'CurrentYearBalanceSheet '!D42</f>
        <v>20800461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85104</v>
      </c>
      <c r="C44" s="32">
        <f>'CurrentYearBalanceSheet '!D44</f>
        <v>123420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-12929240</v>
      </c>
      <c r="C46" s="33">
        <f>'CurrentYearBalanceSheet '!D46</f>
        <v>-13102796</v>
      </c>
      <c r="D46" s="17"/>
      <c r="E46" s="17" t="s">
        <v>252</v>
      </c>
      <c r="F46" s="33">
        <f>PriorYearBalanceSheet!I46</f>
        <v>3900708</v>
      </c>
      <c r="G46" s="33">
        <f>'CurrentYearBalanceSheet '!I46</f>
        <v>4115415</v>
      </c>
    </row>
    <row r="47" spans="1:7" x14ac:dyDescent="0.25">
      <c r="A47" s="17" t="s">
        <v>71</v>
      </c>
      <c r="B47" s="32">
        <f>SUM(B42:B46)</f>
        <v>8060657</v>
      </c>
      <c r="C47" s="32">
        <f>SUM(C42:C46)</f>
        <v>7821085</v>
      </c>
      <c r="D47" s="17"/>
      <c r="E47" s="17" t="s">
        <v>244</v>
      </c>
      <c r="F47" s="32">
        <f>SUM(F40:F46)</f>
        <v>4234130</v>
      </c>
      <c r="G47" s="32">
        <f>SUM(G40:G46)</f>
        <v>4448837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10189870</v>
      </c>
      <c r="C49" s="34">
        <f>C25+C39+C47</f>
        <v>11460821</v>
      </c>
      <c r="D49" s="17"/>
      <c r="E49" s="21" t="s">
        <v>245</v>
      </c>
      <c r="F49" s="34">
        <f>F20+F32+F38+F47</f>
        <v>10189870</v>
      </c>
      <c r="G49" s="34">
        <f>G20+G32+G38+G47</f>
        <v>11460821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opLeftCell="A3" workbookViewId="0">
      <selection activeCell="A13" sqref="A13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20904793</v>
      </c>
      <c r="E10" s="58">
        <f>'BalanceSheet(Summary)'!C42</f>
        <v>20800461</v>
      </c>
      <c r="F10" s="58">
        <f>(D10+E10)/2</f>
        <v>20852627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-12929240</v>
      </c>
      <c r="E12" s="58">
        <f>'BalanceSheet(Summary)'!C46</f>
        <v>-13102796</v>
      </c>
      <c r="F12" s="58">
        <f t="shared" ref="F12:F15" si="0">(D12+E12)/2</f>
        <v>-13016018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294331</v>
      </c>
      <c r="E13" s="58">
        <f>'BalanceSheet(Summary)'!C21</f>
        <v>245165</v>
      </c>
      <c r="F13" s="58">
        <f t="shared" si="0"/>
        <v>269748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-1577045</v>
      </c>
      <c r="E14" s="52">
        <f>'BalanceSheet(Summary)'!G35*-1</f>
        <v>-1673439</v>
      </c>
      <c r="F14" s="58">
        <f t="shared" si="0"/>
        <v>-1625242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6692839</v>
      </c>
      <c r="E15" s="62">
        <f>SUM(E10:E14)</f>
        <v>6269391</v>
      </c>
      <c r="F15" s="63">
        <f t="shared" si="0"/>
        <v>6481115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A13" sqref="A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838</v>
      </c>
      <c r="D10" s="52">
        <v>848</v>
      </c>
      <c r="E10" s="32">
        <f>D10-C10</f>
        <v>10</v>
      </c>
      <c r="F10" s="38">
        <f>E10/C10</f>
        <v>1.1933174224343675E-2</v>
      </c>
    </row>
    <row r="11" spans="1:6" x14ac:dyDescent="0.25">
      <c r="A11" s="10">
        <v>2</v>
      </c>
      <c r="B11" s="19" t="s">
        <v>127</v>
      </c>
      <c r="C11" s="52">
        <v>207</v>
      </c>
      <c r="D11" s="52">
        <v>194</v>
      </c>
      <c r="E11" s="32">
        <f>D11-C11</f>
        <v>-13</v>
      </c>
      <c r="F11" s="38">
        <f t="shared" ref="F11:F12" si="0">E11/C11</f>
        <v>-6.280193236714976E-2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1045</v>
      </c>
      <c r="D12" s="34">
        <f t="shared" ref="D12:E12" si="1">SUM(D10:D11)</f>
        <v>1042</v>
      </c>
      <c r="E12" s="34">
        <f t="shared" si="1"/>
        <v>-3</v>
      </c>
      <c r="F12" s="39">
        <f t="shared" si="0"/>
        <v>-2.8708133971291866E-3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2" workbookViewId="0">
      <selection activeCell="A13" sqref="A13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245707</v>
      </c>
      <c r="D9" s="52"/>
      <c r="E9" s="58">
        <f>SUM(C9:D9)</f>
        <v>245707</v>
      </c>
    </row>
    <row r="10" spans="1:6" x14ac:dyDescent="0.25">
      <c r="A10" s="10">
        <v>2</v>
      </c>
      <c r="B10" s="14" t="s">
        <v>2</v>
      </c>
      <c r="C10" s="52">
        <v>3049185</v>
      </c>
      <c r="D10" s="52"/>
      <c r="E10" s="58">
        <f t="shared" ref="E10:E14" si="0">SUM(C10:D10)</f>
        <v>3049185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22894</v>
      </c>
      <c r="D12" s="52"/>
      <c r="E12" s="58">
        <f t="shared" si="0"/>
        <v>22894</v>
      </c>
    </row>
    <row r="13" spans="1:6" x14ac:dyDescent="0.25">
      <c r="A13" s="10">
        <v>5</v>
      </c>
      <c r="B13" s="14" t="s">
        <v>5</v>
      </c>
      <c r="C13" s="52">
        <v>973</v>
      </c>
      <c r="D13" s="52"/>
      <c r="E13" s="58">
        <f t="shared" si="0"/>
        <v>973</v>
      </c>
    </row>
    <row r="14" spans="1:6" x14ac:dyDescent="0.25">
      <c r="A14" s="10">
        <v>6</v>
      </c>
      <c r="B14" s="14" t="s">
        <v>139</v>
      </c>
      <c r="C14" s="52">
        <v>-316</v>
      </c>
      <c r="D14" s="52"/>
      <c r="E14" s="58">
        <f t="shared" si="0"/>
        <v>-316</v>
      </c>
    </row>
    <row r="15" spans="1:6" x14ac:dyDescent="0.25">
      <c r="A15" s="10">
        <v>7</v>
      </c>
      <c r="B15" s="89" t="s">
        <v>138</v>
      </c>
      <c r="C15" s="97">
        <f>SUM(C9:C14)</f>
        <v>3318443</v>
      </c>
      <c r="D15" s="97">
        <f t="shared" ref="D15:E15" si="1">SUM(D9:D14)</f>
        <v>0</v>
      </c>
      <c r="E15" s="97">
        <f t="shared" si="1"/>
        <v>3318443</v>
      </c>
      <c r="F15" s="1"/>
    </row>
    <row r="16" spans="1:6" x14ac:dyDescent="0.25">
      <c r="A16" s="10">
        <v>8</v>
      </c>
      <c r="B16" s="14" t="s">
        <v>6</v>
      </c>
      <c r="C16" s="52">
        <v>520123</v>
      </c>
      <c r="D16" s="52">
        <v>-772</v>
      </c>
      <c r="E16" s="41">
        <f>SUM(C16:D16)</f>
        <v>519351</v>
      </c>
    </row>
    <row r="17" spans="1:6" x14ac:dyDescent="0.25">
      <c r="A17" s="10">
        <v>9</v>
      </c>
      <c r="B17" s="14" t="s">
        <v>40</v>
      </c>
      <c r="C17" s="52">
        <v>482485</v>
      </c>
      <c r="D17" s="52"/>
      <c r="E17" s="41">
        <f t="shared" ref="E17:E21" si="2">SUM(C17:D17)</f>
        <v>482485</v>
      </c>
    </row>
    <row r="18" spans="1:6" x14ac:dyDescent="0.25">
      <c r="A18" s="10">
        <v>10</v>
      </c>
      <c r="B18" s="14" t="s">
        <v>7</v>
      </c>
      <c r="C18" s="52">
        <v>605044</v>
      </c>
      <c r="D18" s="52">
        <v>-1090</v>
      </c>
      <c r="E18" s="41">
        <f t="shared" si="2"/>
        <v>603954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173926</v>
      </c>
      <c r="D20" s="52"/>
      <c r="E20" s="41">
        <f t="shared" si="2"/>
        <v>173926</v>
      </c>
    </row>
    <row r="21" spans="1:6" x14ac:dyDescent="0.25">
      <c r="A21" s="10">
        <v>13</v>
      </c>
      <c r="B21" s="14" t="s">
        <v>10</v>
      </c>
      <c r="C21" s="52">
        <v>903594</v>
      </c>
      <c r="D21" s="52"/>
      <c r="E21" s="41">
        <f t="shared" si="2"/>
        <v>903594</v>
      </c>
    </row>
    <row r="22" spans="1:6" x14ac:dyDescent="0.25">
      <c r="A22" s="10">
        <v>14</v>
      </c>
      <c r="B22" s="84" t="s">
        <v>260</v>
      </c>
      <c r="C22" s="97">
        <f>C16+C17+C18+C19+C20+C21</f>
        <v>2685172</v>
      </c>
      <c r="D22" s="97">
        <f>D16+D17+D18+D19+D20+D21</f>
        <v>-1862</v>
      </c>
      <c r="E22" s="98">
        <f>E16+E17+E18+E19+E20+E21</f>
        <v>2683310</v>
      </c>
      <c r="F22" s="1"/>
    </row>
    <row r="23" spans="1:6" x14ac:dyDescent="0.25">
      <c r="A23" s="10">
        <v>15</v>
      </c>
      <c r="B23" s="14" t="s">
        <v>14</v>
      </c>
      <c r="C23" s="58">
        <f>C15-C22</f>
        <v>633271</v>
      </c>
      <c r="D23" s="58">
        <f>D15-D22</f>
        <v>1862</v>
      </c>
      <c r="E23" s="58">
        <f>E15-E22</f>
        <v>635133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75861</v>
      </c>
      <c r="D25" s="114"/>
      <c r="E25" s="58">
        <f t="shared" ref="E25:E27" si="3">SUM(C25:D25)</f>
        <v>75861</v>
      </c>
    </row>
    <row r="26" spans="1:6" x14ac:dyDescent="0.25">
      <c r="A26" s="10">
        <v>18</v>
      </c>
      <c r="B26" s="14" t="s">
        <v>200</v>
      </c>
      <c r="C26" s="52">
        <v>152471</v>
      </c>
      <c r="D26" s="54"/>
      <c r="E26" s="58">
        <f t="shared" si="3"/>
        <v>152471</v>
      </c>
    </row>
    <row r="27" spans="1:6" x14ac:dyDescent="0.25">
      <c r="A27" s="10">
        <v>19</v>
      </c>
      <c r="B27" s="14" t="s">
        <v>13</v>
      </c>
      <c r="C27" s="52"/>
      <c r="D27" s="114"/>
      <c r="E27" s="58">
        <f t="shared" si="3"/>
        <v>0</v>
      </c>
    </row>
    <row r="28" spans="1:6" x14ac:dyDescent="0.25">
      <c r="A28" s="10">
        <v>20</v>
      </c>
      <c r="B28" s="89" t="s">
        <v>12</v>
      </c>
      <c r="C28" s="80">
        <f>SUM(C25:C27)</f>
        <v>228332</v>
      </c>
      <c r="D28" s="80">
        <f t="shared" ref="D28:E28" si="4">SUM(D25:D27)</f>
        <v>0</v>
      </c>
      <c r="E28" s="99">
        <f t="shared" si="4"/>
        <v>228332</v>
      </c>
    </row>
    <row r="29" spans="1:6" x14ac:dyDescent="0.25">
      <c r="A29" s="10">
        <v>21</v>
      </c>
      <c r="B29" s="89" t="s">
        <v>23</v>
      </c>
      <c r="C29" s="80">
        <f>C23+C24-C28</f>
        <v>404939</v>
      </c>
      <c r="D29" s="80">
        <f>D23+D24-D28</f>
        <v>1862</v>
      </c>
      <c r="E29" s="99">
        <f>E23+E24-E28</f>
        <v>406801</v>
      </c>
    </row>
    <row r="30" spans="1:6" x14ac:dyDescent="0.25">
      <c r="A30" s="10">
        <v>22</v>
      </c>
      <c r="B30" s="14" t="s">
        <v>15</v>
      </c>
      <c r="C30" s="52">
        <v>55419</v>
      </c>
      <c r="D30" s="54"/>
      <c r="E30" s="58">
        <f>SUM(C30:D30)</f>
        <v>55419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63265</v>
      </c>
      <c r="D32" s="54"/>
      <c r="E32" s="58">
        <f t="shared" si="5"/>
        <v>63265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118684</v>
      </c>
      <c r="D34" s="100">
        <f t="shared" ref="D34" si="6">SUM(D30:D33)</f>
        <v>0</v>
      </c>
      <c r="E34" s="80">
        <f>SUM(E30:E33)</f>
        <v>118684</v>
      </c>
    </row>
    <row r="35" spans="1:10" x14ac:dyDescent="0.25">
      <c r="A35" s="10">
        <v>27</v>
      </c>
      <c r="B35" s="14" t="s">
        <v>19</v>
      </c>
      <c r="C35" s="52">
        <v>2757</v>
      </c>
      <c r="D35" s="54"/>
      <c r="E35" s="32">
        <f>SUM(C35:D35)</f>
        <v>2757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-31328</v>
      </c>
      <c r="D38" s="69">
        <f>-1*(D29-D34)</f>
        <v>-1862</v>
      </c>
      <c r="E38" s="32">
        <f t="shared" si="7"/>
        <v>-33190</v>
      </c>
    </row>
    <row r="39" spans="1:10" x14ac:dyDescent="0.25">
      <c r="A39" s="10">
        <v>31</v>
      </c>
      <c r="B39" s="89" t="s">
        <v>22</v>
      </c>
      <c r="C39" s="80">
        <f>C29-C34+C35+C36+C37+C38</f>
        <v>257684</v>
      </c>
      <c r="D39" s="80">
        <f t="shared" ref="D39:E39" si="8">D29-D34+D35+D36+D37+D38</f>
        <v>0</v>
      </c>
      <c r="E39" s="80">
        <f t="shared" si="8"/>
        <v>257684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4129620</v>
      </c>
      <c r="D41" s="54"/>
      <c r="E41" s="58">
        <f t="shared" ref="E41:E46" si="9">SUM(C41:D41)</f>
        <v>4129620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>
        <v>243000</v>
      </c>
      <c r="D43" s="54"/>
      <c r="E43" s="58">
        <f t="shared" si="9"/>
        <v>243000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>
        <v>243395</v>
      </c>
      <c r="D45" s="54"/>
      <c r="E45" s="58">
        <f t="shared" si="9"/>
        <v>243395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3900909</v>
      </c>
      <c r="D47" s="100">
        <f t="shared" ref="D47:E47" si="10">(D39+D41+D42)-(D43+D44+D45+D46)</f>
        <v>0</v>
      </c>
      <c r="E47" s="99">
        <f t="shared" si="10"/>
        <v>3900909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181639</v>
      </c>
      <c r="D52" s="102"/>
      <c r="E52" s="32">
        <f>C52</f>
        <v>181639</v>
      </c>
    </row>
    <row r="53" spans="1:7" x14ac:dyDescent="0.25">
      <c r="A53" s="10">
        <v>45</v>
      </c>
      <c r="B53" s="14" t="s">
        <v>36</v>
      </c>
      <c r="C53" s="103">
        <f>((C22+C28-C18-C19)/C15)</f>
        <v>0.6956455180938772</v>
      </c>
      <c r="D53" s="103" t="e">
        <f>((D22+D28-D18-D19)/D15)</f>
        <v>#DIV/0!</v>
      </c>
      <c r="E53" s="103">
        <f>((E22+E28-E18-E19)/E15)</f>
        <v>0.69541287887120551</v>
      </c>
    </row>
    <row r="54" spans="1:7" x14ac:dyDescent="0.25">
      <c r="A54" s="10">
        <v>46</v>
      </c>
      <c r="B54" s="14" t="s">
        <v>37</v>
      </c>
      <c r="C54" s="103">
        <f>((C22+C28+C34)/C15)</f>
        <v>0.91373815973334482</v>
      </c>
      <c r="D54" s="103" t="e">
        <f>((D22+D28+D34)/D15)</f>
        <v>#DIV/0!</v>
      </c>
      <c r="E54" s="103">
        <f>((E22+E28+E34)/E15)</f>
        <v>0.91317705321441411</v>
      </c>
    </row>
    <row r="55" spans="1:7" x14ac:dyDescent="0.25">
      <c r="A55" s="10">
        <v>47</v>
      </c>
      <c r="B55" s="14" t="s">
        <v>38</v>
      </c>
      <c r="C55" s="103">
        <f>((C39+C34)/C34)</f>
        <v>3.1711772437733816</v>
      </c>
      <c r="D55" s="103" t="e">
        <f t="shared" ref="D55:E55" si="13">((D39+D34)/D34)</f>
        <v>#DIV/0!</v>
      </c>
      <c r="E55" s="103">
        <f t="shared" si="13"/>
        <v>3.1711772437733816</v>
      </c>
    </row>
    <row r="56" spans="1:7" x14ac:dyDescent="0.25">
      <c r="A56" s="10">
        <v>48</v>
      </c>
      <c r="B56" s="14" t="s">
        <v>39</v>
      </c>
      <c r="C56" s="103">
        <f>(C39+C34+C18+C19)/C52</f>
        <v>5.4030907459301138</v>
      </c>
      <c r="D56" s="103" t="e">
        <f>(D39+D34+D18+D19)/D52</f>
        <v>#DIV/0!</v>
      </c>
      <c r="E56" s="103">
        <f>(E39+E34+E18+E19)/E52</f>
        <v>5.3970898320294651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25" workbookViewId="0">
      <selection activeCell="A13" sqref="A13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253580</v>
      </c>
      <c r="D9" s="52"/>
      <c r="E9" s="32">
        <f>SUM(C9:D9)</f>
        <v>253580</v>
      </c>
    </row>
    <row r="10" spans="1:6" x14ac:dyDescent="0.25">
      <c r="A10" s="10">
        <v>2</v>
      </c>
      <c r="B10" s="17" t="s">
        <v>2</v>
      </c>
      <c r="C10" s="52">
        <v>3301264</v>
      </c>
      <c r="D10" s="52"/>
      <c r="E10" s="32">
        <f t="shared" ref="E10:E14" si="0">SUM(C10:D10)</f>
        <v>3301264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22864</v>
      </c>
      <c r="D12" s="52"/>
      <c r="E12" s="32">
        <f t="shared" si="0"/>
        <v>22864</v>
      </c>
    </row>
    <row r="13" spans="1:6" x14ac:dyDescent="0.25">
      <c r="A13" s="10">
        <v>5</v>
      </c>
      <c r="B13" s="17" t="s">
        <v>5</v>
      </c>
      <c r="C13" s="52">
        <v>1550</v>
      </c>
      <c r="D13" s="52"/>
      <c r="E13" s="32">
        <f t="shared" si="0"/>
        <v>1550</v>
      </c>
    </row>
    <row r="14" spans="1:6" x14ac:dyDescent="0.25">
      <c r="A14" s="10">
        <v>6</v>
      </c>
      <c r="B14" s="17" t="s">
        <v>139</v>
      </c>
      <c r="C14" s="52">
        <v>-3</v>
      </c>
      <c r="D14" s="52"/>
      <c r="E14" s="32">
        <f t="shared" si="0"/>
        <v>-3</v>
      </c>
    </row>
    <row r="15" spans="1:6" x14ac:dyDescent="0.25">
      <c r="A15" s="10">
        <v>7</v>
      </c>
      <c r="B15" s="84" t="s">
        <v>138</v>
      </c>
      <c r="C15" s="40">
        <f>SUM(C9:C14)</f>
        <v>3579255</v>
      </c>
      <c r="D15" s="40">
        <f t="shared" ref="D15:E15" si="1">SUM(D9:D14)</f>
        <v>0</v>
      </c>
      <c r="E15" s="40">
        <f t="shared" si="1"/>
        <v>3579255</v>
      </c>
      <c r="F15" s="1"/>
    </row>
    <row r="16" spans="1:6" x14ac:dyDescent="0.25">
      <c r="A16" s="10">
        <v>8</v>
      </c>
      <c r="B16" s="17" t="s">
        <v>6</v>
      </c>
      <c r="C16" s="52">
        <v>457931</v>
      </c>
      <c r="D16" s="52">
        <v>-4228</v>
      </c>
      <c r="E16" s="41">
        <f>SUM(C16:D16)</f>
        <v>453703</v>
      </c>
    </row>
    <row r="17" spans="1:6" x14ac:dyDescent="0.25">
      <c r="A17" s="10">
        <v>9</v>
      </c>
      <c r="B17" s="17" t="s">
        <v>40</v>
      </c>
      <c r="C17" s="52">
        <v>469478</v>
      </c>
      <c r="D17" s="52">
        <v>6842</v>
      </c>
      <c r="E17" s="41">
        <f t="shared" ref="E17:E21" si="2">SUM(C17:D17)</f>
        <v>476320</v>
      </c>
    </row>
    <row r="18" spans="1:6" x14ac:dyDescent="0.25">
      <c r="A18" s="10">
        <v>10</v>
      </c>
      <c r="B18" s="17" t="s">
        <v>7</v>
      </c>
      <c r="C18" s="52">
        <v>937493</v>
      </c>
      <c r="D18" s="52">
        <v>-25904</v>
      </c>
      <c r="E18" s="41">
        <f t="shared" si="2"/>
        <v>911589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170948</v>
      </c>
      <c r="D20" s="52"/>
      <c r="E20" s="41">
        <f t="shared" si="2"/>
        <v>170948</v>
      </c>
    </row>
    <row r="21" spans="1:6" x14ac:dyDescent="0.25">
      <c r="A21" s="10">
        <v>13</v>
      </c>
      <c r="B21" s="17" t="s">
        <v>10</v>
      </c>
      <c r="C21" s="52">
        <v>902620</v>
      </c>
      <c r="D21" s="52">
        <v>-8200</v>
      </c>
      <c r="E21" s="41">
        <f t="shared" si="2"/>
        <v>894420</v>
      </c>
    </row>
    <row r="22" spans="1:6" x14ac:dyDescent="0.25">
      <c r="A22" s="10">
        <v>14</v>
      </c>
      <c r="B22" s="84" t="s">
        <v>260</v>
      </c>
      <c r="C22" s="40">
        <f>C16+C17+C18+C19+C20+C21</f>
        <v>2938470</v>
      </c>
      <c r="D22" s="40">
        <f>D16+D17+D18+D19+D20+D21</f>
        <v>-31490</v>
      </c>
      <c r="E22" s="42">
        <f>E16+E17+E18+E19+E20+E21</f>
        <v>2906980</v>
      </c>
      <c r="F22" s="1"/>
    </row>
    <row r="23" spans="1:6" x14ac:dyDescent="0.25">
      <c r="A23" s="10">
        <v>15</v>
      </c>
      <c r="B23" s="17" t="s">
        <v>14</v>
      </c>
      <c r="C23" s="32">
        <f>C15-C22</f>
        <v>640785</v>
      </c>
      <c r="D23" s="32">
        <f>D15-D22</f>
        <v>31490</v>
      </c>
      <c r="E23" s="32">
        <f>E15-E22</f>
        <v>672275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104163</v>
      </c>
      <c r="D25" s="114"/>
      <c r="E25" s="32">
        <f t="shared" ref="E25:E27" si="3">SUM(C25:D25)</f>
        <v>104163</v>
      </c>
    </row>
    <row r="26" spans="1:6" x14ac:dyDescent="0.25">
      <c r="A26" s="10">
        <v>18</v>
      </c>
      <c r="B26" s="17" t="s">
        <v>200</v>
      </c>
      <c r="C26" s="52">
        <v>140340</v>
      </c>
      <c r="D26" s="54"/>
      <c r="E26" s="32">
        <f t="shared" si="3"/>
        <v>140340</v>
      </c>
    </row>
    <row r="27" spans="1:6" x14ac:dyDescent="0.25">
      <c r="A27" s="10">
        <v>19</v>
      </c>
      <c r="B27" s="17" t="s">
        <v>13</v>
      </c>
      <c r="C27" s="52"/>
      <c r="D27" s="114"/>
      <c r="E27" s="32">
        <f t="shared" si="3"/>
        <v>0</v>
      </c>
    </row>
    <row r="28" spans="1:6" x14ac:dyDescent="0.25">
      <c r="A28" s="10">
        <v>20</v>
      </c>
      <c r="B28" s="84" t="s">
        <v>12</v>
      </c>
      <c r="C28" s="37">
        <f>SUM(C25:C27)</f>
        <v>244503</v>
      </c>
      <c r="D28" s="37">
        <f t="shared" ref="D28:E28" si="4">SUM(D25:D27)</f>
        <v>0</v>
      </c>
      <c r="E28" s="43">
        <f t="shared" si="4"/>
        <v>244503</v>
      </c>
    </row>
    <row r="29" spans="1:6" x14ac:dyDescent="0.25">
      <c r="A29" s="10">
        <v>21</v>
      </c>
      <c r="B29" s="84" t="s">
        <v>23</v>
      </c>
      <c r="C29" s="37">
        <f>C23+C24-C28</f>
        <v>396282</v>
      </c>
      <c r="D29" s="37">
        <f>D23+D24-D28</f>
        <v>31490</v>
      </c>
      <c r="E29" s="43">
        <f>E23+E24-E28</f>
        <v>427772</v>
      </c>
    </row>
    <row r="30" spans="1:6" x14ac:dyDescent="0.25">
      <c r="A30" s="10">
        <v>22</v>
      </c>
      <c r="B30" s="17" t="s">
        <v>15</v>
      </c>
      <c r="C30" s="52">
        <v>56422</v>
      </c>
      <c r="D30" s="54"/>
      <c r="E30" s="32">
        <f>SUM(C30:D30)</f>
        <v>56422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60250</v>
      </c>
      <c r="D32" s="54"/>
      <c r="E32" s="32">
        <f t="shared" si="5"/>
        <v>60250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116672</v>
      </c>
      <c r="D34" s="64">
        <f t="shared" ref="D34" si="6">SUM(D30:D33)</f>
        <v>0</v>
      </c>
      <c r="E34" s="37">
        <f>SUM(E30:E33)</f>
        <v>116672</v>
      </c>
    </row>
    <row r="35" spans="1:5" x14ac:dyDescent="0.25">
      <c r="A35" s="10">
        <v>27</v>
      </c>
      <c r="B35" s="17" t="s">
        <v>19</v>
      </c>
      <c r="C35" s="52">
        <v>-4018</v>
      </c>
      <c r="D35" s="54"/>
      <c r="E35" s="32">
        <f>SUM(C35:D35)</f>
        <v>-4018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v>-15354</v>
      </c>
      <c r="D38" s="69">
        <f>-1*(D29-D34)</f>
        <v>-31490</v>
      </c>
      <c r="E38" s="32">
        <f t="shared" si="7"/>
        <v>-46844</v>
      </c>
    </row>
    <row r="39" spans="1:5" x14ac:dyDescent="0.25">
      <c r="A39" s="10">
        <v>31</v>
      </c>
      <c r="B39" s="84" t="s">
        <v>22</v>
      </c>
      <c r="C39" s="37">
        <f>C29-C34+C35+C36+C37+C38</f>
        <v>260238</v>
      </c>
      <c r="D39" s="37">
        <f t="shared" ref="D39:E39" si="8">D29-D34+D35+D36+D37+D38</f>
        <v>0</v>
      </c>
      <c r="E39" s="37">
        <f t="shared" si="8"/>
        <v>260238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3900919</v>
      </c>
      <c r="D41" s="54"/>
      <c r="E41" s="32">
        <f t="shared" ref="E41:E46" si="9">SUM(C41:D41)</f>
        <v>3900919</v>
      </c>
    </row>
    <row r="42" spans="1:5" x14ac:dyDescent="0.25">
      <c r="A42" s="10">
        <v>34</v>
      </c>
      <c r="B42" s="17" t="s">
        <v>26</v>
      </c>
      <c r="C42" s="52">
        <v>107315</v>
      </c>
      <c r="D42" s="54"/>
      <c r="E42" s="32">
        <f t="shared" si="9"/>
        <v>107315</v>
      </c>
    </row>
    <row r="43" spans="1:5" x14ac:dyDescent="0.25">
      <c r="A43" s="10">
        <v>35</v>
      </c>
      <c r="B43" s="17" t="s">
        <v>27</v>
      </c>
      <c r="C43" s="52">
        <v>158000</v>
      </c>
      <c r="D43" s="54"/>
      <c r="E43" s="32">
        <f t="shared" si="9"/>
        <v>158000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4110472</v>
      </c>
      <c r="D47" s="64">
        <f t="shared" ref="D47:E47" si="10">(D39+D41+D42)-(D43+D44+D45+D46)</f>
        <v>0</v>
      </c>
      <c r="E47" s="43">
        <f t="shared" si="10"/>
        <v>4110472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279529</v>
      </c>
      <c r="D52" s="96"/>
      <c r="E52" s="32">
        <f>C52</f>
        <v>279529</v>
      </c>
    </row>
    <row r="53" spans="1:7" x14ac:dyDescent="0.25">
      <c r="A53" s="10">
        <v>45</v>
      </c>
      <c r="B53" s="17" t="s">
        <v>36</v>
      </c>
      <c r="C53" s="46">
        <f>((C22+C28-C18-C19)/C15)</f>
        <v>0.62735960416343628</v>
      </c>
      <c r="D53" s="46" t="e">
        <f>((D22+D28-D18-D19)/D15)</f>
        <v>#DIV/0!</v>
      </c>
      <c r="E53" s="46">
        <f>((E22+E28-E18-E19)/E15)</f>
        <v>0.62579894419369397</v>
      </c>
    </row>
    <row r="54" spans="1:7" x14ac:dyDescent="0.25">
      <c r="A54" s="10">
        <v>46</v>
      </c>
      <c r="B54" s="17" t="s">
        <v>37</v>
      </c>
      <c r="C54" s="46">
        <f>((C22+C28+C34)/C15)</f>
        <v>0.92188039131048216</v>
      </c>
      <c r="D54" s="46" t="e">
        <f>((D22+D28+D34)/D15)</f>
        <v>#DIV/0!</v>
      </c>
      <c r="E54" s="46">
        <f>((E22+E28+E34)/E15)</f>
        <v>0.91308247107289087</v>
      </c>
    </row>
    <row r="55" spans="1:7" x14ac:dyDescent="0.25">
      <c r="A55" s="10">
        <v>47</v>
      </c>
      <c r="B55" s="17" t="s">
        <v>38</v>
      </c>
      <c r="C55" s="46">
        <f>((C39+C34)/C34)</f>
        <v>3.2305094624245747</v>
      </c>
      <c r="D55" s="46" t="e">
        <f t="shared" ref="D55:E55" si="13">((D39+D34)/D34)</f>
        <v>#DIV/0!</v>
      </c>
      <c r="E55" s="46">
        <f t="shared" si="13"/>
        <v>3.2305094624245747</v>
      </c>
    </row>
    <row r="56" spans="1:7" x14ac:dyDescent="0.25">
      <c r="A56" s="10">
        <v>48</v>
      </c>
      <c r="B56" s="17" t="s">
        <v>39</v>
      </c>
      <c r="C56" s="46">
        <f>(C39+C34+C18+C19)/C52</f>
        <v>4.7022062111623484</v>
      </c>
      <c r="D56" s="46" t="e">
        <f>(D39+D34+D18+D19)/D52</f>
        <v>#DIV/0!</v>
      </c>
      <c r="E56" s="46">
        <f>(E39+E34+E18+E19)/E52</f>
        <v>4.6095360409832251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B5" workbookViewId="0">
      <selection activeCell="A13" sqref="A13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WESTERN WAHKIAKUM COUNTY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245707</v>
      </c>
      <c r="D9" s="41">
        <f>'CurrentYearIncomeStmt '!E9</f>
        <v>253580</v>
      </c>
    </row>
    <row r="10" spans="1:5" x14ac:dyDescent="0.25">
      <c r="A10" s="10">
        <v>2</v>
      </c>
      <c r="B10" s="17" t="s">
        <v>2</v>
      </c>
      <c r="C10" s="32">
        <f>PriorYearIncomeStmt!E10</f>
        <v>3049185</v>
      </c>
      <c r="D10" s="41">
        <f>'CurrentYearIncomeStmt '!E10</f>
        <v>3301264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22894</v>
      </c>
      <c r="D12" s="41">
        <f>'CurrentYearIncomeStmt '!E12</f>
        <v>22864</v>
      </c>
    </row>
    <row r="13" spans="1:5" x14ac:dyDescent="0.25">
      <c r="A13" s="10">
        <v>5</v>
      </c>
      <c r="B13" s="17" t="s">
        <v>5</v>
      </c>
      <c r="C13" s="32">
        <f>PriorYearIncomeStmt!E13</f>
        <v>973</v>
      </c>
      <c r="D13" s="41">
        <f>'CurrentYearIncomeStmt '!E13</f>
        <v>1550</v>
      </c>
    </row>
    <row r="14" spans="1:5" x14ac:dyDescent="0.25">
      <c r="A14" s="10">
        <v>6</v>
      </c>
      <c r="B14" s="17" t="s">
        <v>139</v>
      </c>
      <c r="C14" s="32">
        <f>PriorYearIncomeStmt!E14</f>
        <v>-316</v>
      </c>
      <c r="D14" s="41">
        <f>'CurrentYearIncomeStmt '!E14</f>
        <v>-3</v>
      </c>
    </row>
    <row r="15" spans="1:5" x14ac:dyDescent="0.25">
      <c r="A15" s="10">
        <v>7</v>
      </c>
      <c r="B15" s="84" t="s">
        <v>138</v>
      </c>
      <c r="C15" s="40">
        <f>SUM(C9:C14)</f>
        <v>3318443</v>
      </c>
      <c r="D15" s="42">
        <f t="shared" ref="D15" si="0">SUM(D9:D14)</f>
        <v>3579255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519351</v>
      </c>
      <c r="D16" s="41">
        <f>'CurrentYearIncomeStmt '!E16</f>
        <v>453703</v>
      </c>
    </row>
    <row r="17" spans="1:5" x14ac:dyDescent="0.25">
      <c r="A17" s="10">
        <v>9</v>
      </c>
      <c r="B17" s="17" t="s">
        <v>40</v>
      </c>
      <c r="C17" s="32">
        <f>PriorYearIncomeStmt!E17</f>
        <v>482485</v>
      </c>
      <c r="D17" s="41">
        <f>'CurrentYearIncomeStmt '!E17</f>
        <v>476320</v>
      </c>
    </row>
    <row r="18" spans="1:5" x14ac:dyDescent="0.25">
      <c r="A18" s="10">
        <v>10</v>
      </c>
      <c r="B18" s="17" t="s">
        <v>7</v>
      </c>
      <c r="C18" s="32">
        <f>PriorYearIncomeStmt!E18</f>
        <v>603954</v>
      </c>
      <c r="D18" s="41">
        <f>'CurrentYearIncomeStmt '!E18</f>
        <v>911589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173926</v>
      </c>
      <c r="D20" s="41">
        <f>'CurrentYearIncomeStmt '!E20</f>
        <v>170948</v>
      </c>
    </row>
    <row r="21" spans="1:5" x14ac:dyDescent="0.25">
      <c r="A21" s="10">
        <v>13</v>
      </c>
      <c r="B21" s="17" t="s">
        <v>10</v>
      </c>
      <c r="C21" s="32">
        <f>PriorYearIncomeStmt!E21</f>
        <v>903594</v>
      </c>
      <c r="D21" s="41">
        <f>'CurrentYearIncomeStmt '!E21</f>
        <v>894420</v>
      </c>
    </row>
    <row r="22" spans="1:5" x14ac:dyDescent="0.25">
      <c r="A22" s="10">
        <v>14</v>
      </c>
      <c r="B22" s="84" t="s">
        <v>260</v>
      </c>
      <c r="C22" s="40">
        <f>C16+C17+C18+C19+C20+C21</f>
        <v>2683310</v>
      </c>
      <c r="D22" s="42">
        <f>D16+D17+D18+D19+D20+D21</f>
        <v>2906980</v>
      </c>
      <c r="E22" s="1"/>
    </row>
    <row r="23" spans="1:5" x14ac:dyDescent="0.25">
      <c r="A23" s="10">
        <v>15</v>
      </c>
      <c r="B23" s="17" t="s">
        <v>14</v>
      </c>
      <c r="C23" s="32">
        <f>C15-C22</f>
        <v>635133</v>
      </c>
      <c r="D23" s="41">
        <f>D15-D22</f>
        <v>672275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75861</v>
      </c>
      <c r="D25" s="41">
        <f>'CurrentYearIncomeStmt '!E25</f>
        <v>104163</v>
      </c>
    </row>
    <row r="26" spans="1:5" x14ac:dyDescent="0.25">
      <c r="A26" s="10">
        <v>18</v>
      </c>
      <c r="B26" s="17" t="s">
        <v>188</v>
      </c>
      <c r="C26" s="32">
        <f>PriorYearIncomeStmt!E26</f>
        <v>152471</v>
      </c>
      <c r="D26" s="41">
        <f>'CurrentYearIncomeStmt '!E26</f>
        <v>140340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4" t="s">
        <v>12</v>
      </c>
      <c r="C28" s="37">
        <f>SUM(C25:C27)</f>
        <v>228332</v>
      </c>
      <c r="D28" s="43">
        <f t="shared" ref="D28" si="1">SUM(D25:D27)</f>
        <v>244503</v>
      </c>
    </row>
    <row r="29" spans="1:5" x14ac:dyDescent="0.25">
      <c r="A29" s="10">
        <v>21</v>
      </c>
      <c r="B29" s="84" t="s">
        <v>23</v>
      </c>
      <c r="C29" s="37">
        <f>C23+C24-C28</f>
        <v>406801</v>
      </c>
      <c r="D29" s="43">
        <f>D23+D24-D28</f>
        <v>427772</v>
      </c>
    </row>
    <row r="30" spans="1:5" x14ac:dyDescent="0.25">
      <c r="A30" s="10">
        <v>22</v>
      </c>
      <c r="B30" s="17" t="s">
        <v>15</v>
      </c>
      <c r="C30" s="32">
        <f>PriorYearIncomeStmt!E30</f>
        <v>55419</v>
      </c>
      <c r="D30" s="41">
        <f>'CurrentYearIncomeStmt '!E30</f>
        <v>56422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63265</v>
      </c>
      <c r="D32" s="41">
        <f>'CurrentYearIncomeStmt '!E32</f>
        <v>60250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118684</v>
      </c>
      <c r="D34" s="43">
        <f t="shared" ref="D34" si="2">SUM(D30:D33)</f>
        <v>116672</v>
      </c>
    </row>
    <row r="35" spans="1:4" x14ac:dyDescent="0.25">
      <c r="A35" s="10">
        <v>27</v>
      </c>
      <c r="B35" s="17" t="s">
        <v>19</v>
      </c>
      <c r="C35" s="32">
        <f>PriorYearIncomeStmt!E35</f>
        <v>2757</v>
      </c>
      <c r="D35" s="41">
        <f>'CurrentYearIncomeStmt '!E35</f>
        <v>-4018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-33190</v>
      </c>
      <c r="D38" s="41">
        <f>'CurrentYearIncomeStmt '!E38</f>
        <v>-46844</v>
      </c>
    </row>
    <row r="39" spans="1:4" x14ac:dyDescent="0.25">
      <c r="A39" s="10">
        <v>31</v>
      </c>
      <c r="B39" s="84" t="s">
        <v>22</v>
      </c>
      <c r="C39" s="37">
        <f>C29-C34+C35+C36+C37+C38</f>
        <v>257684</v>
      </c>
      <c r="D39" s="43">
        <f t="shared" ref="D39" si="3">D29-D34+D35+D36+D37+D38</f>
        <v>260238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4129620</v>
      </c>
      <c r="D41" s="41">
        <f>'CurrentYearIncomeStmt '!E41</f>
        <v>3900919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107315</v>
      </c>
    </row>
    <row r="43" spans="1:4" x14ac:dyDescent="0.25">
      <c r="A43" s="10">
        <v>35</v>
      </c>
      <c r="B43" s="17" t="s">
        <v>27</v>
      </c>
      <c r="C43" s="32">
        <f>PriorYearIncomeStmt!E43</f>
        <v>243000</v>
      </c>
      <c r="D43" s="41">
        <f>'CurrentYearIncomeStmt '!E43</f>
        <v>158000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243395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3900909</v>
      </c>
      <c r="D47" s="43">
        <f t="shared" ref="D47" si="4">(D39+D41+D42)-(D43+D44+D45+D46)</f>
        <v>4110472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181639</v>
      </c>
      <c r="D52" s="41">
        <f>'CurrentYearIncomeStmt '!E52</f>
        <v>279529</v>
      </c>
    </row>
    <row r="53" spans="1:8" x14ac:dyDescent="0.25">
      <c r="A53" s="10">
        <v>45</v>
      </c>
      <c r="B53" s="17" t="s">
        <v>36</v>
      </c>
      <c r="C53" s="49">
        <f>((C22+C28-C18-C19)/C15)</f>
        <v>0.69541287887120551</v>
      </c>
      <c r="D53" s="49">
        <f>((D22+D28-D18-D19)/D15)</f>
        <v>0.62579894419369397</v>
      </c>
    </row>
    <row r="54" spans="1:8" x14ac:dyDescent="0.25">
      <c r="A54" s="10">
        <v>46</v>
      </c>
      <c r="B54" s="17" t="s">
        <v>37</v>
      </c>
      <c r="C54" s="49">
        <f>((C22+C28+C34)/C15)</f>
        <v>0.91317705321441411</v>
      </c>
      <c r="D54" s="49">
        <f>((D22+D28+D34)/D15)</f>
        <v>0.91308247107289087</v>
      </c>
    </row>
    <row r="55" spans="1:8" x14ac:dyDescent="0.25">
      <c r="A55" s="10">
        <v>47</v>
      </c>
      <c r="B55" s="17" t="s">
        <v>38</v>
      </c>
      <c r="C55" s="49">
        <f>((C39+C34)/C34)</f>
        <v>3.1711772437733816</v>
      </c>
      <c r="D55" s="49">
        <f t="shared" ref="D55" si="6">((D39+D34)/D34)</f>
        <v>3.2305094624245747</v>
      </c>
    </row>
    <row r="56" spans="1:8" x14ac:dyDescent="0.25">
      <c r="A56" s="10">
        <v>48</v>
      </c>
      <c r="B56" s="17" t="s">
        <v>39</v>
      </c>
      <c r="C56" s="45">
        <f>(C39+C34+C18+C19)/C52</f>
        <v>5.3970898320294651</v>
      </c>
      <c r="D56" s="49">
        <f>(D39+D34+D18+D19)/D52</f>
        <v>4.6095360409832251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C22F093F987A49A5F53A1784594100" ma:contentTypeVersion="104" ma:contentTypeDescription="" ma:contentTypeScope="" ma:versionID="d14638c43bfbbecdd8a7ff71a76b73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Western Wahkiakum County Telephone Company</CaseCompanyNames>
    <Nickname xmlns="http://schemas.microsoft.com/sharepoint/v3" xsi:nil="true"/>
    <DocketNumber xmlns="dc463f71-b30c-4ab2-9473-d307f9d35888">170849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345A538-605E-49C1-BADE-30BC29DA47D7}"/>
</file>

<file path=customXml/itemProps2.xml><?xml version="1.0" encoding="utf-8"?>
<ds:datastoreItem xmlns:ds="http://schemas.openxmlformats.org/officeDocument/2006/customXml" ds:itemID="{52124067-5444-4703-B598-84315EE7E55D}">
  <ds:schemaRefs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4E6E11-EB98-4D49-97F2-3198F1D317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375A53-1CDC-4CF8-BB31-B070AB0C6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2017-07-13T17:54:07Z</cp:lastPrinted>
  <dcterms:created xsi:type="dcterms:W3CDTF">2014-05-21T17:51:51Z</dcterms:created>
  <dcterms:modified xsi:type="dcterms:W3CDTF">2017-07-31T15:02:57Z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0x0101006E56B4D1795A2E4DB2F0B01679ED314A00CCC22F093F987A49A5F53A1784594100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