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25" windowWidth="15180" windowHeight="6690" activeTab="0"/>
  </bookViews>
  <sheets>
    <sheet name="WUTC_AW of Kent (SeaTac)_MF" sheetId="1" r:id="rId1"/>
    <sheet name="Value" sheetId="2" r:id="rId2"/>
    <sheet name="Commodity Tonnages" sheetId="3" r:id="rId3"/>
    <sheet name="Pricing" sheetId="4" r:id="rId4"/>
    <sheet name="Multi_Family" sheetId="5" r:id="rId5"/>
  </sheet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Kent (SeaTac)_MF'!$A$1:$P$72</definedName>
    <definedName name="_xlnm.Print_Titles" localSheetId="4">'Multi_Family'!$A:$B,'Multi_Family'!$1:$6</definedName>
  </definedNames>
  <calcPr fullCalcOnLoad="1"/>
</workbook>
</file>

<file path=xl/comments1.xml><?xml version="1.0" encoding="utf-8"?>
<comments xmlns="http://schemas.openxmlformats.org/spreadsheetml/2006/main">
  <authors>
    <author>Vander Zalm, Connor</author>
  </authors>
  <commentList>
    <comment ref="B8" authorId="0">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<sst xmlns="http://schemas.openxmlformats.org/spreadsheetml/2006/main" count="193" uniqueCount="88">
  <si>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</si>
  <si>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</si>
  <si>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</si>
  <si>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</si>
  <si>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</si>
  <si>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</si>
  <si>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</si>
  <si>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</si>
  <si>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</si>
  <si>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</si>
  <si>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</si>
  <si>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</si>
  <si>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</si>
  <si>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</si>
  <si>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</si>
  <si>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</si>
  <si>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</si>
  <si>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</si>
  <si>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</si>
  <si>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</si>
  <si>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</si>
  <si>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</si>
  <si>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</si>
  <si>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</si>
  <si>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</si>
  <si>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</si>
  <si>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</si>
  <si>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</si>
  <si>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</si>
  <si>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</si>
  <si>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</si>
  <si>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</si>
  <si>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</si>
  <si>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</si>
  <si>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</si>
  <si>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</si>
  <si>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</si>
  <si>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</si>
  <si>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</si>
  <si>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</si>
  <si>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</si>
  <si>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</si>
  <si>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</si>
  <si>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</si>
  <si>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</si>
  <si>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</si>
  <si>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</si>
  <si>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</si>
  <si>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</si>
  <si>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</si>
  <si>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</si>
  <si>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</si>
  <si>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</si>
  <si>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</si>
  <si>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</si>
  <si>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</si>
  <si>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</si>
  <si>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</si>
  <si>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</si>
  <si>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</si>
  <si>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</si>
  <si>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</si>
  <si>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</si>
  <si>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Multi-Family</t>
  </si>
  <si>
    <t>Yards</t>
  </si>
  <si>
    <t>per Yard</t>
  </si>
  <si>
    <t>Total yards</t>
  </si>
  <si>
    <t>Monthly Base Credit per Yard</t>
  </si>
  <si>
    <t>12 month running average "BASE CREDIT"</t>
  </si>
  <si>
    <t>.</t>
  </si>
  <si>
    <t>Rabanco Ltd (dba Allied Waste of Kent)</t>
  </si>
  <si>
    <t>(Excess) / Deficient Commodity Credits</t>
  </si>
  <si>
    <t>5x Compaction</t>
  </si>
  <si>
    <t>3.5x Compaction</t>
  </si>
  <si>
    <t>Total Additional Passback</t>
  </si>
  <si>
    <t>Multi-Family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</si>
  <si>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</si>
  <si>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</si>
  <si>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</si>
  <si>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</si>
  <si>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</si>
  <si>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</si>
  <si>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</si>
  <si>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</si>
  <si>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</si>
  <si>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</si>
  <si>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</si>
  <si>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Retained</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</si>
</sst>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_);_(* \(#,##0.000\);_(* &quot;-&quot;???_);_(@_)"/>
    <numFmt numFmtId="169" formatCode="0.000"/>
    <numFmt numFmtId="170" formatCode="mm/dd/yy"/>
    <numFmt numFmtId="171" formatCode="0.0"/>
    <numFmt numFmtId="172" formatCode="0.0000"/>
    <numFmt numFmtId="173" formatCode="0.00000"/>
    <numFmt numFmtId="174" formatCode="0.000000"/>
    <numFmt numFmtId="175" formatCode="0.0000000"/>
    <numFmt numFmtId="176" formatCode="0.00000000"/>
    <numFmt numFmtId="177" formatCode="General_)"/>
    <numFmt numFmtId="178" formatCode="#,##0.0000_);\(#,##0.0000\)"/>
    <numFmt numFmtId="179" formatCode="0_)"/>
    <numFmt numFmtId="180" formatCode="#,##0.000_);\(#,##0.000\)"/>
    <numFmt numFmtId="181" formatCode="0.0000%"/>
    <numFmt numFmtId="182" formatCode="#,##0.000000_);\(#,##0.000000\)"/>
    <numFmt numFmtId="183" formatCode="&quot;$&quot;#,##0.0_);\(&quot;$&quot;#,##0.0\)"/>
    <numFmt numFmtId="184" formatCode="#,##0.000_);[Red]\(#,##0.000\)"/>
    <numFmt numFmtId="185" formatCode="#,##0.0000_);[Red]\(#,##0.0000\)"/>
    <numFmt numFmtId="186" formatCode="&quot;$&quot;\ \ #,##0_);[Red]&quot;$&quot;\ \ \(#,##0\)"/>
    <numFmt numFmtId="187" formatCode="#,##0.0_);[Red]\(#,##0.0\)"/>
    <numFmt numFmtId="188" formatCode="mmmm\ dd\,\ yyyy"/>
    <numFmt numFmtId="189" formatCode="0.000000000"/>
    <numFmt numFmtId="190" formatCode="0.000%"/>
    <numFmt numFmtId="191" formatCode="#,##0.0_);\(#,##0.0\)"/>
    <numFmt numFmtId="192" formatCode="#,##0.00000_);\(#,##0.00000\)"/>
    <numFmt numFmtId="193" formatCode="_(* #,##0.0_);_(* \(#,##0.0\);_(* &quot;-&quot;_);_(@_)"/>
    <numFmt numFmtId="194" formatCode="_(* #,##0.00_);_(* \(#,##0.00\);_(* &quot;-&quot;_);_(@_)"/>
    <numFmt numFmtId="195" formatCode="_(* #,##0.000_);_(* \(#,##0.000\);_(* &quot;-&quot;_);_(@_)"/>
    <numFmt numFmtId="196" formatCode="_(* #,##0.0000_);_(* \(#,##0.0000\);_(* &quot;-&quot;_);_(@_)"/>
    <numFmt numFmtId="197" formatCode="mmmm"/>
    <numFmt numFmtId="198" formatCode="&quot;$&quot;#,##0.0_);[Red]\(&quot;$&quot;#,##0.0\)"/>
    <numFmt numFmtId="199" formatCode="#,##0.00000_);[Red]\(#,##0.00000\)"/>
    <numFmt numFmtId="200" formatCode="#,##0.000000_);[Red]\(#,##0.000000\)"/>
    <numFmt numFmtId="201" formatCode="&quot;$&quot;#,##0.0000_);[Red]\(&quot;$&quot;#,##0.0000\)"/>
    <numFmt numFmtId="202" formatCode="_(* #,##0.0000_);_(* \(#,##0.0000\);_(* &quot;-&quot;??_);_(@_)"/>
    <numFmt numFmtId="203" formatCode="#,##0.0"/>
    <numFmt numFmtId="204" formatCode="_(* #,##0.00000_);_(* \(#,##0.00000\);_(* &quot;-&quot;??_);_(@_)"/>
    <numFmt numFmtId="205" formatCode="yyyy"/>
    <numFmt numFmtId="206" formatCode="0.0_)"/>
    <numFmt numFmtId="207" formatCode="0.00_)"/>
    <numFmt numFmtId="208" formatCode="&quot;$&quot;\ #,##0.00_);[Red]\(&quot;$&quot;\ #,##0.00\)"/>
    <numFmt numFmtId="209" formatCode="#,##0.000"/>
    <numFmt numFmtId="210" formatCode="#,##0.0000"/>
    <numFmt numFmtId="211" formatCode="mmmm\ d\,\ yyyy"/>
    <numFmt numFmtId="212" formatCode="&quot;$&quot;\ \ #,##0.00_);[Red]\(&quot;$&quot;\ \ #,##0.00\)"/>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mmmm\ yyyy"/>
    <numFmt numFmtId="218" formatCode="0.000E+00"/>
    <numFmt numFmtId="219" formatCode="#,##0.000000000_);\(#,##0.000000000\)"/>
    <numFmt numFmtId="220" formatCode="_(* #,##0.0_);_(* \(#,##0.0\);_(* &quot;-&quot;?_);_(@_)"/>
    <numFmt numFmtId="221" formatCode="_(&quot;$&quot;* #,##0.000_);_(&quot;$&quot;* \(#,##0.000\);_(&quot;$&quot;* &quot;-&quot;??_);_(@_)"/>
    <numFmt numFmtId="222" formatCode="_(&quot;$&quot;* #,##0.0_);_(&quot;$&quot;* \(#,##0.0\);_(&quot;$&quot;* &quot;-&quot;??_);_(@_)"/>
    <numFmt numFmtId="223" formatCode="_(&quot;$&quot;* #,##0_);_(&quot;$&quot;* \(#,##0\);_(&quot;$&quot;* &quot;-&quot;??_);_(@_)"/>
    <numFmt numFmtId="224" formatCode="mmm\-yyyy"/>
    <numFmt numFmtId="225" formatCode="mmmm\-yy"/>
    <numFmt numFmtId="226" formatCode="_(* #,##0.0000_);_(* \(#,##0.0000\);_(* &quot;-&quot;????_);_(@_)"/>
  </numFmts>
  <fonts count="5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94"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94" fontId="9" fillId="0" borderId="0" xfId="57" applyNumberFormat="1" applyFont="1">
      <alignment/>
      <protection/>
    </xf>
    <xf numFmtId="194" fontId="7" fillId="0" borderId="0" xfId="57" applyNumberFormat="1" applyFont="1">
      <alignment/>
      <protection/>
    </xf>
    <xf numFmtId="197" fontId="7" fillId="0" borderId="0" xfId="57" applyNumberFormat="1" applyFont="1" applyAlignment="1">
      <alignment horizontal="right"/>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94" fontId="7" fillId="0" borderId="10" xfId="57" applyNumberFormat="1" applyFont="1" applyBorder="1">
      <alignment/>
      <protection/>
    </xf>
    <xf numFmtId="195" fontId="7" fillId="0" borderId="0" xfId="57" applyNumberFormat="1" applyFont="1">
      <alignment/>
      <protection/>
    </xf>
    <xf numFmtId="194" fontId="6" fillId="0" borderId="0" xfId="57" applyNumberFormat="1">
      <alignment/>
      <protection/>
    </xf>
    <xf numFmtId="197" fontId="7" fillId="0" borderId="0" xfId="57" applyNumberFormat="1" applyFont="1">
      <alignment/>
      <protection/>
    </xf>
    <xf numFmtId="41" fontId="7" fillId="0" borderId="11" xfId="57" applyNumberFormat="1" applyFont="1" applyBorder="1">
      <alignment/>
      <protection/>
    </xf>
    <xf numFmtId="194"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95"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95" fontId="7" fillId="0" borderId="11" xfId="57" applyNumberFormat="1" applyFont="1" applyBorder="1">
      <alignment/>
      <protection/>
    </xf>
    <xf numFmtId="194" fontId="7" fillId="0" borderId="0" xfId="57" applyNumberFormat="1" applyFont="1" applyAlignment="1">
      <alignment horizontal="centerContinuous"/>
      <protection/>
    </xf>
    <xf numFmtId="194" fontId="7" fillId="0" borderId="13" xfId="57" applyNumberFormat="1" applyFont="1" applyBorder="1">
      <alignment/>
      <protection/>
    </xf>
    <xf numFmtId="194"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209" fontId="0" fillId="0" borderId="0" xfId="0" applyNumberFormat="1" applyBorder="1" applyAlignment="1">
      <alignment/>
    </xf>
    <xf numFmtId="209" fontId="0" fillId="0" borderId="0" xfId="0" applyNumberFormat="1" applyAlignment="1">
      <alignment/>
    </xf>
    <xf numFmtId="20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210" fontId="0" fillId="0" borderId="0" xfId="0" applyNumberFormat="1" applyAlignment="1">
      <alignment/>
    </xf>
    <xf numFmtId="181"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43" fontId="12" fillId="0" borderId="0" xfId="42" applyFont="1" applyAlignment="1">
      <alignment horizontal="center"/>
    </xf>
    <xf numFmtId="194"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94" fontId="9" fillId="0" borderId="0" xfId="57" applyNumberFormat="1" applyFont="1" applyBorder="1" applyAlignment="1">
      <alignment horizontal="center"/>
      <protection/>
    </xf>
    <xf numFmtId="194" fontId="9" fillId="0" borderId="0" xfId="57" applyNumberFormat="1" applyFont="1" applyBorder="1">
      <alignment/>
      <protection/>
    </xf>
    <xf numFmtId="197"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94" fontId="6" fillId="0" borderId="0" xfId="57" applyNumberFormat="1" applyBorder="1">
      <alignment/>
      <protection/>
    </xf>
    <xf numFmtId="197" fontId="7" fillId="0" borderId="0" xfId="57" applyNumberFormat="1" applyFont="1" applyBorder="1">
      <alignment/>
      <protection/>
    </xf>
    <xf numFmtId="195"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94" fontId="7" fillId="0" borderId="0" xfId="57" applyNumberFormat="1" applyFont="1" applyAlignment="1">
      <alignment horizontal="right"/>
      <protection/>
    </xf>
    <xf numFmtId="197" fontId="7" fillId="0" borderId="0" xfId="57"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165" fontId="0" fillId="0" borderId="0" xfId="60" applyNumberFormat="1" applyAlignment="1">
      <alignment/>
    </xf>
    <xf numFmtId="165" fontId="1" fillId="0" borderId="0" xfId="60"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94" fontId="16" fillId="0" borderId="18" xfId="57" applyNumberFormat="1" applyFont="1" applyBorder="1" applyAlignment="1">
      <alignment horizontal="center"/>
      <protection/>
    </xf>
    <xf numFmtId="194" fontId="17" fillId="0" borderId="18" xfId="57" applyNumberFormat="1" applyFont="1" applyFill="1" applyBorder="1" applyAlignment="1">
      <alignment horizontal="center"/>
      <protection/>
    </xf>
    <xf numFmtId="41" fontId="13" fillId="0" borderId="18" xfId="57" applyNumberFormat="1" applyFont="1" applyBorder="1">
      <alignment/>
      <protection/>
    </xf>
    <xf numFmtId="195" fontId="9" fillId="0" borderId="18" xfId="57" applyNumberFormat="1" applyFont="1" applyBorder="1">
      <alignment/>
      <protection/>
    </xf>
    <xf numFmtId="41" fontId="7" fillId="0" borderId="19" xfId="57" applyNumberFormat="1" applyFont="1" applyBorder="1">
      <alignment/>
      <protection/>
    </xf>
    <xf numFmtId="165" fontId="7" fillId="0" borderId="0" xfId="60" applyNumberFormat="1" applyFont="1" applyAlignment="1">
      <alignment/>
    </xf>
    <xf numFmtId="194" fontId="7" fillId="35" borderId="0" xfId="57" applyNumberFormat="1" applyFont="1" applyFill="1">
      <alignment/>
      <protection/>
    </xf>
    <xf numFmtId="9" fontId="7" fillId="35" borderId="16" xfId="60" applyFont="1" applyFill="1" applyBorder="1" applyAlignment="1">
      <alignment/>
    </xf>
    <xf numFmtId="44" fontId="7" fillId="0" borderId="10" xfId="44" applyFont="1" applyBorder="1" applyAlignment="1">
      <alignment/>
    </xf>
    <xf numFmtId="195" fontId="7" fillId="35" borderId="15" xfId="57" applyNumberFormat="1" applyFont="1" applyFill="1" applyBorder="1">
      <alignment/>
      <protection/>
    </xf>
    <xf numFmtId="0" fontId="9" fillId="0" borderId="0" xfId="0" applyFont="1" applyAlignment="1">
      <alignment/>
    </xf>
    <xf numFmtId="4" fontId="7" fillId="32" borderId="7" xfId="58" applyNumberFormat="1" applyFont="1" applyAlignment="1">
      <alignment/>
    </xf>
    <xf numFmtId="43" fontId="7" fillId="0" borderId="14" xfId="42" applyNumberFormat="1" applyFont="1" applyBorder="1" applyAlignment="1">
      <alignment/>
    </xf>
    <xf numFmtId="4" fontId="7" fillId="0" borderId="0" xfId="58" applyNumberFormat="1" applyFont="1" applyFill="1" applyBorder="1" applyAlignment="1">
      <alignment/>
    </xf>
    <xf numFmtId="43" fontId="0" fillId="0" borderId="0" xfId="42" applyFont="1" applyAlignment="1">
      <alignment/>
    </xf>
    <xf numFmtId="44" fontId="7" fillId="34" borderId="16" xfId="44" applyFont="1" applyFill="1" applyBorder="1" applyAlignment="1">
      <alignment horizontal="center"/>
    </xf>
    <xf numFmtId="195" fontId="7" fillId="0" borderId="10" xfId="57" applyNumberFormat="1" applyFont="1" applyBorder="1">
      <alignment/>
      <protection/>
    </xf>
    <xf numFmtId="194" fontId="7" fillId="36" borderId="11"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SheetLayoutView="85" zoomScalePageLayoutView="0" workbookViewId="0" topLeftCell="A34">
      <selection activeCell="M64" sqref="M64"/>
    </sheetView>
  </sheetViews>
  <sheetFormatPr defaultColWidth="9.140625" defaultRowHeight="12.75"/>
  <cols>
    <col min="1" max="1" width="18.71093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70</v>
      </c>
      <c r="B1" s="2"/>
      <c r="C1" s="2"/>
      <c r="D1" s="2"/>
      <c r="E1" s="2"/>
      <c r="F1" s="2"/>
      <c r="G1" s="3"/>
      <c r="H1" s="2"/>
      <c r="I1" s="2"/>
      <c r="J1" s="1" t="s">
        <v>76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December "&amp;YEAR(A21)</f>
        <v>For the Year Ended December 2016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27" t="str">
        <f>"Total "&amp;F5</f>
        <v>Total Commodity</v>
      </c>
      <c r="P5" s="128"/>
      <c r="Q5" s="2"/>
      <c r="R5" s="2"/>
      <c r="S5" s="2"/>
      <c r="T5" s="2"/>
      <c r="U5" s="2"/>
      <c r="V5" s="13"/>
      <c r="W5" s="14"/>
      <c r="X5" s="14"/>
      <c r="Y5" s="14"/>
      <c r="AA5" s="14"/>
    </row>
    <row r="6" spans="1:16" s="16" customFormat="1" ht="11.25">
      <c r="A6" s="15"/>
      <c r="B6" s="12"/>
      <c r="C6" s="12"/>
      <c r="D6" s="12" t="s">
        <v>1</v>
      </c>
      <c r="E6" s="12"/>
      <c r="F6" s="12" t="s">
        <v>2</v>
      </c>
      <c r="G6" s="12"/>
      <c r="H6" s="12"/>
      <c r="I6" s="12"/>
      <c r="J6" s="12"/>
      <c r="K6" s="12"/>
      <c r="O6" s="129" t="str">
        <f>+F6</f>
        <v>Revenue</v>
      </c>
      <c r="P6" s="92"/>
    </row>
    <row r="7" spans="1:16" s="16" customFormat="1" ht="11.25">
      <c r="A7" s="15" t="s">
        <v>3</v>
      </c>
      <c r="B7" s="12" t="s">
        <v>64</v>
      </c>
      <c r="C7" s="12"/>
      <c r="D7" s="12" t="s">
        <v>2</v>
      </c>
      <c r="E7" s="12"/>
      <c r="F7" s="12" t="s">
        <v>65</v>
      </c>
      <c r="G7" s="12"/>
      <c r="H7" s="12"/>
      <c r="I7" s="12"/>
      <c r="J7" s="12" t="s">
        <v>66</v>
      </c>
      <c r="K7" s="12"/>
      <c r="O7" s="129" t="str">
        <f>+F7</f>
        <v>per Yard</v>
      </c>
      <c r="P7" s="92"/>
    </row>
    <row r="8" spans="1:16" s="16" customFormat="1" ht="11.25">
      <c r="A8" s="117">
        <f>Multi_Family!$C$6</f>
        <v>42125</v>
      </c>
      <c r="B8" s="90">
        <v>814.26</v>
      </c>
      <c r="C8" s="12"/>
      <c r="D8" s="91">
        <f>VLOOKUP(A8,Value!$A$6:$O$17,15,)</f>
        <v>310.83760305499976</v>
      </c>
      <c r="E8" s="12"/>
      <c r="F8" s="16">
        <f aca="true" t="shared" si="0" ref="F8:F17">ROUND(D8/B8,2)</f>
        <v>0.38</v>
      </c>
      <c r="G8" s="12"/>
      <c r="H8" s="12"/>
      <c r="I8" s="12"/>
      <c r="J8" s="14">
        <f>+B8</f>
        <v>814.26</v>
      </c>
      <c r="K8" s="13">
        <f aca="true" t="shared" si="1" ref="K8:K17">YEAR(A8)</f>
        <v>2015</v>
      </c>
      <c r="O8" s="130">
        <f>VLOOKUP(A8,Value!$A$6:$O$17,13,FALSE)</f>
        <v>621.6571030549998</v>
      </c>
      <c r="P8" s="92"/>
    </row>
    <row r="9" spans="1:16" s="16" customFormat="1" ht="11.25">
      <c r="A9" s="17">
        <f aca="true" t="shared" si="2" ref="A9:A17">EOMONTH(A8,1)</f>
        <v>42185</v>
      </c>
      <c r="B9" s="90">
        <v>814</v>
      </c>
      <c r="C9" s="19"/>
      <c r="D9" s="91">
        <f>VLOOKUP(A9,Value!$A$6:$O$17,15,)</f>
        <v>464.24431139999956</v>
      </c>
      <c r="E9" s="14"/>
      <c r="F9" s="16">
        <f t="shared" si="0"/>
        <v>0.57</v>
      </c>
      <c r="G9" s="14"/>
      <c r="H9" s="14"/>
      <c r="I9" s="14"/>
      <c r="J9" s="14">
        <f aca="true" t="shared" si="3" ref="J9:J17">+B9</f>
        <v>814</v>
      </c>
      <c r="K9" s="13">
        <f t="shared" si="1"/>
        <v>2015</v>
      </c>
      <c r="O9" s="130">
        <f>VLOOKUP(A9,Value!$A$6:$O$17,13,FALSE)</f>
        <v>927.9162613999996</v>
      </c>
      <c r="P9" s="92"/>
    </row>
    <row r="10" spans="1:16" s="16" customFormat="1" ht="11.25">
      <c r="A10" s="17">
        <f t="shared" si="2"/>
        <v>42216</v>
      </c>
      <c r="B10" s="90">
        <v>814</v>
      </c>
      <c r="C10" s="14"/>
      <c r="D10" s="91">
        <f>VLOOKUP(A10,Value!$A$6:$O$17,15,)</f>
        <v>338.01720059399963</v>
      </c>
      <c r="E10" s="14"/>
      <c r="F10" s="16">
        <f t="shared" si="0"/>
        <v>0.42</v>
      </c>
      <c r="G10" s="14"/>
      <c r="H10" s="14"/>
      <c r="I10" s="14"/>
      <c r="J10" s="14">
        <f t="shared" si="3"/>
        <v>814</v>
      </c>
      <c r="K10" s="13">
        <f t="shared" si="1"/>
        <v>2015</v>
      </c>
      <c r="O10" s="130">
        <f>VLOOKUP(A10,Value!$A$6:$O$17,13,FALSE)</f>
        <v>675.9759005939997</v>
      </c>
      <c r="P10" s="92"/>
    </row>
    <row r="11" spans="1:16" s="16" customFormat="1" ht="11.25">
      <c r="A11" s="17" t="s">
        <v>84</v>
      </c>
      <c r="B11" s="20">
        <f>SUM(B8:B10)</f>
        <v>2442.26</v>
      </c>
      <c r="C11" s="19" t="s">
        <v>4</v>
      </c>
      <c r="D11" s="21">
        <f>SUM(D8:D10)</f>
        <v>1113.099115048999</v>
      </c>
      <c r="E11" s="14"/>
      <c r="G11" s="14"/>
      <c r="H11" s="14"/>
      <c r="I11" s="14"/>
      <c r="J11" s="14"/>
      <c r="K11" s="13"/>
      <c r="O11" s="130"/>
      <c r="P11" s="92"/>
    </row>
    <row r="12" spans="1:16" s="16" customFormat="1" ht="11.25">
      <c r="A12" s="17"/>
      <c r="B12" s="14"/>
      <c r="C12" s="14"/>
      <c r="E12" s="14"/>
      <c r="G12" s="14"/>
      <c r="H12" s="14"/>
      <c r="I12" s="14"/>
      <c r="J12" s="14"/>
      <c r="K12" s="13"/>
      <c r="O12" s="130"/>
      <c r="P12" s="92"/>
    </row>
    <row r="13" spans="1:16" s="16" customFormat="1" ht="11.25">
      <c r="A13" s="17">
        <f>EOMONTH(A10,1)</f>
        <v>42247</v>
      </c>
      <c r="B13" s="18">
        <v>814.26</v>
      </c>
      <c r="C13" s="14"/>
      <c r="D13" s="91">
        <f>VLOOKUP(A13,Value!$A$6:$O$17,15,)</f>
        <v>410.09686228</v>
      </c>
      <c r="E13" s="14"/>
      <c r="F13" s="16">
        <f t="shared" si="0"/>
        <v>0.5</v>
      </c>
      <c r="G13" s="22"/>
      <c r="H13" s="14"/>
      <c r="I13" s="14"/>
      <c r="J13" s="14">
        <f t="shared" si="3"/>
        <v>814.26</v>
      </c>
      <c r="K13" s="13">
        <f t="shared" si="1"/>
        <v>2015</v>
      </c>
      <c r="O13" s="130">
        <f>VLOOKUP(A13,Value!$A$6:$O$17,13,FALSE)</f>
        <v>820.24436228</v>
      </c>
      <c r="P13" s="92"/>
    </row>
    <row r="14" spans="1:16" s="16" customFormat="1" ht="11.25">
      <c r="A14" s="17">
        <f t="shared" si="2"/>
        <v>42277</v>
      </c>
      <c r="B14" s="18">
        <v>814.26</v>
      </c>
      <c r="C14" s="14"/>
      <c r="D14" s="91">
        <f>VLOOKUP(A14,Value!$A$6:$O$17,15,)</f>
        <v>383.92251819999973</v>
      </c>
      <c r="E14" s="14"/>
      <c r="F14" s="16">
        <f t="shared" si="0"/>
        <v>0.47</v>
      </c>
      <c r="G14" s="22"/>
      <c r="H14" s="14"/>
      <c r="I14" s="14"/>
      <c r="J14" s="14">
        <f t="shared" si="3"/>
        <v>814.26</v>
      </c>
      <c r="K14" s="13">
        <f t="shared" si="1"/>
        <v>2015</v>
      </c>
      <c r="O14" s="130">
        <f>VLOOKUP(A14,Value!$A$6:$O$17,13,FALSE)</f>
        <v>767.8385181999997</v>
      </c>
      <c r="P14" s="92"/>
    </row>
    <row r="15" spans="1:16" s="16" customFormat="1" ht="11.25">
      <c r="A15" s="17">
        <f t="shared" si="2"/>
        <v>42308</v>
      </c>
      <c r="B15" s="18">
        <v>840.28</v>
      </c>
      <c r="C15" s="14"/>
      <c r="D15" s="91">
        <f>VLOOKUP(A15,Value!$A$6:$O$17,15,)</f>
        <v>441.11794099999963</v>
      </c>
      <c r="E15" s="14"/>
      <c r="F15" s="16">
        <f t="shared" si="0"/>
        <v>0.52</v>
      </c>
      <c r="G15" s="22"/>
      <c r="H15" s="14"/>
      <c r="I15" s="14"/>
      <c r="J15" s="14">
        <f t="shared" si="3"/>
        <v>840.28</v>
      </c>
      <c r="K15" s="13">
        <f t="shared" si="1"/>
        <v>2015</v>
      </c>
      <c r="O15" s="130">
        <f>VLOOKUP(A15,Value!$A$6:$O$17,13,FALSE)</f>
        <v>882.2866909999997</v>
      </c>
      <c r="P15" s="92"/>
    </row>
    <row r="16" spans="1:16" s="16" customFormat="1" ht="11.25">
      <c r="A16" s="17">
        <f t="shared" si="2"/>
        <v>42338</v>
      </c>
      <c r="B16" s="18">
        <v>840.24</v>
      </c>
      <c r="C16" s="14"/>
      <c r="D16" s="91">
        <f>VLOOKUP(A16,Value!$A$6:$O$17,15,)</f>
        <v>354.5101010399998</v>
      </c>
      <c r="E16" s="14"/>
      <c r="F16" s="16">
        <f t="shared" si="0"/>
        <v>0.42</v>
      </c>
      <c r="G16" s="22"/>
      <c r="H16" s="14"/>
      <c r="I16" s="14"/>
      <c r="J16" s="14">
        <f t="shared" si="3"/>
        <v>840.24</v>
      </c>
      <c r="K16" s="13">
        <f t="shared" si="1"/>
        <v>2015</v>
      </c>
      <c r="O16" s="130">
        <f>VLOOKUP(A16,Value!$A$6:$O$17,13,FALSE)</f>
        <v>708.9841010399998</v>
      </c>
      <c r="P16" s="92"/>
    </row>
    <row r="17" spans="1:25" s="16" customFormat="1" ht="11.25">
      <c r="A17" s="17">
        <f t="shared" si="2"/>
        <v>42369</v>
      </c>
      <c r="B17" s="18">
        <v>840.24</v>
      </c>
      <c r="C17" s="14"/>
      <c r="D17" s="91">
        <f>VLOOKUP(A17,Value!$A$6:$O$17,15,)</f>
        <v>433.39005184499956</v>
      </c>
      <c r="E17" s="14"/>
      <c r="F17" s="16">
        <f t="shared" si="0"/>
        <v>0.52</v>
      </c>
      <c r="G17" s="22"/>
      <c r="H17" s="14"/>
      <c r="I17" s="14"/>
      <c r="J17" s="14">
        <f t="shared" si="3"/>
        <v>840.24</v>
      </c>
      <c r="K17" s="13">
        <f t="shared" si="1"/>
        <v>2015</v>
      </c>
      <c r="O17" s="130">
        <f>VLOOKUP(A17,Value!$A$6:$O$17,13,FALSE)</f>
        <v>866.8503018449995</v>
      </c>
      <c r="P17" s="92"/>
      <c r="X17" s="14"/>
      <c r="Y17" s="14"/>
    </row>
    <row r="18" spans="1:27" s="16" customFormat="1" ht="11.25">
      <c r="A18" s="17">
        <f>EOMONTH(A17,1)</f>
        <v>42400</v>
      </c>
      <c r="B18" s="18">
        <v>840.24</v>
      </c>
      <c r="C18" s="14"/>
      <c r="D18" s="91">
        <f>VLOOKUP(A18,Value!$A$6:$O$17,15,)</f>
        <v>396.82935860399965</v>
      </c>
      <c r="E18" s="14"/>
      <c r="F18" s="16">
        <f>ROUND(D18/B18,2)</f>
        <v>0.47</v>
      </c>
      <c r="G18" s="22"/>
      <c r="H18" s="14"/>
      <c r="I18" s="14"/>
      <c r="J18" s="14">
        <f>+B18</f>
        <v>840.24</v>
      </c>
      <c r="K18" s="13">
        <f>YEAR(A18)</f>
        <v>2016</v>
      </c>
      <c r="L18" s="14"/>
      <c r="M18" s="14"/>
      <c r="N18" s="14"/>
      <c r="O18" s="130">
        <f>VLOOKUP(A18,Value!$A$6:$O$17,13,FALSE)</f>
        <v>793.5876086039997</v>
      </c>
      <c r="P18" s="92"/>
      <c r="Q18" s="14"/>
      <c r="R18" s="14"/>
      <c r="S18" s="14"/>
      <c r="T18" s="14"/>
      <c r="U18" s="14"/>
      <c r="V18" s="14"/>
      <c r="W18" s="14"/>
      <c r="Y18" s="14"/>
      <c r="AA18" s="14"/>
    </row>
    <row r="19" spans="1:16" s="16" customFormat="1" ht="11.25">
      <c r="A19" s="17">
        <f>EOMONTH(A18,1)</f>
        <v>42429</v>
      </c>
      <c r="B19" s="18">
        <v>840.24</v>
      </c>
      <c r="C19" s="14"/>
      <c r="D19" s="91">
        <f>VLOOKUP(A19,Value!$A$6:$O$17,15,)</f>
        <v>363.0942646379997</v>
      </c>
      <c r="E19" s="14"/>
      <c r="F19" s="16">
        <f>ROUND(D19/B19,2)</f>
        <v>0.43</v>
      </c>
      <c r="G19" s="22"/>
      <c r="H19" s="14"/>
      <c r="I19" s="14"/>
      <c r="J19" s="14">
        <f>+B19</f>
        <v>840.24</v>
      </c>
      <c r="K19" s="13">
        <f>YEAR(A19)</f>
        <v>2016</v>
      </c>
      <c r="O19" s="130">
        <f>VLOOKUP(A19,Value!$A$6:$O$17,13,FALSE)</f>
        <v>726.1172146379997</v>
      </c>
      <c r="P19" s="33"/>
    </row>
    <row r="20" spans="1:16" s="16" customFormat="1" ht="11.25">
      <c r="A20" s="17">
        <f>EOMONTH(A19,1)</f>
        <v>42460</v>
      </c>
      <c r="B20" s="18">
        <v>840.25</v>
      </c>
      <c r="C20" s="14"/>
      <c r="D20" s="91">
        <f>VLOOKUP(A20,Value!$A$6:$O$17,15,)</f>
        <v>450.9673226239995</v>
      </c>
      <c r="E20" s="14"/>
      <c r="F20" s="16">
        <f>ROUND(D20/B20,2)</f>
        <v>0.54</v>
      </c>
      <c r="G20" s="22"/>
      <c r="H20" s="19"/>
      <c r="I20" s="14"/>
      <c r="J20" s="14">
        <f>+B20</f>
        <v>840.25</v>
      </c>
      <c r="K20" s="13">
        <f>YEAR(A20)</f>
        <v>2016</v>
      </c>
      <c r="O20" s="130">
        <f>VLOOKUP(A20,Value!$A$6:$O$17,13,FALSE)</f>
        <v>901.9081226239995</v>
      </c>
      <c r="P20" s="92"/>
    </row>
    <row r="21" spans="1:16" s="16" customFormat="1" ht="11.25">
      <c r="A21" s="17">
        <f>EOMONTH(A20,1)</f>
        <v>42490</v>
      </c>
      <c r="B21" s="18">
        <v>840</v>
      </c>
      <c r="C21" s="14"/>
      <c r="D21" s="91">
        <f>VLOOKUP(A21,Value!$A$6:$O$17,15,)</f>
        <v>109.2242847799999</v>
      </c>
      <c r="E21" s="14"/>
      <c r="F21" s="16">
        <f>ROUND(D21/B21,2)</f>
        <v>0.13</v>
      </c>
      <c r="G21" s="22"/>
      <c r="H21" s="19"/>
      <c r="I21" s="14"/>
      <c r="J21" s="14">
        <f>+B21</f>
        <v>840</v>
      </c>
      <c r="K21" s="13">
        <f>YEAR(A21)</f>
        <v>2016</v>
      </c>
      <c r="O21" s="130">
        <f>VLOOKUP(A21,Value!$A$6:$O$17,13,FALSE)</f>
        <v>218.4242847799999</v>
      </c>
      <c r="P21" s="92"/>
    </row>
    <row r="22" spans="1:15" s="16" customFormat="1" ht="11.25">
      <c r="A22" s="17"/>
      <c r="B22" s="14"/>
      <c r="C22" s="14"/>
      <c r="E22" s="14"/>
      <c r="G22" s="14"/>
      <c r="H22" s="14"/>
      <c r="I22" s="14"/>
      <c r="J22" s="14"/>
      <c r="K22" s="13"/>
      <c r="O22" s="131"/>
    </row>
    <row r="23" spans="1:16" s="16" customFormat="1" ht="11.25">
      <c r="A23" s="17" t="s">
        <v>85</v>
      </c>
      <c r="B23" s="20">
        <f>SUM(B12:B22)</f>
        <v>7510.009999999999</v>
      </c>
      <c r="C23" s="19" t="s">
        <v>5</v>
      </c>
      <c r="D23" s="21">
        <f>SUM(D12:D22)</f>
        <v>3343.152705010997</v>
      </c>
      <c r="E23" s="14"/>
      <c r="G23" s="14"/>
      <c r="H23" s="14"/>
      <c r="I23" s="14"/>
      <c r="J23" s="14"/>
      <c r="K23" s="13"/>
      <c r="O23" s="131"/>
      <c r="P23" s="97" t="s">
        <v>77</v>
      </c>
    </row>
    <row r="24" spans="1:16" s="16" customFormat="1" ht="12.75">
      <c r="A24" s="5"/>
      <c r="B24" s="5"/>
      <c r="C24" s="5"/>
      <c r="D24" s="23"/>
      <c r="E24" s="5"/>
      <c r="F24" s="5"/>
      <c r="G24" s="5"/>
      <c r="H24" s="5"/>
      <c r="I24" s="5"/>
      <c r="J24" s="5"/>
      <c r="K24" s="5"/>
      <c r="O24" s="131">
        <f>SUM(O8:O23)</f>
        <v>8911.790470059996</v>
      </c>
      <c r="P24" s="101"/>
    </row>
    <row r="25" spans="1:16" s="16" customFormat="1" ht="12" thickBot="1">
      <c r="A25" s="24"/>
      <c r="B25" s="25">
        <f>+B11+B23</f>
        <v>9952.27</v>
      </c>
      <c r="C25" s="19"/>
      <c r="D25" s="26">
        <f>+D11+D23</f>
        <v>4456.251820059996</v>
      </c>
      <c r="E25" s="19" t="s">
        <v>6</v>
      </c>
      <c r="F25" s="22">
        <f>ROUND(D25/B25,3)</f>
        <v>0.448</v>
      </c>
      <c r="G25" s="19" t="s">
        <v>7</v>
      </c>
      <c r="H25" s="14"/>
      <c r="I25" s="14"/>
      <c r="J25" s="25">
        <f>SUM(J8:J24)</f>
        <v>9952.27</v>
      </c>
      <c r="K25" s="19" t="s">
        <v>8</v>
      </c>
      <c r="O25" s="132">
        <f>ROUND(O24/J25,3)</f>
        <v>0.895</v>
      </c>
      <c r="P25" s="92" t="s">
        <v>78</v>
      </c>
    </row>
    <row r="26" spans="2:16" s="16" customFormat="1" ht="12" thickTop="1">
      <c r="B26" s="14"/>
      <c r="C26" s="19"/>
      <c r="D26" s="14"/>
      <c r="E26" s="14"/>
      <c r="F26" s="14"/>
      <c r="G26" s="14"/>
      <c r="H26" s="14"/>
      <c r="I26" s="14"/>
      <c r="J26" s="14"/>
      <c r="K26" s="14"/>
      <c r="O26" s="133">
        <f>+J21</f>
        <v>840</v>
      </c>
      <c r="P26" s="92" t="s">
        <v>79</v>
      </c>
    </row>
    <row r="27" spans="2:16" s="16" customFormat="1" ht="11.25">
      <c r="B27" s="14"/>
      <c r="C27" s="14"/>
      <c r="D27" s="14"/>
      <c r="E27" s="14"/>
      <c r="F27" s="14"/>
      <c r="G27" s="14"/>
      <c r="H27" s="14"/>
      <c r="I27" s="14"/>
      <c r="J27" s="14"/>
      <c r="K27" s="14"/>
      <c r="O27" s="92"/>
      <c r="P27" s="92" t="s">
        <v>80</v>
      </c>
    </row>
    <row r="28" spans="2:11" s="16" customFormat="1" ht="12" thickBot="1">
      <c r="B28" s="27" t="s">
        <v>9</v>
      </c>
      <c r="C28" s="28"/>
      <c r="D28" s="28"/>
      <c r="E28" s="28"/>
      <c r="F28" s="14"/>
      <c r="G28" s="14"/>
      <c r="H28" s="14"/>
      <c r="I28" s="14"/>
      <c r="J28" s="14"/>
      <c r="K28" s="14"/>
    </row>
    <row r="29" spans="1:25" s="16" customFormat="1" ht="12" thickTop="1">
      <c r="A29" s="6"/>
      <c r="B29" s="29"/>
      <c r="C29" s="14"/>
      <c r="D29" s="14"/>
      <c r="E29" s="14"/>
      <c r="F29" s="14"/>
      <c r="G29" s="14"/>
      <c r="H29" s="14"/>
      <c r="I29" s="14"/>
      <c r="J29" s="14"/>
      <c r="K29" s="14"/>
      <c r="X29" s="14"/>
      <c r="Y29" s="14"/>
    </row>
    <row r="30" spans="1:11" s="16" customFormat="1" ht="11.25">
      <c r="A30" s="8"/>
      <c r="B30" s="29"/>
      <c r="C30" s="14"/>
      <c r="D30" s="14"/>
      <c r="E30" s="14"/>
      <c r="F30" s="30" t="s">
        <v>10</v>
      </c>
      <c r="G30" s="14">
        <f>+D25</f>
        <v>4456.251820059996</v>
      </c>
      <c r="H30" s="19" t="s">
        <v>6</v>
      </c>
      <c r="I30" s="14"/>
      <c r="J30" s="14"/>
      <c r="K30" s="14"/>
    </row>
    <row r="31" spans="1:27" s="13" customFormat="1" ht="11.25">
      <c r="A31" s="31"/>
      <c r="B31" s="29"/>
      <c r="C31" s="14"/>
      <c r="D31" s="14"/>
      <c r="E31" s="14"/>
      <c r="F31" s="14"/>
      <c r="G31" s="14"/>
      <c r="H31" s="19"/>
      <c r="I31" s="14"/>
      <c r="J31" s="14"/>
      <c r="K31" s="14"/>
      <c r="O31" s="16">
        <f>12*O26*O25</f>
        <v>9021.6</v>
      </c>
      <c r="P31" s="13" t="s">
        <v>81</v>
      </c>
      <c r="W31" s="14"/>
      <c r="X31" s="16"/>
      <c r="Y31" s="16"/>
      <c r="AA31" s="14"/>
    </row>
    <row r="32" spans="2:16" s="16" customFormat="1" ht="11.25">
      <c r="B32" s="14" t="s">
        <v>67</v>
      </c>
      <c r="C32" s="14"/>
      <c r="D32" s="14"/>
      <c r="E32" s="14"/>
      <c r="F32" s="32">
        <v>0.25</v>
      </c>
      <c r="G32" s="14"/>
      <c r="H32" s="14"/>
      <c r="I32" s="14"/>
      <c r="J32" s="14"/>
      <c r="K32" s="14"/>
      <c r="O32" s="16">
        <f>12*O26*G55</f>
        <v>4515.478646780548</v>
      </c>
      <c r="P32" s="16" t="s">
        <v>82</v>
      </c>
    </row>
    <row r="33" spans="2:15" s="16" customFormat="1" ht="11.25">
      <c r="B33" s="14"/>
      <c r="C33" s="14" t="str">
        <f>"Customers from "&amp;TEXT($A$8,"mm/yy")&amp;" - "&amp;TEXT($A$10,"mm/yy")</f>
        <v>Customers from 05/15 - 07/15</v>
      </c>
      <c r="D33" s="14"/>
      <c r="E33" s="14"/>
      <c r="F33" s="14">
        <f>+B11</f>
        <v>2442.26</v>
      </c>
      <c r="G33" s="19" t="s">
        <v>4</v>
      </c>
      <c r="H33" s="14"/>
      <c r="I33" s="14"/>
      <c r="J33" s="14"/>
      <c r="K33" s="14"/>
      <c r="O33" s="134">
        <f>+O32/O31</f>
        <v>0.5005186049903063</v>
      </c>
    </row>
    <row r="34" spans="2:11" s="16" customFormat="1" ht="11.25">
      <c r="B34" s="14"/>
      <c r="C34" s="14" t="s">
        <v>11</v>
      </c>
      <c r="D34" s="14"/>
      <c r="E34" s="14"/>
      <c r="F34" s="20">
        <f>ROUND(F32*F33,0)</f>
        <v>611</v>
      </c>
      <c r="G34" s="19"/>
      <c r="H34" s="14"/>
      <c r="I34" s="14"/>
      <c r="J34" s="14"/>
      <c r="K34" s="14"/>
    </row>
    <row r="35" spans="2:11" s="16" customFormat="1" ht="11.25">
      <c r="B35" s="14"/>
      <c r="C35" s="14"/>
      <c r="D35" s="14"/>
      <c r="E35" s="14"/>
      <c r="F35" s="33"/>
      <c r="G35" s="19"/>
      <c r="H35" s="14"/>
      <c r="I35" s="14"/>
      <c r="J35" s="14"/>
      <c r="K35" s="14"/>
    </row>
    <row r="36" spans="2:11" s="16" customFormat="1" ht="11.25">
      <c r="B36" s="14" t="s">
        <v>67</v>
      </c>
      <c r="C36" s="14"/>
      <c r="D36" s="14"/>
      <c r="E36" s="14"/>
      <c r="F36" s="32">
        <v>0.174</v>
      </c>
      <c r="G36" s="14"/>
      <c r="H36" s="14"/>
      <c r="I36" s="14"/>
      <c r="J36" s="14"/>
      <c r="K36" s="14"/>
    </row>
    <row r="37" spans="2:11" s="16" customFormat="1" ht="11.25">
      <c r="B37" s="14"/>
      <c r="C37" s="14" t="str">
        <f>"Customers from "&amp;TEXT($A$13,"mm/yy")&amp;" - "&amp;TEXT($A$21,"mm/yy")</f>
        <v>Customers from 08/15 - 04/16</v>
      </c>
      <c r="D37" s="14"/>
      <c r="E37" s="14"/>
      <c r="F37" s="14">
        <f>+B25-F33</f>
        <v>7510.01</v>
      </c>
      <c r="G37" s="19" t="s">
        <v>5</v>
      </c>
      <c r="H37" s="14"/>
      <c r="I37" s="14"/>
      <c r="J37" s="14"/>
      <c r="K37" s="14"/>
    </row>
    <row r="38" spans="2:11" s="16" customFormat="1" ht="11.25">
      <c r="B38" s="14"/>
      <c r="C38" s="14" t="s">
        <v>11</v>
      </c>
      <c r="D38" s="14"/>
      <c r="E38" s="14"/>
      <c r="F38" s="20">
        <f>ROUND(F36*F37,0)</f>
        <v>1307</v>
      </c>
      <c r="G38" s="19"/>
      <c r="H38" s="14"/>
      <c r="I38" s="14"/>
      <c r="J38" s="14"/>
      <c r="K38" s="14"/>
    </row>
    <row r="39" spans="2:11" s="16" customFormat="1" ht="11.25">
      <c r="B39" s="14"/>
      <c r="C39" s="14"/>
      <c r="D39" s="14"/>
      <c r="E39" s="14"/>
      <c r="F39" s="34"/>
      <c r="G39" s="19"/>
      <c r="H39" s="14"/>
      <c r="I39" s="14"/>
      <c r="J39" s="14"/>
      <c r="K39" s="14"/>
    </row>
    <row r="40" spans="2:11" s="16" customFormat="1" ht="12" thickBot="1">
      <c r="B40" s="14"/>
      <c r="C40" s="14" t="s">
        <v>12</v>
      </c>
      <c r="D40" s="14"/>
      <c r="E40" s="14"/>
      <c r="F40" s="25">
        <f>+F34+F38</f>
        <v>1918</v>
      </c>
      <c r="G40" s="35">
        <f>+F40</f>
        <v>1918</v>
      </c>
      <c r="H40" s="14"/>
      <c r="I40" s="14"/>
      <c r="J40" s="14"/>
      <c r="K40" s="14"/>
    </row>
    <row r="41" spans="2:11" s="16" customFormat="1" ht="12" thickTop="1">
      <c r="B41" s="14"/>
      <c r="C41" s="14"/>
      <c r="D41" s="14"/>
      <c r="E41" s="14"/>
      <c r="F41" s="14"/>
      <c r="G41" s="14"/>
      <c r="H41" s="14"/>
      <c r="I41" s="14"/>
      <c r="J41" s="14"/>
      <c r="K41" s="14"/>
    </row>
    <row r="42" spans="2:11" s="16" customFormat="1" ht="11.25">
      <c r="B42" s="14"/>
      <c r="C42" s="14"/>
      <c r="D42" s="14"/>
      <c r="E42" s="14"/>
      <c r="F42" s="14"/>
      <c r="G42" s="14"/>
      <c r="H42" s="14"/>
      <c r="I42" s="14"/>
      <c r="J42" s="14"/>
      <c r="K42" s="14"/>
    </row>
    <row r="43" spans="2:11" s="16" customFormat="1" ht="12" thickBot="1">
      <c r="B43" s="14"/>
      <c r="C43" s="14"/>
      <c r="D43" s="14"/>
      <c r="E43" s="14"/>
      <c r="F43" s="30" t="s">
        <v>71</v>
      </c>
      <c r="G43" s="36">
        <f>+G30-G40</f>
        <v>2538.251820059996</v>
      </c>
      <c r="H43" s="14"/>
      <c r="I43" s="14"/>
      <c r="J43" s="14"/>
      <c r="K43" s="14"/>
    </row>
    <row r="44" spans="2:25" s="16" customFormat="1" ht="12" thickTop="1">
      <c r="B44" s="14"/>
      <c r="C44" s="14"/>
      <c r="D44" s="14"/>
      <c r="E44" s="14"/>
      <c r="F44" s="14"/>
      <c r="G44" s="14"/>
      <c r="H44" s="14"/>
      <c r="I44" s="14"/>
      <c r="J44" s="14"/>
      <c r="K44" s="14"/>
      <c r="Y44" s="14"/>
    </row>
    <row r="45" spans="2:11" s="16" customFormat="1" ht="11.25">
      <c r="B45" s="14"/>
      <c r="C45" s="14"/>
      <c r="D45" s="14"/>
      <c r="E45" s="14"/>
      <c r="F45" s="14"/>
      <c r="G45" s="14"/>
      <c r="H45" s="14"/>
      <c r="I45" s="14"/>
      <c r="J45" s="14"/>
      <c r="K45" s="14"/>
    </row>
    <row r="46" spans="2:11" s="16" customFormat="1" ht="12" thickBot="1">
      <c r="B46" s="27" t="str">
        <f>$K$21+1&amp;" Recycle Adjustment Calculation"</f>
        <v>2017 Recycle Adjustment Calculation</v>
      </c>
      <c r="C46" s="28"/>
      <c r="D46" s="28"/>
      <c r="E46" s="28"/>
      <c r="F46" s="28"/>
      <c r="G46" s="14"/>
      <c r="H46" s="14"/>
      <c r="I46" s="14"/>
      <c r="J46" s="14"/>
      <c r="K46" s="14"/>
    </row>
    <row r="47" spans="2:27" s="16" customFormat="1" ht="12" thickTop="1">
      <c r="B47" s="29"/>
      <c r="C47" s="14"/>
      <c r="D47" s="14"/>
      <c r="E47" s="14"/>
      <c r="F47" s="14"/>
      <c r="G47" s="14"/>
      <c r="H47" s="14"/>
      <c r="I47" s="14"/>
      <c r="J47" s="14"/>
      <c r="K47" s="14"/>
      <c r="L47" s="14"/>
      <c r="M47" s="14"/>
      <c r="N47" s="14"/>
      <c r="O47" s="14"/>
      <c r="P47" s="14"/>
      <c r="Q47" s="14"/>
      <c r="R47" s="14"/>
      <c r="S47" s="14"/>
      <c r="T47" s="14"/>
      <c r="U47" s="14"/>
      <c r="V47" s="14"/>
      <c r="W47" s="14"/>
      <c r="AA47" s="14"/>
    </row>
    <row r="48" spans="2:11" s="16" customFormat="1" ht="11.25">
      <c r="B48" s="14" t="str">
        <f>$K$10&amp;"/"&amp;$K$21&amp;" True-up Computation"</f>
        <v>2015/2016 True-up Computation</v>
      </c>
      <c r="C48" s="14"/>
      <c r="D48" s="14"/>
      <c r="E48" s="14"/>
      <c r="F48" s="14"/>
      <c r="G48" s="14"/>
      <c r="H48" s="14"/>
      <c r="I48" s="14"/>
      <c r="J48" s="14"/>
      <c r="K48" s="14"/>
    </row>
    <row r="49" spans="2:11" s="16" customFormat="1" ht="11.25">
      <c r="B49" s="14"/>
      <c r="C49" s="14"/>
      <c r="D49" s="14"/>
      <c r="E49" s="14"/>
      <c r="F49" s="30" t="s">
        <v>14</v>
      </c>
      <c r="G49" s="14">
        <f>+J25</f>
        <v>9952.27</v>
      </c>
      <c r="H49" s="19" t="s">
        <v>8</v>
      </c>
      <c r="I49" s="14"/>
      <c r="J49" s="14"/>
      <c r="K49" s="14"/>
    </row>
    <row r="50" spans="2:11" s="16" customFormat="1" ht="11.25">
      <c r="B50" s="14"/>
      <c r="C50" s="14"/>
      <c r="D50" s="14"/>
      <c r="E50" s="14"/>
      <c r="F50" s="30" t="s">
        <v>13</v>
      </c>
      <c r="G50" s="14">
        <f>+G43</f>
        <v>2538.251820059996</v>
      </c>
      <c r="H50" s="14"/>
      <c r="I50" s="14"/>
      <c r="J50" s="14"/>
      <c r="K50" s="14"/>
    </row>
    <row r="51" spans="2:11" s="16" customFormat="1" ht="11.25">
      <c r="B51" s="14"/>
      <c r="C51" s="14"/>
      <c r="D51" s="14"/>
      <c r="E51" s="14"/>
      <c r="F51" s="30"/>
      <c r="G51" s="14"/>
      <c r="H51" s="14"/>
      <c r="I51" s="14"/>
      <c r="J51" s="14"/>
      <c r="K51" s="14"/>
    </row>
    <row r="52" spans="2:11" s="16" customFormat="1" ht="12" thickBot="1">
      <c r="B52" s="14"/>
      <c r="C52" s="14"/>
      <c r="D52" s="14"/>
      <c r="E52" s="14"/>
      <c r="F52" s="30" t="str">
        <f>$K$10&amp;"/"&amp;$K$20&amp;" Monthly True-up Charge"</f>
        <v>2015/2016 Monthly True-up Charge</v>
      </c>
      <c r="G52" s="37">
        <f>ROUND(G50/G49,3)</f>
        <v>0.255</v>
      </c>
      <c r="H52" s="14"/>
      <c r="I52" s="22">
        <f>+G52</f>
        <v>0.255</v>
      </c>
      <c r="J52" s="14"/>
      <c r="K52" s="14"/>
    </row>
    <row r="53" spans="2:25" s="16" customFormat="1" ht="12" thickTop="1">
      <c r="B53" s="14"/>
      <c r="C53" s="14"/>
      <c r="D53" s="14"/>
      <c r="E53" s="14"/>
      <c r="F53" s="30"/>
      <c r="G53" s="14"/>
      <c r="H53" s="14"/>
      <c r="I53" s="22"/>
      <c r="J53" s="14"/>
      <c r="K53" s="14"/>
      <c r="Y53" s="14"/>
    </row>
    <row r="54" spans="2:11" s="16" customFormat="1" ht="11.25">
      <c r="B54" s="14" t="str">
        <f>$K$21+1&amp;" Projected Credit"</f>
        <v>2017 Projected Credit</v>
      </c>
      <c r="C54" s="14"/>
      <c r="D54" s="14"/>
      <c r="E54" s="14"/>
      <c r="F54" s="30"/>
      <c r="G54" s="14"/>
      <c r="H54" s="14"/>
      <c r="I54" s="22"/>
      <c r="J54" s="14"/>
      <c r="K54" s="14"/>
    </row>
    <row r="55" spans="2:15" s="16" customFormat="1" ht="12" thickBot="1">
      <c r="B55" s="29"/>
      <c r="C55" s="14"/>
      <c r="D55" s="14"/>
      <c r="E55" s="14"/>
      <c r="F55" s="30" t="s">
        <v>68</v>
      </c>
      <c r="G55" s="138">
        <f>+F25/Value!$P$18*O56</f>
        <v>0.44796415146632423</v>
      </c>
      <c r="H55" s="14"/>
      <c r="I55" s="22">
        <f>+G55</f>
        <v>0.44796415146632423</v>
      </c>
      <c r="J55" s="19" t="s">
        <v>7</v>
      </c>
      <c r="K55" s="14"/>
      <c r="O55" s="135" t="s">
        <v>83</v>
      </c>
    </row>
    <row r="56" spans="2:25" s="14" customFormat="1" ht="12" thickTop="1">
      <c r="B56" s="29"/>
      <c r="I56" s="22"/>
      <c r="O56" s="136">
        <v>0.5</v>
      </c>
      <c r="X56" s="16"/>
      <c r="Y56" s="16"/>
    </row>
    <row r="57" spans="2:11" s="16" customFormat="1" ht="12" thickBot="1">
      <c r="B57" s="14"/>
      <c r="C57" s="14"/>
      <c r="D57" s="14"/>
      <c r="E57" s="14"/>
      <c r="F57" s="14"/>
      <c r="G57" s="30" t="str">
        <f>$K$21+1&amp;" Adjusted Credit"</f>
        <v>2017 Adjusted Credit</v>
      </c>
      <c r="H57" s="25"/>
      <c r="I57" s="26">
        <f>+I52+I55</f>
        <v>0.7029641514663243</v>
      </c>
      <c r="J57" s="14"/>
      <c r="K57" s="14"/>
    </row>
    <row r="58" s="16" customFormat="1" ht="12" thickTop="1">
      <c r="I58" s="22"/>
    </row>
    <row r="59" spans="7:9" s="16" customFormat="1" ht="11.25">
      <c r="G59" s="116" t="s">
        <v>73</v>
      </c>
      <c r="I59" s="16">
        <f>+I57*3.5</f>
        <v>2.460374530132135</v>
      </c>
    </row>
    <row r="60" spans="1:9" s="16" customFormat="1" ht="11.25">
      <c r="A60" s="92"/>
      <c r="B60" s="92"/>
      <c r="C60" s="92"/>
      <c r="D60" s="92"/>
      <c r="E60" s="92"/>
      <c r="F60" s="92"/>
      <c r="G60" s="116" t="s">
        <v>72</v>
      </c>
      <c r="I60" s="16">
        <f>I57*5</f>
        <v>3.5148207573316217</v>
      </c>
    </row>
    <row r="61" spans="1:7" s="16" customFormat="1" ht="11.25">
      <c r="A61" s="93"/>
      <c r="B61" s="94"/>
      <c r="C61" s="95"/>
      <c r="D61" s="95"/>
      <c r="E61" s="95"/>
      <c r="F61" s="96"/>
      <c r="G61" s="116"/>
    </row>
    <row r="62" spans="1:7" s="16" customFormat="1" ht="11.25">
      <c r="A62" s="93"/>
      <c r="B62" s="94"/>
      <c r="C62" s="95"/>
      <c r="D62" s="95"/>
      <c r="E62" s="95"/>
      <c r="F62" s="96"/>
      <c r="G62" s="116"/>
    </row>
    <row r="63" spans="1:7" s="16" customFormat="1" ht="11.25">
      <c r="A63" s="93"/>
      <c r="B63" s="94"/>
      <c r="C63" s="95"/>
      <c r="D63" s="95"/>
      <c r="E63" s="95"/>
      <c r="F63" s="96"/>
      <c r="G63" s="116"/>
    </row>
    <row r="64" spans="1:25" s="16" customFormat="1" ht="11.25">
      <c r="A64" s="97"/>
      <c r="B64" s="96"/>
      <c r="C64" s="96"/>
      <c r="D64" s="96"/>
      <c r="E64" s="96"/>
      <c r="F64" s="96"/>
      <c r="G64" s="116" t="s">
        <v>74</v>
      </c>
      <c r="I64" s="137"/>
      <c r="J64" s="38"/>
      <c r="K64" s="38"/>
      <c r="Y64" s="14"/>
    </row>
    <row r="65" spans="1:6" s="16" customFormat="1" ht="11.25">
      <c r="A65" s="97"/>
      <c r="B65" s="96"/>
      <c r="C65" s="96"/>
      <c r="D65" s="96"/>
      <c r="E65" s="96"/>
      <c r="F65" s="96"/>
    </row>
    <row r="66" spans="1:9" s="16" customFormat="1" ht="11.25">
      <c r="A66" s="98"/>
      <c r="B66" s="33"/>
      <c r="C66" s="33"/>
      <c r="D66" s="92"/>
      <c r="E66" s="33"/>
      <c r="F66" s="92"/>
      <c r="G66" s="116" t="s">
        <v>75</v>
      </c>
      <c r="I66" s="145">
        <f>I64/(B21*12)</f>
        <v>0</v>
      </c>
    </row>
    <row r="67" spans="1:6" s="16" customFormat="1" ht="11.25">
      <c r="A67" s="98"/>
      <c r="B67" s="99"/>
      <c r="C67" s="33"/>
      <c r="D67" s="92"/>
      <c r="E67" s="33"/>
      <c r="F67" s="92"/>
    </row>
    <row r="68" spans="1:9" s="16" customFormat="1" ht="12" thickBot="1">
      <c r="A68" s="98"/>
      <c r="B68" s="99"/>
      <c r="C68" s="33"/>
      <c r="D68" s="92"/>
      <c r="E68" s="33"/>
      <c r="F68" s="92"/>
      <c r="G68" s="30" t="str">
        <f>$K$21+1&amp;" Net Credit/(Debit)"</f>
        <v>2017 Net Credit/(Debit)</v>
      </c>
      <c r="H68" s="25"/>
      <c r="I68" s="146">
        <f>+I57+I66</f>
        <v>0.7029641514663243</v>
      </c>
    </row>
    <row r="69" spans="1:25" s="16" customFormat="1" ht="12" thickTop="1">
      <c r="A69" s="98"/>
      <c r="B69" s="99"/>
      <c r="C69" s="33"/>
      <c r="D69" s="92"/>
      <c r="E69" s="33"/>
      <c r="F69" s="92"/>
      <c r="Y69" s="14"/>
    </row>
    <row r="70" spans="1:9" s="16" customFormat="1" ht="11.25">
      <c r="A70" s="98"/>
      <c r="B70" s="99"/>
      <c r="C70" s="33"/>
      <c r="D70" s="92"/>
      <c r="E70" s="33"/>
      <c r="F70" s="92"/>
      <c r="G70" s="116" t="s">
        <v>73</v>
      </c>
      <c r="I70" s="16">
        <f>+I68*3.5</f>
        <v>2.460374530132135</v>
      </c>
    </row>
    <row r="71" spans="1:9" s="16" customFormat="1" ht="11.25">
      <c r="A71" s="98"/>
      <c r="B71" s="99"/>
      <c r="C71" s="33"/>
      <c r="D71" s="92"/>
      <c r="E71" s="33"/>
      <c r="F71" s="92"/>
      <c r="G71" s="116" t="s">
        <v>72</v>
      </c>
      <c r="I71" s="16">
        <f>I68*5</f>
        <v>3.5148207573316217</v>
      </c>
    </row>
    <row r="72" spans="1:6" s="16" customFormat="1" ht="11.25">
      <c r="A72" s="98"/>
      <c r="B72" s="99"/>
      <c r="C72" s="33"/>
      <c r="D72" s="92"/>
      <c r="E72" s="33"/>
      <c r="F72" s="92"/>
    </row>
    <row r="73" spans="1:27" s="16" customFormat="1" ht="11.25">
      <c r="A73" s="98"/>
      <c r="B73" s="99"/>
      <c r="C73" s="33"/>
      <c r="D73" s="92"/>
      <c r="E73" s="33"/>
      <c r="F73" s="92"/>
      <c r="G73" s="14"/>
      <c r="H73" s="13"/>
      <c r="I73" s="14"/>
      <c r="J73" s="14"/>
      <c r="K73" s="13"/>
      <c r="L73" s="14"/>
      <c r="M73" s="14"/>
      <c r="N73" s="14"/>
      <c r="O73" s="14"/>
      <c r="P73" s="14"/>
      <c r="Q73" s="14"/>
      <c r="R73" s="14"/>
      <c r="S73" s="14"/>
      <c r="T73" s="14"/>
      <c r="U73" s="14"/>
      <c r="V73" s="13"/>
      <c r="W73" s="14"/>
      <c r="AA73" s="14"/>
    </row>
    <row r="74" spans="1:6" s="16" customFormat="1" ht="11.25">
      <c r="A74" s="98"/>
      <c r="B74" s="99"/>
      <c r="C74" s="33"/>
      <c r="D74" s="92"/>
      <c r="E74" s="33"/>
      <c r="F74" s="92"/>
    </row>
    <row r="75" spans="1:6" s="16" customFormat="1" ht="11.25">
      <c r="A75" s="98"/>
      <c r="B75" s="99"/>
      <c r="C75" s="33"/>
      <c r="D75" s="92"/>
      <c r="E75" s="33"/>
      <c r="F75" s="92"/>
    </row>
    <row r="76" spans="1:6" s="16" customFormat="1" ht="11.25">
      <c r="A76" s="98"/>
      <c r="B76" s="33"/>
      <c r="C76" s="33"/>
      <c r="D76" s="92"/>
      <c r="E76" s="33"/>
      <c r="F76" s="92"/>
    </row>
    <row r="77" spans="1:6" s="16" customFormat="1" ht="11.25">
      <c r="A77" s="98"/>
      <c r="B77" s="33"/>
      <c r="C77" s="100"/>
      <c r="D77" s="92"/>
      <c r="E77" s="33"/>
      <c r="F77" s="92"/>
    </row>
    <row r="78" spans="1:25" s="16" customFormat="1" ht="12.75">
      <c r="A78" s="101"/>
      <c r="B78" s="101"/>
      <c r="C78" s="101"/>
      <c r="D78" s="102"/>
      <c r="E78" s="101"/>
      <c r="F78" s="101"/>
      <c r="Y78" s="14"/>
    </row>
    <row r="79" spans="1:6" s="16" customFormat="1" ht="11.25">
      <c r="A79" s="103"/>
      <c r="B79" s="33"/>
      <c r="C79" s="100"/>
      <c r="D79" s="92"/>
      <c r="E79" s="100"/>
      <c r="F79" s="104"/>
    </row>
    <row r="80" s="16" customFormat="1" ht="11.25"/>
    <row r="81" s="16" customFormat="1" ht="11.25"/>
    <row r="82" s="16" customFormat="1" ht="11.25">
      <c r="B82" s="8"/>
    </row>
    <row r="83" spans="2:25" s="14" customFormat="1" ht="11.25">
      <c r="B83" s="29"/>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39"/>
      <c r="I97" s="39"/>
      <c r="J97" s="39"/>
      <c r="L97" s="39"/>
      <c r="M97" s="39"/>
      <c r="N97" s="39"/>
      <c r="O97" s="39"/>
      <c r="P97" s="39"/>
      <c r="Q97" s="39"/>
      <c r="R97" s="39"/>
      <c r="S97" s="39"/>
      <c r="T97" s="39"/>
      <c r="U97" s="39"/>
      <c r="V97" s="39"/>
      <c r="W97" s="39"/>
      <c r="X97" s="39"/>
      <c r="Y97" s="39"/>
      <c r="AA97" s="5"/>
    </row>
    <row r="98" s="16" customFormat="1" ht="12.75">
      <c r="AA98" s="5"/>
    </row>
    <row r="99" spans="7:27" s="16" customFormat="1" ht="13.5" thickBot="1">
      <c r="G99" s="40"/>
      <c r="I99" s="40"/>
      <c r="J99" s="40"/>
      <c r="L99" s="40"/>
      <c r="M99" s="40"/>
      <c r="N99" s="40"/>
      <c r="O99" s="40"/>
      <c r="P99" s="40"/>
      <c r="Q99" s="40"/>
      <c r="R99" s="40"/>
      <c r="S99" s="40"/>
      <c r="T99" s="40"/>
      <c r="U99" s="40"/>
      <c r="V99" s="40"/>
      <c r="W99" s="40"/>
      <c r="X99" s="40"/>
      <c r="Y99" s="40"/>
      <c r="AA99" s="5"/>
    </row>
    <row r="100" ht="13.5" thickTop="1"/>
    <row r="101" spans="23:25" ht="12.75">
      <c r="W101" s="41"/>
      <c r="X101" s="41"/>
      <c r="Y101" s="41"/>
    </row>
    <row r="102" spans="23:27" ht="12.75">
      <c r="W102" s="41"/>
      <c r="AA102" s="41"/>
    </row>
  </sheetData>
  <sheetProtection/>
  <printOptions horizontalCentered="1"/>
  <pageMargins left="0" right="0" top="0.26" bottom="0.33" header="0" footer="0"/>
  <pageSetup fitToHeight="1" fitToWidth="1" horizontalDpi="1200" verticalDpi="1200" orientation="portrait" scale="56"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D35" sqref="D35"/>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7109375" style="57" customWidth="1"/>
    <col min="16" max="16" width="14.57421875" style="0" bestFit="1" customWidth="1"/>
    <col min="17" max="17" width="9.7109375" style="0" customWidth="1"/>
  </cols>
  <sheetData>
    <row r="1" spans="1:2" ht="12.75">
      <c r="A1" s="42" t="s">
        <v>28</v>
      </c>
      <c r="B1" s="43"/>
    </row>
    <row r="2" spans="1:2" ht="12.75">
      <c r="A2" s="44" t="str">
        <f>'WUTC_AW of Kent (SeaTac)_MF'!A1</f>
        <v>Rabanco Ltd (dba Allied Waste of Kent)</v>
      </c>
      <c r="B2" s="44"/>
    </row>
    <row r="3" ht="12.75">
      <c r="B3" s="55"/>
    </row>
    <row r="4" spans="2:15" ht="12.75">
      <c r="B4" s="55"/>
      <c r="C4" s="55"/>
      <c r="D4" s="55"/>
      <c r="E4" s="55"/>
      <c r="F4" s="55"/>
      <c r="G4" s="55"/>
      <c r="H4" s="55"/>
      <c r="I4" s="55"/>
      <c r="J4" s="55"/>
      <c r="K4" s="55"/>
      <c r="L4" s="55"/>
      <c r="M4" s="55"/>
      <c r="O4" s="58" t="str">
        <f>+TEXT(P18,"00.0%")&amp;" of"</f>
        <v>50.0% of</v>
      </c>
    </row>
    <row r="5" spans="2:17" ht="12.75">
      <c r="B5" s="55"/>
      <c r="C5" s="46" t="s">
        <v>15</v>
      </c>
      <c r="D5" s="46" t="s">
        <v>16</v>
      </c>
      <c r="E5" s="46" t="s">
        <v>27</v>
      </c>
      <c r="F5" s="46" t="s">
        <v>17</v>
      </c>
      <c r="G5" s="46" t="s">
        <v>18</v>
      </c>
      <c r="H5" s="46" t="s">
        <v>19</v>
      </c>
      <c r="I5" s="46" t="s">
        <v>20</v>
      </c>
      <c r="J5" s="46" t="s">
        <v>21</v>
      </c>
      <c r="K5" s="46" t="s">
        <v>22</v>
      </c>
      <c r="L5" s="46" t="s">
        <v>23</v>
      </c>
      <c r="M5" s="46" t="s">
        <v>24</v>
      </c>
      <c r="O5" s="58" t="s">
        <v>24</v>
      </c>
      <c r="P5" s="46" t="s">
        <v>86</v>
      </c>
      <c r="Q5" s="46" t="s">
        <v>87</v>
      </c>
    </row>
    <row r="6" spans="1:18" ht="15.75" customHeight="1">
      <c r="A6" s="50">
        <f>+Pricing!A4</f>
        <v>42125</v>
      </c>
      <c r="B6" s="55"/>
      <c r="C6" s="56">
        <f>'Commodity Tonnages'!C6*Pricing!C4</f>
        <v>77.7945</v>
      </c>
      <c r="D6" s="60">
        <f>'Commodity Tonnages'!D6*Pricing!D4</f>
        <v>-13.648429600000002</v>
      </c>
      <c r="E6" s="60">
        <f>'Commodity Tonnages'!E6*Pricing!E4</f>
        <v>0</v>
      </c>
      <c r="F6" s="60">
        <f>'Commodity Tonnages'!F6*Pricing!F4</f>
        <v>8.920394174999998</v>
      </c>
      <c r="G6" s="60">
        <f>'Commodity Tonnages'!G6*Pricing!G4</f>
        <v>150.83475224999998</v>
      </c>
      <c r="H6" s="60">
        <f>'Commodity Tonnages'!H6*Pricing!H4</f>
        <v>221.13605255</v>
      </c>
      <c r="I6" s="60">
        <f>'Commodity Tonnages'!I6*Pricing!I4</f>
        <v>40.45839322</v>
      </c>
      <c r="J6" s="60">
        <f>'Commodity Tonnages'!J6*Pricing!J4</f>
        <v>40.45839322</v>
      </c>
      <c r="K6" s="60">
        <f>'Commodity Tonnages'!K6*Pricing!K4</f>
        <v>180.85971518999997</v>
      </c>
      <c r="L6" s="60">
        <f>'Commodity Tonnages'!L6*Pricing!L4</f>
        <v>-85.15666795000018</v>
      </c>
      <c r="M6" s="120">
        <f>SUM(C6:L6)</f>
        <v>621.6571030549998</v>
      </c>
      <c r="O6" s="142">
        <f>M6-Q6</f>
        <v>310.83760305499976</v>
      </c>
      <c r="P6" s="125">
        <f>_xlfn.IFERROR(O6/M6,0)</f>
        <v>0.5000145603218484</v>
      </c>
      <c r="Q6" s="140">
        <v>310.8195</v>
      </c>
      <c r="R6" s="59"/>
    </row>
    <row r="7" spans="1:18" ht="15.75" customHeight="1">
      <c r="A7" s="50">
        <f>+Pricing!A5</f>
        <v>42185</v>
      </c>
      <c r="B7" s="55"/>
      <c r="C7" s="56">
        <f>'Commodity Tonnages'!C7*Pricing!C5</f>
        <v>95.7025104</v>
      </c>
      <c r="D7" s="60">
        <f>'Commodity Tonnages'!D7*Pricing!D5</f>
        <v>-57.240485119999995</v>
      </c>
      <c r="E7" s="60">
        <f>'Commodity Tonnages'!E7*Pricing!E5</f>
        <v>0</v>
      </c>
      <c r="F7" s="60">
        <f>'Commodity Tonnages'!F7*Pricing!F5</f>
        <v>13.033343399999998</v>
      </c>
      <c r="G7" s="60">
        <f>'Commodity Tonnages'!G7*Pricing!G5</f>
        <v>232.32441959999994</v>
      </c>
      <c r="H7" s="60">
        <f>'Commodity Tonnages'!H7*Pricing!H5</f>
        <v>351.49282067199994</v>
      </c>
      <c r="I7" s="60">
        <f>'Commodity Tonnages'!I7*Pricing!I5</f>
        <v>62.969602696</v>
      </c>
      <c r="J7" s="60">
        <f>'Commodity Tonnages'!J7*Pricing!J5</f>
        <v>62.969602696</v>
      </c>
      <c r="K7" s="60">
        <f>'Commodity Tonnages'!K7*Pricing!K5</f>
        <v>286.952694336</v>
      </c>
      <c r="L7" s="60">
        <f>'Commodity Tonnages'!L7*Pricing!L5</f>
        <v>-120.28824728000025</v>
      </c>
      <c r="M7" s="120">
        <f aca="true" t="shared" si="0" ref="M7:M17">SUM(C7:L7)</f>
        <v>927.9162613999996</v>
      </c>
      <c r="O7" s="142">
        <f aca="true" t="shared" si="1" ref="O7:O17">M7-Q7</f>
        <v>464.24431139999956</v>
      </c>
      <c r="P7" s="125">
        <f aca="true" t="shared" si="2" ref="P7:P17">_xlfn.IFERROR(O7/M7,0)</f>
        <v>0.5003084122047479</v>
      </c>
      <c r="Q7" s="140">
        <v>463.67195000000004</v>
      </c>
      <c r="R7" s="59"/>
    </row>
    <row r="8" spans="1:18" ht="15.75" customHeight="1">
      <c r="A8" s="50">
        <f>+Pricing!A6</f>
        <v>42216</v>
      </c>
      <c r="B8" s="51"/>
      <c r="C8" s="56">
        <f>'Commodity Tonnages'!C8*Pricing!C6</f>
        <v>69.46057754999998</v>
      </c>
      <c r="D8" s="60">
        <f>'Commodity Tonnages'!D8*Pricing!D6</f>
        <v>-24.486870720000002</v>
      </c>
      <c r="E8" s="60">
        <f>'Commodity Tonnages'!E8*Pricing!E6</f>
        <v>0</v>
      </c>
      <c r="F8" s="60">
        <f>'Commodity Tonnages'!F8*Pricing!F6</f>
        <v>8.67248613</v>
      </c>
      <c r="G8" s="60">
        <f>'Commodity Tonnages'!G8*Pricing!G6</f>
        <v>172.0140786</v>
      </c>
      <c r="H8" s="60">
        <f>'Commodity Tonnages'!H8*Pricing!H6</f>
        <v>254.43684655199996</v>
      </c>
      <c r="I8" s="60">
        <f>'Commodity Tonnages'!I8*Pricing!I6</f>
        <v>36.064010913</v>
      </c>
      <c r="J8" s="60">
        <f>'Commodity Tonnages'!J8*Pricing!J6</f>
        <v>36.064010913</v>
      </c>
      <c r="K8" s="60">
        <f>'Commodity Tonnages'!K8*Pricing!K6</f>
        <v>213.96694611600003</v>
      </c>
      <c r="L8" s="60">
        <f>'Commodity Tonnages'!L8*Pricing!L6</f>
        <v>-90.2161854600002</v>
      </c>
      <c r="M8" s="120">
        <f t="shared" si="0"/>
        <v>675.9759005939997</v>
      </c>
      <c r="O8" s="142">
        <f t="shared" si="1"/>
        <v>338.01720059399963</v>
      </c>
      <c r="P8" s="125">
        <f t="shared" si="2"/>
        <v>0.5000432712127372</v>
      </c>
      <c r="Q8" s="140">
        <v>337.9587</v>
      </c>
      <c r="R8" s="59"/>
    </row>
    <row r="9" spans="1:18" ht="15.75" customHeight="1">
      <c r="A9" s="50">
        <f>+Pricing!A7</f>
        <v>42247</v>
      </c>
      <c r="B9" s="51"/>
      <c r="C9" s="56">
        <f>'Commodity Tonnages'!C9*Pricing!C7</f>
        <v>89.31587700000001</v>
      </c>
      <c r="D9" s="60">
        <f>'Commodity Tonnages'!D9*Pricing!D7</f>
        <v>-19.612247200000002</v>
      </c>
      <c r="E9" s="60">
        <f>'Commodity Tonnages'!E9*Pricing!E7</f>
        <v>0</v>
      </c>
      <c r="F9" s="60">
        <f>'Commodity Tonnages'!F9*Pricing!F7</f>
        <v>9.613873500000002</v>
      </c>
      <c r="G9" s="60">
        <f>'Commodity Tonnages'!G9*Pricing!G7</f>
        <v>208.86465600000005</v>
      </c>
      <c r="H9" s="60">
        <f>'Commodity Tonnages'!H9*Pricing!H7</f>
        <v>312.80166749999995</v>
      </c>
      <c r="I9" s="60">
        <f>'Commodity Tonnages'!I9*Pricing!I7</f>
        <v>33.99462514000001</v>
      </c>
      <c r="J9" s="60">
        <f>'Commodity Tonnages'!J9*Pricing!J7</f>
        <v>33.99462514000001</v>
      </c>
      <c r="K9" s="60">
        <f>'Commodity Tonnages'!K9*Pricing!K7</f>
        <v>266.0011893</v>
      </c>
      <c r="L9" s="60">
        <f>'Commodity Tonnages'!L9*Pricing!L7</f>
        <v>-114.72990410000027</v>
      </c>
      <c r="M9" s="120">
        <f t="shared" si="0"/>
        <v>820.24436228</v>
      </c>
      <c r="O9" s="142">
        <f t="shared" si="1"/>
        <v>410.09686228</v>
      </c>
      <c r="P9" s="125">
        <f t="shared" si="2"/>
        <v>0.49996913254005226</v>
      </c>
      <c r="Q9" s="140">
        <v>410.14750000000004</v>
      </c>
      <c r="R9" s="59"/>
    </row>
    <row r="10" spans="1:18" ht="15.75" customHeight="1">
      <c r="A10" s="50">
        <f>+Pricing!A8</f>
        <v>42277</v>
      </c>
      <c r="B10" s="51"/>
      <c r="C10" s="56">
        <f>'Commodity Tonnages'!C10*Pricing!C8</f>
        <v>85.071816375</v>
      </c>
      <c r="D10" s="60">
        <f>'Commodity Tonnages'!D10*Pricing!D8</f>
        <v>-16.0175496</v>
      </c>
      <c r="E10" s="60">
        <f>'Commodity Tonnages'!E10*Pricing!E8</f>
        <v>0</v>
      </c>
      <c r="F10" s="60">
        <f>'Commodity Tonnages'!F10*Pricing!F8</f>
        <v>8.9582493</v>
      </c>
      <c r="G10" s="60">
        <f>'Commodity Tonnages'!G10*Pricing!G8</f>
        <v>188.1094215</v>
      </c>
      <c r="H10" s="60">
        <f>'Commodity Tonnages'!H10*Pricing!H8</f>
        <v>297.96852176</v>
      </c>
      <c r="I10" s="60">
        <f>'Commodity Tonnages'!I10*Pricing!I8</f>
        <v>28.8622868625</v>
      </c>
      <c r="J10" s="60">
        <f>'Commodity Tonnages'!J10*Pricing!J8</f>
        <v>28.8622868625</v>
      </c>
      <c r="K10" s="60">
        <f>'Commodity Tonnages'!K10*Pricing!K8</f>
        <v>252.55839609</v>
      </c>
      <c r="L10" s="60">
        <f>'Commodity Tonnages'!L10*Pricing!L8</f>
        <v>-106.53491095000024</v>
      </c>
      <c r="M10" s="120">
        <f t="shared" si="0"/>
        <v>767.8385181999997</v>
      </c>
      <c r="O10" s="142">
        <f t="shared" si="1"/>
        <v>383.92251819999973</v>
      </c>
      <c r="P10" s="125">
        <f t="shared" si="2"/>
        <v>0.5000042445122543</v>
      </c>
      <c r="Q10" s="140">
        <v>383.916</v>
      </c>
      <c r="R10" s="59"/>
    </row>
    <row r="11" spans="1:18" ht="15.75" customHeight="1">
      <c r="A11" s="50">
        <f>+Pricing!A9</f>
        <v>42308</v>
      </c>
      <c r="B11" s="51"/>
      <c r="C11" s="56">
        <f>'Commodity Tonnages'!C11*Pricing!C9</f>
        <v>98.61771149999998</v>
      </c>
      <c r="D11" s="60">
        <f>'Commodity Tonnages'!D11*Pricing!D9</f>
        <v>3.33397064</v>
      </c>
      <c r="E11" s="60">
        <f>'Commodity Tonnages'!E11*Pricing!E9</f>
        <v>0</v>
      </c>
      <c r="F11" s="60">
        <f>'Commodity Tonnages'!F11*Pricing!F9</f>
        <v>8.907030825</v>
      </c>
      <c r="G11" s="60">
        <f>'Commodity Tonnages'!G11*Pricing!G9</f>
        <v>209.85489525000003</v>
      </c>
      <c r="H11" s="60">
        <f>'Commodity Tonnages'!H11*Pricing!H9</f>
        <v>336.0597624999999</v>
      </c>
      <c r="I11" s="60">
        <f>'Commodity Tonnages'!I11*Pricing!I9</f>
        <v>32.498533567500004</v>
      </c>
      <c r="J11" s="60">
        <f>'Commodity Tonnages'!J11*Pricing!J9</f>
        <v>32.498533567500004</v>
      </c>
      <c r="K11" s="60">
        <f>'Commodity Tonnages'!K11*Pricing!K9</f>
        <v>282.0159342</v>
      </c>
      <c r="L11" s="60">
        <f>'Commodity Tonnages'!L11*Pricing!L9</f>
        <v>-121.49968105000028</v>
      </c>
      <c r="M11" s="120">
        <f t="shared" si="0"/>
        <v>882.2866909999997</v>
      </c>
      <c r="O11" s="142">
        <f t="shared" si="1"/>
        <v>441.11794099999963</v>
      </c>
      <c r="P11" s="125">
        <f t="shared" si="2"/>
        <v>0.4999712060713832</v>
      </c>
      <c r="Q11" s="140">
        <v>441.16875000000005</v>
      </c>
      <c r="R11" s="59"/>
    </row>
    <row r="12" spans="1:18" ht="15.75" customHeight="1">
      <c r="A12" s="50">
        <f>+Pricing!A10</f>
        <v>42338</v>
      </c>
      <c r="B12" s="51"/>
      <c r="C12" s="56">
        <f>'Commodity Tonnages'!C12*Pricing!C10</f>
        <v>88.09433100000001</v>
      </c>
      <c r="D12" s="60">
        <f>'Commodity Tonnages'!D12*Pricing!D10</f>
        <v>-18.638326720000002</v>
      </c>
      <c r="E12" s="60">
        <f>'Commodity Tonnages'!E12*Pricing!E10</f>
        <v>0</v>
      </c>
      <c r="F12" s="60">
        <f>'Commodity Tonnages'!F12*Pricing!F10</f>
        <v>8.448297000000002</v>
      </c>
      <c r="G12" s="60">
        <f>'Commodity Tonnages'!G12*Pricing!G10</f>
        <v>196.320774</v>
      </c>
      <c r="H12" s="60">
        <f>'Commodity Tonnages'!H12*Pricing!H10</f>
        <v>219.99548072</v>
      </c>
      <c r="I12" s="60">
        <f>'Commodity Tonnages'!I12*Pricing!I10</f>
        <v>31.609770620000006</v>
      </c>
      <c r="J12" s="60">
        <f>'Commodity Tonnages'!J12*Pricing!J10</f>
        <v>31.609770620000006</v>
      </c>
      <c r="K12" s="60">
        <f>'Commodity Tonnages'!K12*Pricing!K10</f>
        <v>270.97712136</v>
      </c>
      <c r="L12" s="60">
        <f>'Commodity Tonnages'!L12*Pricing!L10</f>
        <v>-119.43311756000028</v>
      </c>
      <c r="M12" s="120">
        <f t="shared" si="0"/>
        <v>708.9841010399998</v>
      </c>
      <c r="O12" s="142">
        <f t="shared" si="1"/>
        <v>354.5101010399998</v>
      </c>
      <c r="P12" s="125">
        <f t="shared" si="2"/>
        <v>0.5000254596964494</v>
      </c>
      <c r="Q12" s="140">
        <v>354.474</v>
      </c>
      <c r="R12" s="59"/>
    </row>
    <row r="13" spans="1:18" ht="15.75" customHeight="1">
      <c r="A13" s="50">
        <f>+Pricing!A11</f>
        <v>42369</v>
      </c>
      <c r="B13" s="51"/>
      <c r="C13" s="56">
        <f>'Commodity Tonnages'!C13*Pricing!C11</f>
        <v>106.86030337499999</v>
      </c>
      <c r="D13" s="60">
        <f>'Commodity Tonnages'!D13*Pricing!D11</f>
        <v>-62.8728204</v>
      </c>
      <c r="E13" s="60">
        <f>'Commodity Tonnages'!E13*Pricing!E11</f>
        <v>0</v>
      </c>
      <c r="F13" s="60">
        <f>'Commodity Tonnages'!F13*Pricing!F11</f>
        <v>10.02841455</v>
      </c>
      <c r="G13" s="60">
        <f>'Commodity Tonnages'!G13*Pricing!G11</f>
        <v>235.54528724999997</v>
      </c>
      <c r="H13" s="60">
        <f>'Commodity Tonnages'!H13*Pricing!H11</f>
        <v>345.57283018999993</v>
      </c>
      <c r="I13" s="60">
        <f>'Commodity Tonnages'!I13*Pricing!I11</f>
        <v>36.73902988</v>
      </c>
      <c r="J13" s="60">
        <f>'Commodity Tonnages'!J13*Pricing!J11</f>
        <v>36.73902988</v>
      </c>
      <c r="K13" s="60">
        <f>'Commodity Tonnages'!K13*Pricing!K11</f>
        <v>294.70267827</v>
      </c>
      <c r="L13" s="60">
        <f>'Commodity Tonnages'!L13*Pricing!L11</f>
        <v>-136.4644511500003</v>
      </c>
      <c r="M13" s="120">
        <f t="shared" si="0"/>
        <v>866.8503018449995</v>
      </c>
      <c r="O13" s="142">
        <f t="shared" si="1"/>
        <v>433.39005184499956</v>
      </c>
      <c r="P13" s="125">
        <f t="shared" si="2"/>
        <v>0.4999595096437926</v>
      </c>
      <c r="Q13" s="140">
        <v>433.46025</v>
      </c>
      <c r="R13" s="59"/>
    </row>
    <row r="14" spans="1:18" ht="15.75" customHeight="1">
      <c r="A14" s="50">
        <f>+Pricing!A12</f>
        <v>42400</v>
      </c>
      <c r="B14" s="51"/>
      <c r="C14" s="56">
        <f>'Commodity Tonnages'!C14*Pricing!C12</f>
        <v>101.45299814999998</v>
      </c>
      <c r="D14" s="60">
        <f>'Commodity Tonnages'!D14*Pricing!D12</f>
        <v>-11.66858784</v>
      </c>
      <c r="E14" s="60">
        <f>'Commodity Tonnages'!E14*Pricing!E12</f>
        <v>0</v>
      </c>
      <c r="F14" s="60">
        <f>'Commodity Tonnages'!F14*Pricing!F12</f>
        <v>8.811477675</v>
      </c>
      <c r="G14" s="60">
        <f>'Commodity Tonnages'!G14*Pricing!G12</f>
        <v>209.22325515</v>
      </c>
      <c r="H14" s="60">
        <f>'Commodity Tonnages'!H14*Pricing!H12</f>
        <v>306.955291986</v>
      </c>
      <c r="I14" s="60">
        <f>'Commodity Tonnages'!I14*Pricing!I12</f>
        <v>26.2901499525</v>
      </c>
      <c r="J14" s="60">
        <f>'Commodity Tonnages'!J14*Pricing!J12</f>
        <v>26.2901499525</v>
      </c>
      <c r="K14" s="60">
        <f>'Commodity Tonnages'!K14*Pricing!K12</f>
        <v>247.447511388</v>
      </c>
      <c r="L14" s="60">
        <f>'Commodity Tonnages'!L14*Pricing!L12</f>
        <v>-121.21463781000027</v>
      </c>
      <c r="M14" s="120">
        <f t="shared" si="0"/>
        <v>793.5876086039997</v>
      </c>
      <c r="O14" s="142">
        <f t="shared" si="1"/>
        <v>396.82935860399965</v>
      </c>
      <c r="P14" s="125">
        <f t="shared" si="2"/>
        <v>0.5000448019873475</v>
      </c>
      <c r="Q14" s="140">
        <v>396.75825000000003</v>
      </c>
      <c r="R14" s="59"/>
    </row>
    <row r="15" spans="1:18" ht="15.75" customHeight="1">
      <c r="A15" s="50">
        <f>+Pricing!A13</f>
        <v>42429</v>
      </c>
      <c r="B15" s="51"/>
      <c r="C15" s="56">
        <f>'Commodity Tonnages'!C15*Pricing!C13</f>
        <v>88.44211004999998</v>
      </c>
      <c r="D15" s="60">
        <f>'Commodity Tonnages'!D15*Pricing!D13</f>
        <v>11.252717112</v>
      </c>
      <c r="E15" s="60">
        <f>'Commodity Tonnages'!E15*Pricing!E13</f>
        <v>0</v>
      </c>
      <c r="F15" s="60">
        <f>'Commodity Tonnages'!F15*Pricing!F13</f>
        <v>7.71503271</v>
      </c>
      <c r="G15" s="60">
        <f>'Commodity Tonnages'!G15*Pricing!G13</f>
        <v>182.9259432</v>
      </c>
      <c r="H15" s="60">
        <f>'Commodity Tonnages'!H15*Pricing!H13</f>
        <v>267.638028644</v>
      </c>
      <c r="I15" s="60">
        <f>'Commodity Tonnages'!I15*Pricing!I13</f>
        <v>25.944826970999998</v>
      </c>
      <c r="J15" s="60">
        <f>'Commodity Tonnages'!J15*Pricing!J13</f>
        <v>25.944826970999998</v>
      </c>
      <c r="K15" s="60">
        <f>'Commodity Tonnages'!K15*Pricing!K13</f>
        <v>222.64611830999996</v>
      </c>
      <c r="L15" s="60">
        <f>'Commodity Tonnages'!L15*Pricing!L13</f>
        <v>-106.39238933000023</v>
      </c>
      <c r="M15" s="120">
        <f t="shared" si="0"/>
        <v>726.1172146379997</v>
      </c>
      <c r="O15" s="142">
        <f t="shared" si="1"/>
        <v>363.0942646379997</v>
      </c>
      <c r="P15" s="125">
        <f t="shared" si="2"/>
        <v>0.5000491068360328</v>
      </c>
      <c r="Q15" s="140">
        <v>363.02295000000004</v>
      </c>
      <c r="R15" s="59"/>
    </row>
    <row r="16" spans="1:18" ht="15.75" customHeight="1">
      <c r="A16" s="50">
        <f>+Pricing!A14</f>
        <v>42460</v>
      </c>
      <c r="B16" s="51"/>
      <c r="C16" s="56">
        <f>'Commodity Tonnages'!C16*Pricing!C14</f>
        <v>104.13413639999997</v>
      </c>
      <c r="D16" s="60">
        <f>'Commodity Tonnages'!D16*Pricing!D14</f>
        <v>4.976686624</v>
      </c>
      <c r="E16" s="60">
        <f>'Commodity Tonnages'!E16*Pricing!E14</f>
        <v>0</v>
      </c>
      <c r="F16" s="60">
        <f>'Commodity Tonnages'!F16*Pricing!F14</f>
        <v>10.26461898</v>
      </c>
      <c r="G16" s="60">
        <f>'Commodity Tonnages'!G16*Pricing!G14</f>
        <v>222.89145059999996</v>
      </c>
      <c r="H16" s="60">
        <f>'Commodity Tonnages'!H16*Pricing!H14</f>
        <v>322.9323755839999</v>
      </c>
      <c r="I16" s="60">
        <f>'Commodity Tonnages'!I16*Pricing!I14</f>
        <v>35.093248218</v>
      </c>
      <c r="J16" s="60">
        <f>'Commodity Tonnages'!J16*Pricing!J14</f>
        <v>35.093248218</v>
      </c>
      <c r="K16" s="60">
        <f>'Commodity Tonnages'!K16*Pricing!K14</f>
        <v>291.65634035999994</v>
      </c>
      <c r="L16" s="60">
        <f>'Commodity Tonnages'!L16*Pricing!L14</f>
        <v>-125.13398236000026</v>
      </c>
      <c r="M16" s="120">
        <f t="shared" si="0"/>
        <v>901.9081226239995</v>
      </c>
      <c r="O16" s="142">
        <f t="shared" si="1"/>
        <v>450.9673226239995</v>
      </c>
      <c r="P16" s="125">
        <f t="shared" si="2"/>
        <v>0.5000147036174385</v>
      </c>
      <c r="Q16" s="140">
        <v>450.94079999999997</v>
      </c>
      <c r="R16" s="59"/>
    </row>
    <row r="17" spans="1:18" ht="15.75" customHeight="1">
      <c r="A17" s="50">
        <f>+Pricing!A15</f>
        <v>42490</v>
      </c>
      <c r="B17" s="51"/>
      <c r="C17" s="56">
        <f>'Commodity Tonnages'!C17*Pricing!C15</f>
        <v>23.462249999999997</v>
      </c>
      <c r="D17" s="60">
        <f>'Commodity Tonnages'!D17*Pricing!D15</f>
        <v>-4.8277008</v>
      </c>
      <c r="E17" s="60">
        <f>'Commodity Tonnages'!E17*Pricing!E15</f>
        <v>0</v>
      </c>
      <c r="F17" s="60">
        <f>'Commodity Tonnages'!F17*Pricing!F15</f>
        <v>3.6207632999999997</v>
      </c>
      <c r="G17" s="60">
        <f>'Commodity Tonnages'!G17*Pricing!G15</f>
        <v>54.767348999999996</v>
      </c>
      <c r="H17" s="60">
        <f>'Commodity Tonnages'!H17*Pricing!H15</f>
        <v>84.47858201999998</v>
      </c>
      <c r="I17" s="60">
        <f>'Commodity Tonnages'!I17*Pricing!I15</f>
        <v>9.4585442</v>
      </c>
      <c r="J17" s="60">
        <f>'Commodity Tonnages'!J17*Pricing!J15</f>
        <v>9.4585442</v>
      </c>
      <c r="K17" s="60">
        <f>'Commodity Tonnages'!K17*Pricing!K15</f>
        <v>67.22288495999999</v>
      </c>
      <c r="L17" s="60">
        <f>'Commodity Tonnages'!L17*Pricing!L15</f>
        <v>-29.21693210000006</v>
      </c>
      <c r="M17" s="120">
        <f t="shared" si="0"/>
        <v>218.4242847799999</v>
      </c>
      <c r="O17" s="142">
        <f t="shared" si="1"/>
        <v>109.2242847799999</v>
      </c>
      <c r="P17" s="125">
        <f t="shared" si="2"/>
        <v>0.5000555908424386</v>
      </c>
      <c r="Q17" s="140">
        <v>109.2</v>
      </c>
      <c r="R17" s="59"/>
    </row>
    <row r="18" spans="1:16" ht="15.75" customHeight="1">
      <c r="A18" s="54" t="s">
        <v>26</v>
      </c>
      <c r="B18" s="51"/>
      <c r="C18" s="118">
        <f aca="true" t="shared" si="3" ref="C18:L18">SUM(C6:C17)</f>
        <v>1028.4091217999999</v>
      </c>
      <c r="D18" s="119">
        <f t="shared" si="3"/>
        <v>-209.44964362399998</v>
      </c>
      <c r="E18" s="119">
        <f t="shared" si="3"/>
        <v>0</v>
      </c>
      <c r="F18" s="118">
        <f t="shared" si="3"/>
        <v>106.99398154499998</v>
      </c>
      <c r="G18" s="118">
        <f t="shared" si="3"/>
        <v>2263.6762824</v>
      </c>
      <c r="H18" s="118">
        <f t="shared" si="3"/>
        <v>3321.4682606779998</v>
      </c>
      <c r="I18" s="118">
        <f t="shared" si="3"/>
        <v>399.98302224049996</v>
      </c>
      <c r="J18" s="118">
        <f t="shared" si="3"/>
        <v>399.98302224049996</v>
      </c>
      <c r="K18" s="118">
        <f t="shared" si="3"/>
        <v>2877.0075298799998</v>
      </c>
      <c r="L18" s="119">
        <f t="shared" si="3"/>
        <v>-1276.2811071000028</v>
      </c>
      <c r="M18" s="121">
        <f>SUM(C18:L18)</f>
        <v>8911.790470059996</v>
      </c>
      <c r="O18" s="141">
        <f>SUM(O6:O17)</f>
        <v>4456.251820059996</v>
      </c>
      <c r="P18" s="126">
        <f>+O18/M18</f>
        <v>0.500040012725972</v>
      </c>
    </row>
    <row r="19" spans="1:15" ht="12.75">
      <c r="A19" s="51"/>
      <c r="B19" s="51"/>
      <c r="C19" s="56"/>
      <c r="D19" s="56"/>
      <c r="E19" s="56"/>
      <c r="F19" s="56"/>
      <c r="G19" s="56"/>
      <c r="H19" s="56"/>
      <c r="I19" s="56"/>
      <c r="J19" s="56"/>
      <c r="K19" s="56"/>
      <c r="L19" s="56"/>
      <c r="M19" s="56"/>
      <c r="O19" s="62"/>
    </row>
    <row r="20" spans="1:15" ht="12.75">
      <c r="A20" s="51"/>
      <c r="B20" s="51"/>
      <c r="C20" s="51"/>
      <c r="D20" s="51"/>
      <c r="E20" s="51"/>
      <c r="F20" s="51"/>
      <c r="G20" s="51"/>
      <c r="H20" s="51"/>
      <c r="I20" s="51"/>
      <c r="J20" s="51"/>
      <c r="K20" s="51"/>
      <c r="L20" s="51"/>
      <c r="M20" s="52"/>
      <c r="O20" s="63"/>
    </row>
    <row r="21" spans="1:15" ht="12.75">
      <c r="A21" s="51"/>
      <c r="B21" s="51"/>
      <c r="C21" s="51"/>
      <c r="D21" s="51"/>
      <c r="E21" s="51"/>
      <c r="F21" s="51"/>
      <c r="G21" s="51"/>
      <c r="H21" s="51"/>
      <c r="I21" s="51"/>
      <c r="J21" s="51"/>
      <c r="K21" s="51"/>
      <c r="L21" s="51"/>
      <c r="M21" s="52"/>
      <c r="O21" s="64"/>
    </row>
    <row r="22" spans="1:13" ht="12.75">
      <c r="A22" s="51"/>
      <c r="B22" s="51"/>
      <c r="C22" s="51"/>
      <c r="D22" s="51"/>
      <c r="E22" s="51"/>
      <c r="F22" s="51"/>
      <c r="G22" s="51"/>
      <c r="H22" s="51"/>
      <c r="I22" s="51"/>
      <c r="J22" s="51"/>
      <c r="K22" s="51"/>
      <c r="L22" s="51"/>
      <c r="M22" s="52"/>
    </row>
    <row r="23" spans="1:13" ht="12.75">
      <c r="A23" s="51"/>
      <c r="B23" s="51"/>
      <c r="C23" s="51"/>
      <c r="D23" s="51"/>
      <c r="E23" s="51"/>
      <c r="F23" s="51"/>
      <c r="G23" s="51"/>
      <c r="H23" s="51"/>
      <c r="I23" s="51"/>
      <c r="J23" s="51"/>
      <c r="K23" s="51"/>
      <c r="L23" s="51"/>
      <c r="M23" s="52"/>
    </row>
    <row r="24" spans="1:13" ht="12.75">
      <c r="A24" s="51"/>
      <c r="B24" s="51"/>
      <c r="C24" s="51"/>
      <c r="D24" s="51"/>
      <c r="E24" s="51"/>
      <c r="F24" s="51"/>
      <c r="G24" s="51"/>
      <c r="H24" s="51"/>
      <c r="I24" s="51"/>
      <c r="J24" s="51"/>
      <c r="K24" s="51"/>
      <c r="L24" s="51"/>
      <c r="M24" s="52"/>
    </row>
    <row r="25" spans="1:13" ht="12.75">
      <c r="A25" s="51"/>
      <c r="B25" s="51"/>
      <c r="C25" s="51"/>
      <c r="D25" s="51"/>
      <c r="E25" s="51"/>
      <c r="F25" s="51"/>
      <c r="G25" s="51"/>
      <c r="H25" s="51"/>
      <c r="I25" s="51"/>
      <c r="J25" s="51"/>
      <c r="K25" s="51"/>
      <c r="L25" s="51"/>
      <c r="M25" s="52"/>
    </row>
    <row r="26" spans="1:13" ht="12.75">
      <c r="A26" s="51"/>
      <c r="B26" s="51"/>
      <c r="C26" s="51"/>
      <c r="D26" s="51"/>
      <c r="E26" s="51"/>
      <c r="F26" s="51"/>
      <c r="G26" s="51"/>
      <c r="H26" s="51"/>
      <c r="I26" s="51"/>
      <c r="J26" s="51"/>
      <c r="K26" s="51"/>
      <c r="L26" s="51"/>
      <c r="M26" s="52"/>
    </row>
    <row r="27" spans="1:13" ht="12.75">
      <c r="A27" s="51"/>
      <c r="B27" s="51"/>
      <c r="C27" s="51"/>
      <c r="D27" s="51"/>
      <c r="E27" s="51"/>
      <c r="F27" s="51"/>
      <c r="G27" s="51"/>
      <c r="H27" s="51"/>
      <c r="I27" s="51"/>
      <c r="J27" s="51"/>
      <c r="K27" s="51"/>
      <c r="L27" s="51"/>
      <c r="M27" s="52"/>
    </row>
    <row r="28" spans="1:13" ht="12.75">
      <c r="A28" s="51"/>
      <c r="B28" s="51"/>
      <c r="C28" s="51"/>
      <c r="D28" s="51"/>
      <c r="E28" s="51"/>
      <c r="F28" s="51"/>
      <c r="G28" s="51"/>
      <c r="H28" s="51"/>
      <c r="I28" s="51"/>
      <c r="J28" s="51"/>
      <c r="K28" s="51"/>
      <c r="L28" s="51"/>
      <c r="M28" s="51"/>
    </row>
    <row r="29" spans="1:13" ht="12.75">
      <c r="A29" s="51"/>
      <c r="B29" s="51"/>
      <c r="C29" s="51"/>
      <c r="D29" s="51"/>
      <c r="E29" s="51"/>
      <c r="F29" s="51"/>
      <c r="G29" s="51"/>
      <c r="H29" s="51"/>
      <c r="I29" s="51"/>
      <c r="J29" s="51"/>
      <c r="K29" s="51"/>
      <c r="L29" s="51"/>
      <c r="M29" s="51"/>
    </row>
    <row r="30" spans="1:13" ht="12.75">
      <c r="A30" s="51"/>
      <c r="B30" s="51"/>
      <c r="C30" s="51"/>
      <c r="D30" s="51"/>
      <c r="E30" s="51"/>
      <c r="F30" s="51"/>
      <c r="G30" s="51"/>
      <c r="H30" s="51"/>
      <c r="I30" s="51"/>
      <c r="J30" s="51"/>
      <c r="K30" s="51"/>
      <c r="L30" s="51"/>
      <c r="M30" s="51"/>
    </row>
    <row r="31" spans="1:13" ht="12.75">
      <c r="A31" s="51"/>
      <c r="B31" s="51"/>
      <c r="C31" s="51"/>
      <c r="D31" s="51"/>
      <c r="E31" s="51"/>
      <c r="F31" s="51"/>
      <c r="G31" s="51"/>
      <c r="H31" s="51"/>
      <c r="I31" s="51"/>
      <c r="J31" s="51"/>
      <c r="K31" s="51"/>
      <c r="L31" s="51"/>
      <c r="M31" s="51"/>
    </row>
    <row r="32" spans="1:13" ht="12.75">
      <c r="A32" s="51"/>
      <c r="B32" s="51"/>
      <c r="C32" s="51"/>
      <c r="D32" s="51"/>
      <c r="E32" s="51"/>
      <c r="F32" s="51"/>
      <c r="G32" s="51"/>
      <c r="H32" s="51"/>
      <c r="I32" s="51"/>
      <c r="J32" s="51"/>
      <c r="K32" s="51"/>
      <c r="L32" s="51"/>
      <c r="M32" s="51"/>
    </row>
    <row r="33" spans="1:13" ht="12.75">
      <c r="A33" s="51"/>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51"/>
      <c r="B38" s="51"/>
      <c r="C38" s="51"/>
      <c r="D38" s="51"/>
      <c r="E38" s="51"/>
      <c r="F38" s="51"/>
      <c r="G38" s="51"/>
      <c r="H38" s="51"/>
      <c r="I38" s="51"/>
      <c r="J38" s="51"/>
      <c r="K38" s="51"/>
      <c r="L38" s="51"/>
      <c r="M38" s="51"/>
    </row>
    <row r="39" spans="1:13" ht="12.75">
      <c r="A39" s="51"/>
      <c r="B39" s="51"/>
      <c r="C39" s="51"/>
      <c r="D39" s="51"/>
      <c r="E39" s="51"/>
      <c r="F39" s="51"/>
      <c r="G39" s="51"/>
      <c r="H39" s="51"/>
      <c r="I39" s="51"/>
      <c r="J39" s="51"/>
      <c r="K39" s="51"/>
      <c r="L39" s="51"/>
      <c r="M39" s="51"/>
    </row>
    <row r="40" spans="1:13" ht="12.75">
      <c r="A40" s="51"/>
      <c r="B40" s="51"/>
      <c r="C40" s="51"/>
      <c r="D40" s="51"/>
      <c r="E40" s="51"/>
      <c r="F40" s="51"/>
      <c r="G40" s="51"/>
      <c r="H40" s="51"/>
      <c r="I40" s="51"/>
      <c r="J40" s="51"/>
      <c r="K40" s="51"/>
      <c r="L40" s="51"/>
      <c r="M40" s="51"/>
    </row>
    <row r="41" spans="1:13" ht="12.75">
      <c r="A41" s="51"/>
      <c r="B41" s="51"/>
      <c r="C41" s="51"/>
      <c r="D41" s="51"/>
      <c r="E41" s="51"/>
      <c r="F41" s="51"/>
      <c r="G41" s="51"/>
      <c r="H41" s="51"/>
      <c r="I41" s="51"/>
      <c r="J41" s="51"/>
      <c r="K41" s="51"/>
      <c r="L41" s="51"/>
      <c r="M41" s="51"/>
    </row>
    <row r="42" spans="1:13" ht="12.75">
      <c r="A42" s="51"/>
      <c r="B42" s="51"/>
      <c r="C42" s="51"/>
      <c r="D42" s="51"/>
      <c r="E42" s="51"/>
      <c r="F42" s="51"/>
      <c r="G42" s="51"/>
      <c r="H42" s="51"/>
      <c r="I42" s="51"/>
      <c r="J42" s="51"/>
      <c r="K42" s="51"/>
      <c r="L42" s="51"/>
      <c r="M42" s="51"/>
    </row>
    <row r="43" spans="1:13" ht="12.75">
      <c r="A43" s="51"/>
      <c r="B43" s="51"/>
      <c r="C43" s="51"/>
      <c r="D43" s="51"/>
      <c r="E43" s="51"/>
      <c r="F43" s="51"/>
      <c r="G43" s="51"/>
      <c r="H43" s="51"/>
      <c r="I43" s="51"/>
      <c r="J43" s="51"/>
      <c r="K43" s="51"/>
      <c r="L43" s="51"/>
      <c r="M43" s="51"/>
    </row>
    <row r="44" spans="1:13" ht="12.75">
      <c r="A44" s="51"/>
      <c r="B44" s="51"/>
      <c r="C44" s="51"/>
      <c r="D44" s="51"/>
      <c r="E44" s="51"/>
      <c r="F44" s="51"/>
      <c r="G44" s="51"/>
      <c r="H44" s="51"/>
      <c r="I44" s="51"/>
      <c r="J44" s="51"/>
      <c r="K44" s="51"/>
      <c r="L44" s="51"/>
      <c r="M44" s="51"/>
    </row>
    <row r="45" spans="1:13" ht="12.75">
      <c r="A45" s="51"/>
      <c r="B45" s="51"/>
      <c r="C45" s="51"/>
      <c r="D45" s="51"/>
      <c r="E45" s="51"/>
      <c r="F45" s="51"/>
      <c r="G45" s="51"/>
      <c r="H45" s="51"/>
      <c r="I45" s="51"/>
      <c r="J45" s="51"/>
      <c r="K45" s="51"/>
      <c r="L45" s="51"/>
      <c r="M45" s="51"/>
    </row>
    <row r="46" spans="1:13" ht="12.75">
      <c r="A46" s="51"/>
      <c r="B46" s="51"/>
      <c r="C46" s="51"/>
      <c r="D46" s="51"/>
      <c r="E46" s="51"/>
      <c r="F46" s="51"/>
      <c r="G46" s="51"/>
      <c r="H46" s="51"/>
      <c r="I46" s="51"/>
      <c r="J46" s="51"/>
      <c r="K46" s="51"/>
      <c r="L46" s="51"/>
      <c r="M46" s="51"/>
    </row>
    <row r="47" spans="1:13" ht="12.75">
      <c r="A47" s="51"/>
      <c r="B47" s="51"/>
      <c r="C47" s="51"/>
      <c r="D47" s="51"/>
      <c r="E47" s="51"/>
      <c r="F47" s="51"/>
      <c r="G47" s="51"/>
      <c r="H47" s="51"/>
      <c r="I47" s="51"/>
      <c r="J47" s="51"/>
      <c r="K47" s="51"/>
      <c r="L47" s="51"/>
      <c r="M47" s="51"/>
    </row>
    <row r="48" spans="1:13" ht="12.75">
      <c r="A48" s="51"/>
      <c r="B48" s="51"/>
      <c r="C48" s="51"/>
      <c r="D48" s="51"/>
      <c r="E48" s="51"/>
      <c r="F48" s="51"/>
      <c r="G48" s="51"/>
      <c r="H48" s="51"/>
      <c r="I48" s="51"/>
      <c r="J48" s="51"/>
      <c r="K48" s="51"/>
      <c r="L48" s="51"/>
      <c r="M48" s="51"/>
    </row>
    <row r="49" spans="1:13" ht="12.75">
      <c r="A49" s="51"/>
      <c r="B49" s="51"/>
      <c r="C49" s="51"/>
      <c r="D49" s="51"/>
      <c r="E49" s="51"/>
      <c r="F49" s="51"/>
      <c r="G49" s="51"/>
      <c r="H49" s="51"/>
      <c r="I49" s="51"/>
      <c r="J49" s="51"/>
      <c r="K49" s="51"/>
      <c r="L49" s="51"/>
      <c r="M49" s="51"/>
    </row>
    <row r="50" spans="1:13" ht="12.75">
      <c r="A50" s="51"/>
      <c r="B50" s="51"/>
      <c r="C50" s="51"/>
      <c r="D50" s="51"/>
      <c r="E50" s="51"/>
      <c r="F50" s="51"/>
      <c r="G50" s="51"/>
      <c r="H50" s="51"/>
      <c r="I50" s="51"/>
      <c r="J50" s="51"/>
      <c r="K50" s="51"/>
      <c r="L50" s="51"/>
      <c r="M50" s="51"/>
    </row>
    <row r="51" spans="1:13" ht="12.75">
      <c r="A51" s="51"/>
      <c r="B51" s="51"/>
      <c r="C51" s="51"/>
      <c r="D51" s="51"/>
      <c r="E51" s="51"/>
      <c r="F51" s="51"/>
      <c r="G51" s="51"/>
      <c r="H51" s="51"/>
      <c r="I51" s="51"/>
      <c r="J51" s="51"/>
      <c r="K51" s="51"/>
      <c r="L51" s="51"/>
      <c r="M51" s="51"/>
    </row>
    <row r="52" spans="1:13" ht="12.75">
      <c r="A52" s="51"/>
      <c r="B52" s="51"/>
      <c r="C52" s="51"/>
      <c r="D52" s="51"/>
      <c r="E52" s="51"/>
      <c r="F52" s="51"/>
      <c r="G52" s="51"/>
      <c r="H52" s="51"/>
      <c r="I52" s="51"/>
      <c r="J52" s="51"/>
      <c r="K52" s="51"/>
      <c r="L52" s="51"/>
      <c r="M52" s="51"/>
    </row>
    <row r="53" spans="1:13" ht="12.75">
      <c r="A53" s="51"/>
      <c r="B53" s="51"/>
      <c r="C53" s="51"/>
      <c r="D53" s="51"/>
      <c r="E53" s="51"/>
      <c r="F53" s="51"/>
      <c r="G53" s="51"/>
      <c r="H53" s="51"/>
      <c r="I53" s="51"/>
      <c r="J53" s="51"/>
      <c r="K53" s="51"/>
      <c r="L53" s="51"/>
      <c r="M53" s="51"/>
    </row>
    <row r="54" spans="1:13" ht="12.75">
      <c r="A54" s="51"/>
      <c r="B54" s="51"/>
      <c r="C54" s="51"/>
      <c r="D54" s="51"/>
      <c r="E54" s="51"/>
      <c r="F54" s="51"/>
      <c r="G54" s="51"/>
      <c r="H54" s="51"/>
      <c r="I54" s="51"/>
      <c r="J54" s="51"/>
      <c r="K54" s="51"/>
      <c r="L54" s="51"/>
      <c r="M54" s="51"/>
    </row>
    <row r="55" spans="1:13" ht="12.75">
      <c r="A55" s="51"/>
      <c r="B55" s="51"/>
      <c r="C55" s="51"/>
      <c r="D55" s="51"/>
      <c r="E55" s="51"/>
      <c r="F55" s="51"/>
      <c r="G55" s="51"/>
      <c r="H55" s="51"/>
      <c r="I55" s="51"/>
      <c r="J55" s="51"/>
      <c r="K55" s="51"/>
      <c r="L55" s="51"/>
      <c r="M55" s="51"/>
    </row>
    <row r="56" spans="1:13" ht="12.75">
      <c r="A56" s="51"/>
      <c r="B56" s="51"/>
      <c r="C56" s="51"/>
      <c r="D56" s="51"/>
      <c r="E56" s="51"/>
      <c r="F56" s="51"/>
      <c r="G56" s="51"/>
      <c r="H56" s="51"/>
      <c r="I56" s="51"/>
      <c r="J56" s="51"/>
      <c r="K56" s="51"/>
      <c r="L56" s="51"/>
      <c r="M56" s="51"/>
    </row>
    <row r="57" spans="1:13" ht="12.75">
      <c r="A57" s="51"/>
      <c r="B57" s="51"/>
      <c r="C57" s="51"/>
      <c r="D57" s="51"/>
      <c r="E57" s="51"/>
      <c r="F57" s="51"/>
      <c r="G57" s="51"/>
      <c r="H57" s="51"/>
      <c r="I57" s="51"/>
      <c r="J57" s="51"/>
      <c r="K57" s="51"/>
      <c r="L57" s="51"/>
      <c r="M57" s="51"/>
    </row>
    <row r="58" spans="1:13" ht="12.75">
      <c r="A58" s="51"/>
      <c r="B58" s="51"/>
      <c r="C58" s="51"/>
      <c r="D58" s="51"/>
      <c r="E58" s="51"/>
      <c r="F58" s="51"/>
      <c r="G58" s="51"/>
      <c r="H58" s="51"/>
      <c r="I58" s="51"/>
      <c r="J58" s="51"/>
      <c r="K58" s="51"/>
      <c r="L58" s="51"/>
      <c r="M58" s="51"/>
    </row>
    <row r="59" spans="1:13" ht="12.75">
      <c r="A59" s="51"/>
      <c r="B59" s="51"/>
      <c r="C59" s="51"/>
      <c r="D59" s="51"/>
      <c r="E59" s="51"/>
      <c r="F59" s="51"/>
      <c r="G59" s="51"/>
      <c r="H59" s="51"/>
      <c r="I59" s="51"/>
      <c r="J59" s="51"/>
      <c r="K59" s="51"/>
      <c r="L59" s="51"/>
      <c r="M59" s="51"/>
    </row>
    <row r="60" spans="1:13" ht="12.75">
      <c r="A60" s="51"/>
      <c r="B60" s="51"/>
      <c r="C60" s="51"/>
      <c r="D60" s="51"/>
      <c r="E60" s="51"/>
      <c r="F60" s="51"/>
      <c r="G60" s="51"/>
      <c r="H60" s="51"/>
      <c r="I60" s="51"/>
      <c r="J60" s="51"/>
      <c r="K60" s="51"/>
      <c r="L60" s="51"/>
      <c r="M60" s="51"/>
    </row>
    <row r="61" spans="1:13" ht="12.75">
      <c r="A61" s="51"/>
      <c r="B61" s="51"/>
      <c r="C61" s="51"/>
      <c r="D61" s="51"/>
      <c r="E61" s="51"/>
      <c r="F61" s="51"/>
      <c r="G61" s="51"/>
      <c r="H61" s="51"/>
      <c r="I61" s="51"/>
      <c r="J61" s="51"/>
      <c r="K61" s="51"/>
      <c r="L61" s="51"/>
      <c r="M61" s="51"/>
    </row>
    <row r="62" spans="1:13" ht="12.75">
      <c r="A62" s="51"/>
      <c r="B62" s="51"/>
      <c r="C62" s="51"/>
      <c r="D62" s="51"/>
      <c r="E62" s="51"/>
      <c r="F62" s="51"/>
      <c r="G62" s="51"/>
      <c r="H62" s="51"/>
      <c r="I62" s="51"/>
      <c r="J62" s="51"/>
      <c r="K62" s="51"/>
      <c r="L62" s="51"/>
      <c r="M62" s="51"/>
    </row>
    <row r="63" spans="1:13" ht="12.75">
      <c r="A63" s="51"/>
      <c r="B63" s="51"/>
      <c r="C63" s="51"/>
      <c r="D63" s="51"/>
      <c r="E63" s="51"/>
      <c r="F63" s="51"/>
      <c r="G63" s="51"/>
      <c r="H63" s="51"/>
      <c r="I63" s="51"/>
      <c r="J63" s="51"/>
      <c r="K63" s="51"/>
      <c r="L63" s="51"/>
      <c r="M63" s="51"/>
    </row>
    <row r="64" spans="1:13" ht="12.75">
      <c r="A64" s="51"/>
      <c r="B64" s="51"/>
      <c r="C64" s="51"/>
      <c r="D64" s="51"/>
      <c r="E64" s="51"/>
      <c r="F64" s="51"/>
      <c r="G64" s="51"/>
      <c r="H64" s="51"/>
      <c r="I64" s="51"/>
      <c r="J64" s="51"/>
      <c r="K64" s="51"/>
      <c r="L64" s="51"/>
      <c r="M64" s="51"/>
    </row>
    <row r="65" spans="1:13" ht="12.75">
      <c r="A65" s="51"/>
      <c r="B65" s="51"/>
      <c r="C65" s="51"/>
      <c r="D65" s="51"/>
      <c r="E65" s="51"/>
      <c r="F65" s="51"/>
      <c r="G65" s="51"/>
      <c r="H65" s="51"/>
      <c r="I65" s="51"/>
      <c r="J65" s="51"/>
      <c r="K65" s="51"/>
      <c r="L65" s="51"/>
      <c r="M65" s="51"/>
    </row>
    <row r="66" spans="1:13" ht="12.75">
      <c r="A66" s="51"/>
      <c r="B66" s="51"/>
      <c r="C66" s="51"/>
      <c r="D66" s="51"/>
      <c r="E66" s="51"/>
      <c r="F66" s="51"/>
      <c r="G66" s="51"/>
      <c r="H66" s="51"/>
      <c r="I66" s="51"/>
      <c r="J66" s="51"/>
      <c r="K66" s="51"/>
      <c r="L66" s="51"/>
      <c r="M66" s="51"/>
    </row>
    <row r="67" spans="1:13" ht="12.75">
      <c r="A67" s="51"/>
      <c r="B67" s="51"/>
      <c r="C67" s="51"/>
      <c r="D67" s="51"/>
      <c r="E67" s="51"/>
      <c r="F67" s="51"/>
      <c r="G67" s="51"/>
      <c r="H67" s="51"/>
      <c r="I67" s="51"/>
      <c r="J67" s="51"/>
      <c r="K67" s="51"/>
      <c r="L67" s="51"/>
      <c r="M67" s="51"/>
    </row>
    <row r="68" spans="1:13" ht="12.75">
      <c r="A68" s="51"/>
      <c r="B68" s="51"/>
      <c r="C68" s="51"/>
      <c r="D68" s="51"/>
      <c r="E68" s="51"/>
      <c r="F68" s="51"/>
      <c r="G68" s="51"/>
      <c r="H68" s="51"/>
      <c r="I68" s="51"/>
      <c r="J68" s="51"/>
      <c r="K68" s="51"/>
      <c r="L68" s="51"/>
      <c r="M68" s="51"/>
    </row>
    <row r="69" spans="1:13" ht="12.75">
      <c r="A69" s="51"/>
      <c r="B69" s="51"/>
      <c r="C69" s="51"/>
      <c r="D69" s="51"/>
      <c r="E69" s="51"/>
      <c r="F69" s="51"/>
      <c r="G69" s="51"/>
      <c r="H69" s="51"/>
      <c r="I69" s="51"/>
      <c r="J69" s="51"/>
      <c r="K69" s="51"/>
      <c r="L69" s="51"/>
      <c r="M69" s="51"/>
    </row>
    <row r="70" spans="1:13" ht="12.75">
      <c r="A70" s="51"/>
      <c r="B70" s="51"/>
      <c r="C70" s="51"/>
      <c r="D70" s="51"/>
      <c r="E70" s="51"/>
      <c r="F70" s="51"/>
      <c r="G70" s="51"/>
      <c r="H70" s="51"/>
      <c r="I70" s="51"/>
      <c r="J70" s="51"/>
      <c r="K70" s="51"/>
      <c r="L70" s="51"/>
      <c r="M70" s="51"/>
    </row>
    <row r="71" spans="1:13" ht="12.75">
      <c r="A71" s="51"/>
      <c r="B71" s="51"/>
      <c r="C71" s="51"/>
      <c r="D71" s="51"/>
      <c r="E71" s="51"/>
      <c r="F71" s="51"/>
      <c r="G71" s="51"/>
      <c r="H71" s="51"/>
      <c r="I71" s="51"/>
      <c r="J71" s="51"/>
      <c r="K71" s="51"/>
      <c r="L71" s="51"/>
      <c r="M71" s="51"/>
    </row>
    <row r="72" spans="1:13" ht="12.75">
      <c r="A72" s="51"/>
      <c r="B72" s="51"/>
      <c r="C72" s="51"/>
      <c r="D72" s="51"/>
      <c r="E72" s="51"/>
      <c r="F72" s="51"/>
      <c r="G72" s="51"/>
      <c r="H72" s="51"/>
      <c r="I72" s="51"/>
      <c r="J72" s="51"/>
      <c r="K72" s="51"/>
      <c r="L72" s="51"/>
      <c r="M72" s="51"/>
    </row>
    <row r="73" spans="1:13" ht="12.75">
      <c r="A73" s="51"/>
      <c r="B73" s="51"/>
      <c r="C73" s="51"/>
      <c r="D73" s="51"/>
      <c r="E73" s="51"/>
      <c r="F73" s="51"/>
      <c r="G73" s="51"/>
      <c r="H73" s="51"/>
      <c r="I73" s="51"/>
      <c r="J73" s="51"/>
      <c r="K73" s="51"/>
      <c r="L73" s="51"/>
      <c r="M73" s="51"/>
    </row>
    <row r="74" spans="1:13" ht="12.75">
      <c r="A74" s="51"/>
      <c r="B74" s="51"/>
      <c r="C74" s="51"/>
      <c r="D74" s="51"/>
      <c r="E74" s="51"/>
      <c r="F74" s="51"/>
      <c r="G74" s="51"/>
      <c r="H74" s="51"/>
      <c r="I74" s="51"/>
      <c r="J74" s="51"/>
      <c r="K74" s="51"/>
      <c r="L74" s="51"/>
      <c r="M74" s="51"/>
    </row>
    <row r="75" spans="1:13" ht="12.75">
      <c r="A75" s="51"/>
      <c r="B75" s="51"/>
      <c r="C75" s="51"/>
      <c r="D75" s="51"/>
      <c r="E75" s="51"/>
      <c r="F75" s="51"/>
      <c r="G75" s="51"/>
      <c r="H75" s="51"/>
      <c r="I75" s="51"/>
      <c r="J75" s="51"/>
      <c r="K75" s="51"/>
      <c r="L75" s="51"/>
      <c r="M75" s="51"/>
    </row>
    <row r="76" spans="1:13" ht="12.75">
      <c r="A76" s="51"/>
      <c r="B76" s="51"/>
      <c r="C76" s="51"/>
      <c r="D76" s="51"/>
      <c r="E76" s="51"/>
      <c r="F76" s="51"/>
      <c r="G76" s="51"/>
      <c r="H76" s="51"/>
      <c r="I76" s="51"/>
      <c r="J76" s="51"/>
      <c r="K76" s="51"/>
      <c r="L76" s="51"/>
      <c r="M76" s="51"/>
    </row>
    <row r="77" spans="1:13" ht="12.75">
      <c r="A77" s="51"/>
      <c r="B77" s="51"/>
      <c r="C77" s="51"/>
      <c r="D77" s="51"/>
      <c r="E77" s="51"/>
      <c r="F77" s="51"/>
      <c r="G77" s="51"/>
      <c r="H77" s="51"/>
      <c r="I77" s="51"/>
      <c r="J77" s="51"/>
      <c r="K77" s="51"/>
      <c r="L77" s="51"/>
      <c r="M77" s="51"/>
    </row>
    <row r="78" spans="1:13" ht="12.75">
      <c r="A78" s="51"/>
      <c r="B78" s="51"/>
      <c r="C78" s="51"/>
      <c r="D78" s="51"/>
      <c r="E78" s="51"/>
      <c r="F78" s="51"/>
      <c r="G78" s="51"/>
      <c r="H78" s="51"/>
      <c r="I78" s="51"/>
      <c r="J78" s="51"/>
      <c r="K78" s="51"/>
      <c r="L78" s="51"/>
      <c r="M78" s="51"/>
    </row>
    <row r="79" spans="1:13" ht="12.75">
      <c r="A79" s="51"/>
      <c r="B79" s="51"/>
      <c r="C79" s="51"/>
      <c r="D79" s="51"/>
      <c r="E79" s="51"/>
      <c r="F79" s="51"/>
      <c r="G79" s="51"/>
      <c r="H79" s="51"/>
      <c r="I79" s="51"/>
      <c r="J79" s="51"/>
      <c r="K79" s="51"/>
      <c r="L79" s="51"/>
      <c r="M79" s="51"/>
    </row>
    <row r="80" spans="1:13" ht="12.75">
      <c r="A80" s="51"/>
      <c r="B80" s="51"/>
      <c r="C80" s="51"/>
      <c r="D80" s="51"/>
      <c r="E80" s="51"/>
      <c r="F80" s="51"/>
      <c r="G80" s="51"/>
      <c r="H80" s="51"/>
      <c r="I80" s="51"/>
      <c r="J80" s="51"/>
      <c r="K80" s="51"/>
      <c r="L80" s="51"/>
      <c r="M80" s="51"/>
    </row>
    <row r="81" spans="1:13" ht="12.75">
      <c r="A81" s="51"/>
      <c r="B81" s="51"/>
      <c r="C81" s="51"/>
      <c r="D81" s="51"/>
      <c r="E81" s="51"/>
      <c r="F81" s="51"/>
      <c r="G81" s="51"/>
      <c r="H81" s="51"/>
      <c r="I81" s="51"/>
      <c r="J81" s="51"/>
      <c r="K81" s="51"/>
      <c r="L81" s="51"/>
      <c r="M81" s="51"/>
    </row>
    <row r="82" spans="1:13" ht="12.75">
      <c r="A82" s="51"/>
      <c r="B82" s="51"/>
      <c r="C82" s="51"/>
      <c r="D82" s="51"/>
      <c r="E82" s="51"/>
      <c r="F82" s="51"/>
      <c r="G82" s="51"/>
      <c r="H82" s="51"/>
      <c r="I82" s="51"/>
      <c r="J82" s="51"/>
      <c r="K82" s="51"/>
      <c r="L82" s="51"/>
      <c r="M82" s="51"/>
    </row>
    <row r="83" spans="1:13" ht="12.75">
      <c r="A83" s="51"/>
      <c r="B83" s="51"/>
      <c r="C83" s="51"/>
      <c r="D83" s="51"/>
      <c r="E83" s="51"/>
      <c r="F83" s="51"/>
      <c r="G83" s="51"/>
      <c r="H83" s="51"/>
      <c r="I83" s="51"/>
      <c r="J83" s="51"/>
      <c r="K83" s="51"/>
      <c r="L83" s="51"/>
      <c r="M83" s="51"/>
    </row>
    <row r="84" spans="1:13" ht="12.75">
      <c r="A84" s="51"/>
      <c r="B84" s="51"/>
      <c r="C84" s="51"/>
      <c r="D84" s="51"/>
      <c r="E84" s="51"/>
      <c r="F84" s="51"/>
      <c r="G84" s="51"/>
      <c r="H84" s="51"/>
      <c r="I84" s="51"/>
      <c r="J84" s="51"/>
      <c r="K84" s="51"/>
      <c r="L84" s="51"/>
      <c r="M84" s="51"/>
    </row>
    <row r="85" spans="1:13" ht="12.75">
      <c r="A85" s="51"/>
      <c r="B85" s="51"/>
      <c r="C85" s="51"/>
      <c r="D85" s="51"/>
      <c r="E85" s="51"/>
      <c r="F85" s="51"/>
      <c r="G85" s="51"/>
      <c r="H85" s="51"/>
      <c r="I85" s="51"/>
      <c r="J85" s="51"/>
      <c r="K85" s="51"/>
      <c r="L85" s="51"/>
      <c r="M85" s="51"/>
    </row>
    <row r="86" spans="1:13" ht="12.75">
      <c r="A86" s="51"/>
      <c r="B86" s="51"/>
      <c r="C86" s="51"/>
      <c r="D86" s="51"/>
      <c r="E86" s="51"/>
      <c r="F86" s="51"/>
      <c r="G86" s="51"/>
      <c r="H86" s="51"/>
      <c r="I86" s="51"/>
      <c r="J86" s="51"/>
      <c r="K86" s="51"/>
      <c r="L86" s="51"/>
      <c r="M86" s="51"/>
    </row>
    <row r="87" spans="1:13" ht="12.75">
      <c r="A87" s="51"/>
      <c r="B87" s="51"/>
      <c r="C87" s="51"/>
      <c r="D87" s="51"/>
      <c r="E87" s="51"/>
      <c r="F87" s="51"/>
      <c r="G87" s="51"/>
      <c r="H87" s="51"/>
      <c r="I87" s="51"/>
      <c r="J87" s="51"/>
      <c r="K87" s="51"/>
      <c r="L87" s="51"/>
      <c r="M87" s="51"/>
    </row>
    <row r="88" spans="1:13" ht="12.75">
      <c r="A88" s="51"/>
      <c r="B88" s="51"/>
      <c r="C88" s="51"/>
      <c r="D88" s="51"/>
      <c r="E88" s="51"/>
      <c r="F88" s="51"/>
      <c r="G88" s="51"/>
      <c r="H88" s="51"/>
      <c r="I88" s="51"/>
      <c r="J88" s="51"/>
      <c r="K88" s="51"/>
      <c r="L88" s="51"/>
      <c r="M88" s="51"/>
    </row>
    <row r="89" spans="1:13" ht="12.75">
      <c r="A89" s="51"/>
      <c r="B89" s="51"/>
      <c r="C89" s="51"/>
      <c r="D89" s="51"/>
      <c r="E89" s="51"/>
      <c r="F89" s="51"/>
      <c r="G89" s="51"/>
      <c r="H89" s="51"/>
      <c r="I89" s="51"/>
      <c r="J89" s="51"/>
      <c r="K89" s="51"/>
      <c r="L89" s="51"/>
      <c r="M89" s="51"/>
    </row>
    <row r="90" spans="1:13" ht="12.75">
      <c r="A90" s="51"/>
      <c r="B90" s="51"/>
      <c r="C90" s="51"/>
      <c r="D90" s="51"/>
      <c r="E90" s="51"/>
      <c r="F90" s="51"/>
      <c r="G90" s="51"/>
      <c r="H90" s="51"/>
      <c r="I90" s="51"/>
      <c r="J90" s="51"/>
      <c r="K90" s="51"/>
      <c r="L90" s="51"/>
      <c r="M90" s="51"/>
    </row>
    <row r="91" spans="1:13" ht="12.75">
      <c r="A91" s="51"/>
      <c r="B91" s="51"/>
      <c r="C91" s="51"/>
      <c r="D91" s="51"/>
      <c r="E91" s="51"/>
      <c r="F91" s="51"/>
      <c r="G91" s="51"/>
      <c r="H91" s="51"/>
      <c r="I91" s="51"/>
      <c r="J91" s="51"/>
      <c r="K91" s="51"/>
      <c r="L91" s="51"/>
      <c r="M91" s="51"/>
    </row>
    <row r="92" spans="1:13" ht="12.75">
      <c r="A92" s="51"/>
      <c r="B92" s="51"/>
      <c r="C92" s="51"/>
      <c r="D92" s="51"/>
      <c r="E92" s="51"/>
      <c r="F92" s="51"/>
      <c r="G92" s="51"/>
      <c r="H92" s="51"/>
      <c r="I92" s="51"/>
      <c r="J92" s="51"/>
      <c r="K92" s="51"/>
      <c r="L92" s="51"/>
      <c r="M92" s="51"/>
    </row>
    <row r="93" spans="1:13" ht="12.75">
      <c r="A93" s="51"/>
      <c r="B93" s="51"/>
      <c r="C93" s="51"/>
      <c r="D93" s="51"/>
      <c r="E93" s="51"/>
      <c r="F93" s="51"/>
      <c r="G93" s="51"/>
      <c r="H93" s="51"/>
      <c r="I93" s="51"/>
      <c r="J93" s="51"/>
      <c r="K93" s="51"/>
      <c r="L93" s="51"/>
      <c r="M93" s="51"/>
    </row>
    <row r="94" spans="1:13" ht="12.75">
      <c r="A94" s="51"/>
      <c r="B94" s="51"/>
      <c r="C94" s="51"/>
      <c r="D94" s="51"/>
      <c r="E94" s="51"/>
      <c r="F94" s="51"/>
      <c r="G94" s="51"/>
      <c r="H94" s="51"/>
      <c r="I94" s="51"/>
      <c r="J94" s="51"/>
      <c r="K94" s="51"/>
      <c r="L94" s="51"/>
      <c r="M94" s="51"/>
    </row>
    <row r="95" spans="1:13" ht="12.75">
      <c r="A95" s="51"/>
      <c r="B95" s="51"/>
      <c r="C95" s="51"/>
      <c r="D95" s="51"/>
      <c r="E95" s="51"/>
      <c r="F95" s="51"/>
      <c r="G95" s="51"/>
      <c r="H95" s="51"/>
      <c r="I95" s="51"/>
      <c r="J95" s="51"/>
      <c r="K95" s="51"/>
      <c r="L95" s="51"/>
      <c r="M95" s="51"/>
    </row>
    <row r="96" spans="1:13" ht="12.75">
      <c r="A96" s="51"/>
      <c r="B96" s="51"/>
      <c r="C96" s="51"/>
      <c r="D96" s="51"/>
      <c r="E96" s="51"/>
      <c r="F96" s="51"/>
      <c r="G96" s="51"/>
      <c r="H96" s="51"/>
      <c r="I96" s="51"/>
      <c r="J96" s="51"/>
      <c r="K96" s="51"/>
      <c r="L96" s="51"/>
      <c r="M96" s="51"/>
    </row>
    <row r="97" spans="1:13" ht="12.75">
      <c r="A97" s="51"/>
      <c r="B97" s="51"/>
      <c r="C97" s="51"/>
      <c r="D97" s="51"/>
      <c r="E97" s="51"/>
      <c r="F97" s="51"/>
      <c r="G97" s="51"/>
      <c r="H97" s="51"/>
      <c r="I97" s="51"/>
      <c r="J97" s="51"/>
      <c r="K97" s="51"/>
      <c r="L97" s="51"/>
      <c r="M97" s="51"/>
    </row>
    <row r="98" spans="1:13" ht="12.75">
      <c r="A98" s="51"/>
      <c r="B98" s="51"/>
      <c r="C98" s="51"/>
      <c r="D98" s="51"/>
      <c r="E98" s="51"/>
      <c r="F98" s="51"/>
      <c r="G98" s="51"/>
      <c r="H98" s="51"/>
      <c r="I98" s="51"/>
      <c r="J98" s="51"/>
      <c r="K98" s="51"/>
      <c r="L98" s="51"/>
      <c r="M98" s="51"/>
    </row>
    <row r="99" spans="1:13" ht="12.75">
      <c r="A99" s="51"/>
      <c r="B99" s="51"/>
      <c r="C99" s="51"/>
      <c r="D99" s="51"/>
      <c r="E99" s="51"/>
      <c r="F99" s="51"/>
      <c r="G99" s="51"/>
      <c r="H99" s="51"/>
      <c r="I99" s="51"/>
      <c r="J99" s="51"/>
      <c r="K99" s="51"/>
      <c r="L99" s="51"/>
      <c r="M99" s="51"/>
    </row>
    <row r="100" spans="1:13" ht="12.75">
      <c r="A100" s="51"/>
      <c r="B100" s="51"/>
      <c r="C100" s="51"/>
      <c r="D100" s="51"/>
      <c r="E100" s="51"/>
      <c r="F100" s="51"/>
      <c r="G100" s="51"/>
      <c r="H100" s="51"/>
      <c r="I100" s="51"/>
      <c r="J100" s="51"/>
      <c r="K100" s="51"/>
      <c r="L100" s="51"/>
      <c r="M100" s="51"/>
    </row>
    <row r="101" spans="1:13" ht="12.75">
      <c r="A101" s="51"/>
      <c r="B101" s="51"/>
      <c r="C101" s="51"/>
      <c r="D101" s="51"/>
      <c r="E101" s="51"/>
      <c r="F101" s="51"/>
      <c r="G101" s="51"/>
      <c r="H101" s="51"/>
      <c r="I101" s="51"/>
      <c r="J101" s="51"/>
      <c r="K101" s="51"/>
      <c r="L101" s="51"/>
      <c r="M101" s="51"/>
    </row>
    <row r="102" spans="1:13" ht="12.75">
      <c r="A102" s="51"/>
      <c r="B102" s="51"/>
      <c r="C102" s="51"/>
      <c r="D102" s="51"/>
      <c r="E102" s="51"/>
      <c r="F102" s="51"/>
      <c r="G102" s="51"/>
      <c r="H102" s="51"/>
      <c r="I102" s="51"/>
      <c r="J102" s="51"/>
      <c r="K102" s="51"/>
      <c r="L102" s="51"/>
      <c r="M102" s="51"/>
    </row>
    <row r="103" spans="1:13" ht="12.75">
      <c r="A103" s="51"/>
      <c r="B103" s="51"/>
      <c r="C103" s="51"/>
      <c r="D103" s="51"/>
      <c r="E103" s="51"/>
      <c r="F103" s="51"/>
      <c r="G103" s="51"/>
      <c r="H103" s="51"/>
      <c r="I103" s="51"/>
      <c r="J103" s="51"/>
      <c r="K103" s="51"/>
      <c r="L103" s="51"/>
      <c r="M103" s="51"/>
    </row>
    <row r="104" spans="1:13" ht="12.75">
      <c r="A104" s="51"/>
      <c r="B104" s="51"/>
      <c r="C104" s="51"/>
      <c r="D104" s="51"/>
      <c r="E104" s="51"/>
      <c r="F104" s="51"/>
      <c r="G104" s="51"/>
      <c r="H104" s="51"/>
      <c r="I104" s="51"/>
      <c r="J104" s="51"/>
      <c r="K104" s="51"/>
      <c r="L104" s="51"/>
      <c r="M104" s="51"/>
    </row>
    <row r="105" spans="1:13" ht="12.75">
      <c r="A105" s="51"/>
      <c r="B105" s="51"/>
      <c r="C105" s="51"/>
      <c r="D105" s="51"/>
      <c r="E105" s="51"/>
      <c r="F105" s="51"/>
      <c r="G105" s="51"/>
      <c r="H105" s="51"/>
      <c r="I105" s="51"/>
      <c r="J105" s="51"/>
      <c r="K105" s="51"/>
      <c r="L105" s="51"/>
      <c r="M105" s="51"/>
    </row>
    <row r="106" spans="1:13" ht="12.75">
      <c r="A106" s="51"/>
      <c r="B106" s="51"/>
      <c r="C106" s="51"/>
      <c r="D106" s="51"/>
      <c r="E106" s="51"/>
      <c r="F106" s="51"/>
      <c r="G106" s="51"/>
      <c r="H106" s="51"/>
      <c r="I106" s="51"/>
      <c r="J106" s="51"/>
      <c r="K106" s="51"/>
      <c r="L106" s="51"/>
      <c r="M106" s="51"/>
    </row>
    <row r="107" spans="1:13" ht="12.75">
      <c r="A107" s="51"/>
      <c r="B107" s="51"/>
      <c r="C107" s="51"/>
      <c r="D107" s="51"/>
      <c r="E107" s="51"/>
      <c r="F107" s="51"/>
      <c r="G107" s="51"/>
      <c r="H107" s="51"/>
      <c r="I107" s="51"/>
      <c r="J107" s="51"/>
      <c r="K107" s="51"/>
      <c r="L107" s="51"/>
      <c r="M107" s="51"/>
    </row>
    <row r="108" spans="1:13" ht="12.75">
      <c r="A108" s="51"/>
      <c r="B108" s="51"/>
      <c r="C108" s="51"/>
      <c r="D108" s="51"/>
      <c r="E108" s="51"/>
      <c r="F108" s="51"/>
      <c r="G108" s="51"/>
      <c r="H108" s="51"/>
      <c r="I108" s="51"/>
      <c r="J108" s="51"/>
      <c r="K108" s="51"/>
      <c r="L108" s="51"/>
      <c r="M108" s="51"/>
    </row>
    <row r="109" spans="1:13" ht="12.75">
      <c r="A109" s="51"/>
      <c r="B109" s="51"/>
      <c r="C109" s="51"/>
      <c r="D109" s="51"/>
      <c r="E109" s="51"/>
      <c r="F109" s="51"/>
      <c r="G109" s="51"/>
      <c r="H109" s="51"/>
      <c r="I109" s="51"/>
      <c r="J109" s="51"/>
      <c r="K109" s="51"/>
      <c r="L109" s="51"/>
      <c r="M109" s="51"/>
    </row>
    <row r="110" spans="1:13" ht="12.75">
      <c r="A110" s="51"/>
      <c r="B110" s="51"/>
      <c r="C110" s="51"/>
      <c r="D110" s="51"/>
      <c r="E110" s="51"/>
      <c r="F110" s="51"/>
      <c r="G110" s="51"/>
      <c r="H110" s="51"/>
      <c r="I110" s="51"/>
      <c r="J110" s="51"/>
      <c r="K110" s="51"/>
      <c r="L110" s="51"/>
      <c r="M110" s="51"/>
    </row>
    <row r="111" spans="1:13" ht="12.75">
      <c r="A111" s="51"/>
      <c r="B111" s="51"/>
      <c r="C111" s="51"/>
      <c r="D111" s="51"/>
      <c r="E111" s="51"/>
      <c r="F111" s="51"/>
      <c r="G111" s="51"/>
      <c r="H111" s="51"/>
      <c r="I111" s="51"/>
      <c r="J111" s="51"/>
      <c r="K111" s="51"/>
      <c r="L111" s="51"/>
      <c r="M111" s="51"/>
    </row>
    <row r="112" spans="1:13" ht="12.75">
      <c r="A112" s="51"/>
      <c r="B112" s="51"/>
      <c r="C112" s="51"/>
      <c r="D112" s="51"/>
      <c r="E112" s="51"/>
      <c r="F112" s="51"/>
      <c r="G112" s="51"/>
      <c r="H112" s="51"/>
      <c r="I112" s="51"/>
      <c r="J112" s="51"/>
      <c r="K112" s="51"/>
      <c r="L112" s="51"/>
      <c r="M112" s="51"/>
    </row>
    <row r="113" spans="1:13" ht="12.75">
      <c r="A113" s="51"/>
      <c r="B113" s="51"/>
      <c r="C113" s="51"/>
      <c r="D113" s="51"/>
      <c r="E113" s="51"/>
      <c r="F113" s="51"/>
      <c r="G113" s="51"/>
      <c r="H113" s="51"/>
      <c r="I113" s="51"/>
      <c r="J113" s="51"/>
      <c r="K113" s="51"/>
      <c r="L113" s="51"/>
      <c r="M113" s="51"/>
    </row>
    <row r="114" spans="1:13" ht="12.75">
      <c r="A114" s="51"/>
      <c r="B114" s="51"/>
      <c r="C114" s="51"/>
      <c r="D114" s="51"/>
      <c r="E114" s="51"/>
      <c r="F114" s="51"/>
      <c r="G114" s="51"/>
      <c r="H114" s="51"/>
      <c r="I114" s="51"/>
      <c r="J114" s="51"/>
      <c r="K114" s="51"/>
      <c r="L114" s="51"/>
      <c r="M114" s="51"/>
    </row>
    <row r="115" spans="1:13" ht="12.75">
      <c r="A115" s="51"/>
      <c r="B115" s="51"/>
      <c r="C115" s="51"/>
      <c r="D115" s="51"/>
      <c r="E115" s="51"/>
      <c r="F115" s="51"/>
      <c r="G115" s="51"/>
      <c r="H115" s="51"/>
      <c r="I115" s="51"/>
      <c r="J115" s="51"/>
      <c r="K115" s="51"/>
      <c r="L115" s="51"/>
      <c r="M115" s="51"/>
    </row>
    <row r="116" spans="1:13" ht="12.75">
      <c r="A116" s="51"/>
      <c r="B116" s="51"/>
      <c r="C116" s="51"/>
      <c r="D116" s="51"/>
      <c r="E116" s="51"/>
      <c r="F116" s="51"/>
      <c r="G116" s="51"/>
      <c r="H116" s="51"/>
      <c r="I116" s="51"/>
      <c r="J116" s="51"/>
      <c r="K116" s="51"/>
      <c r="L116" s="51"/>
      <c r="M116" s="51"/>
    </row>
    <row r="117" spans="1:13" ht="12.75">
      <c r="A117" s="51"/>
      <c r="B117" s="51"/>
      <c r="C117" s="51"/>
      <c r="D117" s="51"/>
      <c r="E117" s="51"/>
      <c r="F117" s="51"/>
      <c r="G117" s="51"/>
      <c r="H117" s="51"/>
      <c r="I117" s="51"/>
      <c r="J117" s="51"/>
      <c r="K117" s="51"/>
      <c r="L117" s="51"/>
      <c r="M117" s="51"/>
    </row>
    <row r="118" spans="1:13" ht="12.75">
      <c r="A118" s="51"/>
      <c r="B118" s="51"/>
      <c r="C118" s="51"/>
      <c r="D118" s="51"/>
      <c r="E118" s="51"/>
      <c r="F118" s="51"/>
      <c r="G118" s="51"/>
      <c r="H118" s="51"/>
      <c r="I118" s="51"/>
      <c r="J118" s="51"/>
      <c r="K118" s="51"/>
      <c r="L118" s="51"/>
      <c r="M118" s="51"/>
    </row>
  </sheetData>
  <sheetProtection/>
  <printOptions/>
  <pageMargins left="0.5" right="0.5" top="0.75" bottom="0.75" header="0.5" footer="0.5"/>
  <pageSetup fitToHeight="0"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N6" sqref="N6:N18"/>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2" t="str">
        <f>"Multi-Family Tonnages by Commodity ("&amp;TEXT(A6,"mmmm yyyy")&amp;" through "&amp;TEXT(A17,"mmmm yyyy")&amp;")"</f>
        <v>Multi-Family Tonnages by Commodity (May 2015 through April 2016)</v>
      </c>
      <c r="B1" s="43"/>
    </row>
    <row r="2" spans="1:2" ht="12.75">
      <c r="A2" s="44" t="s">
        <v>61</v>
      </c>
      <c r="B2" s="44"/>
    </row>
    <row r="3" spans="1:14" ht="12.75">
      <c r="A3" s="43"/>
      <c r="B3" s="45"/>
      <c r="C3" s="46" t="s">
        <v>15</v>
      </c>
      <c r="D3" s="46" t="s">
        <v>16</v>
      </c>
      <c r="E3" s="46" t="s">
        <v>27</v>
      </c>
      <c r="F3" s="46" t="s">
        <v>17</v>
      </c>
      <c r="G3" s="46" t="s">
        <v>18</v>
      </c>
      <c r="H3" s="46" t="s">
        <v>19</v>
      </c>
      <c r="I3" s="46" t="s">
        <v>20</v>
      </c>
      <c r="J3" s="46" t="s">
        <v>21</v>
      </c>
      <c r="K3" s="46" t="s">
        <v>22</v>
      </c>
      <c r="L3" s="46" t="s">
        <v>23</v>
      </c>
      <c r="M3" s="46"/>
      <c r="N3" s="46" t="s">
        <v>24</v>
      </c>
    </row>
    <row r="4" spans="1:5" s="48" customFormat="1" ht="12.75">
      <c r="A4" s="47"/>
      <c r="B4" s="47"/>
      <c r="D4" s="49"/>
      <c r="E4" s="49"/>
    </row>
    <row r="5" spans="1:14" ht="12.75">
      <c r="A5" s="50"/>
      <c r="B5" s="51"/>
      <c r="C5" s="52"/>
      <c r="D5" s="52"/>
      <c r="E5" s="52"/>
      <c r="F5" s="52"/>
      <c r="G5" s="52"/>
      <c r="H5" s="52"/>
      <c r="I5" s="52"/>
      <c r="J5" s="52"/>
      <c r="L5" s="51"/>
      <c r="M5" s="48"/>
      <c r="N5" s="52" t="s">
        <v>25</v>
      </c>
    </row>
    <row r="6" spans="1:16" ht="12.75">
      <c r="A6" s="110">
        <f>Multi_Family!$C$6</f>
        <v>42125</v>
      </c>
      <c r="B6" s="51" t="s">
        <v>49</v>
      </c>
      <c r="C6" s="86">
        <f>Multi_Family!C32</f>
        <v>0.089625</v>
      </c>
      <c r="D6" s="87">
        <f>Multi_Family!C34</f>
        <v>2.11276</v>
      </c>
      <c r="E6" s="86">
        <f>Multi_Family!C35</f>
        <v>0</v>
      </c>
      <c r="F6" s="86">
        <f>Multi_Family!C30</f>
        <v>0.197175</v>
      </c>
      <c r="G6" s="86">
        <f>Multi_Family!C27</f>
        <v>2.33025</v>
      </c>
      <c r="H6" s="86">
        <f>Multi_Family!C37</f>
        <v>3.8455099999999995</v>
      </c>
      <c r="I6" s="86">
        <f>Multi_Family!C31/2</f>
        <v>0.2682775</v>
      </c>
      <c r="J6" s="86">
        <f>Multi_Family!C31/2</f>
        <v>0.2682775</v>
      </c>
      <c r="K6" s="86">
        <f>Multi_Family!C28</f>
        <v>2.1294899999999997</v>
      </c>
      <c r="L6" s="86">
        <f>Multi_Family!C36</f>
        <v>0.7086350000000016</v>
      </c>
      <c r="M6" s="48"/>
      <c r="N6" s="111">
        <f aca="true" t="shared" si="0" ref="N6:N17">SUM(C6:L6)</f>
        <v>11.95</v>
      </c>
      <c r="O6" s="61"/>
      <c r="P6" s="53"/>
    </row>
    <row r="7" spans="1:16" ht="12.75">
      <c r="A7" s="50">
        <f aca="true" t="shared" si="1" ref="A7:A17">EOMONTH(A6,1)</f>
        <v>42185</v>
      </c>
      <c r="B7" s="51" t="s">
        <v>50</v>
      </c>
      <c r="C7" s="86">
        <f>Multi_Family!D32</f>
        <v>0.1266</v>
      </c>
      <c r="D7" s="87">
        <f>Multi_Family!D34</f>
        <v>2.984384</v>
      </c>
      <c r="E7" s="86">
        <f>Multi_Family!D35</f>
        <v>0</v>
      </c>
      <c r="F7" s="86">
        <f>Multi_Family!D30</f>
        <v>0.27852</v>
      </c>
      <c r="G7" s="86">
        <f>Multi_Family!D27</f>
        <v>3.2916</v>
      </c>
      <c r="H7" s="86">
        <f>Multi_Family!D37</f>
        <v>5.431983999999999</v>
      </c>
      <c r="I7" s="86">
        <f>Multi_Family!D31/2</f>
        <v>0.378956</v>
      </c>
      <c r="J7" s="86">
        <f>Multi_Family!D31/2</f>
        <v>0.378956</v>
      </c>
      <c r="K7" s="86">
        <f>Multi_Family!D28</f>
        <v>3.0080159999999996</v>
      </c>
      <c r="L7" s="86">
        <f>Multi_Family!D36</f>
        <v>1.000984000000002</v>
      </c>
      <c r="M7" s="48"/>
      <c r="N7" s="111">
        <f t="shared" si="0"/>
        <v>16.88</v>
      </c>
      <c r="P7" s="53"/>
    </row>
    <row r="8" spans="1:16" ht="12.75">
      <c r="A8" s="50">
        <f t="shared" si="1"/>
        <v>42216</v>
      </c>
      <c r="B8" s="51" t="s">
        <v>51</v>
      </c>
      <c r="C8" s="86">
        <f>Multi_Family!E32</f>
        <v>0.09494999999999999</v>
      </c>
      <c r="D8" s="87">
        <f>Multi_Family!E34</f>
        <v>2.2382880000000003</v>
      </c>
      <c r="E8" s="86">
        <f>Multi_Family!E35</f>
        <v>0</v>
      </c>
      <c r="F8" s="86">
        <f>Multi_Family!E30</f>
        <v>0.20889000000000002</v>
      </c>
      <c r="G8" s="86">
        <f>Multi_Family!E27</f>
        <v>2.4687</v>
      </c>
      <c r="H8" s="86">
        <f>Multi_Family!E37</f>
        <v>4.073988</v>
      </c>
      <c r="I8" s="86">
        <f>Multi_Family!E31/2</f>
        <v>0.284217</v>
      </c>
      <c r="J8" s="86">
        <f>Multi_Family!E31/2</f>
        <v>0.284217</v>
      </c>
      <c r="K8" s="86">
        <f>Multi_Family!E28</f>
        <v>2.256012</v>
      </c>
      <c r="L8" s="86">
        <f>Multi_Family!E36</f>
        <v>0.7507380000000017</v>
      </c>
      <c r="M8" s="48"/>
      <c r="N8" s="111">
        <f t="shared" si="0"/>
        <v>12.660000000000002</v>
      </c>
      <c r="P8" s="53"/>
    </row>
    <row r="9" spans="1:16" ht="12.75">
      <c r="A9" s="50">
        <f t="shared" si="1"/>
        <v>42247</v>
      </c>
      <c r="B9" s="51" t="s">
        <v>52</v>
      </c>
      <c r="C9" s="86">
        <f>Multi_Family!F32</f>
        <v>0.12075000000000001</v>
      </c>
      <c r="D9" s="87">
        <f>Multi_Family!F34</f>
        <v>2.8464800000000006</v>
      </c>
      <c r="E9" s="86">
        <f>Multi_Family!F35</f>
        <v>0</v>
      </c>
      <c r="F9" s="86">
        <f>Multi_Family!F30</f>
        <v>0.26565000000000005</v>
      </c>
      <c r="G9" s="86">
        <f>Multi_Family!F27</f>
        <v>3.1395000000000004</v>
      </c>
      <c r="H9" s="86">
        <f>Multi_Family!F37</f>
        <v>5.18098</v>
      </c>
      <c r="I9" s="86">
        <f>Multi_Family!F31/2</f>
        <v>0.36144500000000007</v>
      </c>
      <c r="J9" s="86">
        <f>Multi_Family!F31/2</f>
        <v>0.36144500000000007</v>
      </c>
      <c r="K9" s="86">
        <f>Multi_Family!F28</f>
        <v>2.8690200000000003</v>
      </c>
      <c r="L9" s="86">
        <f>Multi_Family!F36</f>
        <v>0.9547300000000022</v>
      </c>
      <c r="M9" s="48"/>
      <c r="N9" s="111">
        <f t="shared" si="0"/>
        <v>16.100000000000005</v>
      </c>
      <c r="P9" s="53"/>
    </row>
    <row r="10" spans="1:16" ht="12.75">
      <c r="A10" s="50">
        <f t="shared" si="1"/>
        <v>42277</v>
      </c>
      <c r="B10" s="51" t="s">
        <v>53</v>
      </c>
      <c r="C10" s="86">
        <f>Multi_Family!G32</f>
        <v>0.11212499999999999</v>
      </c>
      <c r="D10" s="87">
        <f>Multi_Family!G34</f>
        <v>2.64316</v>
      </c>
      <c r="E10" s="86">
        <f>Multi_Family!G35</f>
        <v>0</v>
      </c>
      <c r="F10" s="86">
        <f>Multi_Family!G30</f>
        <v>0.246675</v>
      </c>
      <c r="G10" s="86">
        <f>Multi_Family!G27</f>
        <v>2.91525</v>
      </c>
      <c r="H10" s="86">
        <f>Multi_Family!G37</f>
        <v>4.81091</v>
      </c>
      <c r="I10" s="86">
        <f>Multi_Family!G31/2</f>
        <v>0.3356275</v>
      </c>
      <c r="J10" s="86">
        <f>Multi_Family!G31/2</f>
        <v>0.3356275</v>
      </c>
      <c r="K10" s="86">
        <f>Multi_Family!G28</f>
        <v>2.66409</v>
      </c>
      <c r="L10" s="86">
        <f>Multi_Family!G36</f>
        <v>0.886535000000002</v>
      </c>
      <c r="M10" s="48"/>
      <c r="N10" s="111">
        <f t="shared" si="0"/>
        <v>14.950000000000001</v>
      </c>
      <c r="P10" s="53"/>
    </row>
    <row r="11" spans="1:16" ht="12.75">
      <c r="A11" s="50">
        <f t="shared" si="1"/>
        <v>42308</v>
      </c>
      <c r="B11" s="51" t="s">
        <v>54</v>
      </c>
      <c r="C11" s="86">
        <f>Multi_Family!H32</f>
        <v>0.127875</v>
      </c>
      <c r="D11" s="87">
        <f>Multi_Family!H34</f>
        <v>3.0144400000000005</v>
      </c>
      <c r="E11" s="86">
        <f>Multi_Family!H35</f>
        <v>0</v>
      </c>
      <c r="F11" s="86">
        <f>Multi_Family!H30</f>
        <v>0.28132500000000005</v>
      </c>
      <c r="G11" s="86">
        <f>Multi_Family!H27</f>
        <v>3.3247500000000003</v>
      </c>
      <c r="H11" s="86">
        <f>Multi_Family!H37</f>
        <v>5.486689999999999</v>
      </c>
      <c r="I11" s="86">
        <f>Multi_Family!H31/2</f>
        <v>0.3827725</v>
      </c>
      <c r="J11" s="86">
        <f>Multi_Family!H31/2</f>
        <v>0.3827725</v>
      </c>
      <c r="K11" s="86">
        <f>Multi_Family!H28</f>
        <v>3.03831</v>
      </c>
      <c r="L11" s="86">
        <f>Multi_Family!H36</f>
        <v>1.0110650000000023</v>
      </c>
      <c r="M11" s="48"/>
      <c r="N11" s="111">
        <f t="shared" si="0"/>
        <v>17.05</v>
      </c>
      <c r="P11" s="53"/>
    </row>
    <row r="12" spans="1:16" ht="12.75">
      <c r="A12" s="50">
        <f t="shared" si="1"/>
        <v>42338</v>
      </c>
      <c r="B12" s="51" t="s">
        <v>55</v>
      </c>
      <c r="C12" s="86">
        <f>Multi_Family!I32</f>
        <v>0.1257</v>
      </c>
      <c r="D12" s="87">
        <f>Multi_Family!I34</f>
        <v>2.9631680000000005</v>
      </c>
      <c r="E12" s="86">
        <f>Multi_Family!I35</f>
        <v>0</v>
      </c>
      <c r="F12" s="86">
        <f>Multi_Family!I30</f>
        <v>0.27654000000000006</v>
      </c>
      <c r="G12" s="86">
        <f>Multi_Family!I27</f>
        <v>3.2682</v>
      </c>
      <c r="H12" s="86">
        <f>Multi_Family!I37</f>
        <v>5.393368</v>
      </c>
      <c r="I12" s="86">
        <f>Multi_Family!I31/2</f>
        <v>0.37626200000000004</v>
      </c>
      <c r="J12" s="86">
        <f>Multi_Family!I31/2</f>
        <v>0.37626200000000004</v>
      </c>
      <c r="K12" s="86">
        <f>Multi_Family!I28</f>
        <v>2.986632</v>
      </c>
      <c r="L12" s="86">
        <f>Multi_Family!I36</f>
        <v>0.9938680000000023</v>
      </c>
      <c r="M12" s="48"/>
      <c r="N12" s="111">
        <f t="shared" si="0"/>
        <v>16.760000000000005</v>
      </c>
      <c r="P12" s="53"/>
    </row>
    <row r="13" spans="1:16" ht="12.75">
      <c r="A13" s="50">
        <f t="shared" si="1"/>
        <v>42369</v>
      </c>
      <c r="B13" s="51" t="s">
        <v>56</v>
      </c>
      <c r="C13" s="86">
        <f>Multi_Family!J32</f>
        <v>0.14362499999999997</v>
      </c>
      <c r="D13" s="87">
        <f>Multi_Family!J34</f>
        <v>3.38572</v>
      </c>
      <c r="E13" s="86">
        <f>Multi_Family!J35</f>
        <v>0</v>
      </c>
      <c r="F13" s="86">
        <f>Multi_Family!J30</f>
        <v>0.315975</v>
      </c>
      <c r="G13" s="86">
        <f>Multi_Family!J27</f>
        <v>3.73425</v>
      </c>
      <c r="H13" s="86">
        <f>Multi_Family!J37</f>
        <v>6.162469999999999</v>
      </c>
      <c r="I13" s="86">
        <f>Multi_Family!J31/2</f>
        <v>0.4299175</v>
      </c>
      <c r="J13" s="86">
        <f>Multi_Family!J31/2</f>
        <v>0.4299175</v>
      </c>
      <c r="K13" s="86">
        <f>Multi_Family!J28</f>
        <v>3.41253</v>
      </c>
      <c r="L13" s="86">
        <f>Multi_Family!J36</f>
        <v>1.1355950000000024</v>
      </c>
      <c r="M13" s="48"/>
      <c r="N13" s="111">
        <f t="shared" si="0"/>
        <v>19.150000000000002</v>
      </c>
      <c r="P13" s="53"/>
    </row>
    <row r="14" spans="1:16" ht="12.75">
      <c r="A14" s="50">
        <f t="shared" si="1"/>
        <v>42400</v>
      </c>
      <c r="B14" s="51" t="s">
        <v>57</v>
      </c>
      <c r="C14" s="86">
        <f>Multi_Family!K32</f>
        <v>0.127575</v>
      </c>
      <c r="D14" s="87">
        <f>Multi_Family!K34</f>
        <v>3.0073680000000005</v>
      </c>
      <c r="E14" s="86">
        <f>Multi_Family!K35</f>
        <v>0</v>
      </c>
      <c r="F14" s="86">
        <f>Multi_Family!K30</f>
        <v>0.28066500000000005</v>
      </c>
      <c r="G14" s="86">
        <f>Multi_Family!K27</f>
        <v>3.3169500000000003</v>
      </c>
      <c r="H14" s="86">
        <f>Multi_Family!K37</f>
        <v>5.4738180000000005</v>
      </c>
      <c r="I14" s="86">
        <f>Multi_Family!K31/2</f>
        <v>0.38187450000000006</v>
      </c>
      <c r="J14" s="86">
        <f>Multi_Family!K31/2</f>
        <v>0.38187450000000006</v>
      </c>
      <c r="K14" s="86">
        <f>Multi_Family!K28</f>
        <v>3.0311820000000003</v>
      </c>
      <c r="L14" s="86">
        <f>Multi_Family!K36</f>
        <v>1.0086930000000023</v>
      </c>
      <c r="M14" s="48"/>
      <c r="N14" s="111">
        <f t="shared" si="0"/>
        <v>17.010000000000005</v>
      </c>
      <c r="P14" s="53"/>
    </row>
    <row r="15" spans="1:16" ht="12.75">
      <c r="A15" s="50">
        <f t="shared" si="1"/>
        <v>42429</v>
      </c>
      <c r="B15" s="51" t="s">
        <v>58</v>
      </c>
      <c r="C15" s="86">
        <f>Multi_Family!L32</f>
        <v>0.11197499999999999</v>
      </c>
      <c r="D15" s="87">
        <f>Multi_Family!L34</f>
        <v>2.639624</v>
      </c>
      <c r="E15" s="86">
        <f>Multi_Family!L35</f>
        <v>0</v>
      </c>
      <c r="F15" s="86">
        <f>Multi_Family!L30</f>
        <v>0.246345</v>
      </c>
      <c r="G15" s="86">
        <f>Multi_Family!L27</f>
        <v>2.91135</v>
      </c>
      <c r="H15" s="86">
        <f>Multi_Family!L37</f>
        <v>4.804474</v>
      </c>
      <c r="I15" s="86">
        <f>Multi_Family!L31/2</f>
        <v>0.3351785</v>
      </c>
      <c r="J15" s="86">
        <f>Multi_Family!L31/2</f>
        <v>0.3351785</v>
      </c>
      <c r="K15" s="86">
        <f>Multi_Family!L28</f>
        <v>2.660526</v>
      </c>
      <c r="L15" s="86">
        <f>Multi_Family!L36</f>
        <v>0.8853490000000019</v>
      </c>
      <c r="M15" s="48"/>
      <c r="N15" s="111">
        <f t="shared" si="0"/>
        <v>14.93</v>
      </c>
      <c r="P15" s="53"/>
    </row>
    <row r="16" spans="1:16" ht="12.75">
      <c r="A16" s="50">
        <f t="shared" si="1"/>
        <v>42460</v>
      </c>
      <c r="B16" s="51" t="s">
        <v>59</v>
      </c>
      <c r="C16" s="86">
        <f>Multi_Family!M32</f>
        <v>0.13169999999999998</v>
      </c>
      <c r="D16" s="87">
        <f>Multi_Family!M34</f>
        <v>3.104608</v>
      </c>
      <c r="E16" s="86">
        <f>Multi_Family!M35</f>
        <v>0</v>
      </c>
      <c r="F16" s="86">
        <f>Multi_Family!M30</f>
        <v>0.28974</v>
      </c>
      <c r="G16" s="86">
        <f>Multi_Family!M27</f>
        <v>3.4242</v>
      </c>
      <c r="H16" s="86">
        <f>Multi_Family!M37</f>
        <v>5.650807999999999</v>
      </c>
      <c r="I16" s="86">
        <f>Multi_Family!M31/2</f>
        <v>0.394222</v>
      </c>
      <c r="J16" s="86">
        <f>Multi_Family!M31/2</f>
        <v>0.394222</v>
      </c>
      <c r="K16" s="86">
        <f>Multi_Family!M28</f>
        <v>3.1291919999999998</v>
      </c>
      <c r="L16" s="86">
        <f>Multi_Family!M36</f>
        <v>1.0413080000000021</v>
      </c>
      <c r="M16" s="48"/>
      <c r="N16" s="111">
        <f t="shared" si="0"/>
        <v>17.56</v>
      </c>
      <c r="P16" s="53"/>
    </row>
    <row r="17" spans="1:16" ht="12.75">
      <c r="A17" s="50">
        <f t="shared" si="1"/>
        <v>42490</v>
      </c>
      <c r="B17" s="51" t="s">
        <v>60</v>
      </c>
      <c r="C17" s="86">
        <f>Multi_Family!N32</f>
        <v>0.030749999999999996</v>
      </c>
      <c r="D17" s="87">
        <f>Multi_Family!N34</f>
        <v>0.72488</v>
      </c>
      <c r="E17" s="86">
        <f>Multi_Family!N35</f>
        <v>0</v>
      </c>
      <c r="F17" s="86">
        <f>Multi_Family!N30</f>
        <v>0.06765</v>
      </c>
      <c r="G17" s="86">
        <f>Multi_Family!N27</f>
        <v>0.7995</v>
      </c>
      <c r="H17" s="86">
        <f>Multi_Family!N37</f>
        <v>1.3193799999999998</v>
      </c>
      <c r="I17" s="86">
        <f>Multi_Family!N31/2</f>
        <v>0.092045</v>
      </c>
      <c r="J17" s="86">
        <f>Multi_Family!N31/2</f>
        <v>0.092045</v>
      </c>
      <c r="K17" s="86">
        <f>Multi_Family!N28</f>
        <v>0.7306199999999999</v>
      </c>
      <c r="L17" s="86">
        <f>Multi_Family!N36</f>
        <v>0.2431300000000005</v>
      </c>
      <c r="M17" s="48"/>
      <c r="N17" s="111">
        <f t="shared" si="0"/>
        <v>4.1000000000000005</v>
      </c>
      <c r="P17" s="53"/>
    </row>
    <row r="18" spans="1:15" ht="12.75">
      <c r="A18" s="54" t="s">
        <v>26</v>
      </c>
      <c r="B18" s="51"/>
      <c r="C18" s="122">
        <f aca="true" t="shared" si="2" ref="C18:L18">SUM(C6:C17)</f>
        <v>1.3432499999999998</v>
      </c>
      <c r="D18" s="122">
        <f t="shared" si="2"/>
        <v>31.66488</v>
      </c>
      <c r="E18" s="122">
        <f t="shared" si="2"/>
        <v>0</v>
      </c>
      <c r="F18" s="122">
        <f t="shared" si="2"/>
        <v>2.95515</v>
      </c>
      <c r="G18" s="122">
        <f t="shared" si="2"/>
        <v>34.9245</v>
      </c>
      <c r="H18" s="122">
        <f t="shared" si="2"/>
        <v>57.63438</v>
      </c>
      <c r="I18" s="122">
        <f t="shared" si="2"/>
        <v>4.020795000000001</v>
      </c>
      <c r="J18" s="122">
        <f t="shared" si="2"/>
        <v>4.020795000000001</v>
      </c>
      <c r="K18" s="122">
        <f t="shared" si="2"/>
        <v>31.91562</v>
      </c>
      <c r="L18" s="122">
        <f t="shared" si="2"/>
        <v>10.620630000000023</v>
      </c>
      <c r="M18" s="48"/>
      <c r="N18" s="123">
        <f>SUM(N6:N17)</f>
        <v>179.10000000000002</v>
      </c>
      <c r="O18" s="52"/>
    </row>
    <row r="19" spans="1:14" ht="12.75">
      <c r="A19" s="50"/>
      <c r="B19" s="51"/>
      <c r="C19" s="51"/>
      <c r="D19" s="51"/>
      <c r="E19" s="51"/>
      <c r="F19" s="51"/>
      <c r="G19" s="51"/>
      <c r="H19" s="51"/>
      <c r="I19" s="51"/>
      <c r="J19" s="51"/>
      <c r="K19" s="51"/>
      <c r="L19" s="51"/>
      <c r="M19" s="48"/>
      <c r="N19" s="52"/>
    </row>
    <row r="20" spans="1:14" ht="12.75">
      <c r="A20" s="42"/>
      <c r="B20" s="51"/>
      <c r="C20" s="51"/>
      <c r="D20" s="51"/>
      <c r="E20" s="51"/>
      <c r="F20" s="51"/>
      <c r="G20" s="51"/>
      <c r="H20" s="51"/>
      <c r="I20" s="51"/>
      <c r="J20" s="51"/>
      <c r="K20" s="51"/>
      <c r="L20" s="51"/>
      <c r="M20" s="48"/>
      <c r="N20" s="52"/>
    </row>
    <row r="21" spans="1:14" ht="12.75">
      <c r="A21" s="50"/>
      <c r="B21" s="51"/>
      <c r="C21" s="51"/>
      <c r="D21" s="51"/>
      <c r="E21" s="51"/>
      <c r="F21" s="51"/>
      <c r="G21" s="51"/>
      <c r="H21" s="51"/>
      <c r="I21" s="51"/>
      <c r="J21" s="51"/>
      <c r="K21" s="51"/>
      <c r="L21" s="51"/>
      <c r="M21" s="48"/>
      <c r="N21" s="52"/>
    </row>
    <row r="22" spans="1:14" ht="12.75">
      <c r="A22" s="50"/>
      <c r="B22" s="51"/>
      <c r="C22" s="51"/>
      <c r="D22" s="51"/>
      <c r="E22" s="51"/>
      <c r="F22" s="51"/>
      <c r="G22" s="51"/>
      <c r="H22" s="51"/>
      <c r="I22" s="51"/>
      <c r="J22" s="51"/>
      <c r="K22" s="51"/>
      <c r="L22" s="51"/>
      <c r="M22" s="48"/>
      <c r="N22" s="52"/>
    </row>
    <row r="23" spans="1:14" ht="12.75">
      <c r="A23" s="51"/>
      <c r="B23" s="51"/>
      <c r="C23" s="51"/>
      <c r="D23" s="51"/>
      <c r="E23" s="51"/>
      <c r="F23" s="51"/>
      <c r="G23" s="51"/>
      <c r="H23" s="51"/>
      <c r="I23" s="51"/>
      <c r="J23" s="51"/>
      <c r="K23" s="51"/>
      <c r="L23" s="51"/>
      <c r="M23" s="48"/>
      <c r="N23" s="52"/>
    </row>
    <row r="24" spans="1:14" ht="12.75">
      <c r="A24" s="51"/>
      <c r="B24" s="51"/>
      <c r="C24" s="51"/>
      <c r="D24" s="51"/>
      <c r="E24" s="51"/>
      <c r="F24" s="51"/>
      <c r="G24" s="51"/>
      <c r="H24" s="51"/>
      <c r="I24" s="51"/>
      <c r="J24" s="51"/>
      <c r="K24" s="51"/>
      <c r="L24" s="51"/>
      <c r="M24" s="48"/>
      <c r="N24" s="52"/>
    </row>
    <row r="25" spans="1:14" ht="12.75">
      <c r="A25" s="51"/>
      <c r="B25" s="51"/>
      <c r="C25" s="51"/>
      <c r="E25" s="51"/>
      <c r="F25" s="51"/>
      <c r="G25" s="51"/>
      <c r="H25" s="51"/>
      <c r="I25" s="51"/>
      <c r="J25" s="51"/>
      <c r="K25" s="51"/>
      <c r="L25" s="51"/>
      <c r="M25" s="48"/>
      <c r="N25" s="52"/>
    </row>
    <row r="26" spans="1:14" ht="12.75">
      <c r="A26" s="51"/>
      <c r="B26" s="51"/>
      <c r="C26" s="51"/>
      <c r="D26" s="51"/>
      <c r="E26" s="51"/>
      <c r="F26" s="51"/>
      <c r="G26" s="51"/>
      <c r="H26" s="51"/>
      <c r="I26" s="51"/>
      <c r="J26" s="51"/>
      <c r="K26" s="51"/>
      <c r="L26" s="51"/>
      <c r="M26" s="48"/>
      <c r="N26" s="52"/>
    </row>
    <row r="27" spans="1:14" ht="12.75">
      <c r="A27" s="51"/>
      <c r="B27" s="51"/>
      <c r="C27" s="51"/>
      <c r="D27" s="51"/>
      <c r="E27" s="51"/>
      <c r="F27" s="51"/>
      <c r="G27" s="51"/>
      <c r="H27" s="51"/>
      <c r="I27" s="51"/>
      <c r="J27" s="51"/>
      <c r="K27" s="51"/>
      <c r="L27" s="51"/>
      <c r="M27" s="48"/>
      <c r="N27" s="52"/>
    </row>
    <row r="28" spans="1:14" ht="12.75">
      <c r="A28" s="51"/>
      <c r="B28" s="51"/>
      <c r="C28" s="51"/>
      <c r="D28" s="51"/>
      <c r="E28" s="51"/>
      <c r="F28" s="51"/>
      <c r="G28" s="51"/>
      <c r="H28" s="51"/>
      <c r="I28" s="51"/>
      <c r="J28" s="51"/>
      <c r="K28" s="51"/>
      <c r="L28" s="51"/>
      <c r="M28" s="48"/>
      <c r="N28" s="51"/>
    </row>
    <row r="29" spans="1:14" ht="12.75">
      <c r="A29" s="51"/>
      <c r="B29" s="51"/>
      <c r="C29" s="51"/>
      <c r="D29" s="51"/>
      <c r="E29" s="51"/>
      <c r="F29" s="51"/>
      <c r="G29" s="51"/>
      <c r="H29" s="51"/>
      <c r="I29" s="51"/>
      <c r="J29" s="51"/>
      <c r="K29" s="51"/>
      <c r="L29" s="51"/>
      <c r="M29" s="48"/>
      <c r="N29" s="51"/>
    </row>
    <row r="30" spans="1:14" ht="12.75">
      <c r="A30" s="51"/>
      <c r="B30" s="51"/>
      <c r="C30" s="51"/>
      <c r="D30" s="51"/>
      <c r="E30" s="51"/>
      <c r="F30" s="51"/>
      <c r="G30" s="51"/>
      <c r="H30" s="51"/>
      <c r="I30" s="51"/>
      <c r="J30" s="51"/>
      <c r="K30" s="51"/>
      <c r="L30" s="51"/>
      <c r="M30" s="48"/>
      <c r="N30" s="51"/>
    </row>
    <row r="31" spans="1:14" ht="12.75">
      <c r="A31" s="51"/>
      <c r="B31" s="51"/>
      <c r="C31" s="51"/>
      <c r="D31" s="51"/>
      <c r="E31" s="51"/>
      <c r="F31" s="51"/>
      <c r="G31" s="51"/>
      <c r="H31" s="51"/>
      <c r="I31" s="51"/>
      <c r="J31" s="51"/>
      <c r="K31" s="51"/>
      <c r="L31" s="51"/>
      <c r="M31" s="48"/>
      <c r="N31" s="51"/>
    </row>
    <row r="32" spans="1:14" ht="12.75">
      <c r="A32" s="51"/>
      <c r="B32" s="51"/>
      <c r="C32" s="51"/>
      <c r="D32" s="51"/>
      <c r="E32" s="51"/>
      <c r="F32" s="51"/>
      <c r="G32" s="51"/>
      <c r="H32" s="51"/>
      <c r="I32" s="51"/>
      <c r="J32" s="51"/>
      <c r="K32" s="51"/>
      <c r="L32" s="51"/>
      <c r="M32" s="48"/>
      <c r="N32" s="51"/>
    </row>
    <row r="33" spans="1:14" ht="12.75">
      <c r="A33" s="51"/>
      <c r="B33" s="51"/>
      <c r="C33" s="51"/>
      <c r="D33" s="51"/>
      <c r="E33" s="51"/>
      <c r="F33" s="51"/>
      <c r="G33" s="51"/>
      <c r="H33" s="51"/>
      <c r="I33" s="51"/>
      <c r="J33" s="51"/>
      <c r="K33" s="51"/>
      <c r="L33" s="51"/>
      <c r="M33" s="48"/>
      <c r="N33" s="51"/>
    </row>
    <row r="34" spans="1:14" ht="12.75">
      <c r="A34" s="51"/>
      <c r="B34" s="51"/>
      <c r="C34" s="51"/>
      <c r="D34" s="51"/>
      <c r="E34" s="51"/>
      <c r="F34" s="51"/>
      <c r="G34" s="51"/>
      <c r="H34" s="51"/>
      <c r="I34" s="51"/>
      <c r="J34" s="51"/>
      <c r="K34" s="51"/>
      <c r="L34" s="51"/>
      <c r="M34" s="48"/>
      <c r="N34" s="51"/>
    </row>
    <row r="35" spans="1:14" ht="12.75">
      <c r="A35" s="51"/>
      <c r="B35" s="51"/>
      <c r="C35" s="51"/>
      <c r="D35" s="51"/>
      <c r="E35" s="51"/>
      <c r="F35" s="51"/>
      <c r="G35" s="51"/>
      <c r="H35" s="51"/>
      <c r="I35" s="51"/>
      <c r="J35" s="51"/>
      <c r="K35" s="51"/>
      <c r="L35" s="51"/>
      <c r="M35" s="48"/>
      <c r="N35" s="51"/>
    </row>
    <row r="36" spans="1:14" ht="12.75">
      <c r="A36" s="51"/>
      <c r="B36" s="51"/>
      <c r="C36" s="51"/>
      <c r="D36" s="51"/>
      <c r="E36" s="51"/>
      <c r="F36" s="51"/>
      <c r="G36" s="51"/>
      <c r="H36" s="51"/>
      <c r="I36" s="51"/>
      <c r="J36" s="51"/>
      <c r="K36" s="51"/>
      <c r="L36" s="51"/>
      <c r="M36" s="48"/>
      <c r="N36" s="51"/>
    </row>
    <row r="37" spans="1:14" ht="12.75">
      <c r="A37" s="51"/>
      <c r="B37" s="51"/>
      <c r="C37" s="51"/>
      <c r="D37" s="51"/>
      <c r="E37" s="51"/>
      <c r="F37" s="51"/>
      <c r="G37" s="51"/>
      <c r="H37" s="51"/>
      <c r="I37" s="51"/>
      <c r="J37" s="51"/>
      <c r="K37" s="51"/>
      <c r="L37" s="51"/>
      <c r="M37" s="48"/>
      <c r="N37" s="51"/>
    </row>
    <row r="38" spans="1:14" ht="12.75">
      <c r="A38" s="51"/>
      <c r="B38" s="51"/>
      <c r="C38" s="51"/>
      <c r="D38" s="51"/>
      <c r="E38" s="51"/>
      <c r="F38" s="51"/>
      <c r="G38" s="51"/>
      <c r="H38" s="51"/>
      <c r="I38" s="51"/>
      <c r="J38" s="51"/>
      <c r="K38" s="51"/>
      <c r="L38" s="51"/>
      <c r="M38" s="48"/>
      <c r="N38" s="51"/>
    </row>
    <row r="39" spans="1:14" ht="12.75">
      <c r="A39" s="51"/>
      <c r="B39" s="51"/>
      <c r="C39" s="51"/>
      <c r="D39" s="51"/>
      <c r="E39" s="51"/>
      <c r="F39" s="51"/>
      <c r="G39" s="51"/>
      <c r="H39" s="51"/>
      <c r="I39" s="51"/>
      <c r="J39" s="51"/>
      <c r="K39" s="51"/>
      <c r="L39" s="51"/>
      <c r="M39" s="51"/>
      <c r="N39" s="51"/>
    </row>
    <row r="40" spans="1:14" ht="12.75">
      <c r="A40" s="51"/>
      <c r="B40" s="51"/>
      <c r="C40" s="51"/>
      <c r="D40" s="51"/>
      <c r="E40" s="51"/>
      <c r="F40" s="51"/>
      <c r="G40" s="51"/>
      <c r="H40" s="51"/>
      <c r="I40" s="51"/>
      <c r="J40" s="51"/>
      <c r="K40" s="51"/>
      <c r="L40" s="51"/>
      <c r="M40" s="51"/>
      <c r="N40" s="51"/>
    </row>
    <row r="41" spans="1:14" ht="12.75">
      <c r="A41" s="51"/>
      <c r="B41" s="51"/>
      <c r="C41" s="51"/>
      <c r="D41" s="51"/>
      <c r="E41" s="51"/>
      <c r="F41" s="51"/>
      <c r="G41" s="51"/>
      <c r="H41" s="51"/>
      <c r="I41" s="51"/>
      <c r="J41" s="51"/>
      <c r="K41" s="51"/>
      <c r="L41" s="51"/>
      <c r="M41" s="51"/>
      <c r="N41" s="51"/>
    </row>
    <row r="42" spans="1:14" ht="12.75">
      <c r="A42" s="51"/>
      <c r="B42" s="51"/>
      <c r="C42" s="51"/>
      <c r="D42" s="51"/>
      <c r="E42" s="51"/>
      <c r="F42" s="51"/>
      <c r="G42" s="51"/>
      <c r="H42" s="51"/>
      <c r="I42" s="51"/>
      <c r="J42" s="51"/>
      <c r="K42" s="51"/>
      <c r="L42" s="51"/>
      <c r="M42" s="51"/>
      <c r="N42" s="51"/>
    </row>
    <row r="43" spans="1:14" ht="12.75">
      <c r="A43" s="51"/>
      <c r="B43" s="51"/>
      <c r="C43" s="51"/>
      <c r="D43" s="51"/>
      <c r="E43" s="51"/>
      <c r="F43" s="51"/>
      <c r="G43" s="51"/>
      <c r="H43" s="51"/>
      <c r="I43" s="51"/>
      <c r="J43" s="51"/>
      <c r="K43" s="51"/>
      <c r="L43" s="51"/>
      <c r="M43" s="51"/>
      <c r="N43" s="51"/>
    </row>
    <row r="44" spans="1:14" ht="12.75">
      <c r="A44" s="51"/>
      <c r="B44" s="51"/>
      <c r="C44" s="51"/>
      <c r="D44" s="51"/>
      <c r="E44" s="51"/>
      <c r="F44" s="51"/>
      <c r="G44" s="51"/>
      <c r="H44" s="51"/>
      <c r="I44" s="51"/>
      <c r="J44" s="51"/>
      <c r="K44" s="51"/>
      <c r="L44" s="51"/>
      <c r="M44" s="51"/>
      <c r="N44" s="51"/>
    </row>
    <row r="45" spans="1:14" ht="12.75">
      <c r="A45" s="51"/>
      <c r="B45" s="51"/>
      <c r="C45" s="51"/>
      <c r="D45" s="51"/>
      <c r="E45" s="51"/>
      <c r="F45" s="51"/>
      <c r="G45" s="51"/>
      <c r="H45" s="51"/>
      <c r="I45" s="51"/>
      <c r="J45" s="51"/>
      <c r="K45" s="51"/>
      <c r="L45" s="51"/>
      <c r="M45" s="51"/>
      <c r="N45" s="51"/>
    </row>
    <row r="46" spans="1:14" ht="12.75">
      <c r="A46" s="51"/>
      <c r="B46" s="51"/>
      <c r="C46" s="51"/>
      <c r="D46" s="51"/>
      <c r="E46" s="51"/>
      <c r="F46" s="51"/>
      <c r="G46" s="51"/>
      <c r="H46" s="51"/>
      <c r="I46" s="51"/>
      <c r="J46" s="51"/>
      <c r="K46" s="51"/>
      <c r="L46" s="51"/>
      <c r="M46" s="51"/>
      <c r="N46" s="51"/>
    </row>
    <row r="47" spans="1:14" ht="12.75">
      <c r="A47" s="51"/>
      <c r="B47" s="51"/>
      <c r="C47" s="51"/>
      <c r="D47" s="51"/>
      <c r="E47" s="51"/>
      <c r="F47" s="51"/>
      <c r="G47" s="51"/>
      <c r="H47" s="51"/>
      <c r="I47" s="51"/>
      <c r="J47" s="51"/>
      <c r="K47" s="51"/>
      <c r="L47" s="51"/>
      <c r="M47" s="51"/>
      <c r="N47" s="51"/>
    </row>
    <row r="48" spans="1:14" ht="12.75">
      <c r="A48" s="51"/>
      <c r="B48" s="51"/>
      <c r="C48" s="51"/>
      <c r="D48" s="51"/>
      <c r="E48" s="51"/>
      <c r="F48" s="51"/>
      <c r="G48" s="51"/>
      <c r="H48" s="51"/>
      <c r="I48" s="51"/>
      <c r="J48" s="51"/>
      <c r="K48" s="51"/>
      <c r="L48" s="51"/>
      <c r="M48" s="51"/>
      <c r="N48" s="51"/>
    </row>
    <row r="49" spans="1:14" ht="12.75">
      <c r="A49" s="51"/>
      <c r="B49" s="51"/>
      <c r="C49" s="51"/>
      <c r="D49" s="51"/>
      <c r="E49" s="51"/>
      <c r="F49" s="51"/>
      <c r="G49" s="51"/>
      <c r="H49" s="51"/>
      <c r="I49" s="51"/>
      <c r="J49" s="51"/>
      <c r="K49" s="51"/>
      <c r="L49" s="51"/>
      <c r="M49" s="51"/>
      <c r="N49" s="51"/>
    </row>
    <row r="50" spans="1:14" ht="12.75">
      <c r="A50" s="51"/>
      <c r="B50" s="51"/>
      <c r="C50" s="51"/>
      <c r="D50" s="51"/>
      <c r="E50" s="51"/>
      <c r="F50" s="51"/>
      <c r="G50" s="51"/>
      <c r="H50" s="51"/>
      <c r="I50" s="51"/>
      <c r="J50" s="51"/>
      <c r="K50" s="51"/>
      <c r="L50" s="51"/>
      <c r="M50" s="51"/>
      <c r="N50" s="51"/>
    </row>
    <row r="51" spans="1:14" ht="12.75">
      <c r="A51" s="51"/>
      <c r="B51" s="51"/>
      <c r="C51" s="51"/>
      <c r="D51" s="51"/>
      <c r="E51" s="51"/>
      <c r="F51" s="51"/>
      <c r="G51" s="51"/>
      <c r="H51" s="51"/>
      <c r="I51" s="51"/>
      <c r="J51" s="51"/>
      <c r="K51" s="51"/>
      <c r="L51" s="51"/>
      <c r="M51" s="51"/>
      <c r="N51" s="51"/>
    </row>
    <row r="52" spans="1:14" ht="12.75">
      <c r="A52" s="51"/>
      <c r="B52" s="51"/>
      <c r="C52" s="51"/>
      <c r="D52" s="51"/>
      <c r="E52" s="51"/>
      <c r="F52" s="51"/>
      <c r="G52" s="51"/>
      <c r="H52" s="51"/>
      <c r="I52" s="51"/>
      <c r="J52" s="51"/>
      <c r="K52" s="51"/>
      <c r="L52" s="51"/>
      <c r="M52" s="51"/>
      <c r="N52" s="51"/>
    </row>
    <row r="53" spans="1:14" ht="12.75">
      <c r="A53" s="51"/>
      <c r="B53" s="51"/>
      <c r="C53" s="51"/>
      <c r="D53" s="51"/>
      <c r="E53" s="51"/>
      <c r="F53" s="51"/>
      <c r="G53" s="51"/>
      <c r="H53" s="51"/>
      <c r="I53" s="51"/>
      <c r="J53" s="51"/>
      <c r="K53" s="51"/>
      <c r="L53" s="51"/>
      <c r="M53" s="51"/>
      <c r="N53" s="51"/>
    </row>
    <row r="54" spans="1:14" ht="12.75">
      <c r="A54" s="51"/>
      <c r="B54" s="51"/>
      <c r="C54" s="51"/>
      <c r="D54" s="51"/>
      <c r="E54" s="51"/>
      <c r="F54" s="51"/>
      <c r="G54" s="51"/>
      <c r="H54" s="51"/>
      <c r="I54" s="51"/>
      <c r="J54" s="51"/>
      <c r="K54" s="51"/>
      <c r="L54" s="51"/>
      <c r="M54" s="51"/>
      <c r="N54" s="51"/>
    </row>
    <row r="55" spans="1:14" ht="12.75">
      <c r="A55" s="51"/>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row r="63" spans="1:14" ht="12.75">
      <c r="A63" s="51"/>
      <c r="B63" s="51"/>
      <c r="C63" s="51"/>
      <c r="D63" s="51"/>
      <c r="E63" s="51"/>
      <c r="F63" s="51"/>
      <c r="G63" s="51"/>
      <c r="H63" s="51"/>
      <c r="I63" s="51"/>
      <c r="J63" s="51"/>
      <c r="K63" s="51"/>
      <c r="L63" s="51"/>
      <c r="M63" s="51"/>
      <c r="N63" s="51"/>
    </row>
    <row r="64" spans="1:14" ht="12.75">
      <c r="A64" s="51"/>
      <c r="B64" s="51"/>
      <c r="C64" s="51"/>
      <c r="D64" s="51"/>
      <c r="E64" s="51"/>
      <c r="F64" s="51"/>
      <c r="G64" s="51"/>
      <c r="H64" s="51"/>
      <c r="I64" s="51"/>
      <c r="J64" s="51"/>
      <c r="K64" s="51"/>
      <c r="L64" s="51"/>
      <c r="M64" s="51"/>
      <c r="N64" s="51"/>
    </row>
    <row r="65" spans="1:14" ht="12.75">
      <c r="A65" s="51"/>
      <c r="B65" s="51"/>
      <c r="C65" s="51"/>
      <c r="D65" s="51"/>
      <c r="E65" s="51"/>
      <c r="F65" s="51"/>
      <c r="G65" s="51"/>
      <c r="H65" s="51"/>
      <c r="I65" s="51"/>
      <c r="J65" s="51"/>
      <c r="K65" s="51"/>
      <c r="L65" s="51"/>
      <c r="M65" s="51"/>
      <c r="N65" s="51"/>
    </row>
    <row r="66" spans="1:14" ht="12.75">
      <c r="A66" s="51"/>
      <c r="B66" s="51"/>
      <c r="C66" s="51"/>
      <c r="D66" s="51"/>
      <c r="E66" s="51"/>
      <c r="F66" s="51"/>
      <c r="G66" s="51"/>
      <c r="H66" s="51"/>
      <c r="I66" s="51"/>
      <c r="J66" s="51"/>
      <c r="K66" s="51"/>
      <c r="L66" s="51"/>
      <c r="M66" s="51"/>
      <c r="N66" s="51"/>
    </row>
    <row r="67" spans="1:14" ht="12.75">
      <c r="A67" s="51"/>
      <c r="B67" s="51"/>
      <c r="C67" s="51"/>
      <c r="D67" s="51"/>
      <c r="E67" s="51"/>
      <c r="F67" s="51"/>
      <c r="G67" s="51"/>
      <c r="H67" s="51"/>
      <c r="I67" s="51"/>
      <c r="J67" s="51"/>
      <c r="K67" s="51"/>
      <c r="L67" s="51"/>
      <c r="M67" s="51"/>
      <c r="N67" s="51"/>
    </row>
    <row r="68" spans="1:14" ht="12.75">
      <c r="A68" s="51"/>
      <c r="B68" s="51"/>
      <c r="C68" s="51"/>
      <c r="D68" s="51"/>
      <c r="E68" s="51"/>
      <c r="F68" s="51"/>
      <c r="G68" s="51"/>
      <c r="H68" s="51"/>
      <c r="I68" s="51"/>
      <c r="J68" s="51"/>
      <c r="K68" s="51"/>
      <c r="L68" s="51"/>
      <c r="M68" s="51"/>
      <c r="N68" s="51"/>
    </row>
    <row r="69" spans="1:14" ht="12.75">
      <c r="A69" s="51"/>
      <c r="B69" s="51"/>
      <c r="C69" s="51"/>
      <c r="D69" s="51"/>
      <c r="E69" s="51"/>
      <c r="F69" s="51"/>
      <c r="G69" s="51"/>
      <c r="H69" s="51"/>
      <c r="I69" s="51"/>
      <c r="J69" s="51"/>
      <c r="K69" s="51"/>
      <c r="L69" s="51"/>
      <c r="M69" s="51"/>
      <c r="N69" s="51"/>
    </row>
    <row r="70" spans="1:14" ht="12.75">
      <c r="A70" s="51"/>
      <c r="B70" s="51"/>
      <c r="C70" s="51"/>
      <c r="D70" s="51"/>
      <c r="E70" s="51"/>
      <c r="F70" s="51"/>
      <c r="G70" s="51"/>
      <c r="H70" s="51"/>
      <c r="I70" s="51"/>
      <c r="J70" s="51"/>
      <c r="K70" s="51"/>
      <c r="L70" s="51"/>
      <c r="M70" s="51"/>
      <c r="N70" s="51"/>
    </row>
    <row r="71" spans="1:14" ht="12.75">
      <c r="A71" s="51"/>
      <c r="B71" s="51"/>
      <c r="C71" s="51"/>
      <c r="D71" s="51"/>
      <c r="E71" s="51"/>
      <c r="F71" s="51"/>
      <c r="G71" s="51"/>
      <c r="H71" s="51"/>
      <c r="I71" s="51"/>
      <c r="J71" s="51"/>
      <c r="K71" s="51"/>
      <c r="L71" s="51"/>
      <c r="M71" s="51"/>
      <c r="N71" s="51"/>
    </row>
    <row r="72" spans="1:14" ht="12.75">
      <c r="A72" s="51"/>
      <c r="B72" s="51"/>
      <c r="C72" s="51"/>
      <c r="D72" s="51"/>
      <c r="E72" s="51"/>
      <c r="F72" s="51"/>
      <c r="G72" s="51"/>
      <c r="H72" s="51"/>
      <c r="I72" s="51"/>
      <c r="J72" s="51"/>
      <c r="K72" s="51"/>
      <c r="L72" s="51"/>
      <c r="M72" s="51"/>
      <c r="N72" s="51"/>
    </row>
    <row r="73" spans="1:14" ht="12.75">
      <c r="A73" s="51"/>
      <c r="B73" s="51"/>
      <c r="C73" s="51"/>
      <c r="D73" s="51"/>
      <c r="E73" s="51"/>
      <c r="F73" s="51"/>
      <c r="G73" s="51"/>
      <c r="H73" s="51"/>
      <c r="I73" s="51"/>
      <c r="J73" s="51"/>
      <c r="K73" s="51"/>
      <c r="L73" s="51"/>
      <c r="M73" s="51"/>
      <c r="N73" s="51"/>
    </row>
    <row r="74" spans="1:14" ht="12.75">
      <c r="A74" s="51"/>
      <c r="B74" s="51"/>
      <c r="C74" s="51"/>
      <c r="D74" s="51"/>
      <c r="E74" s="51"/>
      <c r="F74" s="51"/>
      <c r="G74" s="51"/>
      <c r="H74" s="51"/>
      <c r="I74" s="51"/>
      <c r="J74" s="51"/>
      <c r="K74" s="51"/>
      <c r="L74" s="51"/>
      <c r="M74" s="51"/>
      <c r="N74" s="51"/>
    </row>
    <row r="75" spans="1:14" ht="12.75">
      <c r="A75" s="51"/>
      <c r="B75" s="51"/>
      <c r="C75" s="51"/>
      <c r="D75" s="51"/>
      <c r="E75" s="51"/>
      <c r="F75" s="51"/>
      <c r="G75" s="51"/>
      <c r="H75" s="51"/>
      <c r="I75" s="51"/>
      <c r="J75" s="51"/>
      <c r="K75" s="51"/>
      <c r="L75" s="51"/>
      <c r="M75" s="51"/>
      <c r="N75" s="51"/>
    </row>
    <row r="76" spans="1:14" ht="12.75">
      <c r="A76" s="51"/>
      <c r="B76" s="51"/>
      <c r="C76" s="51"/>
      <c r="D76" s="51"/>
      <c r="E76" s="51"/>
      <c r="F76" s="51"/>
      <c r="G76" s="51"/>
      <c r="H76" s="51"/>
      <c r="I76" s="51"/>
      <c r="J76" s="51"/>
      <c r="K76" s="51"/>
      <c r="L76" s="51"/>
      <c r="M76" s="51"/>
      <c r="N76" s="51"/>
    </row>
    <row r="77" spans="1:14" ht="12.75">
      <c r="A77" s="51"/>
      <c r="B77" s="51"/>
      <c r="C77" s="51"/>
      <c r="D77" s="51"/>
      <c r="E77" s="51"/>
      <c r="F77" s="51"/>
      <c r="G77" s="51"/>
      <c r="H77" s="51"/>
      <c r="I77" s="51"/>
      <c r="J77" s="51"/>
      <c r="K77" s="51"/>
      <c r="L77" s="51"/>
      <c r="M77" s="51"/>
      <c r="N77" s="51"/>
    </row>
    <row r="78" spans="1:14" ht="12.75">
      <c r="A78" s="51"/>
      <c r="B78" s="51"/>
      <c r="C78" s="51"/>
      <c r="D78" s="51"/>
      <c r="E78" s="51"/>
      <c r="F78" s="51"/>
      <c r="G78" s="51"/>
      <c r="H78" s="51"/>
      <c r="I78" s="51"/>
      <c r="J78" s="51"/>
      <c r="K78" s="51"/>
      <c r="L78" s="51"/>
      <c r="M78" s="51"/>
      <c r="N78" s="51"/>
    </row>
    <row r="79" spans="1:14" ht="12.75">
      <c r="A79" s="51"/>
      <c r="B79" s="51"/>
      <c r="C79" s="51"/>
      <c r="D79" s="51"/>
      <c r="E79" s="51"/>
      <c r="F79" s="51"/>
      <c r="G79" s="51"/>
      <c r="H79" s="51"/>
      <c r="I79" s="51"/>
      <c r="J79" s="51"/>
      <c r="K79" s="51"/>
      <c r="L79" s="51"/>
      <c r="M79" s="51"/>
      <c r="N79" s="51"/>
    </row>
    <row r="80" spans="1:14" ht="12.75">
      <c r="A80" s="51"/>
      <c r="B80" s="51"/>
      <c r="C80" s="51"/>
      <c r="D80" s="51"/>
      <c r="E80" s="51"/>
      <c r="F80" s="51"/>
      <c r="G80" s="51"/>
      <c r="H80" s="51"/>
      <c r="I80" s="51"/>
      <c r="J80" s="51"/>
      <c r="K80" s="51"/>
      <c r="L80" s="51"/>
      <c r="M80" s="51"/>
      <c r="N80" s="51"/>
    </row>
    <row r="81" spans="1:14" ht="12.75">
      <c r="A81" s="51"/>
      <c r="B81" s="51"/>
      <c r="C81" s="51"/>
      <c r="D81" s="51"/>
      <c r="E81" s="51"/>
      <c r="F81" s="51"/>
      <c r="G81" s="51"/>
      <c r="H81" s="51"/>
      <c r="I81" s="51"/>
      <c r="J81" s="51"/>
      <c r="K81" s="51"/>
      <c r="L81" s="51"/>
      <c r="M81" s="51"/>
      <c r="N81" s="51"/>
    </row>
    <row r="82" spans="1:14" ht="12.75">
      <c r="A82" s="51"/>
      <c r="B82" s="51"/>
      <c r="C82" s="51"/>
      <c r="D82" s="51"/>
      <c r="E82" s="51"/>
      <c r="F82" s="51"/>
      <c r="G82" s="51"/>
      <c r="H82" s="51"/>
      <c r="I82" s="51"/>
      <c r="J82" s="51"/>
      <c r="K82" s="51"/>
      <c r="L82" s="51"/>
      <c r="M82" s="51"/>
      <c r="N82" s="51"/>
    </row>
    <row r="83" spans="1:14" ht="12.75">
      <c r="A83" s="51"/>
      <c r="B83" s="51"/>
      <c r="C83" s="51"/>
      <c r="D83" s="51"/>
      <c r="E83" s="51"/>
      <c r="F83" s="51"/>
      <c r="G83" s="51"/>
      <c r="H83" s="51"/>
      <c r="I83" s="51"/>
      <c r="J83" s="51"/>
      <c r="K83" s="51"/>
      <c r="L83" s="51"/>
      <c r="M83" s="51"/>
      <c r="N83" s="51"/>
    </row>
    <row r="84" spans="1:14" ht="12.75">
      <c r="A84" s="51"/>
      <c r="B84" s="51"/>
      <c r="C84" s="51"/>
      <c r="D84" s="51"/>
      <c r="E84" s="51"/>
      <c r="F84" s="51"/>
      <c r="G84" s="51"/>
      <c r="H84" s="51"/>
      <c r="I84" s="51"/>
      <c r="J84" s="51"/>
      <c r="K84" s="51"/>
      <c r="L84" s="51"/>
      <c r="M84" s="51"/>
      <c r="N84" s="51"/>
    </row>
    <row r="85" spans="1:14" ht="12.75">
      <c r="A85" s="51"/>
      <c r="B85" s="51"/>
      <c r="C85" s="51"/>
      <c r="D85" s="51"/>
      <c r="E85" s="51"/>
      <c r="F85" s="51"/>
      <c r="G85" s="51"/>
      <c r="H85" s="51"/>
      <c r="I85" s="51"/>
      <c r="J85" s="51"/>
      <c r="K85" s="51"/>
      <c r="L85" s="51"/>
      <c r="M85" s="51"/>
      <c r="N85" s="51"/>
    </row>
    <row r="86" spans="1:14" ht="12.75">
      <c r="A86" s="51"/>
      <c r="B86" s="51"/>
      <c r="C86" s="51"/>
      <c r="D86" s="51"/>
      <c r="E86" s="51"/>
      <c r="F86" s="51"/>
      <c r="G86" s="51"/>
      <c r="H86" s="51"/>
      <c r="I86" s="51"/>
      <c r="J86" s="51"/>
      <c r="K86" s="51"/>
      <c r="L86" s="51"/>
      <c r="M86" s="51"/>
      <c r="N86" s="51"/>
    </row>
    <row r="87" spans="1:14" ht="12.75">
      <c r="A87" s="51"/>
      <c r="B87" s="51"/>
      <c r="C87" s="51"/>
      <c r="D87" s="51"/>
      <c r="E87" s="51"/>
      <c r="F87" s="51"/>
      <c r="G87" s="51"/>
      <c r="H87" s="51"/>
      <c r="I87" s="51"/>
      <c r="J87" s="51"/>
      <c r="K87" s="51"/>
      <c r="L87" s="51"/>
      <c r="M87" s="51"/>
      <c r="N87" s="51"/>
    </row>
    <row r="88" spans="1:14" ht="12.75">
      <c r="A88" s="51"/>
      <c r="B88" s="51"/>
      <c r="C88" s="51"/>
      <c r="D88" s="51"/>
      <c r="E88" s="51"/>
      <c r="F88" s="51"/>
      <c r="G88" s="51"/>
      <c r="H88" s="51"/>
      <c r="I88" s="51"/>
      <c r="J88" s="51"/>
      <c r="K88" s="51"/>
      <c r="L88" s="51"/>
      <c r="M88" s="51"/>
      <c r="N88" s="51"/>
    </row>
    <row r="89" spans="1:14" ht="12.75">
      <c r="A89" s="51"/>
      <c r="B89" s="51"/>
      <c r="C89" s="51"/>
      <c r="D89" s="51"/>
      <c r="E89" s="51"/>
      <c r="F89" s="51"/>
      <c r="G89" s="51"/>
      <c r="H89" s="51"/>
      <c r="I89" s="51"/>
      <c r="J89" s="51"/>
      <c r="K89" s="51"/>
      <c r="L89" s="51"/>
      <c r="M89" s="51"/>
      <c r="N89" s="51"/>
    </row>
    <row r="90" spans="1:14" ht="12.75">
      <c r="A90" s="51"/>
      <c r="B90" s="51"/>
      <c r="C90" s="51"/>
      <c r="D90" s="51"/>
      <c r="E90" s="51"/>
      <c r="F90" s="51"/>
      <c r="G90" s="51"/>
      <c r="H90" s="51"/>
      <c r="I90" s="51"/>
      <c r="J90" s="51"/>
      <c r="K90" s="51"/>
      <c r="L90" s="51"/>
      <c r="M90" s="51"/>
      <c r="N90" s="51"/>
    </row>
    <row r="91" spans="1:14" ht="12.75">
      <c r="A91" s="51"/>
      <c r="B91" s="51"/>
      <c r="C91" s="51"/>
      <c r="D91" s="51"/>
      <c r="E91" s="51"/>
      <c r="F91" s="51"/>
      <c r="G91" s="51"/>
      <c r="H91" s="51"/>
      <c r="I91" s="51"/>
      <c r="J91" s="51"/>
      <c r="K91" s="51"/>
      <c r="L91" s="51"/>
      <c r="M91" s="51"/>
      <c r="N91" s="51"/>
    </row>
    <row r="92" spans="1:14" ht="12.75">
      <c r="A92" s="51"/>
      <c r="B92" s="51"/>
      <c r="C92" s="51"/>
      <c r="D92" s="51"/>
      <c r="E92" s="51"/>
      <c r="F92" s="51"/>
      <c r="G92" s="51"/>
      <c r="H92" s="51"/>
      <c r="I92" s="51"/>
      <c r="J92" s="51"/>
      <c r="K92" s="51"/>
      <c r="L92" s="51"/>
      <c r="M92" s="51"/>
      <c r="N92" s="51"/>
    </row>
    <row r="93" spans="1:14" ht="12.75">
      <c r="A93" s="51"/>
      <c r="B93" s="51"/>
      <c r="C93" s="51"/>
      <c r="D93" s="51"/>
      <c r="E93" s="51"/>
      <c r="F93" s="51"/>
      <c r="G93" s="51"/>
      <c r="H93" s="51"/>
      <c r="I93" s="51"/>
      <c r="J93" s="51"/>
      <c r="K93" s="51"/>
      <c r="L93" s="51"/>
      <c r="M93" s="51"/>
      <c r="N93" s="51"/>
    </row>
    <row r="94" spans="1:14" ht="12.75">
      <c r="A94" s="51"/>
      <c r="B94" s="51"/>
      <c r="C94" s="51"/>
      <c r="D94" s="51"/>
      <c r="E94" s="51"/>
      <c r="F94" s="51"/>
      <c r="G94" s="51"/>
      <c r="H94" s="51"/>
      <c r="I94" s="51"/>
      <c r="J94" s="51"/>
      <c r="K94" s="51"/>
      <c r="L94" s="51"/>
      <c r="M94" s="51"/>
      <c r="N94" s="51"/>
    </row>
    <row r="95" spans="1:14" ht="12.75">
      <c r="A95" s="51"/>
      <c r="B95" s="51"/>
      <c r="C95" s="51"/>
      <c r="D95" s="51"/>
      <c r="E95" s="51"/>
      <c r="F95" s="51"/>
      <c r="G95" s="51"/>
      <c r="H95" s="51"/>
      <c r="I95" s="51"/>
      <c r="J95" s="51"/>
      <c r="K95" s="51"/>
      <c r="L95" s="51"/>
      <c r="M95" s="51"/>
      <c r="N95" s="51"/>
    </row>
    <row r="96" spans="1:14" ht="12.75">
      <c r="A96" s="51"/>
      <c r="B96" s="51"/>
      <c r="C96" s="51"/>
      <c r="D96" s="51"/>
      <c r="E96" s="51"/>
      <c r="F96" s="51"/>
      <c r="G96" s="51"/>
      <c r="H96" s="51"/>
      <c r="I96" s="51"/>
      <c r="J96" s="51"/>
      <c r="K96" s="51"/>
      <c r="L96" s="51"/>
      <c r="M96" s="51"/>
      <c r="N96" s="51"/>
    </row>
    <row r="97" spans="1:14" ht="12.75">
      <c r="A97" s="51"/>
      <c r="B97" s="51"/>
      <c r="C97" s="51"/>
      <c r="D97" s="51"/>
      <c r="E97" s="51"/>
      <c r="F97" s="51"/>
      <c r="G97" s="51"/>
      <c r="H97" s="51"/>
      <c r="I97" s="51"/>
      <c r="J97" s="51"/>
      <c r="K97" s="51"/>
      <c r="L97" s="51"/>
      <c r="M97" s="51"/>
      <c r="N97" s="51"/>
    </row>
    <row r="98" spans="1:14" ht="12.75">
      <c r="A98" s="51"/>
      <c r="B98" s="51"/>
      <c r="C98" s="51"/>
      <c r="D98" s="51"/>
      <c r="E98" s="51"/>
      <c r="F98" s="51"/>
      <c r="G98" s="51"/>
      <c r="H98" s="51"/>
      <c r="I98" s="51"/>
      <c r="J98" s="51"/>
      <c r="K98" s="51"/>
      <c r="L98" s="51"/>
      <c r="M98" s="51"/>
      <c r="N98" s="51"/>
    </row>
    <row r="99" spans="1:14" ht="12.75">
      <c r="A99" s="51"/>
      <c r="B99" s="51"/>
      <c r="C99" s="51"/>
      <c r="D99" s="51"/>
      <c r="E99" s="51"/>
      <c r="F99" s="51"/>
      <c r="G99" s="51"/>
      <c r="H99" s="51"/>
      <c r="I99" s="51"/>
      <c r="J99" s="51"/>
      <c r="K99" s="51"/>
      <c r="L99" s="51"/>
      <c r="M99" s="51"/>
      <c r="N99" s="51"/>
    </row>
    <row r="100" spans="1:14" ht="12.75">
      <c r="A100" s="51"/>
      <c r="B100" s="51"/>
      <c r="C100" s="51"/>
      <c r="D100" s="51"/>
      <c r="E100" s="51"/>
      <c r="F100" s="51"/>
      <c r="G100" s="51"/>
      <c r="H100" s="51"/>
      <c r="I100" s="51"/>
      <c r="J100" s="51"/>
      <c r="K100" s="51"/>
      <c r="L100" s="51"/>
      <c r="M100" s="51"/>
      <c r="N100" s="51"/>
    </row>
    <row r="101" spans="1:14" ht="12.75">
      <c r="A101" s="51"/>
      <c r="B101" s="51"/>
      <c r="C101" s="51"/>
      <c r="D101" s="51"/>
      <c r="E101" s="51"/>
      <c r="F101" s="51"/>
      <c r="G101" s="51"/>
      <c r="H101" s="51"/>
      <c r="I101" s="51"/>
      <c r="J101" s="51"/>
      <c r="K101" s="51"/>
      <c r="L101" s="51"/>
      <c r="M101" s="51"/>
      <c r="N101" s="51"/>
    </row>
    <row r="102" spans="1:14" ht="12.75">
      <c r="A102" s="51"/>
      <c r="B102" s="51"/>
      <c r="C102" s="51"/>
      <c r="D102" s="51"/>
      <c r="E102" s="51"/>
      <c r="F102" s="51"/>
      <c r="G102" s="51"/>
      <c r="H102" s="51"/>
      <c r="I102" s="51"/>
      <c r="J102" s="51"/>
      <c r="K102" s="51"/>
      <c r="L102" s="51"/>
      <c r="M102" s="51"/>
      <c r="N102" s="51"/>
    </row>
    <row r="103" spans="1:14" ht="12.75">
      <c r="A103" s="51"/>
      <c r="B103" s="51"/>
      <c r="C103" s="51"/>
      <c r="D103" s="51"/>
      <c r="E103" s="51"/>
      <c r="F103" s="51"/>
      <c r="G103" s="51"/>
      <c r="H103" s="51"/>
      <c r="I103" s="51"/>
      <c r="J103" s="51"/>
      <c r="K103" s="51"/>
      <c r="L103" s="51"/>
      <c r="M103" s="51"/>
      <c r="N103" s="51"/>
    </row>
    <row r="104" spans="1:14" ht="12.75">
      <c r="A104" s="51"/>
      <c r="B104" s="51"/>
      <c r="C104" s="51"/>
      <c r="D104" s="51"/>
      <c r="E104" s="51"/>
      <c r="F104" s="51"/>
      <c r="G104" s="51"/>
      <c r="H104" s="51"/>
      <c r="I104" s="51"/>
      <c r="J104" s="51"/>
      <c r="K104" s="51"/>
      <c r="L104" s="51"/>
      <c r="M104" s="51"/>
      <c r="N104" s="51"/>
    </row>
    <row r="105" spans="1:14" ht="12.75">
      <c r="A105" s="51"/>
      <c r="B105" s="51"/>
      <c r="C105" s="51"/>
      <c r="D105" s="51"/>
      <c r="E105" s="51"/>
      <c r="F105" s="51"/>
      <c r="G105" s="51"/>
      <c r="H105" s="51"/>
      <c r="I105" s="51"/>
      <c r="J105" s="51"/>
      <c r="K105" s="51"/>
      <c r="L105" s="51"/>
      <c r="M105" s="51"/>
      <c r="N105" s="51"/>
    </row>
    <row r="106" spans="1:14" ht="12.75">
      <c r="A106" s="51"/>
      <c r="B106" s="51"/>
      <c r="C106" s="51"/>
      <c r="D106" s="51"/>
      <c r="E106" s="51"/>
      <c r="F106" s="51"/>
      <c r="G106" s="51"/>
      <c r="H106" s="51"/>
      <c r="I106" s="51"/>
      <c r="J106" s="51"/>
      <c r="K106" s="51"/>
      <c r="L106" s="51"/>
      <c r="M106" s="51"/>
      <c r="N106" s="51"/>
    </row>
    <row r="107" spans="1:14" ht="12.75">
      <c r="A107" s="51"/>
      <c r="B107" s="51"/>
      <c r="C107" s="51"/>
      <c r="D107" s="51"/>
      <c r="E107" s="51"/>
      <c r="F107" s="51"/>
      <c r="G107" s="51"/>
      <c r="H107" s="51"/>
      <c r="I107" s="51"/>
      <c r="J107" s="51"/>
      <c r="K107" s="51"/>
      <c r="L107" s="51"/>
      <c r="M107" s="51"/>
      <c r="N107" s="51"/>
    </row>
    <row r="108" spans="1:14" ht="12.75">
      <c r="A108" s="51"/>
      <c r="B108" s="51"/>
      <c r="C108" s="51"/>
      <c r="D108" s="51"/>
      <c r="E108" s="51"/>
      <c r="F108" s="51"/>
      <c r="G108" s="51"/>
      <c r="H108" s="51"/>
      <c r="I108" s="51"/>
      <c r="J108" s="51"/>
      <c r="K108" s="51"/>
      <c r="L108" s="51"/>
      <c r="M108" s="51"/>
      <c r="N108" s="51"/>
    </row>
    <row r="109" spans="1:14" ht="12.75">
      <c r="A109" s="51"/>
      <c r="B109" s="51"/>
      <c r="C109" s="51"/>
      <c r="D109" s="51"/>
      <c r="E109" s="51"/>
      <c r="F109" s="51"/>
      <c r="G109" s="51"/>
      <c r="H109" s="51"/>
      <c r="I109" s="51"/>
      <c r="J109" s="51"/>
      <c r="K109" s="51"/>
      <c r="L109" s="51"/>
      <c r="M109" s="51"/>
      <c r="N109" s="51"/>
    </row>
    <row r="110" spans="1:14" ht="12.75">
      <c r="A110" s="51"/>
      <c r="B110" s="51"/>
      <c r="C110" s="51"/>
      <c r="D110" s="51"/>
      <c r="E110" s="51"/>
      <c r="F110" s="51"/>
      <c r="G110" s="51"/>
      <c r="H110" s="51"/>
      <c r="I110" s="51"/>
      <c r="J110" s="51"/>
      <c r="K110" s="51"/>
      <c r="L110" s="51"/>
      <c r="M110" s="51"/>
      <c r="N110" s="51"/>
    </row>
    <row r="111" spans="1:14" ht="12.75">
      <c r="A111" s="51"/>
      <c r="B111" s="51"/>
      <c r="C111" s="51"/>
      <c r="D111" s="51"/>
      <c r="E111" s="51"/>
      <c r="F111" s="51"/>
      <c r="G111" s="51"/>
      <c r="H111" s="51"/>
      <c r="I111" s="51"/>
      <c r="J111" s="51"/>
      <c r="K111" s="51"/>
      <c r="L111" s="51"/>
      <c r="M111" s="51"/>
      <c r="N111" s="51"/>
    </row>
    <row r="112" spans="1:14" ht="12.75">
      <c r="A112" s="51"/>
      <c r="B112" s="51"/>
      <c r="C112" s="51"/>
      <c r="D112" s="51"/>
      <c r="E112" s="51"/>
      <c r="F112" s="51"/>
      <c r="G112" s="51"/>
      <c r="H112" s="51"/>
      <c r="I112" s="51"/>
      <c r="J112" s="51"/>
      <c r="K112" s="51"/>
      <c r="L112" s="51"/>
      <c r="M112" s="51"/>
      <c r="N112" s="51"/>
    </row>
    <row r="113" spans="1:14" ht="12.75">
      <c r="A113" s="51"/>
      <c r="B113" s="51"/>
      <c r="C113" s="51"/>
      <c r="D113" s="51"/>
      <c r="E113" s="51"/>
      <c r="F113" s="51"/>
      <c r="G113" s="51"/>
      <c r="H113" s="51"/>
      <c r="I113" s="51"/>
      <c r="J113" s="51"/>
      <c r="K113" s="51"/>
      <c r="L113" s="51"/>
      <c r="M113" s="51"/>
      <c r="N113" s="51"/>
    </row>
    <row r="114" spans="1:14" ht="12.75">
      <c r="A114" s="51"/>
      <c r="B114" s="51"/>
      <c r="C114" s="51"/>
      <c r="D114" s="51"/>
      <c r="E114" s="51"/>
      <c r="F114" s="51"/>
      <c r="G114" s="51"/>
      <c r="H114" s="51"/>
      <c r="I114" s="51"/>
      <c r="J114" s="51"/>
      <c r="K114" s="51"/>
      <c r="L114" s="51"/>
      <c r="M114" s="51"/>
      <c r="N114" s="51"/>
    </row>
    <row r="115" spans="1:14" ht="12.75">
      <c r="A115" s="51"/>
      <c r="B115" s="51"/>
      <c r="C115" s="51"/>
      <c r="D115" s="51"/>
      <c r="E115" s="51"/>
      <c r="F115" s="51"/>
      <c r="G115" s="51"/>
      <c r="H115" s="51"/>
      <c r="I115" s="51"/>
      <c r="J115" s="51"/>
      <c r="K115" s="51"/>
      <c r="L115" s="51"/>
      <c r="M115" s="51"/>
      <c r="N115" s="51"/>
    </row>
    <row r="116" spans="1:14" ht="12.75">
      <c r="A116" s="51"/>
      <c r="B116" s="51"/>
      <c r="C116" s="51"/>
      <c r="D116" s="51"/>
      <c r="E116" s="51"/>
      <c r="F116" s="51"/>
      <c r="G116" s="51"/>
      <c r="H116" s="51"/>
      <c r="I116" s="51"/>
      <c r="J116" s="51"/>
      <c r="K116" s="51"/>
      <c r="L116" s="51"/>
      <c r="M116" s="51"/>
      <c r="N116" s="51"/>
    </row>
    <row r="117" spans="1:14" ht="12.75">
      <c r="A117" s="51"/>
      <c r="B117" s="51"/>
      <c r="C117" s="51"/>
      <c r="D117" s="51"/>
      <c r="E117" s="51"/>
      <c r="F117" s="51"/>
      <c r="G117" s="51"/>
      <c r="H117" s="51"/>
      <c r="I117" s="51"/>
      <c r="J117" s="51"/>
      <c r="K117" s="51"/>
      <c r="L117" s="51"/>
      <c r="M117" s="51"/>
      <c r="N117" s="51"/>
    </row>
    <row r="118" spans="1:14" ht="12.75">
      <c r="A118" s="51"/>
      <c r="B118" s="51"/>
      <c r="C118" s="51"/>
      <c r="D118" s="51"/>
      <c r="E118" s="51"/>
      <c r="F118" s="51"/>
      <c r="G118" s="51"/>
      <c r="H118" s="51"/>
      <c r="I118" s="51"/>
      <c r="J118" s="51"/>
      <c r="K118" s="51"/>
      <c r="L118" s="51"/>
      <c r="M118" s="51"/>
      <c r="N118" s="51"/>
    </row>
  </sheetData>
  <sheetProtection/>
  <printOptions/>
  <pageMargins left="0.25" right="0.25" top="0.75" bottom="0.75" header="0.3" footer="0.3"/>
  <pageSetup horizontalDpi="600" verticalDpi="600" orientation="landscape" scale="91"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J4" sqref="J4:J15"/>
    </sheetView>
  </sheetViews>
  <sheetFormatPr defaultColWidth="9.140625" defaultRowHeight="12.75"/>
  <cols>
    <col min="2" max="2" width="2.28125" style="115" bestFit="1" customWidth="1"/>
    <col min="3" max="12" width="11.7109375" style="0" customWidth="1"/>
  </cols>
  <sheetData>
    <row r="1" spans="1:2" ht="12.75">
      <c r="A1" s="42" t="str">
        <f>"Commodity Pricing ("&amp;TEXT(A4,"mmmm yyyy")&amp;" through "&amp;TEXT(A15,"mmmm yyyy")&amp;")"</f>
        <v>Commodity Pricing (May 2015 through April 2016)</v>
      </c>
      <c r="B1" s="112"/>
    </row>
    <row r="2" spans="1:2" ht="12.75">
      <c r="A2" s="44" t="s">
        <v>62</v>
      </c>
      <c r="B2" s="113"/>
    </row>
    <row r="3" spans="2:13" ht="12.75">
      <c r="B3" s="114"/>
      <c r="C3" s="46" t="s">
        <v>15</v>
      </c>
      <c r="D3" s="46" t="s">
        <v>16</v>
      </c>
      <c r="E3" s="46" t="s">
        <v>27</v>
      </c>
      <c r="F3" s="46" t="s">
        <v>17</v>
      </c>
      <c r="G3" s="46" t="s">
        <v>18</v>
      </c>
      <c r="H3" s="46" t="s">
        <v>19</v>
      </c>
      <c r="I3" s="46" t="s">
        <v>20</v>
      </c>
      <c r="J3" s="46" t="s">
        <v>21</v>
      </c>
      <c r="K3" s="46" t="s">
        <v>22</v>
      </c>
      <c r="L3" s="46" t="s">
        <v>23</v>
      </c>
      <c r="M3" s="46"/>
    </row>
    <row r="4" spans="1:13" ht="15.75" customHeight="1">
      <c r="A4" s="110">
        <f>Multi_Family!$C$6</f>
        <v>42125</v>
      </c>
      <c r="B4" s="114" t="s">
        <v>49</v>
      </c>
      <c r="C4" s="124">
        <f>Multi_Family!C74</f>
        <v>868</v>
      </c>
      <c r="D4" s="124">
        <f>Multi_Family!C76</f>
        <v>-6.46</v>
      </c>
      <c r="E4" s="124">
        <f>Multi_Family!C77</f>
        <v>-120.17</v>
      </c>
      <c r="F4" s="124">
        <f>Multi_Family!C72</f>
        <v>45.24099999999999</v>
      </c>
      <c r="G4" s="124">
        <f>Multi_Family!C69</f>
        <v>64.729</v>
      </c>
      <c r="H4" s="124">
        <f>Multi_Family!C79</f>
        <v>57.505</v>
      </c>
      <c r="I4" s="124">
        <f>Multi_Family!C73</f>
        <v>150.808</v>
      </c>
      <c r="J4" s="124">
        <f>Multi_Family!C73</f>
        <v>150.808</v>
      </c>
      <c r="K4" s="124">
        <f>Multi_Family!C70</f>
        <v>84.931</v>
      </c>
      <c r="L4" s="124">
        <f>Multi_Family!C78</f>
        <v>-120.17</v>
      </c>
      <c r="M4" s="143"/>
    </row>
    <row r="5" spans="1:13" ht="15.75" customHeight="1">
      <c r="A5" s="50">
        <f aca="true" t="shared" si="0" ref="A5:A15">EOMONTH(A4,1)</f>
        <v>42185</v>
      </c>
      <c r="B5" s="114" t="s">
        <v>50</v>
      </c>
      <c r="C5" s="124">
        <f>Multi_Family!D74</f>
        <v>755.944</v>
      </c>
      <c r="D5" s="124">
        <f>Multi_Family!D76</f>
        <v>-19.18</v>
      </c>
      <c r="E5" s="124">
        <f>Multi_Family!D77</f>
        <v>-120.17</v>
      </c>
      <c r="F5" s="124">
        <f>Multi_Family!D72</f>
        <v>46.794999999999995</v>
      </c>
      <c r="G5" s="124">
        <f>Multi_Family!D69</f>
        <v>70.58099999999999</v>
      </c>
      <c r="H5" s="124">
        <f>Multi_Family!D79</f>
        <v>64.708</v>
      </c>
      <c r="I5" s="124">
        <f>Multi_Family!D73</f>
        <v>166.166</v>
      </c>
      <c r="J5" s="124">
        <f>Multi_Family!D73</f>
        <v>166.166</v>
      </c>
      <c r="K5" s="124">
        <f>Multi_Family!D70</f>
        <v>95.396</v>
      </c>
      <c r="L5" s="124">
        <f>Multi_Family!D78</f>
        <v>-120.17</v>
      </c>
      <c r="M5" s="143"/>
    </row>
    <row r="6" spans="1:13" ht="15.75" customHeight="1">
      <c r="A6" s="50">
        <f t="shared" si="0"/>
        <v>42216</v>
      </c>
      <c r="B6" s="115" t="s">
        <v>51</v>
      </c>
      <c r="C6" s="124">
        <f>Multi_Family!E74</f>
        <v>731.5489999999999</v>
      </c>
      <c r="D6" s="124">
        <f>Multi_Family!E76</f>
        <v>-10.94</v>
      </c>
      <c r="E6" s="124">
        <f>Multi_Family!E77</f>
        <v>-120.17</v>
      </c>
      <c r="F6" s="124">
        <f>Multi_Family!E72</f>
        <v>41.516999999999996</v>
      </c>
      <c r="G6" s="124">
        <f>Multi_Family!E69</f>
        <v>69.678</v>
      </c>
      <c r="H6" s="124">
        <f>Multi_Family!E79</f>
        <v>62.45399999999999</v>
      </c>
      <c r="I6" s="124">
        <f>Multi_Family!E73</f>
        <v>126.889</v>
      </c>
      <c r="J6" s="124">
        <f>Multi_Family!E73</f>
        <v>126.889</v>
      </c>
      <c r="K6" s="124">
        <f>Multi_Family!E70</f>
        <v>94.843</v>
      </c>
      <c r="L6" s="124">
        <f>Multi_Family!E78</f>
        <v>-120.17</v>
      </c>
      <c r="M6" s="143"/>
    </row>
    <row r="7" spans="1:13" ht="15.75" customHeight="1">
      <c r="A7" s="50">
        <f t="shared" si="0"/>
        <v>42247</v>
      </c>
      <c r="B7" s="115" t="s">
        <v>52</v>
      </c>
      <c r="C7" s="124">
        <f>Multi_Family!F74</f>
        <v>739.676</v>
      </c>
      <c r="D7" s="124">
        <f>Multi_Family!F76</f>
        <v>-6.89</v>
      </c>
      <c r="E7" s="124">
        <f>Multi_Family!F77</f>
        <v>-120.17</v>
      </c>
      <c r="F7" s="124">
        <f>Multi_Family!F72</f>
        <v>36.19</v>
      </c>
      <c r="G7" s="124">
        <f>Multi_Family!F69</f>
        <v>66.528</v>
      </c>
      <c r="H7" s="124">
        <f>Multi_Family!F79</f>
        <v>60.37499999999999</v>
      </c>
      <c r="I7" s="124">
        <f>Multi_Family!F73</f>
        <v>94.052</v>
      </c>
      <c r="J7" s="124">
        <f>Multi_Family!F73</f>
        <v>94.052</v>
      </c>
      <c r="K7" s="124">
        <f>Multi_Family!F70</f>
        <v>92.71499999999999</v>
      </c>
      <c r="L7" s="124">
        <f>Multi_Family!F78</f>
        <v>-120.17</v>
      </c>
      <c r="M7" s="143"/>
    </row>
    <row r="8" spans="1:13" ht="15.75" customHeight="1">
      <c r="A8" s="50">
        <f t="shared" si="0"/>
        <v>42277</v>
      </c>
      <c r="B8" s="115" t="s">
        <v>53</v>
      </c>
      <c r="C8" s="124">
        <f>Multi_Family!G74</f>
        <v>758.7230000000001</v>
      </c>
      <c r="D8" s="124">
        <f>Multi_Family!G76</f>
        <v>-6.06</v>
      </c>
      <c r="E8" s="124">
        <f>Multi_Family!G77</f>
        <v>-120.17</v>
      </c>
      <c r="F8" s="124">
        <f>Multi_Family!G72</f>
        <v>36.316</v>
      </c>
      <c r="G8" s="124">
        <f>Multi_Family!G69</f>
        <v>64.526</v>
      </c>
      <c r="H8" s="124">
        <f>Multi_Family!G79</f>
        <v>61.936</v>
      </c>
      <c r="I8" s="124">
        <f>Multi_Family!G73</f>
        <v>85.99499999999999</v>
      </c>
      <c r="J8" s="124">
        <f>Multi_Family!G73</f>
        <v>85.99499999999999</v>
      </c>
      <c r="K8" s="124">
        <f>Multi_Family!G70</f>
        <v>94.801</v>
      </c>
      <c r="L8" s="124">
        <f>Multi_Family!G78</f>
        <v>-120.17</v>
      </c>
      <c r="M8" s="143"/>
    </row>
    <row r="9" spans="1:13" ht="15.75" customHeight="1">
      <c r="A9" s="50">
        <f t="shared" si="0"/>
        <v>42308</v>
      </c>
      <c r="B9" s="115" t="s">
        <v>54</v>
      </c>
      <c r="C9" s="124">
        <f>Multi_Family!H74</f>
        <v>771.204</v>
      </c>
      <c r="D9" s="124">
        <f>Multi_Family!H76</f>
        <v>1.1059999999999999</v>
      </c>
      <c r="E9" s="124">
        <f>Multi_Family!H77</f>
        <v>-120.17</v>
      </c>
      <c r="F9" s="124">
        <f>Multi_Family!H72</f>
        <v>31.660999999999994</v>
      </c>
      <c r="G9" s="124">
        <f>Multi_Family!H69</f>
        <v>63.119</v>
      </c>
      <c r="H9" s="124">
        <f>Multi_Family!H79</f>
        <v>61.24999999999999</v>
      </c>
      <c r="I9" s="124">
        <f>Multi_Family!H73</f>
        <v>84.903</v>
      </c>
      <c r="J9" s="124">
        <f>Multi_Family!H73</f>
        <v>84.903</v>
      </c>
      <c r="K9" s="124">
        <f>Multi_Family!H70</f>
        <v>92.82</v>
      </c>
      <c r="L9" s="124">
        <f>Multi_Family!H78</f>
        <v>-120.17</v>
      </c>
      <c r="M9" s="143"/>
    </row>
    <row r="10" spans="1:13" ht="15.75" customHeight="1">
      <c r="A10" s="50">
        <f t="shared" si="0"/>
        <v>42338</v>
      </c>
      <c r="B10" s="115" t="s">
        <v>55</v>
      </c>
      <c r="C10" s="124">
        <f>Multi_Family!I74</f>
        <v>700.83</v>
      </c>
      <c r="D10" s="124">
        <f>Multi_Family!I76</f>
        <v>-6.29</v>
      </c>
      <c r="E10" s="124">
        <f>Multi_Family!G77</f>
        <v>-120.17</v>
      </c>
      <c r="F10" s="124">
        <f>Multi_Family!I72</f>
        <v>30.55</v>
      </c>
      <c r="G10" s="124">
        <f>Multi_Family!I69</f>
        <v>60.07</v>
      </c>
      <c r="H10" s="124">
        <f>Multi_Family!I79</f>
        <v>40.79</v>
      </c>
      <c r="I10" s="124">
        <f>Multi_Family!I73</f>
        <v>84.01</v>
      </c>
      <c r="J10" s="124">
        <f>Multi_Family!I73</f>
        <v>84.01</v>
      </c>
      <c r="K10" s="124">
        <f>Multi_Family!I70</f>
        <v>90.73</v>
      </c>
      <c r="L10" s="124">
        <f>Multi_Family!I78</f>
        <v>-120.17</v>
      </c>
      <c r="M10" s="143"/>
    </row>
    <row r="11" spans="1:13" ht="15.75" customHeight="1">
      <c r="A11" s="50">
        <f t="shared" si="0"/>
        <v>42369</v>
      </c>
      <c r="B11" s="115" t="s">
        <v>56</v>
      </c>
      <c r="C11" s="124">
        <f>Multi_Family!J74</f>
        <v>744.023</v>
      </c>
      <c r="D11" s="124">
        <f>Multi_Family!J76</f>
        <v>-18.57</v>
      </c>
      <c r="E11" s="124">
        <f>Multi_Family!J77</f>
        <v>-120.17</v>
      </c>
      <c r="F11" s="124">
        <f>Multi_Family!J72</f>
        <v>31.738</v>
      </c>
      <c r="G11" s="124">
        <f>Multi_Family!J69</f>
        <v>63.077</v>
      </c>
      <c r="H11" s="124">
        <f>Multi_Family!J79</f>
        <v>56.077</v>
      </c>
      <c r="I11" s="124">
        <f>Multi_Family!J73</f>
        <v>85.45599999999999</v>
      </c>
      <c r="J11" s="124">
        <f>Multi_Family!J73</f>
        <v>85.45599999999999</v>
      </c>
      <c r="K11" s="124">
        <f>Multi_Family!J70</f>
        <v>86.359</v>
      </c>
      <c r="L11" s="124">
        <f>Multi_Family!J78</f>
        <v>-120.17</v>
      </c>
      <c r="M11" s="143"/>
    </row>
    <row r="12" spans="1:13" ht="15.75" customHeight="1">
      <c r="A12" s="50">
        <f t="shared" si="0"/>
        <v>42400</v>
      </c>
      <c r="B12" s="115" t="s">
        <v>57</v>
      </c>
      <c r="C12" s="124">
        <f>Multi_Family!K74</f>
        <v>795.242</v>
      </c>
      <c r="D12" s="124">
        <f>Multi_Family!K76</f>
        <v>-3.88</v>
      </c>
      <c r="E12" s="124">
        <f>Multi_Family!K77</f>
        <v>-120.17</v>
      </c>
      <c r="F12" s="124">
        <f>Multi_Family!K72</f>
        <v>31.395</v>
      </c>
      <c r="G12" s="124">
        <f>Multi_Family!K69</f>
        <v>63.077</v>
      </c>
      <c r="H12" s="124">
        <f>Multi_Family!K79</f>
        <v>56.077</v>
      </c>
      <c r="I12" s="124">
        <f>Multi_Family!K73</f>
        <v>68.84499999999998</v>
      </c>
      <c r="J12" s="124">
        <f>Multi_Family!K73</f>
        <v>68.84499999999998</v>
      </c>
      <c r="K12" s="124">
        <f>Multi_Family!K70</f>
        <v>81.634</v>
      </c>
      <c r="L12" s="124">
        <f>Multi_Family!K78</f>
        <v>-120.17</v>
      </c>
      <c r="M12" s="143"/>
    </row>
    <row r="13" spans="1:13" ht="15.75" customHeight="1">
      <c r="A13" s="50">
        <f t="shared" si="0"/>
        <v>42429</v>
      </c>
      <c r="B13" s="115" t="s">
        <v>58</v>
      </c>
      <c r="C13" s="124">
        <f>Multi_Family!L74</f>
        <v>789.8379999999999</v>
      </c>
      <c r="D13" s="124">
        <f>Multi_Family!L76</f>
        <v>4.263</v>
      </c>
      <c r="E13" s="124">
        <f>Multi_Family!L77</f>
        <v>-120.17</v>
      </c>
      <c r="F13" s="124">
        <f>Multi_Family!L72</f>
        <v>31.317999999999998</v>
      </c>
      <c r="G13" s="124">
        <f>Multi_Family!L69</f>
        <v>62.832</v>
      </c>
      <c r="H13" s="124">
        <f>Multi_Family!L79</f>
        <v>55.705999999999996</v>
      </c>
      <c r="I13" s="124">
        <f>Multi_Family!L73</f>
        <v>77.40599999999999</v>
      </c>
      <c r="J13" s="124">
        <f>Multi_Family!L73</f>
        <v>77.40599999999999</v>
      </c>
      <c r="K13" s="124">
        <f>Multi_Family!L70</f>
        <v>83.68499999999999</v>
      </c>
      <c r="L13" s="124">
        <f>Multi_Family!L78</f>
        <v>-120.17</v>
      </c>
      <c r="M13" s="143"/>
    </row>
    <row r="14" spans="1:13" ht="15.75" customHeight="1">
      <c r="A14" s="50">
        <f t="shared" si="0"/>
        <v>42460</v>
      </c>
      <c r="B14" s="115" t="s">
        <v>59</v>
      </c>
      <c r="C14" s="124">
        <f>Multi_Family!M74</f>
        <v>790.6919999999999</v>
      </c>
      <c r="D14" s="124">
        <f>Multi_Family!M76</f>
        <v>1.603</v>
      </c>
      <c r="E14" s="124">
        <f>Multi_Family!M77</f>
        <v>-120.17</v>
      </c>
      <c r="F14" s="124">
        <f>Multi_Family!M72</f>
        <v>35.427</v>
      </c>
      <c r="G14" s="124">
        <f>Multi_Family!M69</f>
        <v>65.09299999999999</v>
      </c>
      <c r="H14" s="124">
        <f>Multi_Family!M79</f>
        <v>57.147999999999996</v>
      </c>
      <c r="I14" s="124">
        <f>Multi_Family!M73</f>
        <v>89.01899999999999</v>
      </c>
      <c r="J14" s="124">
        <f>Multi_Family!M73</f>
        <v>89.01899999999999</v>
      </c>
      <c r="K14" s="124">
        <f>Multi_Family!M70</f>
        <v>93.205</v>
      </c>
      <c r="L14" s="124">
        <f>Multi_Family!M78</f>
        <v>-120.17</v>
      </c>
      <c r="M14" s="143"/>
    </row>
    <row r="15" spans="1:13" ht="15.75" customHeight="1">
      <c r="A15" s="50">
        <f t="shared" si="0"/>
        <v>42490</v>
      </c>
      <c r="B15" s="115" t="s">
        <v>60</v>
      </c>
      <c r="C15" s="124">
        <f>Multi_Family!N74</f>
        <v>763</v>
      </c>
      <c r="D15" s="124">
        <f>Multi_Family!N76</f>
        <v>-6.66</v>
      </c>
      <c r="E15" s="124">
        <f>Multi_Family!N77</f>
        <v>-120.17</v>
      </c>
      <c r="F15" s="124">
        <f>Multi_Family!N72</f>
        <v>53.52199999999999</v>
      </c>
      <c r="G15" s="124">
        <f>Multi_Family!N69</f>
        <v>68.502</v>
      </c>
      <c r="H15" s="124">
        <f>Multi_Family!N79</f>
        <v>64.029</v>
      </c>
      <c r="I15" s="124">
        <f>Multi_Family!N73</f>
        <v>102.76</v>
      </c>
      <c r="J15" s="124">
        <f>Multi_Family!N73</f>
        <v>102.76</v>
      </c>
      <c r="K15" s="124">
        <f>Multi_Family!N70</f>
        <v>92.008</v>
      </c>
      <c r="L15" s="124">
        <f>Multi_Family!N78</f>
        <v>-120.17</v>
      </c>
      <c r="M15" s="143"/>
    </row>
    <row r="16" spans="1:13" ht="12.75">
      <c r="A16" s="51"/>
      <c r="C16" s="52"/>
      <c r="D16" s="52"/>
      <c r="E16" s="52"/>
      <c r="F16" s="52"/>
      <c r="G16" s="52"/>
      <c r="H16" s="52"/>
      <c r="I16" s="52"/>
      <c r="J16" s="52"/>
      <c r="K16" s="52"/>
      <c r="L16" s="51"/>
      <c r="M16" s="52"/>
    </row>
    <row r="17" spans="1:14" ht="12.75">
      <c r="A17" s="54"/>
      <c r="C17" s="52"/>
      <c r="D17" s="52"/>
      <c r="E17" s="52"/>
      <c r="F17" s="52"/>
      <c r="G17" s="52"/>
      <c r="H17" s="52"/>
      <c r="I17" s="52"/>
      <c r="J17" s="52"/>
      <c r="K17" s="52"/>
      <c r="L17" s="52"/>
      <c r="M17" s="52"/>
      <c r="N17" s="52" t="s">
        <v>25</v>
      </c>
    </row>
    <row r="18" spans="1:13" ht="12.75">
      <c r="A18" s="51"/>
      <c r="C18" s="51"/>
      <c r="D18" s="51"/>
      <c r="E18" s="51"/>
      <c r="F18" s="51"/>
      <c r="G18" s="51"/>
      <c r="H18" s="51"/>
      <c r="I18" s="51"/>
      <c r="J18" s="51"/>
      <c r="K18" s="51"/>
      <c r="L18" s="51"/>
      <c r="M18" s="52"/>
    </row>
    <row r="19" spans="1:13" ht="12.75">
      <c r="A19" s="51"/>
      <c r="C19" s="51"/>
      <c r="D19" s="51"/>
      <c r="E19" s="51"/>
      <c r="F19" s="51"/>
      <c r="G19" s="51"/>
      <c r="H19" s="51"/>
      <c r="I19" s="51"/>
      <c r="J19" s="51"/>
      <c r="K19" s="51"/>
      <c r="L19" s="51"/>
      <c r="M19" s="52"/>
    </row>
    <row r="20" spans="1:13" ht="12.75">
      <c r="A20" s="51"/>
      <c r="C20" s="51"/>
      <c r="D20" s="51"/>
      <c r="F20" s="51"/>
      <c r="G20" s="51"/>
      <c r="H20" s="51"/>
      <c r="I20" s="51"/>
      <c r="J20" s="51"/>
      <c r="K20" s="51"/>
      <c r="L20" s="51"/>
      <c r="M20" s="52"/>
    </row>
    <row r="21" spans="1:13" ht="12.75">
      <c r="A21" s="51"/>
      <c r="C21" s="51"/>
      <c r="D21" s="51"/>
      <c r="F21" s="51"/>
      <c r="G21" s="51"/>
      <c r="H21" s="51"/>
      <c r="I21" s="51"/>
      <c r="J21" s="51"/>
      <c r="K21" s="51"/>
      <c r="L21" s="51"/>
      <c r="M21" s="52"/>
    </row>
    <row r="22" spans="1:13" ht="12.75">
      <c r="A22" s="51"/>
      <c r="C22" s="51"/>
      <c r="D22" s="51"/>
      <c r="G22" s="51"/>
      <c r="H22" s="51"/>
      <c r="I22" s="51"/>
      <c r="J22" s="51"/>
      <c r="K22" s="51"/>
      <c r="L22" s="51"/>
      <c r="M22" s="52"/>
    </row>
    <row r="23" spans="1:13" ht="12.75">
      <c r="A23" s="51"/>
      <c r="C23" s="51"/>
      <c r="D23" s="51"/>
      <c r="F23" s="51"/>
      <c r="G23" s="51"/>
      <c r="H23" s="51"/>
      <c r="I23" s="51"/>
      <c r="J23" s="51"/>
      <c r="K23" s="51"/>
      <c r="L23" s="51"/>
      <c r="M23" s="52"/>
    </row>
    <row r="24" spans="1:13" ht="12.75">
      <c r="A24" s="51"/>
      <c r="C24" s="51"/>
      <c r="D24" s="51"/>
      <c r="F24" s="51"/>
      <c r="G24" s="51"/>
      <c r="H24" s="51"/>
      <c r="I24" s="51"/>
      <c r="J24" s="51"/>
      <c r="K24" s="51"/>
      <c r="L24" s="51"/>
      <c r="M24" s="52"/>
    </row>
    <row r="25" spans="1:13" ht="12.75">
      <c r="A25" s="51"/>
      <c r="C25" s="51"/>
      <c r="D25" s="51"/>
      <c r="F25" s="51"/>
      <c r="G25" s="51"/>
      <c r="H25" s="51"/>
      <c r="I25" s="51"/>
      <c r="J25" s="51"/>
      <c r="K25" s="51"/>
      <c r="L25" s="51"/>
      <c r="M25" s="52"/>
    </row>
    <row r="26" spans="1:13" ht="12.75">
      <c r="A26" s="51"/>
      <c r="C26" s="51"/>
      <c r="D26" s="51"/>
      <c r="F26" s="51"/>
      <c r="G26" s="51"/>
      <c r="H26" s="51"/>
      <c r="I26" s="51"/>
      <c r="J26" s="51"/>
      <c r="K26" s="51"/>
      <c r="L26" s="51"/>
      <c r="M26" s="52"/>
    </row>
    <row r="27" spans="1:13" ht="12.75">
      <c r="A27" s="51"/>
      <c r="C27" s="51"/>
      <c r="D27" s="51"/>
      <c r="F27" s="51"/>
      <c r="G27" s="51"/>
      <c r="H27" s="51"/>
      <c r="I27" s="51"/>
      <c r="J27" s="51"/>
      <c r="K27" s="51"/>
      <c r="L27" s="51"/>
      <c r="M27" s="52"/>
    </row>
    <row r="28" spans="1:13" ht="12.75">
      <c r="A28" s="51"/>
      <c r="C28" s="51"/>
      <c r="D28" s="51"/>
      <c r="F28" s="51"/>
      <c r="G28" s="51"/>
      <c r="H28" s="51"/>
      <c r="I28" s="51"/>
      <c r="J28" s="51"/>
      <c r="K28" s="51"/>
      <c r="L28" s="51"/>
      <c r="M28" s="51"/>
    </row>
    <row r="29" spans="1:13" ht="12.75">
      <c r="A29" s="51"/>
      <c r="C29" s="51"/>
      <c r="D29" s="51"/>
      <c r="F29" s="51"/>
      <c r="G29" s="51"/>
      <c r="H29" s="51"/>
      <c r="I29" s="51"/>
      <c r="J29" s="51"/>
      <c r="K29" s="51"/>
      <c r="L29" s="51"/>
      <c r="M29" s="51"/>
    </row>
    <row r="30" spans="1:13" ht="12.75">
      <c r="A30" s="51"/>
      <c r="C30" s="51"/>
      <c r="D30" s="51"/>
      <c r="F30" s="51"/>
      <c r="G30" s="51"/>
      <c r="H30" s="51"/>
      <c r="I30" s="51"/>
      <c r="J30" s="51"/>
      <c r="K30" s="51"/>
      <c r="L30" s="51"/>
      <c r="M30" s="51"/>
    </row>
    <row r="31" spans="1:13" ht="12.75">
      <c r="A31" s="51"/>
      <c r="C31" s="51"/>
      <c r="D31" s="51"/>
      <c r="F31" s="51"/>
      <c r="G31" s="51"/>
      <c r="H31" s="51"/>
      <c r="I31" s="51"/>
      <c r="J31" s="51"/>
      <c r="K31" s="51"/>
      <c r="L31" s="51"/>
      <c r="M31" s="51"/>
    </row>
    <row r="32" spans="1:13" ht="12.75">
      <c r="A32" s="51"/>
      <c r="C32" s="51"/>
      <c r="D32" s="51"/>
      <c r="E32" s="51"/>
      <c r="F32" s="51"/>
      <c r="G32" s="51"/>
      <c r="H32" s="51"/>
      <c r="I32" s="51"/>
      <c r="J32" s="51"/>
      <c r="K32" s="51"/>
      <c r="L32" s="51"/>
      <c r="M32" s="51"/>
    </row>
    <row r="33" spans="1:13" ht="12.75">
      <c r="A33" s="51"/>
      <c r="C33" s="51"/>
      <c r="D33" s="51"/>
      <c r="E33" s="51"/>
      <c r="F33" s="51"/>
      <c r="G33" s="51"/>
      <c r="H33" s="51"/>
      <c r="I33" s="51"/>
      <c r="J33" s="51"/>
      <c r="K33" s="51"/>
      <c r="L33" s="51"/>
      <c r="M33" s="51"/>
    </row>
    <row r="34" spans="1:13" ht="12.75">
      <c r="A34" s="51"/>
      <c r="C34" s="51"/>
      <c r="D34" s="51"/>
      <c r="E34" s="51"/>
      <c r="F34" s="51"/>
      <c r="G34" s="51"/>
      <c r="H34" s="51"/>
      <c r="I34" s="51"/>
      <c r="J34" s="51"/>
      <c r="K34" s="51"/>
      <c r="L34" s="51"/>
      <c r="M34" s="51"/>
    </row>
    <row r="35" spans="1:13" ht="12.75">
      <c r="A35" s="51"/>
      <c r="C35" s="51"/>
      <c r="D35" s="51"/>
      <c r="E35" s="51"/>
      <c r="F35" s="51"/>
      <c r="G35" s="51"/>
      <c r="H35" s="51"/>
      <c r="I35" s="51"/>
      <c r="J35" s="51"/>
      <c r="K35" s="51"/>
      <c r="L35" s="51"/>
      <c r="M35" s="51"/>
    </row>
    <row r="36" spans="1:13" ht="12.75">
      <c r="A36" s="51"/>
      <c r="C36" s="51"/>
      <c r="D36" s="51"/>
      <c r="E36" s="51"/>
      <c r="F36" s="51"/>
      <c r="G36" s="51"/>
      <c r="H36" s="51"/>
      <c r="I36" s="51"/>
      <c r="J36" s="51"/>
      <c r="K36" s="51"/>
      <c r="L36" s="51"/>
      <c r="M36" s="51"/>
    </row>
    <row r="37" spans="1:13" ht="12.75">
      <c r="A37" s="51"/>
      <c r="C37" s="51"/>
      <c r="D37" s="51"/>
      <c r="E37" s="51"/>
      <c r="F37" s="51"/>
      <c r="G37" s="51"/>
      <c r="H37" s="51"/>
      <c r="I37" s="51"/>
      <c r="J37" s="51"/>
      <c r="K37" s="51"/>
      <c r="L37" s="51"/>
      <c r="M37" s="51"/>
    </row>
    <row r="38" spans="1:13" ht="12.75">
      <c r="A38" s="51"/>
      <c r="C38" s="51"/>
      <c r="D38" s="51"/>
      <c r="E38" s="51"/>
      <c r="F38" s="51"/>
      <c r="G38" s="51"/>
      <c r="H38" s="51"/>
      <c r="I38" s="51"/>
      <c r="J38" s="51"/>
      <c r="K38" s="51"/>
      <c r="L38" s="51"/>
      <c r="M38" s="51"/>
    </row>
    <row r="39" spans="1:13" ht="12.75">
      <c r="A39" s="51"/>
      <c r="C39" s="51"/>
      <c r="D39" s="51"/>
      <c r="E39" s="51"/>
      <c r="F39" s="51"/>
      <c r="G39" s="51"/>
      <c r="H39" s="51"/>
      <c r="I39" s="51"/>
      <c r="J39" s="51"/>
      <c r="K39" s="51"/>
      <c r="L39" s="51"/>
      <c r="M39" s="51"/>
    </row>
    <row r="40" spans="1:13" ht="12.75">
      <c r="A40" s="51"/>
      <c r="C40" s="51"/>
      <c r="D40" s="51"/>
      <c r="E40" s="51"/>
      <c r="F40" s="51"/>
      <c r="G40" s="51"/>
      <c r="H40" s="51"/>
      <c r="I40" s="51"/>
      <c r="J40" s="51"/>
      <c r="K40" s="51"/>
      <c r="L40" s="51"/>
      <c r="M40" s="51"/>
    </row>
    <row r="41" spans="1:13" ht="12.75">
      <c r="A41" s="51"/>
      <c r="C41" s="51"/>
      <c r="D41" s="51"/>
      <c r="E41" s="51"/>
      <c r="F41" s="51"/>
      <c r="G41" s="51"/>
      <c r="H41" s="51"/>
      <c r="I41" s="51"/>
      <c r="J41" s="51"/>
      <c r="K41" s="51"/>
      <c r="L41" s="51"/>
      <c r="M41" s="51"/>
    </row>
    <row r="42" spans="1:13" ht="12.75">
      <c r="A42" s="51"/>
      <c r="C42" s="51"/>
      <c r="D42" s="51"/>
      <c r="E42" s="51"/>
      <c r="F42" s="51"/>
      <c r="G42" s="51"/>
      <c r="H42" s="51"/>
      <c r="I42" s="51"/>
      <c r="J42" s="51"/>
      <c r="K42" s="51"/>
      <c r="L42" s="51"/>
      <c r="M42" s="51"/>
    </row>
    <row r="43" spans="1:13" ht="12.75">
      <c r="A43" s="51"/>
      <c r="C43" s="51"/>
      <c r="D43" s="51"/>
      <c r="E43" s="51"/>
      <c r="F43" s="51"/>
      <c r="G43" s="51"/>
      <c r="H43" s="51"/>
      <c r="I43" s="51"/>
      <c r="J43" s="51"/>
      <c r="K43" s="51"/>
      <c r="L43" s="51"/>
      <c r="M43" s="51"/>
    </row>
    <row r="44" spans="1:13" ht="12.75">
      <c r="A44" s="51"/>
      <c r="C44" s="51"/>
      <c r="D44" s="51"/>
      <c r="E44" s="51"/>
      <c r="F44" s="51"/>
      <c r="G44" s="51"/>
      <c r="H44" s="51"/>
      <c r="I44" s="51"/>
      <c r="J44" s="51"/>
      <c r="K44" s="51"/>
      <c r="L44" s="51"/>
      <c r="M44" s="51"/>
    </row>
    <row r="45" spans="1:13" ht="12.75">
      <c r="A45" s="51"/>
      <c r="C45" s="51"/>
      <c r="D45" s="51"/>
      <c r="E45" s="51"/>
      <c r="F45" s="51"/>
      <c r="G45" s="51"/>
      <c r="H45" s="51"/>
      <c r="I45" s="51"/>
      <c r="J45" s="51"/>
      <c r="K45" s="51"/>
      <c r="L45" s="51"/>
      <c r="M45" s="51"/>
    </row>
    <row r="46" spans="1:13" ht="12.75">
      <c r="A46" s="51"/>
      <c r="C46" s="51"/>
      <c r="D46" s="51"/>
      <c r="E46" s="51"/>
      <c r="F46" s="51"/>
      <c r="G46" s="51"/>
      <c r="H46" s="51"/>
      <c r="I46" s="51"/>
      <c r="J46" s="51"/>
      <c r="K46" s="51"/>
      <c r="L46" s="51"/>
      <c r="M46" s="51"/>
    </row>
    <row r="47" spans="1:13" ht="12.75">
      <c r="A47" s="51"/>
      <c r="C47" s="51"/>
      <c r="D47" s="51"/>
      <c r="E47" s="51"/>
      <c r="F47" s="51"/>
      <c r="G47" s="51"/>
      <c r="H47" s="51"/>
      <c r="I47" s="51"/>
      <c r="J47" s="51"/>
      <c r="K47" s="51"/>
      <c r="L47" s="51"/>
      <c r="M47" s="51"/>
    </row>
    <row r="48" spans="1:13" ht="12.75">
      <c r="A48" s="51"/>
      <c r="C48" s="51"/>
      <c r="D48" s="51"/>
      <c r="E48" s="51"/>
      <c r="F48" s="51"/>
      <c r="G48" s="51"/>
      <c r="H48" s="51"/>
      <c r="I48" s="51"/>
      <c r="J48" s="51"/>
      <c r="K48" s="51"/>
      <c r="L48" s="51"/>
      <c r="M48" s="51"/>
    </row>
    <row r="49" spans="1:13" ht="12.75">
      <c r="A49" s="51"/>
      <c r="C49" s="51"/>
      <c r="D49" s="51"/>
      <c r="E49" s="51"/>
      <c r="F49" s="51"/>
      <c r="G49" s="51"/>
      <c r="H49" s="51"/>
      <c r="I49" s="51"/>
      <c r="J49" s="51"/>
      <c r="K49" s="51"/>
      <c r="L49" s="51"/>
      <c r="M49" s="51"/>
    </row>
    <row r="50" spans="1:13" ht="12.75">
      <c r="A50" s="51"/>
      <c r="C50" s="51"/>
      <c r="D50" s="51"/>
      <c r="E50" s="51"/>
      <c r="F50" s="51"/>
      <c r="G50" s="51"/>
      <c r="H50" s="51"/>
      <c r="I50" s="51"/>
      <c r="J50" s="51"/>
      <c r="K50" s="51"/>
      <c r="L50" s="51"/>
      <c r="M50" s="51"/>
    </row>
    <row r="51" spans="1:13" ht="12.75">
      <c r="A51" s="51"/>
      <c r="C51" s="51"/>
      <c r="D51" s="51"/>
      <c r="E51" s="51"/>
      <c r="F51" s="51"/>
      <c r="G51" s="51"/>
      <c r="H51" s="51"/>
      <c r="I51" s="51"/>
      <c r="J51" s="51"/>
      <c r="K51" s="51"/>
      <c r="L51" s="51"/>
      <c r="M51" s="51"/>
    </row>
    <row r="52" spans="1:13" ht="12.75">
      <c r="A52" s="51"/>
      <c r="C52" s="51"/>
      <c r="D52" s="51"/>
      <c r="E52" s="51"/>
      <c r="F52" s="51"/>
      <c r="G52" s="51"/>
      <c r="H52" s="51"/>
      <c r="I52" s="51"/>
      <c r="J52" s="51"/>
      <c r="K52" s="51"/>
      <c r="L52" s="51"/>
      <c r="M52" s="51"/>
    </row>
    <row r="53" spans="1:13" ht="12.75">
      <c r="A53" s="51"/>
      <c r="C53" s="51"/>
      <c r="D53" s="51"/>
      <c r="E53" s="51"/>
      <c r="F53" s="51"/>
      <c r="G53" s="51"/>
      <c r="H53" s="51"/>
      <c r="I53" s="51"/>
      <c r="J53" s="51"/>
      <c r="K53" s="51"/>
      <c r="L53" s="51"/>
      <c r="M53" s="51"/>
    </row>
    <row r="54" spans="1:13" ht="12.75">
      <c r="A54" s="51"/>
      <c r="C54" s="51"/>
      <c r="D54" s="51"/>
      <c r="E54" s="51"/>
      <c r="F54" s="51"/>
      <c r="G54" s="51"/>
      <c r="H54" s="51"/>
      <c r="I54" s="51"/>
      <c r="J54" s="51"/>
      <c r="K54" s="51"/>
      <c r="L54" s="51"/>
      <c r="M54" s="51"/>
    </row>
    <row r="55" spans="1:13" ht="12.75">
      <c r="A55" s="51"/>
      <c r="C55" s="51"/>
      <c r="D55" s="51"/>
      <c r="E55" s="51"/>
      <c r="F55" s="51"/>
      <c r="G55" s="51"/>
      <c r="H55" s="51"/>
      <c r="I55" s="51"/>
      <c r="J55" s="51"/>
      <c r="K55" s="51"/>
      <c r="L55" s="51"/>
      <c r="M55" s="51"/>
    </row>
    <row r="56" spans="1:13" ht="12.75">
      <c r="A56" s="51"/>
      <c r="C56" s="51"/>
      <c r="D56" s="51"/>
      <c r="E56" s="51"/>
      <c r="F56" s="51"/>
      <c r="G56" s="51"/>
      <c r="H56" s="51"/>
      <c r="I56" s="51"/>
      <c r="J56" s="51"/>
      <c r="K56" s="51"/>
      <c r="L56" s="51"/>
      <c r="M56" s="51"/>
    </row>
    <row r="57" spans="1:13" ht="12.75">
      <c r="A57" s="51"/>
      <c r="C57" s="51"/>
      <c r="D57" s="51"/>
      <c r="E57" s="51"/>
      <c r="F57" s="51"/>
      <c r="G57" s="51"/>
      <c r="H57" s="51"/>
      <c r="I57" s="51"/>
      <c r="J57" s="51"/>
      <c r="K57" s="51"/>
      <c r="L57" s="51"/>
      <c r="M57" s="51"/>
    </row>
    <row r="58" spans="1:13" ht="12.75">
      <c r="A58" s="51"/>
      <c r="C58" s="51"/>
      <c r="D58" s="51"/>
      <c r="E58" s="51"/>
      <c r="F58" s="51"/>
      <c r="G58" s="51"/>
      <c r="H58" s="51"/>
      <c r="I58" s="51"/>
      <c r="J58" s="51"/>
      <c r="K58" s="51"/>
      <c r="L58" s="51"/>
      <c r="M58" s="51"/>
    </row>
    <row r="59" spans="1:13" ht="12.75">
      <c r="A59" s="51"/>
      <c r="C59" s="51"/>
      <c r="D59" s="51"/>
      <c r="E59" s="51"/>
      <c r="F59" s="51"/>
      <c r="G59" s="51"/>
      <c r="H59" s="51"/>
      <c r="I59" s="51"/>
      <c r="J59" s="51"/>
      <c r="K59" s="51"/>
      <c r="L59" s="51"/>
      <c r="M59" s="51"/>
    </row>
    <row r="60" spans="1:13" ht="12.75">
      <c r="A60" s="51"/>
      <c r="C60" s="51"/>
      <c r="D60" s="51"/>
      <c r="E60" s="51"/>
      <c r="F60" s="51"/>
      <c r="G60" s="51"/>
      <c r="H60" s="51"/>
      <c r="I60" s="51"/>
      <c r="J60" s="51"/>
      <c r="K60" s="51"/>
      <c r="L60" s="51"/>
      <c r="M60" s="51"/>
    </row>
    <row r="61" spans="1:13" ht="12.75">
      <c r="A61" s="51"/>
      <c r="C61" s="51"/>
      <c r="D61" s="51"/>
      <c r="E61" s="51"/>
      <c r="F61" s="51"/>
      <c r="G61" s="51"/>
      <c r="H61" s="51"/>
      <c r="I61" s="51"/>
      <c r="J61" s="51"/>
      <c r="K61" s="51"/>
      <c r="L61" s="51"/>
      <c r="M61" s="51"/>
    </row>
    <row r="62" spans="1:13" ht="12.75">
      <c r="A62" s="51"/>
      <c r="C62" s="51"/>
      <c r="D62" s="51"/>
      <c r="E62" s="51"/>
      <c r="F62" s="51"/>
      <c r="G62" s="51"/>
      <c r="H62" s="51"/>
      <c r="I62" s="51"/>
      <c r="J62" s="51"/>
      <c r="K62" s="51"/>
      <c r="L62" s="51"/>
      <c r="M62" s="51"/>
    </row>
    <row r="63" spans="1:13" ht="12.75">
      <c r="A63" s="51"/>
      <c r="C63" s="51"/>
      <c r="D63" s="51"/>
      <c r="E63" s="51"/>
      <c r="F63" s="51"/>
      <c r="G63" s="51"/>
      <c r="H63" s="51"/>
      <c r="I63" s="51"/>
      <c r="J63" s="51"/>
      <c r="K63" s="51"/>
      <c r="L63" s="51"/>
      <c r="M63" s="51"/>
    </row>
    <row r="64" spans="1:13" ht="12.75">
      <c r="A64" s="51"/>
      <c r="C64" s="51"/>
      <c r="D64" s="51"/>
      <c r="E64" s="51"/>
      <c r="F64" s="51"/>
      <c r="G64" s="51"/>
      <c r="H64" s="51"/>
      <c r="I64" s="51"/>
      <c r="J64" s="51"/>
      <c r="K64" s="51"/>
      <c r="L64" s="51"/>
      <c r="M64" s="51"/>
    </row>
    <row r="65" spans="1:13" ht="12.75">
      <c r="A65" s="51"/>
      <c r="C65" s="51"/>
      <c r="D65" s="51"/>
      <c r="E65" s="51"/>
      <c r="F65" s="51"/>
      <c r="G65" s="51"/>
      <c r="H65" s="51"/>
      <c r="I65" s="51"/>
      <c r="J65" s="51"/>
      <c r="K65" s="51"/>
      <c r="L65" s="51"/>
      <c r="M65" s="51"/>
    </row>
    <row r="66" spans="1:13" ht="12.75">
      <c r="A66" s="51"/>
      <c r="C66" s="51"/>
      <c r="D66" s="51"/>
      <c r="E66" s="51"/>
      <c r="F66" s="51"/>
      <c r="G66" s="51"/>
      <c r="H66" s="51"/>
      <c r="I66" s="51"/>
      <c r="J66" s="51"/>
      <c r="K66" s="51"/>
      <c r="L66" s="51"/>
      <c r="M66" s="51"/>
    </row>
    <row r="67" spans="1:13" ht="12.75">
      <c r="A67" s="51"/>
      <c r="C67" s="51"/>
      <c r="D67" s="51"/>
      <c r="E67" s="51"/>
      <c r="F67" s="51"/>
      <c r="G67" s="51"/>
      <c r="H67" s="51"/>
      <c r="I67" s="51"/>
      <c r="J67" s="51"/>
      <c r="K67" s="51"/>
      <c r="L67" s="51"/>
      <c r="M67" s="51"/>
    </row>
    <row r="68" spans="1:13" ht="12.75">
      <c r="A68" s="51"/>
      <c r="C68" s="51"/>
      <c r="D68" s="51"/>
      <c r="E68" s="51"/>
      <c r="F68" s="51"/>
      <c r="G68" s="51"/>
      <c r="H68" s="51"/>
      <c r="I68" s="51"/>
      <c r="J68" s="51"/>
      <c r="K68" s="51"/>
      <c r="L68" s="51"/>
      <c r="M68" s="51"/>
    </row>
    <row r="69" spans="1:13" ht="12.75">
      <c r="A69" s="51"/>
      <c r="C69" s="51"/>
      <c r="D69" s="51"/>
      <c r="E69" s="51"/>
      <c r="F69" s="51"/>
      <c r="G69" s="51"/>
      <c r="H69" s="51"/>
      <c r="I69" s="51"/>
      <c r="J69" s="51"/>
      <c r="K69" s="51"/>
      <c r="L69" s="51"/>
      <c r="M69" s="51"/>
    </row>
    <row r="70" spans="1:13" ht="12.75">
      <c r="A70" s="51"/>
      <c r="C70" s="51"/>
      <c r="D70" s="51"/>
      <c r="E70" s="51"/>
      <c r="F70" s="51"/>
      <c r="G70" s="51"/>
      <c r="H70" s="51"/>
      <c r="I70" s="51"/>
      <c r="J70" s="51"/>
      <c r="K70" s="51"/>
      <c r="L70" s="51"/>
      <c r="M70" s="51"/>
    </row>
    <row r="71" spans="1:13" ht="12.75">
      <c r="A71" s="51"/>
      <c r="C71" s="51"/>
      <c r="D71" s="51"/>
      <c r="E71" s="51"/>
      <c r="F71" s="51"/>
      <c r="G71" s="51"/>
      <c r="H71" s="51"/>
      <c r="I71" s="51"/>
      <c r="J71" s="51"/>
      <c r="K71" s="51"/>
      <c r="L71" s="51"/>
      <c r="M71" s="51"/>
    </row>
    <row r="72" spans="1:13" ht="12.75">
      <c r="A72" s="51"/>
      <c r="C72" s="51"/>
      <c r="D72" s="51"/>
      <c r="E72" s="51"/>
      <c r="F72" s="51"/>
      <c r="G72" s="51"/>
      <c r="H72" s="51"/>
      <c r="I72" s="51"/>
      <c r="J72" s="51"/>
      <c r="K72" s="51"/>
      <c r="L72" s="51"/>
      <c r="M72" s="51"/>
    </row>
    <row r="73" spans="1:13" ht="12.75">
      <c r="A73" s="51"/>
      <c r="C73" s="51"/>
      <c r="D73" s="51"/>
      <c r="E73" s="51"/>
      <c r="F73" s="51"/>
      <c r="G73" s="51"/>
      <c r="H73" s="51"/>
      <c r="I73" s="51"/>
      <c r="J73" s="51"/>
      <c r="K73" s="51"/>
      <c r="L73" s="51"/>
      <c r="M73" s="51"/>
    </row>
    <row r="74" spans="1:13" ht="12.75">
      <c r="A74" s="51"/>
      <c r="C74" s="51"/>
      <c r="D74" s="51"/>
      <c r="E74" s="51"/>
      <c r="F74" s="51"/>
      <c r="G74" s="51"/>
      <c r="H74" s="51"/>
      <c r="I74" s="51"/>
      <c r="J74" s="51"/>
      <c r="K74" s="51"/>
      <c r="L74" s="51"/>
      <c r="M74" s="51"/>
    </row>
    <row r="75" spans="1:13" ht="12.75">
      <c r="A75" s="51"/>
      <c r="C75" s="51"/>
      <c r="D75" s="51"/>
      <c r="E75" s="51"/>
      <c r="F75" s="51"/>
      <c r="G75" s="51"/>
      <c r="H75" s="51"/>
      <c r="I75" s="51"/>
      <c r="J75" s="51"/>
      <c r="K75" s="51"/>
      <c r="L75" s="51"/>
      <c r="M75" s="51"/>
    </row>
    <row r="76" spans="1:13" ht="12.75">
      <c r="A76" s="51"/>
      <c r="C76" s="51"/>
      <c r="D76" s="51"/>
      <c r="E76" s="51"/>
      <c r="F76" s="51"/>
      <c r="G76" s="51"/>
      <c r="H76" s="51"/>
      <c r="I76" s="51"/>
      <c r="J76" s="51"/>
      <c r="K76" s="51"/>
      <c r="L76" s="51"/>
      <c r="M76" s="51"/>
    </row>
    <row r="77" spans="1:13" ht="12.75">
      <c r="A77" s="51"/>
      <c r="C77" s="51"/>
      <c r="D77" s="51"/>
      <c r="E77" s="51"/>
      <c r="F77" s="51"/>
      <c r="G77" s="51"/>
      <c r="H77" s="51"/>
      <c r="I77" s="51"/>
      <c r="J77" s="51"/>
      <c r="K77" s="51"/>
      <c r="L77" s="51"/>
      <c r="M77" s="51"/>
    </row>
    <row r="78" spans="1:13" ht="12.75">
      <c r="A78" s="51"/>
      <c r="C78" s="51"/>
      <c r="D78" s="51"/>
      <c r="E78" s="51"/>
      <c r="F78" s="51"/>
      <c r="G78" s="51"/>
      <c r="H78" s="51"/>
      <c r="I78" s="51"/>
      <c r="J78" s="51"/>
      <c r="K78" s="51"/>
      <c r="L78" s="51"/>
      <c r="M78" s="51"/>
    </row>
    <row r="79" spans="1:13" ht="12.75">
      <c r="A79" s="51"/>
      <c r="C79" s="51"/>
      <c r="D79" s="51"/>
      <c r="E79" s="51"/>
      <c r="F79" s="51"/>
      <c r="G79" s="51"/>
      <c r="H79" s="51"/>
      <c r="I79" s="51"/>
      <c r="J79" s="51"/>
      <c r="K79" s="51"/>
      <c r="L79" s="51"/>
      <c r="M79" s="51"/>
    </row>
    <row r="80" spans="1:13" ht="12.75">
      <c r="A80" s="51"/>
      <c r="C80" s="51"/>
      <c r="D80" s="51"/>
      <c r="E80" s="51"/>
      <c r="F80" s="51"/>
      <c r="G80" s="51"/>
      <c r="H80" s="51"/>
      <c r="I80" s="51"/>
      <c r="J80" s="51"/>
      <c r="K80" s="51"/>
      <c r="L80" s="51"/>
      <c r="M80" s="51"/>
    </row>
    <row r="81" spans="1:13" ht="12.75">
      <c r="A81" s="51"/>
      <c r="C81" s="51"/>
      <c r="D81" s="51"/>
      <c r="E81" s="51"/>
      <c r="F81" s="51"/>
      <c r="G81" s="51"/>
      <c r="H81" s="51"/>
      <c r="I81" s="51"/>
      <c r="J81" s="51"/>
      <c r="K81" s="51"/>
      <c r="L81" s="51"/>
      <c r="M81" s="51"/>
    </row>
    <row r="82" spans="1:13" ht="12.75">
      <c r="A82" s="51"/>
      <c r="C82" s="51"/>
      <c r="D82" s="51"/>
      <c r="E82" s="51"/>
      <c r="F82" s="51"/>
      <c r="G82" s="51"/>
      <c r="H82" s="51"/>
      <c r="I82" s="51"/>
      <c r="J82" s="51"/>
      <c r="K82" s="51"/>
      <c r="L82" s="51"/>
      <c r="M82" s="51"/>
    </row>
    <row r="83" spans="1:13" ht="12.75">
      <c r="A83" s="51"/>
      <c r="C83" s="51"/>
      <c r="D83" s="51"/>
      <c r="E83" s="51"/>
      <c r="F83" s="51"/>
      <c r="G83" s="51"/>
      <c r="H83" s="51"/>
      <c r="I83" s="51"/>
      <c r="J83" s="51"/>
      <c r="K83" s="51"/>
      <c r="L83" s="51"/>
      <c r="M83" s="51"/>
    </row>
    <row r="84" spans="1:13" ht="12.75">
      <c r="A84" s="51"/>
      <c r="C84" s="51"/>
      <c r="D84" s="51"/>
      <c r="E84" s="51"/>
      <c r="F84" s="51"/>
      <c r="G84" s="51"/>
      <c r="H84" s="51"/>
      <c r="I84" s="51"/>
      <c r="J84" s="51"/>
      <c r="K84" s="51"/>
      <c r="L84" s="51"/>
      <c r="M84" s="51"/>
    </row>
    <row r="85" spans="1:13" ht="12.75">
      <c r="A85" s="51"/>
      <c r="C85" s="51"/>
      <c r="D85" s="51"/>
      <c r="E85" s="51"/>
      <c r="F85" s="51"/>
      <c r="G85" s="51"/>
      <c r="H85" s="51"/>
      <c r="I85" s="51"/>
      <c r="J85" s="51"/>
      <c r="K85" s="51"/>
      <c r="L85" s="51"/>
      <c r="M85" s="51"/>
    </row>
    <row r="86" spans="1:13" ht="12.75">
      <c r="A86" s="51"/>
      <c r="C86" s="51"/>
      <c r="D86" s="51"/>
      <c r="E86" s="51"/>
      <c r="F86" s="51"/>
      <c r="G86" s="51"/>
      <c r="H86" s="51"/>
      <c r="I86" s="51"/>
      <c r="J86" s="51"/>
      <c r="K86" s="51"/>
      <c r="L86" s="51"/>
      <c r="M86" s="51"/>
    </row>
    <row r="87" spans="1:13" ht="12.75">
      <c r="A87" s="51"/>
      <c r="C87" s="51"/>
      <c r="D87" s="51"/>
      <c r="E87" s="51"/>
      <c r="F87" s="51"/>
      <c r="G87" s="51"/>
      <c r="H87" s="51"/>
      <c r="I87" s="51"/>
      <c r="J87" s="51"/>
      <c r="K87" s="51"/>
      <c r="L87" s="51"/>
      <c r="M87" s="51"/>
    </row>
    <row r="88" spans="1:13" ht="12.75">
      <c r="A88" s="51"/>
      <c r="C88" s="51"/>
      <c r="D88" s="51"/>
      <c r="E88" s="51"/>
      <c r="F88" s="51"/>
      <c r="G88" s="51"/>
      <c r="H88" s="51"/>
      <c r="I88" s="51"/>
      <c r="J88" s="51"/>
      <c r="K88" s="51"/>
      <c r="L88" s="51"/>
      <c r="M88" s="51"/>
    </row>
    <row r="89" spans="1:13" ht="12.75">
      <c r="A89" s="51"/>
      <c r="C89" s="51"/>
      <c r="D89" s="51"/>
      <c r="E89" s="51"/>
      <c r="F89" s="51"/>
      <c r="G89" s="51"/>
      <c r="H89" s="51"/>
      <c r="I89" s="51"/>
      <c r="J89" s="51"/>
      <c r="K89" s="51"/>
      <c r="L89" s="51"/>
      <c r="M89" s="51"/>
    </row>
    <row r="90" spans="1:13" ht="12.75">
      <c r="A90" s="51"/>
      <c r="C90" s="51"/>
      <c r="D90" s="51"/>
      <c r="E90" s="51"/>
      <c r="F90" s="51"/>
      <c r="G90" s="51"/>
      <c r="H90" s="51"/>
      <c r="I90" s="51"/>
      <c r="J90" s="51"/>
      <c r="K90" s="51"/>
      <c r="L90" s="51"/>
      <c r="M90" s="51"/>
    </row>
    <row r="91" spans="1:13" ht="12.75">
      <c r="A91" s="51"/>
      <c r="C91" s="51"/>
      <c r="D91" s="51"/>
      <c r="E91" s="51"/>
      <c r="F91" s="51"/>
      <c r="G91" s="51"/>
      <c r="H91" s="51"/>
      <c r="I91" s="51"/>
      <c r="J91" s="51"/>
      <c r="K91" s="51"/>
      <c r="L91" s="51"/>
      <c r="M91" s="51"/>
    </row>
    <row r="92" spans="1:13" ht="12.75">
      <c r="A92" s="51"/>
      <c r="C92" s="51"/>
      <c r="D92" s="51"/>
      <c r="E92" s="51"/>
      <c r="F92" s="51"/>
      <c r="G92" s="51"/>
      <c r="H92" s="51"/>
      <c r="I92" s="51"/>
      <c r="J92" s="51"/>
      <c r="K92" s="51"/>
      <c r="L92" s="51"/>
      <c r="M92" s="51"/>
    </row>
    <row r="93" spans="1:13" ht="12.75">
      <c r="A93" s="51"/>
      <c r="C93" s="51"/>
      <c r="D93" s="51"/>
      <c r="E93" s="51"/>
      <c r="F93" s="51"/>
      <c r="G93" s="51"/>
      <c r="H93" s="51"/>
      <c r="I93" s="51"/>
      <c r="J93" s="51"/>
      <c r="K93" s="51"/>
      <c r="L93" s="51"/>
      <c r="M93" s="51"/>
    </row>
    <row r="94" spans="1:13" ht="12.75">
      <c r="A94" s="51"/>
      <c r="C94" s="51"/>
      <c r="D94" s="51"/>
      <c r="E94" s="51"/>
      <c r="F94" s="51"/>
      <c r="G94" s="51"/>
      <c r="H94" s="51"/>
      <c r="I94" s="51"/>
      <c r="J94" s="51"/>
      <c r="K94" s="51"/>
      <c r="L94" s="51"/>
      <c r="M94" s="51"/>
    </row>
    <row r="95" spans="1:13" ht="12.75">
      <c r="A95" s="51"/>
      <c r="C95" s="51"/>
      <c r="D95" s="51"/>
      <c r="E95" s="51"/>
      <c r="F95" s="51"/>
      <c r="G95" s="51"/>
      <c r="H95" s="51"/>
      <c r="I95" s="51"/>
      <c r="J95" s="51"/>
      <c r="K95" s="51"/>
      <c r="L95" s="51"/>
      <c r="M95" s="51"/>
    </row>
    <row r="96" spans="1:13" ht="12.75">
      <c r="A96" s="51"/>
      <c r="C96" s="51"/>
      <c r="D96" s="51"/>
      <c r="E96" s="51"/>
      <c r="F96" s="51"/>
      <c r="G96" s="51"/>
      <c r="H96" s="51"/>
      <c r="I96" s="51"/>
      <c r="J96" s="51"/>
      <c r="K96" s="51"/>
      <c r="L96" s="51"/>
      <c r="M96" s="51"/>
    </row>
    <row r="97" spans="1:13" ht="12.75">
      <c r="A97" s="51"/>
      <c r="C97" s="51"/>
      <c r="D97" s="51"/>
      <c r="E97" s="51"/>
      <c r="F97" s="51"/>
      <c r="G97" s="51"/>
      <c r="H97" s="51"/>
      <c r="I97" s="51"/>
      <c r="J97" s="51"/>
      <c r="K97" s="51"/>
      <c r="L97" s="51"/>
      <c r="M97" s="51"/>
    </row>
    <row r="98" spans="1:13" ht="12.75">
      <c r="A98" s="51"/>
      <c r="C98" s="51"/>
      <c r="D98" s="51"/>
      <c r="E98" s="51"/>
      <c r="F98" s="51"/>
      <c r="G98" s="51"/>
      <c r="H98" s="51"/>
      <c r="I98" s="51"/>
      <c r="J98" s="51"/>
      <c r="K98" s="51"/>
      <c r="L98" s="51"/>
      <c r="M98" s="51"/>
    </row>
    <row r="99" spans="1:13" ht="12.75">
      <c r="A99" s="51"/>
      <c r="C99" s="51"/>
      <c r="D99" s="51"/>
      <c r="E99" s="51"/>
      <c r="F99" s="51"/>
      <c r="G99" s="51"/>
      <c r="H99" s="51"/>
      <c r="I99" s="51"/>
      <c r="J99" s="51"/>
      <c r="K99" s="51"/>
      <c r="L99" s="51"/>
      <c r="M99" s="51"/>
    </row>
    <row r="100" spans="1:13" ht="12.75">
      <c r="A100" s="51"/>
      <c r="C100" s="51"/>
      <c r="D100" s="51"/>
      <c r="E100" s="51"/>
      <c r="F100" s="51"/>
      <c r="G100" s="51"/>
      <c r="H100" s="51"/>
      <c r="I100" s="51"/>
      <c r="J100" s="51"/>
      <c r="K100" s="51"/>
      <c r="L100" s="51"/>
      <c r="M100" s="51"/>
    </row>
    <row r="101" spans="1:13" ht="12.75">
      <c r="A101" s="51"/>
      <c r="C101" s="51"/>
      <c r="D101" s="51"/>
      <c r="E101" s="51"/>
      <c r="F101" s="51"/>
      <c r="G101" s="51"/>
      <c r="H101" s="51"/>
      <c r="I101" s="51"/>
      <c r="J101" s="51"/>
      <c r="K101" s="51"/>
      <c r="L101" s="51"/>
      <c r="M101" s="51"/>
    </row>
    <row r="102" spans="1:13" ht="12.75">
      <c r="A102" s="51"/>
      <c r="C102" s="51"/>
      <c r="D102" s="51"/>
      <c r="E102" s="51"/>
      <c r="F102" s="51"/>
      <c r="G102" s="51"/>
      <c r="H102" s="51"/>
      <c r="I102" s="51"/>
      <c r="J102" s="51"/>
      <c r="K102" s="51"/>
      <c r="L102" s="51"/>
      <c r="M102" s="51"/>
    </row>
    <row r="103" spans="1:13" ht="12.75">
      <c r="A103" s="51"/>
      <c r="C103" s="51"/>
      <c r="D103" s="51"/>
      <c r="E103" s="51"/>
      <c r="F103" s="51"/>
      <c r="G103" s="51"/>
      <c r="H103" s="51"/>
      <c r="I103" s="51"/>
      <c r="J103" s="51"/>
      <c r="K103" s="51"/>
      <c r="L103" s="51"/>
      <c r="M103" s="51"/>
    </row>
    <row r="104" spans="1:13" ht="12.75">
      <c r="A104" s="51"/>
      <c r="C104" s="51"/>
      <c r="D104" s="51"/>
      <c r="E104" s="51"/>
      <c r="F104" s="51"/>
      <c r="G104" s="51"/>
      <c r="H104" s="51"/>
      <c r="I104" s="51"/>
      <c r="J104" s="51"/>
      <c r="K104" s="51"/>
      <c r="L104" s="51"/>
      <c r="M104" s="51"/>
    </row>
    <row r="105" spans="1:13" ht="12.75">
      <c r="A105" s="51"/>
      <c r="C105" s="51"/>
      <c r="D105" s="51"/>
      <c r="E105" s="51"/>
      <c r="F105" s="51"/>
      <c r="G105" s="51"/>
      <c r="H105" s="51"/>
      <c r="I105" s="51"/>
      <c r="J105" s="51"/>
      <c r="K105" s="51"/>
      <c r="L105" s="51"/>
      <c r="M105" s="51"/>
    </row>
    <row r="106" spans="1:13" ht="12.75">
      <c r="A106" s="51"/>
      <c r="C106" s="51"/>
      <c r="D106" s="51"/>
      <c r="E106" s="51"/>
      <c r="F106" s="51"/>
      <c r="G106" s="51"/>
      <c r="H106" s="51"/>
      <c r="I106" s="51"/>
      <c r="J106" s="51"/>
      <c r="K106" s="51"/>
      <c r="L106" s="51"/>
      <c r="M106" s="51"/>
    </row>
    <row r="107" spans="1:13" ht="12.75">
      <c r="A107" s="51"/>
      <c r="C107" s="51"/>
      <c r="D107" s="51"/>
      <c r="E107" s="51"/>
      <c r="F107" s="51"/>
      <c r="G107" s="51"/>
      <c r="H107" s="51"/>
      <c r="I107" s="51"/>
      <c r="J107" s="51"/>
      <c r="K107" s="51"/>
      <c r="L107" s="51"/>
      <c r="M107" s="51"/>
    </row>
    <row r="108" spans="1:13" ht="12.75">
      <c r="A108" s="51"/>
      <c r="C108" s="51"/>
      <c r="D108" s="51"/>
      <c r="E108" s="51"/>
      <c r="F108" s="51"/>
      <c r="G108" s="51"/>
      <c r="H108" s="51"/>
      <c r="I108" s="51"/>
      <c r="J108" s="51"/>
      <c r="K108" s="51"/>
      <c r="L108" s="51"/>
      <c r="M108" s="51"/>
    </row>
    <row r="109" spans="1:13" ht="12.75">
      <c r="A109" s="51"/>
      <c r="C109" s="51"/>
      <c r="D109" s="51"/>
      <c r="E109" s="51"/>
      <c r="F109" s="51"/>
      <c r="G109" s="51"/>
      <c r="H109" s="51"/>
      <c r="I109" s="51"/>
      <c r="J109" s="51"/>
      <c r="K109" s="51"/>
      <c r="L109" s="51"/>
      <c r="M109" s="51"/>
    </row>
    <row r="110" spans="1:13" ht="12.75">
      <c r="A110" s="51"/>
      <c r="C110" s="51"/>
      <c r="D110" s="51"/>
      <c r="E110" s="51"/>
      <c r="F110" s="51"/>
      <c r="G110" s="51"/>
      <c r="H110" s="51"/>
      <c r="I110" s="51"/>
      <c r="J110" s="51"/>
      <c r="K110" s="51"/>
      <c r="L110" s="51"/>
      <c r="M110" s="51"/>
    </row>
    <row r="111" spans="1:13" ht="12.75">
      <c r="A111" s="51"/>
      <c r="C111" s="51"/>
      <c r="D111" s="51"/>
      <c r="E111" s="51"/>
      <c r="F111" s="51"/>
      <c r="G111" s="51"/>
      <c r="H111" s="51"/>
      <c r="I111" s="51"/>
      <c r="J111" s="51"/>
      <c r="K111" s="51"/>
      <c r="L111" s="51"/>
      <c r="M111" s="51"/>
    </row>
    <row r="112" spans="1:13" ht="12.75">
      <c r="A112" s="51"/>
      <c r="C112" s="51"/>
      <c r="D112" s="51"/>
      <c r="E112" s="51"/>
      <c r="F112" s="51"/>
      <c r="G112" s="51"/>
      <c r="H112" s="51"/>
      <c r="I112" s="51"/>
      <c r="J112" s="51"/>
      <c r="K112" s="51"/>
      <c r="L112" s="51"/>
      <c r="M112" s="51"/>
    </row>
    <row r="113" spans="1:13" ht="12.75">
      <c r="A113" s="51"/>
      <c r="C113" s="51"/>
      <c r="D113" s="51"/>
      <c r="E113" s="51"/>
      <c r="F113" s="51"/>
      <c r="G113" s="51"/>
      <c r="H113" s="51"/>
      <c r="I113" s="51"/>
      <c r="J113" s="51"/>
      <c r="K113" s="51"/>
      <c r="L113" s="51"/>
      <c r="M113" s="51"/>
    </row>
    <row r="114" spans="1:13" ht="12.75">
      <c r="A114" s="51"/>
      <c r="C114" s="51"/>
      <c r="D114" s="51"/>
      <c r="E114" s="51"/>
      <c r="F114" s="51"/>
      <c r="G114" s="51"/>
      <c r="H114" s="51"/>
      <c r="I114" s="51"/>
      <c r="J114" s="51"/>
      <c r="K114" s="51"/>
      <c r="L114" s="51"/>
      <c r="M114" s="51"/>
    </row>
    <row r="115" spans="1:13" ht="12.75">
      <c r="A115" s="51"/>
      <c r="C115" s="51"/>
      <c r="D115" s="51"/>
      <c r="E115" s="51"/>
      <c r="F115" s="51"/>
      <c r="G115" s="51"/>
      <c r="H115" s="51"/>
      <c r="I115" s="51"/>
      <c r="J115" s="51"/>
      <c r="K115" s="51"/>
      <c r="L115" s="51"/>
      <c r="M115" s="51"/>
    </row>
    <row r="116" spans="1:13" ht="12.75">
      <c r="A116" s="51"/>
      <c r="C116" s="51"/>
      <c r="D116" s="51"/>
      <c r="E116" s="51"/>
      <c r="F116" s="51"/>
      <c r="G116" s="51"/>
      <c r="H116" s="51"/>
      <c r="I116" s="51"/>
      <c r="J116" s="51"/>
      <c r="K116" s="51"/>
      <c r="L116" s="51"/>
      <c r="M116" s="51"/>
    </row>
    <row r="117" spans="1:13" ht="12.75">
      <c r="A117" s="51"/>
      <c r="C117" s="51"/>
      <c r="D117" s="51"/>
      <c r="E117" s="51"/>
      <c r="F117" s="51"/>
      <c r="G117" s="51"/>
      <c r="H117" s="51"/>
      <c r="I117" s="51"/>
      <c r="J117" s="51"/>
      <c r="K117" s="51"/>
      <c r="L117" s="51"/>
      <c r="M117" s="51"/>
    </row>
    <row r="118" spans="1:13" ht="12.75">
      <c r="A118" s="51"/>
      <c r="C118" s="51"/>
      <c r="D118" s="51"/>
      <c r="E118" s="51"/>
      <c r="F118" s="51"/>
      <c r="G118" s="51"/>
      <c r="H118" s="51"/>
      <c r="I118" s="51"/>
      <c r="J118" s="51"/>
      <c r="K118" s="51"/>
      <c r="L118" s="51"/>
      <c r="M118" s="51"/>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P105"/>
  <sheetViews>
    <sheetView zoomScalePageLayoutView="0" workbookViewId="0" topLeftCell="A1">
      <pane xSplit="2" ySplit="6" topLeftCell="C67" activePane="bottomRight" state="frozen"/>
      <selection pane="topLeft" activeCell="I58" sqref="I58"/>
      <selection pane="topRight" activeCell="I58" sqref="I58"/>
      <selection pane="bottomLeft" activeCell="I58" sqref="I58"/>
      <selection pane="bottomRight" activeCell="P94" sqref="P94"/>
    </sheetView>
  </sheetViews>
  <sheetFormatPr defaultColWidth="9.140625" defaultRowHeight="12.75"/>
  <cols>
    <col min="1" max="1" width="6.00390625" style="51" customWidth="1"/>
    <col min="2" max="2" width="17.8515625" style="51" customWidth="1"/>
    <col min="3" max="4" width="9.8515625" style="51" customWidth="1"/>
    <col min="5" max="5" width="11.28125" style="51" customWidth="1"/>
    <col min="6" max="7" width="9.57421875" style="51" customWidth="1"/>
    <col min="8" max="8" width="9.8515625" style="51" customWidth="1"/>
    <col min="9" max="9" width="10.421875" style="51" customWidth="1"/>
    <col min="10" max="10" width="10.7109375" style="51" customWidth="1"/>
    <col min="11" max="14" width="9.140625" style="51" customWidth="1"/>
    <col min="15" max="15" width="10.7109375" style="51" bestFit="1" customWidth="1"/>
    <col min="16" max="16" width="9.140625" style="51" customWidth="1"/>
    <col min="17" max="18" width="9.7109375" style="51" bestFit="1" customWidth="1"/>
    <col min="19" max="16384" width="9.140625" style="51" customWidth="1"/>
  </cols>
  <sheetData>
    <row r="1" ht="11.25"/>
    <row r="2" spans="2:3" ht="11.25">
      <c r="B2" s="139" t="str">
        <f>+'WUTC_AW of Kent (SeaTac)_MF'!A1</f>
        <v>Rabanco Ltd (dba Allied Waste of Kent)</v>
      </c>
      <c r="C2" s="66"/>
    </row>
    <row r="3" ht="11.25">
      <c r="C3" s="66"/>
    </row>
    <row r="4" spans="3:10" ht="11.25">
      <c r="C4" s="67"/>
      <c r="D4" s="67"/>
      <c r="E4" s="67"/>
      <c r="F4" s="67"/>
      <c r="G4" s="67"/>
      <c r="H4" s="68"/>
      <c r="I4" s="68"/>
      <c r="J4" s="65"/>
    </row>
    <row r="5" spans="3:10" ht="11.25">
      <c r="C5" s="67"/>
      <c r="D5" s="67"/>
      <c r="E5" s="67"/>
      <c r="F5" s="67"/>
      <c r="G5" s="67"/>
      <c r="H5" s="68"/>
      <c r="I5" s="68"/>
      <c r="J5" s="67"/>
    </row>
    <row r="6" spans="3:14" ht="9.75" customHeight="1">
      <c r="C6" s="105">
        <v>42125</v>
      </c>
      <c r="D6" s="69">
        <f aca="true" t="shared" si="0" ref="D6:N6">EOMONTH(C6,1)</f>
        <v>42185</v>
      </c>
      <c r="E6" s="69">
        <f t="shared" si="0"/>
        <v>42216</v>
      </c>
      <c r="F6" s="69">
        <f t="shared" si="0"/>
        <v>42247</v>
      </c>
      <c r="G6" s="69">
        <f t="shared" si="0"/>
        <v>42277</v>
      </c>
      <c r="H6" s="69">
        <f t="shared" si="0"/>
        <v>42308</v>
      </c>
      <c r="I6" s="69">
        <f t="shared" si="0"/>
        <v>42338</v>
      </c>
      <c r="J6" s="69">
        <f t="shared" si="0"/>
        <v>42369</v>
      </c>
      <c r="K6" s="69">
        <f t="shared" si="0"/>
        <v>42400</v>
      </c>
      <c r="L6" s="69">
        <f t="shared" si="0"/>
        <v>42429</v>
      </c>
      <c r="M6" s="69">
        <f t="shared" si="0"/>
        <v>42460</v>
      </c>
      <c r="N6" s="69">
        <f t="shared" si="0"/>
        <v>42490</v>
      </c>
    </row>
    <row r="7" spans="1:14" s="52" customFormat="1" ht="11.25">
      <c r="A7" s="70" t="s">
        <v>29</v>
      </c>
      <c r="C7" s="106">
        <v>11.95</v>
      </c>
      <c r="D7" s="106">
        <v>16.88</v>
      </c>
      <c r="E7" s="106">
        <v>12.66</v>
      </c>
      <c r="F7" s="106">
        <v>16.1</v>
      </c>
      <c r="G7" s="106">
        <v>14.95</v>
      </c>
      <c r="H7" s="106">
        <v>17.05</v>
      </c>
      <c r="I7" s="106">
        <v>16.76</v>
      </c>
      <c r="J7" s="106">
        <v>19.15</v>
      </c>
      <c r="K7" s="106">
        <v>17.01</v>
      </c>
      <c r="L7" s="106">
        <v>14.93</v>
      </c>
      <c r="M7" s="106">
        <v>17.56</v>
      </c>
      <c r="N7" s="106">
        <v>4.1</v>
      </c>
    </row>
    <row r="8" spans="1:14" ht="11.25">
      <c r="A8" s="51" t="s">
        <v>30</v>
      </c>
      <c r="C8" s="71">
        <v>0</v>
      </c>
      <c r="D8" s="71">
        <v>0</v>
      </c>
      <c r="E8" s="71">
        <v>0</v>
      </c>
      <c r="F8" s="71">
        <v>0</v>
      </c>
      <c r="G8" s="71">
        <v>0</v>
      </c>
      <c r="H8" s="71">
        <v>0</v>
      </c>
      <c r="I8" s="71">
        <v>0</v>
      </c>
      <c r="J8" s="71">
        <v>0</v>
      </c>
      <c r="K8" s="71">
        <v>0</v>
      </c>
      <c r="L8" s="71">
        <v>0</v>
      </c>
      <c r="M8" s="71">
        <v>0</v>
      </c>
      <c r="N8" s="71">
        <v>0</v>
      </c>
    </row>
    <row r="9" spans="1:14" ht="11.25">
      <c r="A9" s="51" t="s">
        <v>31</v>
      </c>
      <c r="C9" s="72">
        <f aca="true" t="shared" si="1" ref="C9:N9">+C7*C8</f>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row>
    <row r="10" spans="1:14" ht="11.25">
      <c r="A10" s="65" t="s">
        <v>32</v>
      </c>
      <c r="C10" s="73">
        <f aca="true" t="shared" si="2" ref="C10:N10">+C7-C9</f>
        <v>11.95</v>
      </c>
      <c r="D10" s="73">
        <f t="shared" si="2"/>
        <v>16.88</v>
      </c>
      <c r="E10" s="73">
        <f t="shared" si="2"/>
        <v>12.66</v>
      </c>
      <c r="F10" s="73">
        <f t="shared" si="2"/>
        <v>16.1</v>
      </c>
      <c r="G10" s="73">
        <f t="shared" si="2"/>
        <v>14.95</v>
      </c>
      <c r="H10" s="73">
        <f t="shared" si="2"/>
        <v>17.05</v>
      </c>
      <c r="I10" s="73">
        <f t="shared" si="2"/>
        <v>16.76</v>
      </c>
      <c r="J10" s="73">
        <f t="shared" si="2"/>
        <v>19.15</v>
      </c>
      <c r="K10" s="73">
        <f t="shared" si="2"/>
        <v>17.01</v>
      </c>
      <c r="L10" s="73">
        <f t="shared" si="2"/>
        <v>14.93</v>
      </c>
      <c r="M10" s="73">
        <f t="shared" si="2"/>
        <v>17.56</v>
      </c>
      <c r="N10" s="73">
        <f t="shared" si="2"/>
        <v>4.1</v>
      </c>
    </row>
    <row r="11" ht="11.25"/>
    <row r="12" ht="11.25">
      <c r="A12" s="65" t="s">
        <v>33</v>
      </c>
    </row>
    <row r="13" spans="2:14" s="74" customFormat="1" ht="11.25">
      <c r="B13" s="74" t="s">
        <v>18</v>
      </c>
      <c r="C13" s="107">
        <v>0.195</v>
      </c>
      <c r="D13" s="107">
        <f>+C13</f>
        <v>0.195</v>
      </c>
      <c r="E13" s="107">
        <f aca="true" t="shared" si="3" ref="E13:N13">+D13</f>
        <v>0.195</v>
      </c>
      <c r="F13" s="107">
        <f t="shared" si="3"/>
        <v>0.195</v>
      </c>
      <c r="G13" s="107">
        <f t="shared" si="3"/>
        <v>0.195</v>
      </c>
      <c r="H13" s="107">
        <f t="shared" si="3"/>
        <v>0.195</v>
      </c>
      <c r="I13" s="107">
        <f t="shared" si="3"/>
        <v>0.195</v>
      </c>
      <c r="J13" s="107">
        <f t="shared" si="3"/>
        <v>0.195</v>
      </c>
      <c r="K13" s="107">
        <f t="shared" si="3"/>
        <v>0.195</v>
      </c>
      <c r="L13" s="107">
        <f t="shared" si="3"/>
        <v>0.195</v>
      </c>
      <c r="M13" s="107">
        <f t="shared" si="3"/>
        <v>0.195</v>
      </c>
      <c r="N13" s="107">
        <f t="shared" si="3"/>
        <v>0.195</v>
      </c>
    </row>
    <row r="14" spans="2:14" s="74" customFormat="1" ht="11.25">
      <c r="B14" s="74" t="s">
        <v>22</v>
      </c>
      <c r="C14" s="107">
        <v>0.1782</v>
      </c>
      <c r="D14" s="107">
        <f aca="true" t="shared" si="4" ref="D14:N23">+C14</f>
        <v>0.1782</v>
      </c>
      <c r="E14" s="107">
        <f t="shared" si="4"/>
        <v>0.1782</v>
      </c>
      <c r="F14" s="107">
        <f t="shared" si="4"/>
        <v>0.1782</v>
      </c>
      <c r="G14" s="107">
        <f t="shared" si="4"/>
        <v>0.1782</v>
      </c>
      <c r="H14" s="107">
        <f t="shared" si="4"/>
        <v>0.1782</v>
      </c>
      <c r="I14" s="107">
        <f t="shared" si="4"/>
        <v>0.1782</v>
      </c>
      <c r="J14" s="107">
        <f t="shared" si="4"/>
        <v>0.1782</v>
      </c>
      <c r="K14" s="107">
        <f t="shared" si="4"/>
        <v>0.1782</v>
      </c>
      <c r="L14" s="107">
        <f t="shared" si="4"/>
        <v>0.1782</v>
      </c>
      <c r="M14" s="107">
        <f t="shared" si="4"/>
        <v>0.1782</v>
      </c>
      <c r="N14" s="107">
        <f t="shared" si="4"/>
        <v>0.1782</v>
      </c>
    </row>
    <row r="15" spans="2:14" s="74" customFormat="1" ht="11.25">
      <c r="B15" s="74" t="s">
        <v>34</v>
      </c>
      <c r="C15" s="107">
        <v>0</v>
      </c>
      <c r="D15" s="107">
        <f t="shared" si="4"/>
        <v>0</v>
      </c>
      <c r="E15" s="107">
        <f t="shared" si="4"/>
        <v>0</v>
      </c>
      <c r="F15" s="107">
        <f t="shared" si="4"/>
        <v>0</v>
      </c>
      <c r="G15" s="107">
        <f t="shared" si="4"/>
        <v>0</v>
      </c>
      <c r="H15" s="107">
        <f t="shared" si="4"/>
        <v>0</v>
      </c>
      <c r="I15" s="107">
        <f t="shared" si="4"/>
        <v>0</v>
      </c>
      <c r="J15" s="107">
        <f t="shared" si="4"/>
        <v>0</v>
      </c>
      <c r="K15" s="107">
        <f t="shared" si="4"/>
        <v>0</v>
      </c>
      <c r="L15" s="107">
        <f t="shared" si="4"/>
        <v>0</v>
      </c>
      <c r="M15" s="107">
        <f t="shared" si="4"/>
        <v>0</v>
      </c>
      <c r="N15" s="107">
        <f t="shared" si="4"/>
        <v>0</v>
      </c>
    </row>
    <row r="16" spans="2:14" s="74" customFormat="1" ht="11.25">
      <c r="B16" s="74" t="s">
        <v>35</v>
      </c>
      <c r="C16" s="107">
        <v>0.0165</v>
      </c>
      <c r="D16" s="107">
        <f t="shared" si="4"/>
        <v>0.0165</v>
      </c>
      <c r="E16" s="107">
        <f t="shared" si="4"/>
        <v>0.0165</v>
      </c>
      <c r="F16" s="107">
        <f t="shared" si="4"/>
        <v>0.0165</v>
      </c>
      <c r="G16" s="107">
        <f t="shared" si="4"/>
        <v>0.0165</v>
      </c>
      <c r="H16" s="107">
        <f t="shared" si="4"/>
        <v>0.0165</v>
      </c>
      <c r="I16" s="107">
        <f t="shared" si="4"/>
        <v>0.0165</v>
      </c>
      <c r="J16" s="107">
        <f t="shared" si="4"/>
        <v>0.0165</v>
      </c>
      <c r="K16" s="107">
        <f t="shared" si="4"/>
        <v>0.0165</v>
      </c>
      <c r="L16" s="107">
        <f t="shared" si="4"/>
        <v>0.0165</v>
      </c>
      <c r="M16" s="107">
        <f t="shared" si="4"/>
        <v>0.0165</v>
      </c>
      <c r="N16" s="107">
        <f t="shared" si="4"/>
        <v>0.0165</v>
      </c>
    </row>
    <row r="17" spans="2:14" s="74" customFormat="1" ht="11.25">
      <c r="B17" s="74" t="s">
        <v>36</v>
      </c>
      <c r="C17" s="107">
        <v>0.0449</v>
      </c>
      <c r="D17" s="107">
        <f t="shared" si="4"/>
        <v>0.0449</v>
      </c>
      <c r="E17" s="107">
        <f t="shared" si="4"/>
        <v>0.0449</v>
      </c>
      <c r="F17" s="107">
        <f t="shared" si="4"/>
        <v>0.0449</v>
      </c>
      <c r="G17" s="107">
        <f t="shared" si="4"/>
        <v>0.0449</v>
      </c>
      <c r="H17" s="107">
        <f t="shared" si="4"/>
        <v>0.0449</v>
      </c>
      <c r="I17" s="107">
        <f t="shared" si="4"/>
        <v>0.0449</v>
      </c>
      <c r="J17" s="107">
        <f t="shared" si="4"/>
        <v>0.0449</v>
      </c>
      <c r="K17" s="107">
        <f t="shared" si="4"/>
        <v>0.0449</v>
      </c>
      <c r="L17" s="107">
        <f t="shared" si="4"/>
        <v>0.0449</v>
      </c>
      <c r="M17" s="107">
        <f t="shared" si="4"/>
        <v>0.0449</v>
      </c>
      <c r="N17" s="107">
        <f t="shared" si="4"/>
        <v>0.0449</v>
      </c>
    </row>
    <row r="18" spans="2:14" s="74" customFormat="1" ht="11.25">
      <c r="B18" s="74" t="s">
        <v>37</v>
      </c>
      <c r="C18" s="107">
        <v>0.0075</v>
      </c>
      <c r="D18" s="107">
        <f t="shared" si="4"/>
        <v>0.0075</v>
      </c>
      <c r="E18" s="107">
        <f t="shared" si="4"/>
        <v>0.0075</v>
      </c>
      <c r="F18" s="107">
        <f t="shared" si="4"/>
        <v>0.0075</v>
      </c>
      <c r="G18" s="107">
        <f t="shared" si="4"/>
        <v>0.0075</v>
      </c>
      <c r="H18" s="107">
        <f t="shared" si="4"/>
        <v>0.0075</v>
      </c>
      <c r="I18" s="107">
        <f t="shared" si="4"/>
        <v>0.0075</v>
      </c>
      <c r="J18" s="107">
        <f t="shared" si="4"/>
        <v>0.0075</v>
      </c>
      <c r="K18" s="107">
        <f t="shared" si="4"/>
        <v>0.0075</v>
      </c>
      <c r="L18" s="107">
        <f t="shared" si="4"/>
        <v>0.0075</v>
      </c>
      <c r="M18" s="107">
        <f t="shared" si="4"/>
        <v>0.0075</v>
      </c>
      <c r="N18" s="107">
        <f t="shared" si="4"/>
        <v>0.0075</v>
      </c>
    </row>
    <row r="19" spans="2:14" s="74" customFormat="1" ht="11.25">
      <c r="B19" s="51" t="s">
        <v>38</v>
      </c>
      <c r="C19" s="107">
        <v>0</v>
      </c>
      <c r="D19" s="107">
        <f t="shared" si="4"/>
        <v>0</v>
      </c>
      <c r="E19" s="107">
        <f t="shared" si="4"/>
        <v>0</v>
      </c>
      <c r="F19" s="107">
        <f t="shared" si="4"/>
        <v>0</v>
      </c>
      <c r="G19" s="107">
        <f t="shared" si="4"/>
        <v>0</v>
      </c>
      <c r="H19" s="107">
        <f t="shared" si="4"/>
        <v>0</v>
      </c>
      <c r="I19" s="107">
        <f t="shared" si="4"/>
        <v>0</v>
      </c>
      <c r="J19" s="107">
        <f t="shared" si="4"/>
        <v>0</v>
      </c>
      <c r="K19" s="107">
        <f t="shared" si="4"/>
        <v>0</v>
      </c>
      <c r="L19" s="107">
        <f t="shared" si="4"/>
        <v>0</v>
      </c>
      <c r="M19" s="107">
        <f t="shared" si="4"/>
        <v>0</v>
      </c>
      <c r="N19" s="107">
        <f t="shared" si="4"/>
        <v>0</v>
      </c>
    </row>
    <row r="20" spans="2:14" s="74" customFormat="1" ht="11.25">
      <c r="B20" s="51" t="s">
        <v>16</v>
      </c>
      <c r="C20" s="107">
        <v>0.1768</v>
      </c>
      <c r="D20" s="107">
        <f t="shared" si="4"/>
        <v>0.1768</v>
      </c>
      <c r="E20" s="107">
        <f t="shared" si="4"/>
        <v>0.1768</v>
      </c>
      <c r="F20" s="107">
        <f t="shared" si="4"/>
        <v>0.1768</v>
      </c>
      <c r="G20" s="107">
        <f t="shared" si="4"/>
        <v>0.1768</v>
      </c>
      <c r="H20" s="107">
        <f t="shared" si="4"/>
        <v>0.1768</v>
      </c>
      <c r="I20" s="107">
        <f t="shared" si="4"/>
        <v>0.1768</v>
      </c>
      <c r="J20" s="107">
        <f t="shared" si="4"/>
        <v>0.1768</v>
      </c>
      <c r="K20" s="107">
        <f t="shared" si="4"/>
        <v>0.1768</v>
      </c>
      <c r="L20" s="107">
        <f t="shared" si="4"/>
        <v>0.1768</v>
      </c>
      <c r="M20" s="107">
        <f t="shared" si="4"/>
        <v>0.1768</v>
      </c>
      <c r="N20" s="107">
        <f t="shared" si="4"/>
        <v>0.1768</v>
      </c>
    </row>
    <row r="21" spans="2:14" s="74" customFormat="1" ht="11.25">
      <c r="B21" s="74" t="s">
        <v>39</v>
      </c>
      <c r="C21" s="107">
        <v>0</v>
      </c>
      <c r="D21" s="107">
        <f t="shared" si="4"/>
        <v>0</v>
      </c>
      <c r="E21" s="107">
        <f t="shared" si="4"/>
        <v>0</v>
      </c>
      <c r="F21" s="107">
        <f t="shared" si="4"/>
        <v>0</v>
      </c>
      <c r="G21" s="107">
        <f t="shared" si="4"/>
        <v>0</v>
      </c>
      <c r="H21" s="107">
        <f t="shared" si="4"/>
        <v>0</v>
      </c>
      <c r="I21" s="107">
        <f t="shared" si="4"/>
        <v>0</v>
      </c>
      <c r="J21" s="107">
        <f t="shared" si="4"/>
        <v>0</v>
      </c>
      <c r="K21" s="107">
        <f t="shared" si="4"/>
        <v>0</v>
      </c>
      <c r="L21" s="107">
        <f t="shared" si="4"/>
        <v>0</v>
      </c>
      <c r="M21" s="107">
        <f t="shared" si="4"/>
        <v>0</v>
      </c>
      <c r="N21" s="107">
        <f t="shared" si="4"/>
        <v>0</v>
      </c>
    </row>
    <row r="22" spans="2:14" s="74" customFormat="1" ht="11.25">
      <c r="B22" s="74" t="s">
        <v>40</v>
      </c>
      <c r="C22" s="107">
        <v>0.05930000000000013</v>
      </c>
      <c r="D22" s="107">
        <f t="shared" si="4"/>
        <v>0.05930000000000013</v>
      </c>
      <c r="E22" s="107">
        <f t="shared" si="4"/>
        <v>0.05930000000000013</v>
      </c>
      <c r="F22" s="107">
        <f t="shared" si="4"/>
        <v>0.05930000000000013</v>
      </c>
      <c r="G22" s="107">
        <f t="shared" si="4"/>
        <v>0.05930000000000013</v>
      </c>
      <c r="H22" s="107">
        <f t="shared" si="4"/>
        <v>0.05930000000000013</v>
      </c>
      <c r="I22" s="107">
        <f t="shared" si="4"/>
        <v>0.05930000000000013</v>
      </c>
      <c r="J22" s="107">
        <f t="shared" si="4"/>
        <v>0.05930000000000013</v>
      </c>
      <c r="K22" s="107">
        <f t="shared" si="4"/>
        <v>0.05930000000000013</v>
      </c>
      <c r="L22" s="107">
        <f t="shared" si="4"/>
        <v>0.05930000000000013</v>
      </c>
      <c r="M22" s="107">
        <f t="shared" si="4"/>
        <v>0.05930000000000013</v>
      </c>
      <c r="N22" s="107">
        <f t="shared" si="4"/>
        <v>0.05930000000000013</v>
      </c>
    </row>
    <row r="23" spans="2:14" s="74" customFormat="1" ht="11.25">
      <c r="B23" s="74" t="s">
        <v>41</v>
      </c>
      <c r="C23" s="108">
        <v>0.3218</v>
      </c>
      <c r="D23" s="107">
        <f t="shared" si="4"/>
        <v>0.3218</v>
      </c>
      <c r="E23" s="107">
        <f t="shared" si="4"/>
        <v>0.3218</v>
      </c>
      <c r="F23" s="107">
        <f t="shared" si="4"/>
        <v>0.3218</v>
      </c>
      <c r="G23" s="107">
        <f t="shared" si="4"/>
        <v>0.3218</v>
      </c>
      <c r="H23" s="107">
        <f t="shared" si="4"/>
        <v>0.3218</v>
      </c>
      <c r="I23" s="107">
        <f t="shared" si="4"/>
        <v>0.3218</v>
      </c>
      <c r="J23" s="107">
        <f t="shared" si="4"/>
        <v>0.3218</v>
      </c>
      <c r="K23" s="107">
        <f t="shared" si="4"/>
        <v>0.3218</v>
      </c>
      <c r="L23" s="107">
        <f t="shared" si="4"/>
        <v>0.3218</v>
      </c>
      <c r="M23" s="107">
        <f t="shared" si="4"/>
        <v>0.3218</v>
      </c>
      <c r="N23" s="107">
        <f t="shared" si="4"/>
        <v>0.3218</v>
      </c>
    </row>
    <row r="24" spans="3:14" ht="11.25">
      <c r="C24" s="75">
        <v>1</v>
      </c>
      <c r="D24" s="75">
        <v>1</v>
      </c>
      <c r="E24" s="75">
        <v>1</v>
      </c>
      <c r="F24" s="75">
        <v>1</v>
      </c>
      <c r="G24" s="75">
        <v>1</v>
      </c>
      <c r="H24" s="75">
        <v>1</v>
      </c>
      <c r="I24" s="75">
        <v>1</v>
      </c>
      <c r="J24" s="75">
        <v>1</v>
      </c>
      <c r="K24" s="75">
        <v>1</v>
      </c>
      <c r="L24" s="75">
        <v>1</v>
      </c>
      <c r="M24" s="75">
        <v>1</v>
      </c>
      <c r="N24" s="75">
        <v>1</v>
      </c>
    </row>
    <row r="25" ht="11.25"/>
    <row r="26" ht="11.25">
      <c r="A26" s="65" t="s">
        <v>42</v>
      </c>
    </row>
    <row r="27" spans="2:14" ht="11.25">
      <c r="B27" s="51" t="s">
        <v>18</v>
      </c>
      <c r="C27" s="61">
        <f aca="true" t="shared" si="5" ref="C27:C37">+C$10*C13</f>
        <v>2.33025</v>
      </c>
      <c r="D27" s="61">
        <f aca="true" t="shared" si="6" ref="D27:N27">+D$10*D13</f>
        <v>3.2916</v>
      </c>
      <c r="E27" s="61">
        <f t="shared" si="6"/>
        <v>2.4687</v>
      </c>
      <c r="F27" s="61">
        <f t="shared" si="6"/>
        <v>3.1395000000000004</v>
      </c>
      <c r="G27" s="61">
        <f t="shared" si="6"/>
        <v>2.91525</v>
      </c>
      <c r="H27" s="61">
        <f t="shared" si="6"/>
        <v>3.3247500000000003</v>
      </c>
      <c r="I27" s="61">
        <f t="shared" si="6"/>
        <v>3.2682</v>
      </c>
      <c r="J27" s="61">
        <f t="shared" si="6"/>
        <v>3.73425</v>
      </c>
      <c r="K27" s="61">
        <f t="shared" si="6"/>
        <v>3.3169500000000003</v>
      </c>
      <c r="L27" s="61">
        <f t="shared" si="6"/>
        <v>2.91135</v>
      </c>
      <c r="M27" s="61">
        <f t="shared" si="6"/>
        <v>3.4242</v>
      </c>
      <c r="N27" s="61">
        <f t="shared" si="6"/>
        <v>0.7995</v>
      </c>
    </row>
    <row r="28" spans="2:14" ht="11.25">
      <c r="B28" s="51" t="s">
        <v>22</v>
      </c>
      <c r="C28" s="61">
        <f t="shared" si="5"/>
        <v>2.1294899999999997</v>
      </c>
      <c r="D28" s="61">
        <f aca="true" t="shared" si="7" ref="D28:N28">+D$10*D14</f>
        <v>3.0080159999999996</v>
      </c>
      <c r="E28" s="61">
        <f t="shared" si="7"/>
        <v>2.256012</v>
      </c>
      <c r="F28" s="61">
        <f t="shared" si="7"/>
        <v>2.8690200000000003</v>
      </c>
      <c r="G28" s="61">
        <f t="shared" si="7"/>
        <v>2.66409</v>
      </c>
      <c r="H28" s="61">
        <f t="shared" si="7"/>
        <v>3.03831</v>
      </c>
      <c r="I28" s="61">
        <f t="shared" si="7"/>
        <v>2.986632</v>
      </c>
      <c r="J28" s="61">
        <f t="shared" si="7"/>
        <v>3.41253</v>
      </c>
      <c r="K28" s="61">
        <f t="shared" si="7"/>
        <v>3.0311820000000003</v>
      </c>
      <c r="L28" s="61">
        <f t="shared" si="7"/>
        <v>2.660526</v>
      </c>
      <c r="M28" s="61">
        <f t="shared" si="7"/>
        <v>3.1291919999999998</v>
      </c>
      <c r="N28" s="61">
        <f t="shared" si="7"/>
        <v>0.7306199999999999</v>
      </c>
    </row>
    <row r="29" spans="2:14" ht="11.25">
      <c r="B29" s="51" t="s">
        <v>34</v>
      </c>
      <c r="C29" s="61">
        <f t="shared" si="5"/>
        <v>0</v>
      </c>
      <c r="D29" s="61">
        <f aca="true" t="shared" si="8" ref="D29:N29">+D$10*D15</f>
        <v>0</v>
      </c>
      <c r="E29" s="61">
        <f t="shared" si="8"/>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row>
    <row r="30" spans="2:14" ht="11.25">
      <c r="B30" s="51" t="s">
        <v>35</v>
      </c>
      <c r="C30" s="61">
        <f t="shared" si="5"/>
        <v>0.197175</v>
      </c>
      <c r="D30" s="61">
        <f aca="true" t="shared" si="9" ref="D30:N30">+D$10*D16</f>
        <v>0.27852</v>
      </c>
      <c r="E30" s="61">
        <f t="shared" si="9"/>
        <v>0.20889000000000002</v>
      </c>
      <c r="F30" s="61">
        <f t="shared" si="9"/>
        <v>0.26565000000000005</v>
      </c>
      <c r="G30" s="61">
        <f t="shared" si="9"/>
        <v>0.246675</v>
      </c>
      <c r="H30" s="61">
        <f t="shared" si="9"/>
        <v>0.28132500000000005</v>
      </c>
      <c r="I30" s="61">
        <f t="shared" si="9"/>
        <v>0.27654000000000006</v>
      </c>
      <c r="J30" s="61">
        <f t="shared" si="9"/>
        <v>0.315975</v>
      </c>
      <c r="K30" s="61">
        <f t="shared" si="9"/>
        <v>0.28066500000000005</v>
      </c>
      <c r="L30" s="61">
        <f t="shared" si="9"/>
        <v>0.246345</v>
      </c>
      <c r="M30" s="61">
        <f t="shared" si="9"/>
        <v>0.28974</v>
      </c>
      <c r="N30" s="61">
        <f t="shared" si="9"/>
        <v>0.06765</v>
      </c>
    </row>
    <row r="31" spans="2:14" ht="11.25">
      <c r="B31" s="51" t="s">
        <v>36</v>
      </c>
      <c r="C31" s="61">
        <f t="shared" si="5"/>
        <v>0.536555</v>
      </c>
      <c r="D31" s="61">
        <f aca="true" t="shared" si="10" ref="D31:N31">+D$10*D17</f>
        <v>0.757912</v>
      </c>
      <c r="E31" s="61">
        <f t="shared" si="10"/>
        <v>0.568434</v>
      </c>
      <c r="F31" s="61">
        <f t="shared" si="10"/>
        <v>0.7228900000000001</v>
      </c>
      <c r="G31" s="61">
        <f t="shared" si="10"/>
        <v>0.671255</v>
      </c>
      <c r="H31" s="61">
        <f t="shared" si="10"/>
        <v>0.765545</v>
      </c>
      <c r="I31" s="61">
        <f t="shared" si="10"/>
        <v>0.7525240000000001</v>
      </c>
      <c r="J31" s="61">
        <f t="shared" si="10"/>
        <v>0.859835</v>
      </c>
      <c r="K31" s="61">
        <f t="shared" si="10"/>
        <v>0.7637490000000001</v>
      </c>
      <c r="L31" s="61">
        <f t="shared" si="10"/>
        <v>0.670357</v>
      </c>
      <c r="M31" s="61">
        <f t="shared" si="10"/>
        <v>0.788444</v>
      </c>
      <c r="N31" s="61">
        <f t="shared" si="10"/>
        <v>0.18409</v>
      </c>
    </row>
    <row r="32" spans="2:14" ht="11.25">
      <c r="B32" s="51" t="s">
        <v>37</v>
      </c>
      <c r="C32" s="61">
        <f t="shared" si="5"/>
        <v>0.089625</v>
      </c>
      <c r="D32" s="61">
        <f aca="true" t="shared" si="11" ref="D32:N32">+D$10*D18</f>
        <v>0.1266</v>
      </c>
      <c r="E32" s="61">
        <f t="shared" si="11"/>
        <v>0.09494999999999999</v>
      </c>
      <c r="F32" s="61">
        <f t="shared" si="11"/>
        <v>0.12075000000000001</v>
      </c>
      <c r="G32" s="61">
        <f t="shared" si="11"/>
        <v>0.11212499999999999</v>
      </c>
      <c r="H32" s="61">
        <f t="shared" si="11"/>
        <v>0.127875</v>
      </c>
      <c r="I32" s="61">
        <f t="shared" si="11"/>
        <v>0.1257</v>
      </c>
      <c r="J32" s="61">
        <f t="shared" si="11"/>
        <v>0.14362499999999997</v>
      </c>
      <c r="K32" s="61">
        <f t="shared" si="11"/>
        <v>0.127575</v>
      </c>
      <c r="L32" s="61">
        <f t="shared" si="11"/>
        <v>0.11197499999999999</v>
      </c>
      <c r="M32" s="61">
        <f t="shared" si="11"/>
        <v>0.13169999999999998</v>
      </c>
      <c r="N32" s="61">
        <f t="shared" si="11"/>
        <v>0.030749999999999996</v>
      </c>
    </row>
    <row r="33" spans="2:14" ht="11.25">
      <c r="B33" s="51" t="s">
        <v>38</v>
      </c>
      <c r="C33" s="61">
        <f t="shared" si="5"/>
        <v>0</v>
      </c>
      <c r="D33" s="61">
        <f aca="true" t="shared" si="12" ref="D33:N33">+D$10*D19</f>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61">
        <f t="shared" si="12"/>
        <v>0</v>
      </c>
    </row>
    <row r="34" spans="2:14" ht="11.25">
      <c r="B34" s="51" t="s">
        <v>16</v>
      </c>
      <c r="C34" s="61">
        <f t="shared" si="5"/>
        <v>2.11276</v>
      </c>
      <c r="D34" s="61">
        <f aca="true" t="shared" si="13" ref="D34:N34">+D$10*D20</f>
        <v>2.984384</v>
      </c>
      <c r="E34" s="61">
        <f t="shared" si="13"/>
        <v>2.2382880000000003</v>
      </c>
      <c r="F34" s="61">
        <f t="shared" si="13"/>
        <v>2.8464800000000006</v>
      </c>
      <c r="G34" s="61">
        <f t="shared" si="13"/>
        <v>2.64316</v>
      </c>
      <c r="H34" s="61">
        <f t="shared" si="13"/>
        <v>3.0144400000000005</v>
      </c>
      <c r="I34" s="61">
        <f t="shared" si="13"/>
        <v>2.9631680000000005</v>
      </c>
      <c r="J34" s="61">
        <f t="shared" si="13"/>
        <v>3.38572</v>
      </c>
      <c r="K34" s="61">
        <f t="shared" si="13"/>
        <v>3.0073680000000005</v>
      </c>
      <c r="L34" s="61">
        <f t="shared" si="13"/>
        <v>2.639624</v>
      </c>
      <c r="M34" s="61">
        <f t="shared" si="13"/>
        <v>3.104608</v>
      </c>
      <c r="N34" s="61">
        <f t="shared" si="13"/>
        <v>0.72488</v>
      </c>
    </row>
    <row r="35" spans="2:14" ht="11.25">
      <c r="B35" s="51" t="s">
        <v>39</v>
      </c>
      <c r="C35" s="61">
        <f t="shared" si="5"/>
        <v>0</v>
      </c>
      <c r="D35" s="61">
        <f aca="true" t="shared" si="14" ref="D35:N35">+D$10*D21</f>
        <v>0</v>
      </c>
      <c r="E35" s="61">
        <f t="shared" si="14"/>
        <v>0</v>
      </c>
      <c r="F35" s="61">
        <f t="shared" si="14"/>
        <v>0</v>
      </c>
      <c r="G35" s="61">
        <f t="shared" si="14"/>
        <v>0</v>
      </c>
      <c r="H35" s="61">
        <f t="shared" si="14"/>
        <v>0</v>
      </c>
      <c r="I35" s="61">
        <f t="shared" si="14"/>
        <v>0</v>
      </c>
      <c r="J35" s="61">
        <f t="shared" si="14"/>
        <v>0</v>
      </c>
      <c r="K35" s="61">
        <f t="shared" si="14"/>
        <v>0</v>
      </c>
      <c r="L35" s="61">
        <f t="shared" si="14"/>
        <v>0</v>
      </c>
      <c r="M35" s="61">
        <f t="shared" si="14"/>
        <v>0</v>
      </c>
      <c r="N35" s="61">
        <f t="shared" si="14"/>
        <v>0</v>
      </c>
    </row>
    <row r="36" spans="2:14" ht="11.25">
      <c r="B36" s="51" t="s">
        <v>40</v>
      </c>
      <c r="C36" s="61">
        <f t="shared" si="5"/>
        <v>0.7086350000000016</v>
      </c>
      <c r="D36" s="61">
        <f aca="true" t="shared" si="15" ref="D36:N36">+D$10*D22</f>
        <v>1.000984000000002</v>
      </c>
      <c r="E36" s="61">
        <f t="shared" si="15"/>
        <v>0.7507380000000017</v>
      </c>
      <c r="F36" s="61">
        <f t="shared" si="15"/>
        <v>0.9547300000000022</v>
      </c>
      <c r="G36" s="61">
        <f t="shared" si="15"/>
        <v>0.886535000000002</v>
      </c>
      <c r="H36" s="61">
        <f t="shared" si="15"/>
        <v>1.0110650000000023</v>
      </c>
      <c r="I36" s="61">
        <f t="shared" si="15"/>
        <v>0.9938680000000023</v>
      </c>
      <c r="J36" s="61">
        <f t="shared" si="15"/>
        <v>1.1355950000000024</v>
      </c>
      <c r="K36" s="61">
        <f t="shared" si="15"/>
        <v>1.0086930000000023</v>
      </c>
      <c r="L36" s="61">
        <f t="shared" si="15"/>
        <v>0.8853490000000019</v>
      </c>
      <c r="M36" s="61">
        <f t="shared" si="15"/>
        <v>1.0413080000000021</v>
      </c>
      <c r="N36" s="61">
        <f t="shared" si="15"/>
        <v>0.2431300000000005</v>
      </c>
    </row>
    <row r="37" spans="2:14" ht="11.25">
      <c r="B37" s="51" t="s">
        <v>41</v>
      </c>
      <c r="C37" s="72">
        <f t="shared" si="5"/>
        <v>3.8455099999999995</v>
      </c>
      <c r="D37" s="72">
        <f aca="true" t="shared" si="16" ref="D37:N37">+D$10*D23</f>
        <v>5.431983999999999</v>
      </c>
      <c r="E37" s="72">
        <f t="shared" si="16"/>
        <v>4.073988</v>
      </c>
      <c r="F37" s="72">
        <f t="shared" si="16"/>
        <v>5.18098</v>
      </c>
      <c r="G37" s="72">
        <f t="shared" si="16"/>
        <v>4.81091</v>
      </c>
      <c r="H37" s="72">
        <f t="shared" si="16"/>
        <v>5.486689999999999</v>
      </c>
      <c r="I37" s="72">
        <f t="shared" si="16"/>
        <v>5.393368</v>
      </c>
      <c r="J37" s="72">
        <f t="shared" si="16"/>
        <v>6.162469999999999</v>
      </c>
      <c r="K37" s="72">
        <f t="shared" si="16"/>
        <v>5.4738180000000005</v>
      </c>
      <c r="L37" s="72">
        <f t="shared" si="16"/>
        <v>4.804474</v>
      </c>
      <c r="M37" s="72">
        <f t="shared" si="16"/>
        <v>5.650807999999999</v>
      </c>
      <c r="N37" s="72">
        <f t="shared" si="16"/>
        <v>1.3193799999999998</v>
      </c>
    </row>
    <row r="38" spans="3:14" ht="11.25">
      <c r="C38" s="61">
        <f>SUM(C27:C37)</f>
        <v>11.95</v>
      </c>
      <c r="D38" s="61">
        <f aca="true" t="shared" si="17" ref="D38:N38">SUM(D27:D37)</f>
        <v>16.880000000000003</v>
      </c>
      <c r="E38" s="61">
        <f t="shared" si="17"/>
        <v>12.660000000000002</v>
      </c>
      <c r="F38" s="61">
        <f t="shared" si="17"/>
        <v>16.1</v>
      </c>
      <c r="G38" s="61">
        <f t="shared" si="17"/>
        <v>14.950000000000003</v>
      </c>
      <c r="H38" s="61">
        <f t="shared" si="17"/>
        <v>17.050000000000004</v>
      </c>
      <c r="I38" s="61">
        <f t="shared" si="17"/>
        <v>16.76</v>
      </c>
      <c r="J38" s="61">
        <f t="shared" si="17"/>
        <v>19.150000000000002</v>
      </c>
      <c r="K38" s="61">
        <f t="shared" si="17"/>
        <v>17.010000000000005</v>
      </c>
      <c r="L38" s="61">
        <f t="shared" si="17"/>
        <v>14.93</v>
      </c>
      <c r="M38" s="61">
        <f t="shared" si="17"/>
        <v>17.560000000000002</v>
      </c>
      <c r="N38" s="61">
        <f t="shared" si="17"/>
        <v>4.1000000000000005</v>
      </c>
    </row>
    <row r="40" ht="11.25">
      <c r="A40" s="65" t="s">
        <v>43</v>
      </c>
    </row>
    <row r="41" spans="2:14" ht="11.25">
      <c r="B41" s="51" t="s">
        <v>18</v>
      </c>
      <c r="C41" s="76">
        <v>1</v>
      </c>
      <c r="D41" s="77">
        <v>1</v>
      </c>
      <c r="E41" s="77">
        <v>1</v>
      </c>
      <c r="F41" s="77">
        <v>1</v>
      </c>
      <c r="G41" s="77">
        <v>1</v>
      </c>
      <c r="H41" s="77">
        <v>1</v>
      </c>
      <c r="I41" s="77">
        <v>1</v>
      </c>
      <c r="J41" s="77">
        <v>1</v>
      </c>
      <c r="K41" s="77">
        <v>1</v>
      </c>
      <c r="L41" s="77">
        <v>1</v>
      </c>
      <c r="M41" s="77">
        <v>1</v>
      </c>
      <c r="N41" s="77">
        <v>1</v>
      </c>
    </row>
    <row r="42" spans="2:14" ht="11.25">
      <c r="B42" s="51" t="s">
        <v>22</v>
      </c>
      <c r="C42" s="76">
        <v>1</v>
      </c>
      <c r="D42" s="77">
        <v>1</v>
      </c>
      <c r="E42" s="77">
        <v>1</v>
      </c>
      <c r="F42" s="77">
        <v>1</v>
      </c>
      <c r="G42" s="77">
        <v>1</v>
      </c>
      <c r="H42" s="77">
        <v>1</v>
      </c>
      <c r="I42" s="77">
        <v>1</v>
      </c>
      <c r="J42" s="77">
        <v>1</v>
      </c>
      <c r="K42" s="77">
        <v>1</v>
      </c>
      <c r="L42" s="77">
        <v>1</v>
      </c>
      <c r="M42" s="77">
        <v>1</v>
      </c>
      <c r="N42" s="77">
        <v>1</v>
      </c>
    </row>
    <row r="43" spans="2:14" ht="11.25">
      <c r="B43" s="51" t="s">
        <v>34</v>
      </c>
      <c r="C43" s="76">
        <v>1</v>
      </c>
      <c r="D43" s="77">
        <v>1</v>
      </c>
      <c r="E43" s="77">
        <v>1</v>
      </c>
      <c r="F43" s="77">
        <v>1</v>
      </c>
      <c r="G43" s="77">
        <v>1</v>
      </c>
      <c r="H43" s="77">
        <v>1</v>
      </c>
      <c r="I43" s="77">
        <v>1</v>
      </c>
      <c r="J43" s="77">
        <v>1</v>
      </c>
      <c r="K43" s="77">
        <v>1</v>
      </c>
      <c r="L43" s="77">
        <v>1</v>
      </c>
      <c r="M43" s="77">
        <v>1</v>
      </c>
      <c r="N43" s="77">
        <v>1</v>
      </c>
    </row>
    <row r="44" spans="2:14" ht="11.25">
      <c r="B44" s="51" t="s">
        <v>35</v>
      </c>
      <c r="C44" s="76">
        <v>1</v>
      </c>
      <c r="D44" s="77">
        <v>1</v>
      </c>
      <c r="E44" s="77">
        <v>1</v>
      </c>
      <c r="F44" s="77">
        <v>1</v>
      </c>
      <c r="G44" s="77">
        <v>1</v>
      </c>
      <c r="H44" s="77">
        <v>1</v>
      </c>
      <c r="I44" s="77">
        <v>1</v>
      </c>
      <c r="J44" s="77">
        <v>1</v>
      </c>
      <c r="K44" s="77">
        <v>1</v>
      </c>
      <c r="L44" s="77">
        <v>1</v>
      </c>
      <c r="M44" s="77">
        <v>1</v>
      </c>
      <c r="N44" s="77">
        <v>1</v>
      </c>
    </row>
    <row r="45" spans="2:14" ht="11.25">
      <c r="B45" s="51" t="s">
        <v>36</v>
      </c>
      <c r="C45" s="76">
        <v>1</v>
      </c>
      <c r="D45" s="77">
        <v>1</v>
      </c>
      <c r="E45" s="77">
        <v>1</v>
      </c>
      <c r="F45" s="77">
        <v>1</v>
      </c>
      <c r="G45" s="77">
        <v>1</v>
      </c>
      <c r="H45" s="77">
        <v>1</v>
      </c>
      <c r="I45" s="77">
        <v>1</v>
      </c>
      <c r="J45" s="77">
        <v>1</v>
      </c>
      <c r="K45" s="77">
        <v>1</v>
      </c>
      <c r="L45" s="77">
        <v>1</v>
      </c>
      <c r="M45" s="77">
        <v>1</v>
      </c>
      <c r="N45" s="77">
        <v>1</v>
      </c>
    </row>
    <row r="46" spans="2:14" ht="11.25">
      <c r="B46" s="51" t="s">
        <v>37</v>
      </c>
      <c r="C46" s="76">
        <v>1</v>
      </c>
      <c r="D46" s="77">
        <v>1</v>
      </c>
      <c r="E46" s="77">
        <v>1</v>
      </c>
      <c r="F46" s="77">
        <v>1</v>
      </c>
      <c r="G46" s="77">
        <v>1</v>
      </c>
      <c r="H46" s="77">
        <v>1</v>
      </c>
      <c r="I46" s="77">
        <v>1</v>
      </c>
      <c r="J46" s="77">
        <v>1</v>
      </c>
      <c r="K46" s="77">
        <v>1</v>
      </c>
      <c r="L46" s="77">
        <v>1</v>
      </c>
      <c r="M46" s="77">
        <v>1</v>
      </c>
      <c r="N46" s="77">
        <v>1</v>
      </c>
    </row>
    <row r="47" spans="2:14" ht="11.25">
      <c r="B47" s="51" t="s">
        <v>38</v>
      </c>
      <c r="C47" s="76">
        <v>1</v>
      </c>
      <c r="D47" s="77">
        <v>1</v>
      </c>
      <c r="E47" s="77">
        <v>1</v>
      </c>
      <c r="F47" s="77">
        <v>1</v>
      </c>
      <c r="G47" s="77">
        <v>1</v>
      </c>
      <c r="H47" s="77">
        <v>1</v>
      </c>
      <c r="I47" s="77">
        <v>1</v>
      </c>
      <c r="J47" s="77">
        <v>1</v>
      </c>
      <c r="K47" s="77">
        <v>1</v>
      </c>
      <c r="L47" s="77">
        <v>1</v>
      </c>
      <c r="M47" s="77">
        <v>1</v>
      </c>
      <c r="N47" s="77">
        <v>1</v>
      </c>
    </row>
    <row r="48" spans="2:14" ht="11.25">
      <c r="B48" s="51" t="s">
        <v>16</v>
      </c>
      <c r="C48" s="76">
        <v>1</v>
      </c>
      <c r="D48" s="77">
        <v>1</v>
      </c>
      <c r="E48" s="77">
        <v>1</v>
      </c>
      <c r="F48" s="77">
        <v>1</v>
      </c>
      <c r="G48" s="77">
        <v>1</v>
      </c>
      <c r="H48" s="77">
        <v>1</v>
      </c>
      <c r="I48" s="77">
        <v>1</v>
      </c>
      <c r="J48" s="77">
        <v>1</v>
      </c>
      <c r="K48" s="77">
        <v>1</v>
      </c>
      <c r="L48" s="77">
        <v>1</v>
      </c>
      <c r="M48" s="77">
        <v>1</v>
      </c>
      <c r="N48" s="77">
        <v>1</v>
      </c>
    </row>
    <row r="49" spans="2:14" ht="11.25">
      <c r="B49" s="51" t="s">
        <v>39</v>
      </c>
      <c r="C49" s="76">
        <v>1</v>
      </c>
      <c r="D49" s="77">
        <v>1</v>
      </c>
      <c r="E49" s="77">
        <v>1</v>
      </c>
      <c r="F49" s="77">
        <v>1</v>
      </c>
      <c r="G49" s="77">
        <v>1</v>
      </c>
      <c r="H49" s="77">
        <v>1</v>
      </c>
      <c r="I49" s="77">
        <v>1</v>
      </c>
      <c r="J49" s="77">
        <v>1</v>
      </c>
      <c r="K49" s="77">
        <v>1</v>
      </c>
      <c r="L49" s="77">
        <v>1</v>
      </c>
      <c r="M49" s="77">
        <v>1</v>
      </c>
      <c r="N49" s="77">
        <v>1</v>
      </c>
    </row>
    <row r="50" spans="2:14" ht="11.25">
      <c r="B50" s="51" t="s">
        <v>40</v>
      </c>
      <c r="C50" s="76">
        <v>1</v>
      </c>
      <c r="D50" s="77">
        <v>1</v>
      </c>
      <c r="E50" s="77">
        <v>1</v>
      </c>
      <c r="F50" s="77">
        <v>1</v>
      </c>
      <c r="G50" s="77">
        <v>1</v>
      </c>
      <c r="H50" s="77">
        <v>1</v>
      </c>
      <c r="I50" s="77">
        <v>1</v>
      </c>
      <c r="J50" s="77">
        <v>1</v>
      </c>
      <c r="K50" s="77">
        <v>1</v>
      </c>
      <c r="L50" s="77">
        <v>1</v>
      </c>
      <c r="M50" s="77">
        <v>1</v>
      </c>
      <c r="N50" s="77">
        <v>1</v>
      </c>
    </row>
    <row r="51" spans="3:14" ht="14.25" customHeight="1">
      <c r="C51" s="75"/>
      <c r="D51" s="77"/>
      <c r="E51" s="77"/>
      <c r="F51" s="77"/>
      <c r="G51" s="77"/>
      <c r="H51" s="77"/>
      <c r="I51" s="77"/>
      <c r="J51" s="77"/>
      <c r="K51" s="77"/>
      <c r="L51" s="77"/>
      <c r="M51" s="77"/>
      <c r="N51" s="77"/>
    </row>
    <row r="52" spans="1:14" ht="11.25">
      <c r="A52" s="51" t="s">
        <v>41</v>
      </c>
      <c r="C52" s="75">
        <f>+C65/C37</f>
        <v>0.9999999999999999</v>
      </c>
      <c r="D52" s="77">
        <v>1</v>
      </c>
      <c r="E52" s="77">
        <v>1</v>
      </c>
      <c r="F52" s="77">
        <v>1</v>
      </c>
      <c r="G52" s="77">
        <v>1</v>
      </c>
      <c r="H52" s="77">
        <v>1</v>
      </c>
      <c r="I52" s="77">
        <v>1</v>
      </c>
      <c r="J52" s="77">
        <v>1</v>
      </c>
      <c r="K52" s="77">
        <v>1</v>
      </c>
      <c r="L52" s="77">
        <v>1</v>
      </c>
      <c r="M52" s="77">
        <v>1</v>
      </c>
      <c r="N52" s="77">
        <v>1</v>
      </c>
    </row>
    <row r="53" spans="12:14" ht="11.25">
      <c r="L53" s="75"/>
      <c r="N53" s="77"/>
    </row>
    <row r="54" spans="1:14" ht="11.25">
      <c r="A54" s="65" t="s">
        <v>44</v>
      </c>
      <c r="L54" s="75"/>
      <c r="N54" s="77"/>
    </row>
    <row r="55" spans="2:14" ht="11.25">
      <c r="B55" s="51" t="s">
        <v>18</v>
      </c>
      <c r="C55" s="61">
        <f>+C27*C41</f>
        <v>2.33025</v>
      </c>
      <c r="D55" s="61">
        <f aca="true" t="shared" si="18" ref="D55:N55">+D27*D41</f>
        <v>3.2916</v>
      </c>
      <c r="E55" s="61">
        <f t="shared" si="18"/>
        <v>2.4687</v>
      </c>
      <c r="F55" s="61">
        <f t="shared" si="18"/>
        <v>3.1395000000000004</v>
      </c>
      <c r="G55" s="61">
        <f t="shared" si="18"/>
        <v>2.91525</v>
      </c>
      <c r="H55" s="61">
        <f t="shared" si="18"/>
        <v>3.3247500000000003</v>
      </c>
      <c r="I55" s="61">
        <f t="shared" si="18"/>
        <v>3.2682</v>
      </c>
      <c r="J55" s="61">
        <f t="shared" si="18"/>
        <v>3.73425</v>
      </c>
      <c r="K55" s="61">
        <f t="shared" si="18"/>
        <v>3.3169500000000003</v>
      </c>
      <c r="L55" s="61">
        <f t="shared" si="18"/>
        <v>2.91135</v>
      </c>
      <c r="M55" s="61">
        <f t="shared" si="18"/>
        <v>3.4242</v>
      </c>
      <c r="N55" s="61">
        <f t="shared" si="18"/>
        <v>0.7995</v>
      </c>
    </row>
    <row r="56" spans="2:14" ht="11.25">
      <c r="B56" s="51" t="s">
        <v>22</v>
      </c>
      <c r="C56" s="61">
        <f aca="true" t="shared" si="19" ref="C56:N56">+C28*C42</f>
        <v>2.1294899999999997</v>
      </c>
      <c r="D56" s="61">
        <f t="shared" si="19"/>
        <v>3.0080159999999996</v>
      </c>
      <c r="E56" s="61">
        <f t="shared" si="19"/>
        <v>2.256012</v>
      </c>
      <c r="F56" s="61">
        <f t="shared" si="19"/>
        <v>2.8690200000000003</v>
      </c>
      <c r="G56" s="61">
        <f t="shared" si="19"/>
        <v>2.66409</v>
      </c>
      <c r="H56" s="61">
        <f t="shared" si="19"/>
        <v>3.03831</v>
      </c>
      <c r="I56" s="61">
        <f t="shared" si="19"/>
        <v>2.986632</v>
      </c>
      <c r="J56" s="61">
        <f t="shared" si="19"/>
        <v>3.41253</v>
      </c>
      <c r="K56" s="61">
        <f t="shared" si="19"/>
        <v>3.0311820000000003</v>
      </c>
      <c r="L56" s="61">
        <f t="shared" si="19"/>
        <v>2.660526</v>
      </c>
      <c r="M56" s="61">
        <f t="shared" si="19"/>
        <v>3.1291919999999998</v>
      </c>
      <c r="N56" s="61">
        <f t="shared" si="19"/>
        <v>0.7306199999999999</v>
      </c>
    </row>
    <row r="57" spans="2:14" ht="11.25">
      <c r="B57" s="51" t="s">
        <v>34</v>
      </c>
      <c r="C57" s="61">
        <f aca="true" t="shared" si="20" ref="C57:N57">+C29*C43</f>
        <v>0</v>
      </c>
      <c r="D57" s="61">
        <f t="shared" si="20"/>
        <v>0</v>
      </c>
      <c r="E57" s="61">
        <f t="shared" si="20"/>
        <v>0</v>
      </c>
      <c r="F57" s="61">
        <f t="shared" si="20"/>
        <v>0</v>
      </c>
      <c r="G57" s="61">
        <f t="shared" si="20"/>
        <v>0</v>
      </c>
      <c r="H57" s="61">
        <f t="shared" si="20"/>
        <v>0</v>
      </c>
      <c r="I57" s="61">
        <f t="shared" si="20"/>
        <v>0</v>
      </c>
      <c r="J57" s="61">
        <f t="shared" si="20"/>
        <v>0</v>
      </c>
      <c r="K57" s="61">
        <f t="shared" si="20"/>
        <v>0</v>
      </c>
      <c r="L57" s="61">
        <f t="shared" si="20"/>
        <v>0</v>
      </c>
      <c r="M57" s="61">
        <f t="shared" si="20"/>
        <v>0</v>
      </c>
      <c r="N57" s="61">
        <f t="shared" si="20"/>
        <v>0</v>
      </c>
    </row>
    <row r="58" spans="2:16" ht="12.75">
      <c r="B58" s="51" t="s">
        <v>35</v>
      </c>
      <c r="C58" s="61">
        <f aca="true" t="shared" si="21" ref="C58:N58">+C30*C44</f>
        <v>0.197175</v>
      </c>
      <c r="D58" s="61">
        <f t="shared" si="21"/>
        <v>0.27852</v>
      </c>
      <c r="E58" s="61">
        <f t="shared" si="21"/>
        <v>0.20889000000000002</v>
      </c>
      <c r="F58" s="61">
        <f t="shared" si="21"/>
        <v>0.26565000000000005</v>
      </c>
      <c r="G58" s="61">
        <f t="shared" si="21"/>
        <v>0.246675</v>
      </c>
      <c r="H58" s="61">
        <f t="shared" si="21"/>
        <v>0.28132500000000005</v>
      </c>
      <c r="I58" s="61">
        <f t="shared" si="21"/>
        <v>0.27654000000000006</v>
      </c>
      <c r="J58" s="61">
        <f t="shared" si="21"/>
        <v>0.315975</v>
      </c>
      <c r="K58" s="61">
        <f t="shared" si="21"/>
        <v>0.28066500000000005</v>
      </c>
      <c r="L58" s="61">
        <f t="shared" si="21"/>
        <v>0.246345</v>
      </c>
      <c r="M58" s="61">
        <f t="shared" si="21"/>
        <v>0.28974</v>
      </c>
      <c r="N58" s="61">
        <f t="shared" si="21"/>
        <v>0.06765</v>
      </c>
      <c r="P58" s="43"/>
    </row>
    <row r="59" spans="2:16" ht="12.75">
      <c r="B59" s="51" t="s">
        <v>36</v>
      </c>
      <c r="C59" s="61">
        <f aca="true" t="shared" si="22" ref="C59:N59">+C31*C45</f>
        <v>0.536555</v>
      </c>
      <c r="D59" s="61">
        <f t="shared" si="22"/>
        <v>0.757912</v>
      </c>
      <c r="E59" s="61">
        <f t="shared" si="22"/>
        <v>0.568434</v>
      </c>
      <c r="F59" s="61">
        <f t="shared" si="22"/>
        <v>0.7228900000000001</v>
      </c>
      <c r="G59" s="61">
        <f t="shared" si="22"/>
        <v>0.671255</v>
      </c>
      <c r="H59" s="61">
        <f t="shared" si="22"/>
        <v>0.765545</v>
      </c>
      <c r="I59" s="61">
        <f t="shared" si="22"/>
        <v>0.7525240000000001</v>
      </c>
      <c r="J59" s="61">
        <f t="shared" si="22"/>
        <v>0.859835</v>
      </c>
      <c r="K59" s="61">
        <f t="shared" si="22"/>
        <v>0.7637490000000001</v>
      </c>
      <c r="L59" s="61">
        <f t="shared" si="22"/>
        <v>0.670357</v>
      </c>
      <c r="M59" s="61">
        <f t="shared" si="22"/>
        <v>0.788444</v>
      </c>
      <c r="N59" s="61">
        <f t="shared" si="22"/>
        <v>0.18409</v>
      </c>
      <c r="P59" s="43"/>
    </row>
    <row r="60" spans="2:16" ht="12.75">
      <c r="B60" s="51" t="s">
        <v>37</v>
      </c>
      <c r="C60" s="78">
        <f aca="true" t="shared" si="23" ref="C60:N60">+C32*C46</f>
        <v>0.089625</v>
      </c>
      <c r="D60" s="78">
        <f t="shared" si="23"/>
        <v>0.1266</v>
      </c>
      <c r="E60" s="78">
        <f t="shared" si="23"/>
        <v>0.09494999999999999</v>
      </c>
      <c r="F60" s="78">
        <f t="shared" si="23"/>
        <v>0.12075000000000001</v>
      </c>
      <c r="G60" s="78">
        <f t="shared" si="23"/>
        <v>0.11212499999999999</v>
      </c>
      <c r="H60" s="78">
        <f t="shared" si="23"/>
        <v>0.127875</v>
      </c>
      <c r="I60" s="78">
        <f t="shared" si="23"/>
        <v>0.1257</v>
      </c>
      <c r="J60" s="78">
        <f t="shared" si="23"/>
        <v>0.14362499999999997</v>
      </c>
      <c r="K60" s="78">
        <f t="shared" si="23"/>
        <v>0.127575</v>
      </c>
      <c r="L60" s="78">
        <f t="shared" si="23"/>
        <v>0.11197499999999999</v>
      </c>
      <c r="M60" s="78">
        <f t="shared" si="23"/>
        <v>0.13169999999999998</v>
      </c>
      <c r="N60" s="78">
        <f t="shared" si="23"/>
        <v>0.030749999999999996</v>
      </c>
      <c r="P60" s="43"/>
    </row>
    <row r="61" spans="2:16" ht="12.75">
      <c r="B61" s="51" t="s">
        <v>38</v>
      </c>
      <c r="C61" s="61">
        <f aca="true" t="shared" si="24" ref="C61:N61">+C33*C47</f>
        <v>0</v>
      </c>
      <c r="D61" s="61">
        <f t="shared" si="24"/>
        <v>0</v>
      </c>
      <c r="E61" s="61">
        <f t="shared" si="24"/>
        <v>0</v>
      </c>
      <c r="F61" s="61">
        <f t="shared" si="24"/>
        <v>0</v>
      </c>
      <c r="G61" s="61">
        <f t="shared" si="24"/>
        <v>0</v>
      </c>
      <c r="H61" s="61">
        <f t="shared" si="24"/>
        <v>0</v>
      </c>
      <c r="I61" s="61">
        <f t="shared" si="24"/>
        <v>0</v>
      </c>
      <c r="J61" s="61">
        <f t="shared" si="24"/>
        <v>0</v>
      </c>
      <c r="K61" s="61">
        <f t="shared" si="24"/>
        <v>0</v>
      </c>
      <c r="L61" s="61">
        <f t="shared" si="24"/>
        <v>0</v>
      </c>
      <c r="M61" s="61">
        <f t="shared" si="24"/>
        <v>0</v>
      </c>
      <c r="N61" s="61">
        <f t="shared" si="24"/>
        <v>0</v>
      </c>
      <c r="P61" s="43"/>
    </row>
    <row r="62" spans="2:16" ht="12.75">
      <c r="B62" s="51" t="s">
        <v>31</v>
      </c>
      <c r="C62" s="61">
        <f aca="true" t="shared" si="25" ref="C62:N62">+C34*C48</f>
        <v>2.11276</v>
      </c>
      <c r="D62" s="61">
        <f t="shared" si="25"/>
        <v>2.984384</v>
      </c>
      <c r="E62" s="61">
        <f t="shared" si="25"/>
        <v>2.2382880000000003</v>
      </c>
      <c r="F62" s="61">
        <f t="shared" si="25"/>
        <v>2.8464800000000006</v>
      </c>
      <c r="G62" s="61">
        <f t="shared" si="25"/>
        <v>2.64316</v>
      </c>
      <c r="H62" s="61">
        <f t="shared" si="25"/>
        <v>3.0144400000000005</v>
      </c>
      <c r="I62" s="61">
        <f t="shared" si="25"/>
        <v>2.9631680000000005</v>
      </c>
      <c r="J62" s="61">
        <f t="shared" si="25"/>
        <v>3.38572</v>
      </c>
      <c r="K62" s="61">
        <f t="shared" si="25"/>
        <v>3.0073680000000005</v>
      </c>
      <c r="L62" s="61">
        <f t="shared" si="25"/>
        <v>2.639624</v>
      </c>
      <c r="M62" s="61">
        <f t="shared" si="25"/>
        <v>3.104608</v>
      </c>
      <c r="N62" s="61">
        <f t="shared" si="25"/>
        <v>0.72488</v>
      </c>
      <c r="P62" s="43"/>
    </row>
    <row r="63" spans="2:16" ht="12.75">
      <c r="B63" s="51" t="s">
        <v>39</v>
      </c>
      <c r="C63" s="61">
        <f aca="true" t="shared" si="26" ref="C63:N63">+C35*C49</f>
        <v>0</v>
      </c>
      <c r="D63" s="61">
        <f t="shared" si="26"/>
        <v>0</v>
      </c>
      <c r="E63" s="61">
        <f t="shared" si="26"/>
        <v>0</v>
      </c>
      <c r="F63" s="61">
        <f t="shared" si="26"/>
        <v>0</v>
      </c>
      <c r="G63" s="61">
        <f t="shared" si="26"/>
        <v>0</v>
      </c>
      <c r="H63" s="61">
        <f t="shared" si="26"/>
        <v>0</v>
      </c>
      <c r="I63" s="61">
        <f t="shared" si="26"/>
        <v>0</v>
      </c>
      <c r="J63" s="61">
        <f t="shared" si="26"/>
        <v>0</v>
      </c>
      <c r="K63" s="61">
        <f t="shared" si="26"/>
        <v>0</v>
      </c>
      <c r="L63" s="61">
        <f t="shared" si="26"/>
        <v>0</v>
      </c>
      <c r="M63" s="61">
        <f t="shared" si="26"/>
        <v>0</v>
      </c>
      <c r="N63" s="61">
        <f t="shared" si="26"/>
        <v>0</v>
      </c>
      <c r="P63" s="43"/>
    </row>
    <row r="64" spans="2:16" ht="12.75">
      <c r="B64" s="51" t="s">
        <v>40</v>
      </c>
      <c r="C64" s="61">
        <f aca="true" t="shared" si="27" ref="C64:N64">+C36*C50</f>
        <v>0.7086350000000016</v>
      </c>
      <c r="D64" s="61">
        <f t="shared" si="27"/>
        <v>1.000984000000002</v>
      </c>
      <c r="E64" s="61">
        <f t="shared" si="27"/>
        <v>0.7507380000000017</v>
      </c>
      <c r="F64" s="61">
        <f t="shared" si="27"/>
        <v>0.9547300000000022</v>
      </c>
      <c r="G64" s="61">
        <f t="shared" si="27"/>
        <v>0.886535000000002</v>
      </c>
      <c r="H64" s="61">
        <f t="shared" si="27"/>
        <v>1.0110650000000023</v>
      </c>
      <c r="I64" s="61">
        <f t="shared" si="27"/>
        <v>0.9938680000000023</v>
      </c>
      <c r="J64" s="61">
        <f t="shared" si="27"/>
        <v>1.1355950000000024</v>
      </c>
      <c r="K64" s="61">
        <f t="shared" si="27"/>
        <v>1.0086930000000023</v>
      </c>
      <c r="L64" s="61">
        <f t="shared" si="27"/>
        <v>0.8853490000000019</v>
      </c>
      <c r="M64" s="61">
        <f t="shared" si="27"/>
        <v>1.0413080000000021</v>
      </c>
      <c r="N64" s="61">
        <f t="shared" si="27"/>
        <v>0.2431300000000005</v>
      </c>
      <c r="P64" s="43"/>
    </row>
    <row r="65" spans="2:16" ht="12.75">
      <c r="B65" s="51" t="s">
        <v>41</v>
      </c>
      <c r="C65" s="72">
        <f aca="true" t="shared" si="28" ref="C65:N65">+C7-SUM(C55:C64)</f>
        <v>3.845509999999999</v>
      </c>
      <c r="D65" s="72">
        <f t="shared" si="28"/>
        <v>5.431983999999996</v>
      </c>
      <c r="E65" s="72">
        <f t="shared" si="28"/>
        <v>4.073987999999998</v>
      </c>
      <c r="F65" s="72">
        <f t="shared" si="28"/>
        <v>5.180979999999998</v>
      </c>
      <c r="G65" s="72">
        <f t="shared" si="28"/>
        <v>4.810909999999996</v>
      </c>
      <c r="H65" s="72">
        <f t="shared" si="28"/>
        <v>5.486689999999996</v>
      </c>
      <c r="I65" s="72">
        <f t="shared" si="28"/>
        <v>5.393367999999999</v>
      </c>
      <c r="J65" s="72">
        <f t="shared" si="28"/>
        <v>6.1624699999999955</v>
      </c>
      <c r="K65" s="72">
        <f t="shared" si="28"/>
        <v>5.473817999999998</v>
      </c>
      <c r="L65" s="72">
        <f t="shared" si="28"/>
        <v>4.804473999999999</v>
      </c>
      <c r="M65" s="72">
        <f t="shared" si="28"/>
        <v>5.650807999999996</v>
      </c>
      <c r="N65" s="72">
        <f t="shared" si="28"/>
        <v>1.3193799999999989</v>
      </c>
      <c r="P65" s="43"/>
    </row>
    <row r="66" spans="3:14" ht="11.25">
      <c r="C66" s="61">
        <f aca="true" t="shared" si="29" ref="C66:N66">SUM(C55:C65)</f>
        <v>11.95</v>
      </c>
      <c r="D66" s="61">
        <f t="shared" si="29"/>
        <v>16.88</v>
      </c>
      <c r="E66" s="61">
        <f t="shared" si="29"/>
        <v>12.66</v>
      </c>
      <c r="F66" s="61">
        <f t="shared" si="29"/>
        <v>16.1</v>
      </c>
      <c r="G66" s="61">
        <f t="shared" si="29"/>
        <v>14.95</v>
      </c>
      <c r="H66" s="61">
        <f t="shared" si="29"/>
        <v>17.05</v>
      </c>
      <c r="I66" s="61">
        <f t="shared" si="29"/>
        <v>16.76</v>
      </c>
      <c r="J66" s="61">
        <f t="shared" si="29"/>
        <v>19.15</v>
      </c>
      <c r="K66" s="61">
        <f t="shared" si="29"/>
        <v>17.01</v>
      </c>
      <c r="L66" s="61">
        <f t="shared" si="29"/>
        <v>14.93</v>
      </c>
      <c r="M66" s="61">
        <f t="shared" si="29"/>
        <v>17.56</v>
      </c>
      <c r="N66" s="61">
        <f t="shared" si="29"/>
        <v>4.1</v>
      </c>
    </row>
    <row r="67" ht="7.5" customHeight="1"/>
    <row r="68" spans="1:5" ht="11.25">
      <c r="A68" s="79" t="s">
        <v>45</v>
      </c>
      <c r="E68" s="51" t="s">
        <v>69</v>
      </c>
    </row>
    <row r="69" spans="2:14" ht="11.25">
      <c r="B69" s="51" t="s">
        <v>18</v>
      </c>
      <c r="C69" s="109">
        <v>64.729</v>
      </c>
      <c r="D69" s="109">
        <v>70.58099999999999</v>
      </c>
      <c r="E69" s="109">
        <v>69.678</v>
      </c>
      <c r="F69" s="109">
        <v>66.528</v>
      </c>
      <c r="G69" s="144">
        <v>64.526</v>
      </c>
      <c r="H69" s="144">
        <v>63.119</v>
      </c>
      <c r="I69" s="109">
        <v>60.07</v>
      </c>
      <c r="J69" s="109">
        <v>63.077</v>
      </c>
      <c r="K69" s="109">
        <v>63.077</v>
      </c>
      <c r="L69" s="109">
        <v>62.832</v>
      </c>
      <c r="M69" s="109">
        <v>65.09299999999999</v>
      </c>
      <c r="N69" s="109">
        <v>68.502</v>
      </c>
    </row>
    <row r="70" spans="2:14" ht="11.25">
      <c r="B70" s="51" t="s">
        <v>22</v>
      </c>
      <c r="C70" s="109">
        <v>84.931</v>
      </c>
      <c r="D70" s="109">
        <v>95.396</v>
      </c>
      <c r="E70" s="109">
        <v>94.843</v>
      </c>
      <c r="F70" s="109">
        <v>92.71499999999999</v>
      </c>
      <c r="G70" s="144">
        <v>94.801</v>
      </c>
      <c r="H70" s="144">
        <v>92.82</v>
      </c>
      <c r="I70" s="109">
        <v>90.73</v>
      </c>
      <c r="J70" s="109">
        <v>86.359</v>
      </c>
      <c r="K70" s="109">
        <v>81.634</v>
      </c>
      <c r="L70" s="109">
        <v>83.68499999999999</v>
      </c>
      <c r="M70" s="109">
        <v>93.205</v>
      </c>
      <c r="N70" s="109">
        <v>92.008</v>
      </c>
    </row>
    <row r="71" spans="2:14" ht="11.25">
      <c r="B71" s="51" t="s">
        <v>34</v>
      </c>
      <c r="C71" s="109">
        <v>0</v>
      </c>
      <c r="D71" s="109">
        <v>0</v>
      </c>
      <c r="E71" s="109">
        <v>0</v>
      </c>
      <c r="F71" s="109"/>
      <c r="G71" s="144">
        <v>0</v>
      </c>
      <c r="H71" s="144"/>
      <c r="I71" s="109"/>
      <c r="J71" s="109"/>
      <c r="K71" s="109"/>
      <c r="L71" s="109"/>
      <c r="M71" s="109"/>
      <c r="N71" s="109"/>
    </row>
    <row r="72" spans="2:14" ht="11.25">
      <c r="B72" s="51" t="s">
        <v>35</v>
      </c>
      <c r="C72" s="109">
        <v>45.24099999999999</v>
      </c>
      <c r="D72" s="109">
        <v>46.794999999999995</v>
      </c>
      <c r="E72" s="109">
        <v>41.516999999999996</v>
      </c>
      <c r="F72" s="109">
        <v>36.19</v>
      </c>
      <c r="G72" s="144">
        <v>36.316</v>
      </c>
      <c r="H72" s="144">
        <v>31.660999999999994</v>
      </c>
      <c r="I72" s="109">
        <v>30.55</v>
      </c>
      <c r="J72" s="109">
        <v>31.738</v>
      </c>
      <c r="K72" s="109">
        <v>31.395</v>
      </c>
      <c r="L72" s="109">
        <v>31.317999999999998</v>
      </c>
      <c r="M72" s="109">
        <v>35.427</v>
      </c>
      <c r="N72" s="109">
        <v>53.52199999999999</v>
      </c>
    </row>
    <row r="73" spans="2:14" ht="11.25">
      <c r="B73" s="51" t="s">
        <v>36</v>
      </c>
      <c r="C73" s="109">
        <v>150.808</v>
      </c>
      <c r="D73" s="109">
        <v>166.166</v>
      </c>
      <c r="E73" s="109">
        <v>126.889</v>
      </c>
      <c r="F73" s="109">
        <v>94.052</v>
      </c>
      <c r="G73" s="144">
        <v>85.99499999999999</v>
      </c>
      <c r="H73" s="144">
        <v>84.903</v>
      </c>
      <c r="I73" s="109">
        <v>84.01</v>
      </c>
      <c r="J73" s="109">
        <v>85.45599999999999</v>
      </c>
      <c r="K73" s="109">
        <v>68.84499999999998</v>
      </c>
      <c r="L73" s="109">
        <v>77.40599999999999</v>
      </c>
      <c r="M73" s="109">
        <v>89.01899999999999</v>
      </c>
      <c r="N73" s="109">
        <v>102.76</v>
      </c>
    </row>
    <row r="74" spans="2:14" ht="11.25">
      <c r="B74" s="51" t="s">
        <v>37</v>
      </c>
      <c r="C74" s="109">
        <v>868</v>
      </c>
      <c r="D74" s="109">
        <v>755.944</v>
      </c>
      <c r="E74" s="109">
        <v>731.5489999999999</v>
      </c>
      <c r="F74" s="109">
        <v>739.676</v>
      </c>
      <c r="G74" s="144">
        <v>758.7230000000001</v>
      </c>
      <c r="H74" s="144">
        <v>771.204</v>
      </c>
      <c r="I74" s="109">
        <v>700.83</v>
      </c>
      <c r="J74" s="109">
        <v>744.023</v>
      </c>
      <c r="K74" s="109">
        <v>795.242</v>
      </c>
      <c r="L74" s="109">
        <v>789.8379999999999</v>
      </c>
      <c r="M74" s="109">
        <v>790.6919999999999</v>
      </c>
      <c r="N74" s="109">
        <v>763</v>
      </c>
    </row>
    <row r="75" spans="2:14" ht="11.25">
      <c r="B75" s="51" t="s">
        <v>38</v>
      </c>
      <c r="C75" s="109">
        <v>0</v>
      </c>
      <c r="D75" s="109">
        <v>0</v>
      </c>
      <c r="E75" s="109">
        <v>0</v>
      </c>
      <c r="F75" s="109"/>
      <c r="G75" s="144">
        <v>0</v>
      </c>
      <c r="H75" s="144"/>
      <c r="I75" s="109"/>
      <c r="J75" s="109"/>
      <c r="K75" s="109"/>
      <c r="L75" s="109"/>
      <c r="M75" s="109"/>
      <c r="N75" s="109"/>
    </row>
    <row r="76" spans="2:14" ht="11.25">
      <c r="B76" s="51" t="s">
        <v>31</v>
      </c>
      <c r="C76" s="109">
        <v>-6.46</v>
      </c>
      <c r="D76" s="109">
        <v>-19.18</v>
      </c>
      <c r="E76" s="109">
        <v>-10.94</v>
      </c>
      <c r="F76" s="109">
        <v>-6.89</v>
      </c>
      <c r="G76" s="144">
        <v>-6.06</v>
      </c>
      <c r="H76" s="144">
        <v>1.1059999999999999</v>
      </c>
      <c r="I76" s="109">
        <v>-6.29</v>
      </c>
      <c r="J76" s="109">
        <v>-18.57</v>
      </c>
      <c r="K76" s="109">
        <v>-3.88</v>
      </c>
      <c r="L76" s="109">
        <v>4.263</v>
      </c>
      <c r="M76" s="109">
        <v>1.603</v>
      </c>
      <c r="N76" s="109">
        <v>-6.66</v>
      </c>
    </row>
    <row r="77" spans="2:14" ht="11.25">
      <c r="B77" s="51" t="s">
        <v>39</v>
      </c>
      <c r="C77" s="109">
        <v>-120.17</v>
      </c>
      <c r="D77" s="109">
        <v>-120.17</v>
      </c>
      <c r="E77" s="109">
        <v>-120.17</v>
      </c>
      <c r="F77" s="109">
        <v>-120.17</v>
      </c>
      <c r="G77" s="144">
        <v>-120.17</v>
      </c>
      <c r="H77" s="144">
        <v>-120.17</v>
      </c>
      <c r="I77" s="109">
        <v>-120.17</v>
      </c>
      <c r="J77" s="109">
        <v>-120.17</v>
      </c>
      <c r="K77" s="109">
        <v>-120.17</v>
      </c>
      <c r="L77" s="109">
        <v>-120.17</v>
      </c>
      <c r="M77" s="109">
        <v>-120.17</v>
      </c>
      <c r="N77" s="109">
        <v>-120.17</v>
      </c>
    </row>
    <row r="78" spans="2:14" ht="11.25">
      <c r="B78" s="51" t="s">
        <v>40</v>
      </c>
      <c r="C78" s="109">
        <v>-120.17</v>
      </c>
      <c r="D78" s="109">
        <v>-120.17</v>
      </c>
      <c r="E78" s="109">
        <v>-120.17</v>
      </c>
      <c r="F78" s="109">
        <v>-120.17</v>
      </c>
      <c r="G78" s="144">
        <v>-120.17</v>
      </c>
      <c r="H78" s="144">
        <v>-120.17</v>
      </c>
      <c r="I78" s="109">
        <v>-120.17</v>
      </c>
      <c r="J78" s="109">
        <v>-120.17</v>
      </c>
      <c r="K78" s="109">
        <v>-120.17</v>
      </c>
      <c r="L78" s="109">
        <v>-120.17</v>
      </c>
      <c r="M78" s="109">
        <v>-120.17</v>
      </c>
      <c r="N78" s="109">
        <v>-120.17</v>
      </c>
    </row>
    <row r="79" spans="2:15" ht="11.25">
      <c r="B79" s="51" t="s">
        <v>41</v>
      </c>
      <c r="C79" s="109">
        <v>57.505</v>
      </c>
      <c r="D79" s="109">
        <v>64.708</v>
      </c>
      <c r="E79" s="109">
        <v>62.45399999999999</v>
      </c>
      <c r="F79" s="109">
        <v>60.37499999999999</v>
      </c>
      <c r="G79" s="144">
        <v>61.936</v>
      </c>
      <c r="H79" s="144">
        <v>61.24999999999999</v>
      </c>
      <c r="I79" s="109">
        <v>40.79</v>
      </c>
      <c r="J79" s="109">
        <v>56.077</v>
      </c>
      <c r="K79" s="109">
        <v>56.077</v>
      </c>
      <c r="L79" s="109">
        <v>55.705999999999996</v>
      </c>
      <c r="M79" s="109">
        <v>57.147999999999996</v>
      </c>
      <c r="N79" s="109">
        <v>64.029</v>
      </c>
      <c r="O79" s="89">
        <f>SUM(C69:N79)</f>
        <v>10477.655999999995</v>
      </c>
    </row>
    <row r="80" ht="7.5" customHeight="1"/>
    <row r="81" ht="11.25">
      <c r="A81" s="65" t="s">
        <v>46</v>
      </c>
    </row>
    <row r="82" spans="2:15" ht="11.25">
      <c r="B82" s="51" t="s">
        <v>18</v>
      </c>
      <c r="C82" s="61">
        <f aca="true" t="shared" si="30" ref="C82:I82">C69*C55</f>
        <v>150.83475224999998</v>
      </c>
      <c r="D82" s="61">
        <f t="shared" si="30"/>
        <v>232.32441959999994</v>
      </c>
      <c r="E82" s="61">
        <f t="shared" si="30"/>
        <v>172.0140786</v>
      </c>
      <c r="F82" s="61">
        <f t="shared" si="30"/>
        <v>208.86465600000005</v>
      </c>
      <c r="G82" s="61">
        <f t="shared" si="30"/>
        <v>188.1094215</v>
      </c>
      <c r="H82" s="61">
        <f t="shared" si="30"/>
        <v>209.85489525000003</v>
      </c>
      <c r="I82" s="61">
        <f t="shared" si="30"/>
        <v>196.320774</v>
      </c>
      <c r="J82" s="61">
        <f>+J69*J55</f>
        <v>235.54528724999997</v>
      </c>
      <c r="K82" s="61">
        <f>+K69*K55</f>
        <v>209.22325515</v>
      </c>
      <c r="L82" s="61">
        <f>+L69*L55</f>
        <v>182.9259432</v>
      </c>
      <c r="M82" s="61">
        <f>+M69*M55</f>
        <v>222.89145059999996</v>
      </c>
      <c r="N82" s="61">
        <f>+N69*N55</f>
        <v>54.767348999999996</v>
      </c>
      <c r="O82" s="89">
        <f aca="true" t="shared" si="31" ref="O82:O92">SUM(C82:N82)</f>
        <v>2263.6762824</v>
      </c>
    </row>
    <row r="83" spans="2:15" ht="11.25">
      <c r="B83" s="51" t="s">
        <v>22</v>
      </c>
      <c r="C83" s="61">
        <f aca="true" t="shared" si="32" ref="C83:C92">C70*C56</f>
        <v>180.85971518999997</v>
      </c>
      <c r="D83" s="61">
        <f aca="true" t="shared" si="33" ref="D83:D92">D70*D56</f>
        <v>286.952694336</v>
      </c>
      <c r="E83" s="61">
        <f aca="true" t="shared" si="34" ref="E83:F92">E70*E56</f>
        <v>213.96694611600003</v>
      </c>
      <c r="F83" s="61">
        <f t="shared" si="34"/>
        <v>266.0011893</v>
      </c>
      <c r="G83" s="61">
        <f aca="true" t="shared" si="35" ref="G83:G90">G70*G56</f>
        <v>252.55839609</v>
      </c>
      <c r="H83" s="61">
        <f aca="true" t="shared" si="36" ref="H83:H92">H70*H56</f>
        <v>282.0159342</v>
      </c>
      <c r="I83" s="61">
        <f aca="true" t="shared" si="37" ref="I83:I92">I70*I56</f>
        <v>270.97712136</v>
      </c>
      <c r="J83" s="61">
        <f aca="true" t="shared" si="38" ref="J83:N92">+J70*J56</f>
        <v>294.70267827</v>
      </c>
      <c r="K83" s="61">
        <f t="shared" si="38"/>
        <v>247.447511388</v>
      </c>
      <c r="L83" s="61">
        <f t="shared" si="38"/>
        <v>222.64611830999996</v>
      </c>
      <c r="M83" s="61">
        <f t="shared" si="38"/>
        <v>291.65634035999994</v>
      </c>
      <c r="N83" s="61">
        <f t="shared" si="38"/>
        <v>67.22288495999999</v>
      </c>
      <c r="O83" s="89">
        <f t="shared" si="31"/>
        <v>2877.0075298799998</v>
      </c>
    </row>
    <row r="84" spans="2:15" ht="11.25">
      <c r="B84" s="51" t="s">
        <v>34</v>
      </c>
      <c r="C84" s="61">
        <f t="shared" si="32"/>
        <v>0</v>
      </c>
      <c r="D84" s="61">
        <f t="shared" si="33"/>
        <v>0</v>
      </c>
      <c r="E84" s="61">
        <f t="shared" si="34"/>
        <v>0</v>
      </c>
      <c r="F84" s="61">
        <f t="shared" si="34"/>
        <v>0</v>
      </c>
      <c r="G84" s="61">
        <f t="shared" si="35"/>
        <v>0</v>
      </c>
      <c r="H84" s="61">
        <f t="shared" si="36"/>
        <v>0</v>
      </c>
      <c r="I84" s="61"/>
      <c r="J84" s="61">
        <f t="shared" si="38"/>
        <v>0</v>
      </c>
      <c r="K84" s="61">
        <f t="shared" si="38"/>
        <v>0</v>
      </c>
      <c r="L84" s="61">
        <f t="shared" si="38"/>
        <v>0</v>
      </c>
      <c r="M84" s="61">
        <f t="shared" si="38"/>
        <v>0</v>
      </c>
      <c r="N84" s="61">
        <f t="shared" si="38"/>
        <v>0</v>
      </c>
      <c r="O84" s="89">
        <f t="shared" si="31"/>
        <v>0</v>
      </c>
    </row>
    <row r="85" spans="2:15" ht="11.25">
      <c r="B85" s="51" t="s">
        <v>35</v>
      </c>
      <c r="C85" s="61">
        <f t="shared" si="32"/>
        <v>8.920394174999998</v>
      </c>
      <c r="D85" s="61">
        <f t="shared" si="33"/>
        <v>13.033343399999998</v>
      </c>
      <c r="E85" s="61">
        <f t="shared" si="34"/>
        <v>8.67248613</v>
      </c>
      <c r="F85" s="61">
        <f t="shared" si="34"/>
        <v>9.613873500000002</v>
      </c>
      <c r="G85" s="61">
        <f t="shared" si="35"/>
        <v>8.9582493</v>
      </c>
      <c r="H85" s="61">
        <f t="shared" si="36"/>
        <v>8.907030825</v>
      </c>
      <c r="I85" s="61">
        <f t="shared" si="37"/>
        <v>8.448297000000002</v>
      </c>
      <c r="J85" s="61">
        <f t="shared" si="38"/>
        <v>10.02841455</v>
      </c>
      <c r="K85" s="61">
        <f t="shared" si="38"/>
        <v>8.811477675</v>
      </c>
      <c r="L85" s="61">
        <f t="shared" si="38"/>
        <v>7.71503271</v>
      </c>
      <c r="M85" s="61">
        <f t="shared" si="38"/>
        <v>10.26461898</v>
      </c>
      <c r="N85" s="61">
        <f t="shared" si="38"/>
        <v>3.6207632999999997</v>
      </c>
      <c r="O85" s="89">
        <f t="shared" si="31"/>
        <v>106.99398154499998</v>
      </c>
    </row>
    <row r="86" spans="2:15" ht="11.25">
      <c r="B86" s="51" t="s">
        <v>36</v>
      </c>
      <c r="C86" s="61">
        <f t="shared" si="32"/>
        <v>80.91678644</v>
      </c>
      <c r="D86" s="61">
        <f t="shared" si="33"/>
        <v>125.939205392</v>
      </c>
      <c r="E86" s="61">
        <f t="shared" si="34"/>
        <v>72.128021826</v>
      </c>
      <c r="F86" s="61">
        <f t="shared" si="34"/>
        <v>67.98925028000002</v>
      </c>
      <c r="G86" s="61">
        <f t="shared" si="35"/>
        <v>57.724573725</v>
      </c>
      <c r="H86" s="61">
        <f t="shared" si="36"/>
        <v>64.99706713500001</v>
      </c>
      <c r="I86" s="61">
        <f t="shared" si="37"/>
        <v>63.21954124000001</v>
      </c>
      <c r="J86" s="61">
        <f t="shared" si="38"/>
        <v>73.47805976</v>
      </c>
      <c r="K86" s="61">
        <f t="shared" si="38"/>
        <v>52.580299905</v>
      </c>
      <c r="L86" s="61">
        <f t="shared" si="38"/>
        <v>51.889653941999995</v>
      </c>
      <c r="M86" s="61">
        <f t="shared" si="38"/>
        <v>70.186496436</v>
      </c>
      <c r="N86" s="61">
        <f t="shared" si="38"/>
        <v>18.9170884</v>
      </c>
      <c r="O86" s="89">
        <f t="shared" si="31"/>
        <v>799.9660444809999</v>
      </c>
    </row>
    <row r="87" spans="2:15" ht="11.25">
      <c r="B87" s="51" t="s">
        <v>37</v>
      </c>
      <c r="C87" s="61">
        <f t="shared" si="32"/>
        <v>77.7945</v>
      </c>
      <c r="D87" s="61">
        <f t="shared" si="33"/>
        <v>95.7025104</v>
      </c>
      <c r="E87" s="61">
        <f t="shared" si="34"/>
        <v>69.46057754999998</v>
      </c>
      <c r="F87" s="61">
        <f t="shared" si="34"/>
        <v>89.31587700000001</v>
      </c>
      <c r="G87" s="61">
        <f t="shared" si="35"/>
        <v>85.071816375</v>
      </c>
      <c r="H87" s="61">
        <f t="shared" si="36"/>
        <v>98.61771149999998</v>
      </c>
      <c r="I87" s="61">
        <f t="shared" si="37"/>
        <v>88.09433100000001</v>
      </c>
      <c r="J87" s="61">
        <f t="shared" si="38"/>
        <v>106.86030337499999</v>
      </c>
      <c r="K87" s="61">
        <f t="shared" si="38"/>
        <v>101.45299814999998</v>
      </c>
      <c r="L87" s="61">
        <f t="shared" si="38"/>
        <v>88.44211004999998</v>
      </c>
      <c r="M87" s="61">
        <f t="shared" si="38"/>
        <v>104.13413639999997</v>
      </c>
      <c r="N87" s="61">
        <f t="shared" si="38"/>
        <v>23.462249999999997</v>
      </c>
      <c r="O87" s="89">
        <f t="shared" si="31"/>
        <v>1028.4091217999999</v>
      </c>
    </row>
    <row r="88" spans="2:15" ht="11.25">
      <c r="B88" s="51" t="s">
        <v>38</v>
      </c>
      <c r="C88" s="61">
        <f t="shared" si="32"/>
        <v>0</v>
      </c>
      <c r="D88" s="61">
        <f t="shared" si="33"/>
        <v>0</v>
      </c>
      <c r="E88" s="61">
        <f t="shared" si="34"/>
        <v>0</v>
      </c>
      <c r="F88" s="61">
        <f t="shared" si="34"/>
        <v>0</v>
      </c>
      <c r="G88" s="61">
        <f t="shared" si="35"/>
        <v>0</v>
      </c>
      <c r="H88" s="61">
        <f t="shared" si="36"/>
        <v>0</v>
      </c>
      <c r="I88" s="61"/>
      <c r="J88" s="61">
        <f t="shared" si="38"/>
        <v>0</v>
      </c>
      <c r="K88" s="61">
        <f t="shared" si="38"/>
        <v>0</v>
      </c>
      <c r="L88" s="61">
        <f t="shared" si="38"/>
        <v>0</v>
      </c>
      <c r="M88" s="61">
        <f t="shared" si="38"/>
        <v>0</v>
      </c>
      <c r="N88" s="61">
        <f t="shared" si="38"/>
        <v>0</v>
      </c>
      <c r="O88" s="89">
        <f t="shared" si="31"/>
        <v>0</v>
      </c>
    </row>
    <row r="89" spans="2:15" ht="11.25">
      <c r="B89" s="51" t="s">
        <v>31</v>
      </c>
      <c r="C89" s="61">
        <f t="shared" si="32"/>
        <v>-13.648429600000002</v>
      </c>
      <c r="D89" s="61">
        <f t="shared" si="33"/>
        <v>-57.240485119999995</v>
      </c>
      <c r="E89" s="61">
        <f t="shared" si="34"/>
        <v>-24.486870720000002</v>
      </c>
      <c r="F89" s="61">
        <f t="shared" si="34"/>
        <v>-19.612247200000002</v>
      </c>
      <c r="G89" s="61">
        <f t="shared" si="35"/>
        <v>-16.0175496</v>
      </c>
      <c r="H89" s="61">
        <f t="shared" si="36"/>
        <v>3.33397064</v>
      </c>
      <c r="I89" s="61">
        <f t="shared" si="37"/>
        <v>-18.638326720000002</v>
      </c>
      <c r="J89" s="61">
        <f t="shared" si="38"/>
        <v>-62.8728204</v>
      </c>
      <c r="K89" s="61">
        <f t="shared" si="38"/>
        <v>-11.66858784</v>
      </c>
      <c r="L89" s="61">
        <f t="shared" si="38"/>
        <v>11.252717112</v>
      </c>
      <c r="M89" s="61">
        <f t="shared" si="38"/>
        <v>4.976686624</v>
      </c>
      <c r="N89" s="61">
        <f t="shared" si="38"/>
        <v>-4.8277008</v>
      </c>
      <c r="O89" s="89">
        <f t="shared" si="31"/>
        <v>-209.44964362399998</v>
      </c>
    </row>
    <row r="90" spans="2:15" ht="11.25">
      <c r="B90" s="51" t="s">
        <v>39</v>
      </c>
      <c r="C90" s="61">
        <f t="shared" si="32"/>
        <v>0</v>
      </c>
      <c r="D90" s="61">
        <f t="shared" si="33"/>
        <v>0</v>
      </c>
      <c r="E90" s="61">
        <f t="shared" si="34"/>
        <v>0</v>
      </c>
      <c r="F90" s="61">
        <f t="shared" si="34"/>
        <v>0</v>
      </c>
      <c r="G90" s="61">
        <f t="shared" si="35"/>
        <v>0</v>
      </c>
      <c r="H90" s="61">
        <f t="shared" si="36"/>
        <v>0</v>
      </c>
      <c r="I90" s="61">
        <f t="shared" si="37"/>
        <v>0</v>
      </c>
      <c r="J90" s="61">
        <f t="shared" si="38"/>
        <v>0</v>
      </c>
      <c r="K90" s="61">
        <f t="shared" si="38"/>
        <v>0</v>
      </c>
      <c r="L90" s="61">
        <f t="shared" si="38"/>
        <v>0</v>
      </c>
      <c r="M90" s="61">
        <f t="shared" si="38"/>
        <v>0</v>
      </c>
      <c r="N90" s="61">
        <f t="shared" si="38"/>
        <v>0</v>
      </c>
      <c r="O90" s="89">
        <f t="shared" si="31"/>
        <v>0</v>
      </c>
    </row>
    <row r="91" spans="2:15" ht="11.25">
      <c r="B91" s="51" t="s">
        <v>40</v>
      </c>
      <c r="C91" s="61">
        <f t="shared" si="32"/>
        <v>-85.15666795000018</v>
      </c>
      <c r="D91" s="61">
        <f t="shared" si="33"/>
        <v>-120.28824728000025</v>
      </c>
      <c r="E91" s="61">
        <f t="shared" si="34"/>
        <v>-90.2161854600002</v>
      </c>
      <c r="F91" s="61">
        <f t="shared" si="34"/>
        <v>-114.72990410000027</v>
      </c>
      <c r="G91" s="61">
        <f>+G78*G64</f>
        <v>-106.53491095000024</v>
      </c>
      <c r="H91" s="61">
        <f t="shared" si="36"/>
        <v>-121.49968105000028</v>
      </c>
      <c r="I91" s="61">
        <f t="shared" si="37"/>
        <v>-119.43311756000028</v>
      </c>
      <c r="J91" s="61">
        <f t="shared" si="38"/>
        <v>-136.4644511500003</v>
      </c>
      <c r="K91" s="61">
        <f t="shared" si="38"/>
        <v>-121.21463781000027</v>
      </c>
      <c r="L91" s="61">
        <f t="shared" si="38"/>
        <v>-106.39238933000023</v>
      </c>
      <c r="M91" s="61">
        <f t="shared" si="38"/>
        <v>-125.13398236000026</v>
      </c>
      <c r="N91" s="61">
        <f t="shared" si="38"/>
        <v>-29.21693210000006</v>
      </c>
      <c r="O91" s="89">
        <f t="shared" si="31"/>
        <v>-1276.2811071000028</v>
      </c>
    </row>
    <row r="92" spans="2:15" ht="11.25">
      <c r="B92" s="51" t="s">
        <v>41</v>
      </c>
      <c r="C92" s="61">
        <f t="shared" si="32"/>
        <v>221.13605254999996</v>
      </c>
      <c r="D92" s="61">
        <f t="shared" si="33"/>
        <v>351.49282067199977</v>
      </c>
      <c r="E92" s="61">
        <f t="shared" si="34"/>
        <v>254.43684655199985</v>
      </c>
      <c r="F92" s="61">
        <f t="shared" si="34"/>
        <v>312.80166749999984</v>
      </c>
      <c r="G92" s="61">
        <f>+G79*G65</f>
        <v>297.96852175999976</v>
      </c>
      <c r="H92" s="61">
        <f t="shared" si="36"/>
        <v>336.0597624999997</v>
      </c>
      <c r="I92" s="61">
        <f t="shared" si="37"/>
        <v>219.99548071999996</v>
      </c>
      <c r="J92" s="72">
        <f t="shared" si="38"/>
        <v>345.5728301899997</v>
      </c>
      <c r="K92" s="61">
        <f t="shared" si="38"/>
        <v>306.95529198599985</v>
      </c>
      <c r="L92" s="61">
        <f t="shared" si="38"/>
        <v>267.6380286439999</v>
      </c>
      <c r="M92" s="61">
        <f t="shared" si="38"/>
        <v>322.9323755839998</v>
      </c>
      <c r="N92" s="61">
        <f t="shared" si="38"/>
        <v>84.47858201999992</v>
      </c>
      <c r="O92" s="89">
        <f t="shared" si="31"/>
        <v>3321.4682606779975</v>
      </c>
    </row>
    <row r="93" spans="1:16" ht="11.25">
      <c r="A93" s="65" t="s">
        <v>47</v>
      </c>
      <c r="B93" s="65"/>
      <c r="C93" s="80">
        <f aca="true" t="shared" si="39" ref="C93:N93">SUM(C82:C92)</f>
        <v>621.6571030549998</v>
      </c>
      <c r="D93" s="81">
        <f t="shared" si="39"/>
        <v>927.9162613999994</v>
      </c>
      <c r="E93" s="81">
        <f t="shared" si="39"/>
        <v>675.9759005939998</v>
      </c>
      <c r="F93" s="81">
        <f t="shared" si="39"/>
        <v>820.2443622799997</v>
      </c>
      <c r="G93" s="81">
        <f t="shared" si="39"/>
        <v>767.8385181999995</v>
      </c>
      <c r="H93" s="81">
        <f>SUM(H82:H92)</f>
        <v>882.2866909999993</v>
      </c>
      <c r="I93" s="81">
        <f>SUM(I82:I92)</f>
        <v>708.9841010399997</v>
      </c>
      <c r="J93" s="81">
        <f t="shared" si="39"/>
        <v>866.8503018449992</v>
      </c>
      <c r="K93" s="88">
        <f t="shared" si="39"/>
        <v>793.5876086039996</v>
      </c>
      <c r="L93" s="88">
        <f t="shared" si="39"/>
        <v>726.1172146379997</v>
      </c>
      <c r="M93" s="88">
        <f t="shared" si="39"/>
        <v>901.9081226239994</v>
      </c>
      <c r="N93" s="88">
        <f t="shared" si="39"/>
        <v>218.42428477999982</v>
      </c>
      <c r="O93" s="89">
        <f>SUM(C93:N93)</f>
        <v>8911.790470059994</v>
      </c>
      <c r="P93" s="89">
        <f>O93/2</f>
        <v>4455.895235029997</v>
      </c>
    </row>
    <row r="94" spans="1:15" ht="11.25">
      <c r="A94" s="65" t="s">
        <v>48</v>
      </c>
      <c r="B94" s="65"/>
      <c r="C94" s="80">
        <f aca="true" t="shared" si="40" ref="C94:N94">+C93/C66</f>
        <v>52.021514899999985</v>
      </c>
      <c r="D94" s="81">
        <f t="shared" si="40"/>
        <v>54.97134249999996</v>
      </c>
      <c r="E94" s="81">
        <f t="shared" si="40"/>
        <v>53.39462089999998</v>
      </c>
      <c r="F94" s="81">
        <f t="shared" si="40"/>
        <v>50.946854799999976</v>
      </c>
      <c r="G94" s="81">
        <f t="shared" si="40"/>
        <v>51.36043599999997</v>
      </c>
      <c r="H94" s="81">
        <f t="shared" si="40"/>
        <v>51.74701999999996</v>
      </c>
      <c r="I94" s="81">
        <f>+I93/I66</f>
        <v>42.30215399999998</v>
      </c>
      <c r="J94" s="81">
        <f t="shared" si="40"/>
        <v>45.26633429999996</v>
      </c>
      <c r="K94" s="111">
        <f t="shared" si="40"/>
        <v>46.65418039999997</v>
      </c>
      <c r="L94" s="111">
        <f t="shared" si="40"/>
        <v>48.63477659999998</v>
      </c>
      <c r="M94" s="111">
        <f t="shared" si="40"/>
        <v>51.361510399999965</v>
      </c>
      <c r="N94" s="111">
        <f t="shared" si="40"/>
        <v>53.274215799999965</v>
      </c>
      <c r="O94" s="89"/>
    </row>
    <row r="95" ht="7.5" customHeight="1"/>
    <row r="96" spans="1:14" ht="11.25">
      <c r="A96" s="65"/>
      <c r="C96" s="89">
        <f>C94*0.7</f>
        <v>36.41506042999999</v>
      </c>
      <c r="D96" s="89">
        <f aca="true" t="shared" si="41" ref="D96:N96">D94*0.7</f>
        <v>38.47993974999997</v>
      </c>
      <c r="E96" s="89">
        <f t="shared" si="41"/>
        <v>37.376234629999985</v>
      </c>
      <c r="F96" s="89">
        <f t="shared" si="41"/>
        <v>35.66279835999998</v>
      </c>
      <c r="G96" s="89">
        <f t="shared" si="41"/>
        <v>35.95230519999998</v>
      </c>
      <c r="H96" s="89">
        <f t="shared" si="41"/>
        <v>36.22291399999997</v>
      </c>
      <c r="I96" s="89">
        <f t="shared" si="41"/>
        <v>29.611507799999984</v>
      </c>
      <c r="J96" s="89">
        <f t="shared" si="41"/>
        <v>31.68643400999997</v>
      </c>
      <c r="K96" s="89">
        <f t="shared" si="41"/>
        <v>32.65792627999998</v>
      </c>
      <c r="L96" s="89">
        <f t="shared" si="41"/>
        <v>34.044343619999985</v>
      </c>
      <c r="M96" s="89">
        <f t="shared" si="41"/>
        <v>35.953057279999975</v>
      </c>
      <c r="N96" s="89">
        <f t="shared" si="41"/>
        <v>37.291951059999974</v>
      </c>
    </row>
    <row r="97" spans="3:14" ht="11.25">
      <c r="C97" s="82"/>
      <c r="D97" s="82"/>
      <c r="E97" s="82"/>
      <c r="F97" s="82"/>
      <c r="G97" s="82"/>
      <c r="H97" s="82"/>
      <c r="I97" s="82"/>
      <c r="J97" s="82"/>
      <c r="K97" s="82"/>
      <c r="L97" s="82"/>
      <c r="M97" s="82"/>
      <c r="N97" s="82"/>
    </row>
    <row r="98" spans="1:10" ht="11.25">
      <c r="A98" s="65"/>
      <c r="B98" s="65"/>
      <c r="C98" s="80"/>
      <c r="D98" s="80"/>
      <c r="E98" s="80"/>
      <c r="F98" s="80"/>
      <c r="G98" s="80"/>
      <c r="H98" s="80"/>
      <c r="I98" s="80"/>
      <c r="J98" s="84"/>
    </row>
    <row r="99" spans="3:10" ht="7.5" customHeight="1">
      <c r="C99" s="83"/>
      <c r="D99" s="83"/>
      <c r="E99" s="83"/>
      <c r="F99" s="83"/>
      <c r="G99" s="83"/>
      <c r="H99" s="83"/>
      <c r="I99" s="83"/>
      <c r="J99" s="83"/>
    </row>
    <row r="100" spans="1:10" ht="11.25">
      <c r="A100" s="65"/>
      <c r="B100" s="65"/>
      <c r="C100" s="84"/>
      <c r="D100" s="84"/>
      <c r="E100" s="84"/>
      <c r="F100" s="84"/>
      <c r="G100" s="84"/>
      <c r="H100" s="84"/>
      <c r="I100" s="84"/>
      <c r="J100" s="84"/>
    </row>
    <row r="101" spans="3:10" ht="7.5" customHeight="1">
      <c r="C101" s="83"/>
      <c r="D101" s="83"/>
      <c r="E101" s="83"/>
      <c r="F101" s="83"/>
      <c r="G101" s="83"/>
      <c r="H101" s="83"/>
      <c r="I101" s="83"/>
      <c r="J101" s="83"/>
    </row>
    <row r="102" spans="1:10" ht="11.25">
      <c r="A102" s="65"/>
      <c r="C102" s="82"/>
      <c r="D102" s="82"/>
      <c r="E102" s="82"/>
      <c r="F102" s="82"/>
      <c r="G102" s="82"/>
      <c r="H102" s="82"/>
      <c r="I102" s="82"/>
      <c r="J102" s="85"/>
    </row>
    <row r="105" ht="11.25">
      <c r="B105" s="51" t="str">
        <f ca="1">CELL("filename")</f>
        <v>Z:\District\~WUTC Files~\1. RSA\2015-2017 Plan Year\Commodity Credit Templates\[SeaTac Multi Family Commodity Credit Template - 2016.xls]WUTC_AW of Kent (SeaTac)_MF</v>
      </c>
    </row>
  </sheetData>
  <sheetProtection/>
  <printOptions/>
  <pageMargins left="0.5" right="0.5" top="0.75" bottom="0.75" header="0.5" footer="0.5"/>
  <pageSetup fitToWidth="0" fitToHeight="1" horizontalDpi="600" verticalDpi="600" orientation="portrait" scale="60"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Hart, Abby Rose</cp:lastModifiedBy>
  <cp:lastPrinted>2015-06-09T17:29:47Z</cp:lastPrinted>
  <dcterms:created xsi:type="dcterms:W3CDTF">2008-05-23T15:47:44Z</dcterms:created>
  <dcterms:modified xsi:type="dcterms:W3CDTF">2016-06-14T20:59:56Z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160813</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