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200" yWindow="120" windowWidth="13380" windowHeight="7410"/>
  </bookViews>
  <sheets>
    <sheet name="References" sheetId="4" r:id="rId1"/>
    <sheet name="Spokane DF Calc " sheetId="7" r:id="rId2"/>
    <sheet name="Rate Schedule" sheetId="12" r:id="rId3"/>
    <sheet name="Co Provided Price Out" sheetId="11" r:id="rId4"/>
  </sheets>
  <definedNames>
    <definedName name="_xlnm.Print_Area" localSheetId="1">'Spokane DF Calc '!$A$1:$W$76</definedName>
    <definedName name="_xlnm.Print_Titles" localSheetId="3">'Co Provided Price Out'!$4:$5</definedName>
    <definedName name="_xlnm.Print_Titles" localSheetId="2">'Rate Schedule'!$1:$5</definedName>
    <definedName name="_xlnm.Print_Titles" localSheetId="1">'Spokane DF Calc '!$B:$C</definedName>
  </definedNames>
  <calcPr calcId="152511" concurrentManualCount="4"/>
</workbook>
</file>

<file path=xl/calcChain.xml><?xml version="1.0" encoding="utf-8"?>
<calcChain xmlns="http://schemas.openxmlformats.org/spreadsheetml/2006/main">
  <c r="M51" i="7" l="1"/>
  <c r="M60" i="7"/>
  <c r="M59" i="7"/>
  <c r="M67" i="7"/>
  <c r="M66" i="7"/>
  <c r="M65" i="7"/>
  <c r="M64" i="7"/>
  <c r="M63" i="7"/>
  <c r="M62" i="7"/>
  <c r="M61" i="7"/>
  <c r="M58" i="7"/>
  <c r="M57" i="7"/>
  <c r="M56" i="7"/>
  <c r="M55" i="7"/>
  <c r="M54" i="7"/>
  <c r="M53" i="7"/>
  <c r="M52" i="7"/>
  <c r="M50" i="7"/>
  <c r="M49" i="7"/>
  <c r="M48" i="7"/>
  <c r="M47" i="7"/>
  <c r="M26" i="7"/>
  <c r="M32" i="7" l="1"/>
  <c r="M25" i="7" l="1"/>
  <c r="M24" i="7"/>
  <c r="M23" i="7"/>
  <c r="M22" i="7"/>
  <c r="M21" i="7"/>
  <c r="M20" i="7"/>
  <c r="M18" i="7"/>
  <c r="M17" i="7"/>
  <c r="M16" i="7"/>
  <c r="M15" i="7"/>
  <c r="M12" i="7"/>
  <c r="M13" i="7" s="1"/>
  <c r="M14" i="7" s="1"/>
  <c r="M10" i="7"/>
  <c r="M11" i="7" s="1"/>
  <c r="M9" i="7"/>
  <c r="M8" i="7"/>
  <c r="M7" i="7"/>
  <c r="M6" i="7"/>
  <c r="M41" i="7"/>
  <c r="M40" i="7"/>
  <c r="M39" i="7"/>
  <c r="M38" i="7"/>
  <c r="M37" i="7"/>
  <c r="M36" i="7"/>
  <c r="M35" i="7"/>
  <c r="M34" i="7"/>
  <c r="M33" i="7"/>
  <c r="M31" i="7"/>
  <c r="M30" i="7"/>
  <c r="M29" i="7"/>
  <c r="M28" i="7"/>
  <c r="M27" i="7"/>
  <c r="G51" i="7" l="1"/>
  <c r="F51" i="7"/>
  <c r="H51" i="7" l="1"/>
  <c r="G60" i="7" l="1"/>
  <c r="G59" i="7"/>
  <c r="F60" i="7"/>
  <c r="F59" i="7"/>
  <c r="G52" i="7"/>
  <c r="F52" i="7"/>
  <c r="H59" i="7" l="1"/>
  <c r="H52" i="7"/>
  <c r="H60" i="7"/>
  <c r="G35" i="7" l="1"/>
  <c r="G34" i="7"/>
  <c r="G32" i="7"/>
  <c r="G30" i="7"/>
  <c r="G29" i="7"/>
  <c r="G24" i="7" l="1"/>
  <c r="G14" i="7"/>
  <c r="G13" i="7"/>
  <c r="G12" i="7"/>
  <c r="G11" i="7"/>
  <c r="F17" i="7" l="1"/>
  <c r="F18" i="7"/>
  <c r="F16" i="7"/>
  <c r="P17" i="7" l="1"/>
  <c r="G67" i="7"/>
  <c r="G66" i="7"/>
  <c r="G65" i="7"/>
  <c r="G64" i="7"/>
  <c r="G63" i="7"/>
  <c r="G62" i="7"/>
  <c r="G61" i="7"/>
  <c r="G58" i="7"/>
  <c r="G57" i="7"/>
  <c r="G56" i="7"/>
  <c r="G55" i="7"/>
  <c r="G54" i="7"/>
  <c r="G53" i="7"/>
  <c r="G50" i="7"/>
  <c r="G49" i="7"/>
  <c r="G48" i="7"/>
  <c r="G47" i="7"/>
  <c r="G41" i="7"/>
  <c r="G40" i="7"/>
  <c r="G39" i="7"/>
  <c r="G38" i="7"/>
  <c r="G37" i="7"/>
  <c r="G33" i="7"/>
  <c r="G31" i="7"/>
  <c r="G28" i="7"/>
  <c r="G27" i="7"/>
  <c r="G26" i="7"/>
  <c r="G25" i="7"/>
  <c r="G23" i="7"/>
  <c r="G22" i="7"/>
  <c r="G20" i="7"/>
  <c r="G17" i="7"/>
  <c r="G16" i="7"/>
  <c r="G15" i="7"/>
  <c r="G10" i="7"/>
  <c r="G9" i="7"/>
  <c r="G8" i="7"/>
  <c r="G7" i="7"/>
  <c r="G6" i="7"/>
  <c r="F41" i="7"/>
  <c r="F40" i="7"/>
  <c r="F39" i="7"/>
  <c r="F38" i="7"/>
  <c r="F37" i="7"/>
  <c r="F36" i="7"/>
  <c r="F26" i="7"/>
  <c r="F25" i="7"/>
  <c r="D24" i="7"/>
  <c r="D23" i="7"/>
  <c r="D22" i="7"/>
  <c r="D21" i="7"/>
  <c r="D20" i="7"/>
  <c r="D15" i="7"/>
  <c r="D14" i="7"/>
  <c r="D13" i="7"/>
  <c r="D12" i="7"/>
  <c r="D11" i="7"/>
  <c r="D10" i="7"/>
  <c r="D9" i="7"/>
  <c r="D8" i="7"/>
  <c r="D7" i="7"/>
  <c r="D6" i="7"/>
  <c r="H41" i="7" l="1"/>
  <c r="P41" i="7"/>
  <c r="F55" i="7"/>
  <c r="H55" i="7" s="1"/>
  <c r="F56" i="7"/>
  <c r="H56" i="7" s="1"/>
  <c r="F57" i="7"/>
  <c r="H57" i="7" s="1"/>
  <c r="F58" i="7"/>
  <c r="H58" i="7" s="1"/>
  <c r="F61" i="7"/>
  <c r="H61" i="7" s="1"/>
  <c r="F62" i="7"/>
  <c r="H62" i="7" s="1"/>
  <c r="F63" i="7"/>
  <c r="H63" i="7" s="1"/>
  <c r="F64" i="7"/>
  <c r="H64" i="7" s="1"/>
  <c r="F65" i="7"/>
  <c r="H65" i="7" s="1"/>
  <c r="F66" i="7"/>
  <c r="H66" i="7" s="1"/>
  <c r="F67" i="7"/>
  <c r="H67" i="7" s="1"/>
  <c r="F50" i="7"/>
  <c r="H50" i="7" s="1"/>
  <c r="F53" i="7"/>
  <c r="H53" i="7" s="1"/>
  <c r="F54" i="7"/>
  <c r="H54" i="7" s="1"/>
  <c r="C66" i="4"/>
  <c r="B66" i="4"/>
  <c r="P26" i="7"/>
  <c r="P36" i="7"/>
  <c r="P37" i="7"/>
  <c r="P38" i="7"/>
  <c r="P39" i="7"/>
  <c r="P40" i="7"/>
  <c r="P25" i="7"/>
  <c r="P21" i="7"/>
  <c r="P22" i="7"/>
  <c r="P23" i="7"/>
  <c r="P24" i="7"/>
  <c r="P20" i="7"/>
  <c r="P18" i="7"/>
  <c r="P16" i="7"/>
  <c r="P7" i="7"/>
  <c r="P8" i="7"/>
  <c r="P9" i="7"/>
  <c r="P10" i="7"/>
  <c r="P11" i="7"/>
  <c r="P12" i="7"/>
  <c r="P13" i="7"/>
  <c r="P14" i="7"/>
  <c r="P15" i="7"/>
  <c r="D84" i="7"/>
  <c r="H25" i="7"/>
  <c r="H26" i="7"/>
  <c r="H36" i="7"/>
  <c r="H37" i="7"/>
  <c r="H38" i="7"/>
  <c r="H39" i="7"/>
  <c r="H40" i="7"/>
  <c r="E83" i="7" l="1"/>
  <c r="D73" i="7"/>
  <c r="E82" i="7"/>
  <c r="B7" i="4" l="1"/>
  <c r="B8" i="4"/>
  <c r="B9" i="4"/>
  <c r="B10" i="4"/>
  <c r="D19" i="7"/>
  <c r="E21" i="7" l="1"/>
  <c r="F21" i="7" s="1"/>
  <c r="H21" i="7" s="1"/>
  <c r="E24" i="7"/>
  <c r="F24" i="7" s="1"/>
  <c r="H24" i="7" s="1"/>
  <c r="D9" i="4"/>
  <c r="C8" i="4"/>
  <c r="E8" i="4"/>
  <c r="G8" i="4"/>
  <c r="F9" i="4"/>
  <c r="C9" i="4"/>
  <c r="D8" i="4"/>
  <c r="F8" i="4"/>
  <c r="H8" i="4"/>
  <c r="C10" i="4"/>
  <c r="H10" i="4"/>
  <c r="E9" i="4"/>
  <c r="G9" i="4"/>
  <c r="H9" i="4"/>
  <c r="C7" i="4"/>
  <c r="D7" i="4"/>
  <c r="E7" i="4"/>
  <c r="F7" i="4"/>
  <c r="G7" i="4"/>
  <c r="H7" i="4"/>
  <c r="C60" i="4" l="1"/>
  <c r="C59" i="4"/>
  <c r="B61" i="4"/>
  <c r="C64" i="4" l="1"/>
  <c r="D61" i="4"/>
  <c r="C41" i="12"/>
  <c r="D41" i="12" s="1"/>
  <c r="C61" i="4"/>
  <c r="G10" i="4"/>
  <c r="F10" i="4"/>
  <c r="E10" i="4"/>
  <c r="D10" i="4"/>
  <c r="D74" i="7" l="1"/>
  <c r="D42" i="7"/>
  <c r="D43" i="7" s="1"/>
  <c r="P6" i="7"/>
  <c r="G55" i="4" l="1"/>
  <c r="G56" i="4"/>
  <c r="B57" i="4"/>
  <c r="C56" i="4"/>
  <c r="C55" i="4"/>
  <c r="B13" i="4"/>
  <c r="E15" i="7" s="1"/>
  <c r="F15" i="7" s="1"/>
  <c r="B12" i="4"/>
  <c r="B11" i="4"/>
  <c r="B64" i="4" l="1"/>
  <c r="D89" i="7"/>
  <c r="D57" i="4"/>
  <c r="C40" i="12"/>
  <c r="D40" i="12" s="1"/>
  <c r="F30" i="7"/>
  <c r="F28" i="7"/>
  <c r="F33" i="7"/>
  <c r="F31" i="7"/>
  <c r="F27" i="7"/>
  <c r="E49" i="7"/>
  <c r="F49" i="7" s="1"/>
  <c r="H49" i="7" s="1"/>
  <c r="E47" i="7"/>
  <c r="F47" i="7" s="1"/>
  <c r="H47" i="7" s="1"/>
  <c r="E23" i="7"/>
  <c r="F23" i="7" s="1"/>
  <c r="H23" i="7" s="1"/>
  <c r="E10" i="7"/>
  <c r="E8" i="7"/>
  <c r="E48" i="7"/>
  <c r="F48" i="7" s="1"/>
  <c r="H48" i="7" s="1"/>
  <c r="E22" i="7"/>
  <c r="F22" i="7" s="1"/>
  <c r="H22" i="7" s="1"/>
  <c r="E20" i="7"/>
  <c r="F20" i="7" s="1"/>
  <c r="E9" i="7"/>
  <c r="E12" i="7"/>
  <c r="E6" i="7"/>
  <c r="F6" i="7" s="1"/>
  <c r="H6" i="7" s="1"/>
  <c r="E7" i="7"/>
  <c r="F7" i="7" s="1"/>
  <c r="H7" i="7" s="1"/>
  <c r="H12" i="4"/>
  <c r="G12" i="4"/>
  <c r="F12" i="4"/>
  <c r="E12" i="4"/>
  <c r="D12" i="4"/>
  <c r="C12" i="4"/>
  <c r="H11" i="4"/>
  <c r="C11" i="4"/>
  <c r="G11" i="4"/>
  <c r="F11" i="4"/>
  <c r="E11" i="4"/>
  <c r="D11" i="4"/>
  <c r="H13" i="4"/>
  <c r="G13" i="4"/>
  <c r="F13" i="4"/>
  <c r="E13" i="4"/>
  <c r="D13" i="4"/>
  <c r="C13" i="4"/>
  <c r="G58" i="4"/>
  <c r="G60" i="4" s="1"/>
  <c r="C57" i="4"/>
  <c r="P31" i="7" l="1"/>
  <c r="H31" i="7"/>
  <c r="P28" i="7"/>
  <c r="H28" i="7"/>
  <c r="F34" i="7"/>
  <c r="F32" i="7"/>
  <c r="F35" i="7"/>
  <c r="F29" i="7"/>
  <c r="H20" i="7"/>
  <c r="H27" i="7"/>
  <c r="P27" i="7"/>
  <c r="P33" i="7"/>
  <c r="H33" i="7"/>
  <c r="P30" i="7"/>
  <c r="H30" i="7"/>
  <c r="F8" i="7"/>
  <c r="H8" i="7" s="1"/>
  <c r="E13" i="7"/>
  <c r="F13" i="7" s="1"/>
  <c r="H13" i="7" s="1"/>
  <c r="E11" i="7"/>
  <c r="F11" i="7" s="1"/>
  <c r="H11" i="7" s="1"/>
  <c r="E14" i="7"/>
  <c r="F14" i="7" s="1"/>
  <c r="H14" i="7" s="1"/>
  <c r="C65" i="4"/>
  <c r="C67" i="4" s="1"/>
  <c r="B65" i="4"/>
  <c r="B67" i="4" s="1"/>
  <c r="H16" i="7"/>
  <c r="H15" i="7"/>
  <c r="F10" i="7"/>
  <c r="H10" i="7" s="1"/>
  <c r="H18" i="7"/>
  <c r="F12" i="7"/>
  <c r="H12" i="7" s="1"/>
  <c r="H17" i="7"/>
  <c r="F9" i="7"/>
  <c r="H9" i="7" s="1"/>
  <c r="F42" i="7" l="1"/>
  <c r="P29" i="7"/>
  <c r="H29" i="7"/>
  <c r="P32" i="7"/>
  <c r="H32" i="7"/>
  <c r="P35" i="7"/>
  <c r="H35" i="7"/>
  <c r="P34" i="7"/>
  <c r="H34" i="7"/>
  <c r="D67" i="4"/>
  <c r="F19" i="7"/>
  <c r="P19" i="7"/>
  <c r="H19" i="7"/>
  <c r="H42" i="7" l="1"/>
  <c r="H43" i="7" s="1"/>
  <c r="D76" i="7" s="1"/>
  <c r="F43" i="7"/>
  <c r="P42" i="7"/>
  <c r="D75" i="7"/>
  <c r="I51" i="7" l="1"/>
  <c r="J51" i="7" s="1"/>
  <c r="K51" i="7" s="1"/>
  <c r="C28" i="12" s="1"/>
  <c r="D28" i="12" s="1"/>
  <c r="P43" i="7"/>
  <c r="I59" i="7"/>
  <c r="J59" i="7" s="1"/>
  <c r="K59" i="7" s="1"/>
  <c r="I60" i="7"/>
  <c r="J60" i="7" s="1"/>
  <c r="K60" i="7" s="1"/>
  <c r="I41" i="7"/>
  <c r="J41" i="7" s="1"/>
  <c r="K41" i="7" s="1"/>
  <c r="L41" i="7" s="1"/>
  <c r="N41" i="7" s="1"/>
  <c r="U41" i="7" s="1"/>
  <c r="V41" i="7" s="1"/>
  <c r="W41" i="7" s="1"/>
  <c r="I52" i="7"/>
  <c r="J52" i="7" s="1"/>
  <c r="K52" i="7" s="1"/>
  <c r="C32" i="12" s="1"/>
  <c r="D32" i="12" s="1"/>
  <c r="I48" i="7"/>
  <c r="J48" i="7" s="1"/>
  <c r="K48" i="7" s="1"/>
  <c r="I50" i="7"/>
  <c r="J50" i="7" s="1"/>
  <c r="K50" i="7" s="1"/>
  <c r="I54" i="7"/>
  <c r="J54" i="7" s="1"/>
  <c r="K54" i="7" s="1"/>
  <c r="I56" i="7"/>
  <c r="J56" i="7" s="1"/>
  <c r="K56" i="7" s="1"/>
  <c r="I58" i="7"/>
  <c r="J58" i="7" s="1"/>
  <c r="K58" i="7" s="1"/>
  <c r="I62" i="7"/>
  <c r="J62" i="7" s="1"/>
  <c r="K62" i="7" s="1"/>
  <c r="I64" i="7"/>
  <c r="J64" i="7" s="1"/>
  <c r="K64" i="7" s="1"/>
  <c r="I66" i="7"/>
  <c r="J66" i="7" s="1"/>
  <c r="K66" i="7" s="1"/>
  <c r="I47" i="7"/>
  <c r="J47" i="7" s="1"/>
  <c r="K47" i="7" s="1"/>
  <c r="I49" i="7"/>
  <c r="J49" i="7" s="1"/>
  <c r="K49" i="7" s="1"/>
  <c r="I53" i="7"/>
  <c r="J53" i="7" s="1"/>
  <c r="K53" i="7" s="1"/>
  <c r="I55" i="7"/>
  <c r="J55" i="7" s="1"/>
  <c r="K55" i="7" s="1"/>
  <c r="I57" i="7"/>
  <c r="J57" i="7" s="1"/>
  <c r="K57" i="7" s="1"/>
  <c r="I61" i="7"/>
  <c r="J61" i="7" s="1"/>
  <c r="K61" i="7" s="1"/>
  <c r="I63" i="7"/>
  <c r="J63" i="7" s="1"/>
  <c r="K63" i="7" s="1"/>
  <c r="I65" i="7"/>
  <c r="J65" i="7" s="1"/>
  <c r="K65" i="7" s="1"/>
  <c r="I67" i="7"/>
  <c r="J67" i="7" s="1"/>
  <c r="K67" i="7" s="1"/>
  <c r="I6" i="7"/>
  <c r="I20" i="7"/>
  <c r="I9" i="7"/>
  <c r="J9" i="7" s="1"/>
  <c r="I10" i="7"/>
  <c r="J10" i="7" s="1"/>
  <c r="I16" i="7"/>
  <c r="J16" i="7" s="1"/>
  <c r="I21" i="7"/>
  <c r="J21" i="7" s="1"/>
  <c r="I40" i="7"/>
  <c r="J40" i="7" s="1"/>
  <c r="I25" i="7"/>
  <c r="J25" i="7" s="1"/>
  <c r="I24" i="7"/>
  <c r="J24" i="7" s="1"/>
  <c r="I33" i="7"/>
  <c r="J33" i="7" s="1"/>
  <c r="I32" i="7"/>
  <c r="J32" i="7" s="1"/>
  <c r="I14" i="7"/>
  <c r="J14" i="7" s="1"/>
  <c r="I15" i="7"/>
  <c r="J15" i="7" s="1"/>
  <c r="I38" i="7"/>
  <c r="J38" i="7" s="1"/>
  <c r="I7" i="7"/>
  <c r="J7" i="7" s="1"/>
  <c r="I12" i="7"/>
  <c r="J12" i="7" s="1"/>
  <c r="I17" i="7"/>
  <c r="J17" i="7" s="1"/>
  <c r="I37" i="7"/>
  <c r="J37" i="7" s="1"/>
  <c r="I29" i="7"/>
  <c r="J29" i="7" s="1"/>
  <c r="I36" i="7"/>
  <c r="J36" i="7" s="1"/>
  <c r="I28" i="7"/>
  <c r="J28" i="7" s="1"/>
  <c r="I13" i="7"/>
  <c r="J13" i="7" s="1"/>
  <c r="I8" i="7"/>
  <c r="J8" i="7" s="1"/>
  <c r="I11" i="7"/>
  <c r="J11" i="7" s="1"/>
  <c r="I18" i="7"/>
  <c r="J18" i="7" s="1"/>
  <c r="I39" i="7"/>
  <c r="J39" i="7" s="1"/>
  <c r="I35" i="7"/>
  <c r="J35" i="7" s="1"/>
  <c r="I31" i="7"/>
  <c r="J31" i="7" s="1"/>
  <c r="I23" i="7"/>
  <c r="J23" i="7" s="1"/>
  <c r="I27" i="7"/>
  <c r="J27" i="7" s="1"/>
  <c r="I34" i="7"/>
  <c r="J34" i="7" s="1"/>
  <c r="I30" i="7"/>
  <c r="J30" i="7" s="1"/>
  <c r="I26" i="7"/>
  <c r="J26" i="7" s="1"/>
  <c r="I22" i="7"/>
  <c r="J22" i="7" s="1"/>
  <c r="N51" i="7" l="1"/>
  <c r="C27" i="12"/>
  <c r="D27" i="12" s="1"/>
  <c r="O51" i="7" s="1"/>
  <c r="S41" i="7"/>
  <c r="N67" i="7"/>
  <c r="C88" i="12"/>
  <c r="N66" i="7"/>
  <c r="C87" i="12"/>
  <c r="N64" i="7"/>
  <c r="C85" i="12"/>
  <c r="N61" i="7"/>
  <c r="C82" i="12"/>
  <c r="C77" i="12"/>
  <c r="N60" i="7"/>
  <c r="N65" i="7"/>
  <c r="C86" i="12"/>
  <c r="N63" i="7"/>
  <c r="C84" i="12"/>
  <c r="N62" i="7"/>
  <c r="C83" i="12"/>
  <c r="C73" i="12"/>
  <c r="N59" i="7"/>
  <c r="N57" i="7"/>
  <c r="C65" i="12"/>
  <c r="D65" i="12" s="1"/>
  <c r="O57" i="7" s="1"/>
  <c r="N58" i="7"/>
  <c r="C66" i="12"/>
  <c r="D66" i="12" s="1"/>
  <c r="O58" i="7" s="1"/>
  <c r="N55" i="7"/>
  <c r="C60" i="12"/>
  <c r="D60" i="12" s="1"/>
  <c r="O55" i="7" s="1"/>
  <c r="N56" i="7"/>
  <c r="C62" i="12"/>
  <c r="D62" i="12" s="1"/>
  <c r="O56" i="7" s="1"/>
  <c r="N52" i="7"/>
  <c r="C31" i="12"/>
  <c r="D31" i="12" s="1"/>
  <c r="N53" i="7"/>
  <c r="C49" i="12"/>
  <c r="N54" i="7"/>
  <c r="C50" i="12"/>
  <c r="N50" i="7"/>
  <c r="C24" i="12"/>
  <c r="D24" i="12" s="1"/>
  <c r="O50" i="7" s="1"/>
  <c r="N47" i="7"/>
  <c r="C14" i="12"/>
  <c r="D14" i="12" s="1"/>
  <c r="O47" i="7" s="1"/>
  <c r="N48" i="7"/>
  <c r="C15" i="12"/>
  <c r="D15" i="12" s="1"/>
  <c r="O48" i="7" s="1"/>
  <c r="N49" i="7"/>
  <c r="C16" i="12"/>
  <c r="D16" i="12" s="1"/>
  <c r="O49" i="7" s="1"/>
  <c r="J20" i="7"/>
  <c r="K20" i="7" s="1"/>
  <c r="J6" i="7"/>
  <c r="K6" i="7" s="1"/>
  <c r="L6" i="7" s="1"/>
  <c r="K26" i="7"/>
  <c r="L26" i="7" s="1"/>
  <c r="C70" i="12" s="1"/>
  <c r="D70" i="12" s="1"/>
  <c r="O26" i="7" s="1"/>
  <c r="K34" i="7"/>
  <c r="L34" i="7" s="1"/>
  <c r="K23" i="7"/>
  <c r="K35" i="7"/>
  <c r="L35" i="7" s="1"/>
  <c r="K11" i="7"/>
  <c r="L11" i="7" s="1"/>
  <c r="K28" i="7"/>
  <c r="L28" i="7" s="1"/>
  <c r="C45" i="12" s="1"/>
  <c r="K29" i="7"/>
  <c r="L29" i="7" s="1"/>
  <c r="K12" i="7"/>
  <c r="L12" i="7" s="1"/>
  <c r="K38" i="7"/>
  <c r="L38" i="7" s="1"/>
  <c r="C63" i="12" s="1"/>
  <c r="D63" i="12" s="1"/>
  <c r="O38" i="7" s="1"/>
  <c r="K15" i="7"/>
  <c r="K33" i="7"/>
  <c r="L33" i="7" s="1"/>
  <c r="C48" i="12" s="1"/>
  <c r="K25" i="7"/>
  <c r="L25" i="7" s="1"/>
  <c r="C69" i="12" s="1"/>
  <c r="D69" i="12" s="1"/>
  <c r="O25" i="7" s="1"/>
  <c r="K21" i="7"/>
  <c r="K9" i="7"/>
  <c r="L9" i="7" s="1"/>
  <c r="K22" i="7"/>
  <c r="K30" i="7"/>
  <c r="L30" i="7" s="1"/>
  <c r="C46" i="12" s="1"/>
  <c r="K27" i="7"/>
  <c r="L27" i="7" s="1"/>
  <c r="C44" i="12" s="1"/>
  <c r="K31" i="7"/>
  <c r="L31" i="7" s="1"/>
  <c r="C47" i="12" s="1"/>
  <c r="K39" i="7"/>
  <c r="L39" i="7" s="1"/>
  <c r="C64" i="12" s="1"/>
  <c r="D64" i="12" s="1"/>
  <c r="O39" i="7" s="1"/>
  <c r="K18" i="7"/>
  <c r="L18" i="7" s="1"/>
  <c r="K8" i="7"/>
  <c r="L8" i="7" s="1"/>
  <c r="K13" i="7"/>
  <c r="L13" i="7" s="1"/>
  <c r="K36" i="7"/>
  <c r="L36" i="7" s="1"/>
  <c r="C35" i="12" s="1"/>
  <c r="K37" i="7"/>
  <c r="K17" i="7"/>
  <c r="K7" i="7"/>
  <c r="L7" i="7" s="1"/>
  <c r="K14" i="7"/>
  <c r="L14" i="7" s="1"/>
  <c r="K32" i="7"/>
  <c r="L32" i="7" s="1"/>
  <c r="K24" i="7"/>
  <c r="K40" i="7"/>
  <c r="L40" i="7" s="1"/>
  <c r="K16" i="7"/>
  <c r="L16" i="7" s="1"/>
  <c r="K10" i="7"/>
  <c r="L10" i="7" s="1"/>
  <c r="I19" i="7"/>
  <c r="I42" i="7"/>
  <c r="L17" i="7" l="1"/>
  <c r="C7" i="12" s="1"/>
  <c r="D7" i="12" s="1"/>
  <c r="D83" i="12"/>
  <c r="O62" i="7" s="1"/>
  <c r="C91" i="12"/>
  <c r="D91" i="12" s="1"/>
  <c r="D84" i="12"/>
  <c r="O63" i="7" s="1"/>
  <c r="C92" i="12"/>
  <c r="D92" i="12" s="1"/>
  <c r="C95" i="12"/>
  <c r="D95" i="12" s="1"/>
  <c r="D87" i="12"/>
  <c r="O66" i="7" s="1"/>
  <c r="D88" i="12"/>
  <c r="O67" i="7" s="1"/>
  <c r="C96" i="12"/>
  <c r="D96" i="12" s="1"/>
  <c r="D82" i="12"/>
  <c r="O61" i="7" s="1"/>
  <c r="C90" i="12"/>
  <c r="D90" i="12" s="1"/>
  <c r="D85" i="12"/>
  <c r="O64" i="7" s="1"/>
  <c r="C93" i="12"/>
  <c r="D93" i="12" s="1"/>
  <c r="C94" i="12"/>
  <c r="D94" i="12" s="1"/>
  <c r="D86" i="12"/>
  <c r="O65" i="7" s="1"/>
  <c r="C74" i="12"/>
  <c r="D74" i="12" s="1"/>
  <c r="D73" i="12"/>
  <c r="O59" i="7" s="1"/>
  <c r="D77" i="12"/>
  <c r="O60" i="7" s="1"/>
  <c r="C78" i="12"/>
  <c r="D78" i="12" s="1"/>
  <c r="C53" i="12"/>
  <c r="D53" i="12" s="1"/>
  <c r="O40" i="7" s="1"/>
  <c r="Q40" i="7" s="1"/>
  <c r="R40" i="7" s="1"/>
  <c r="D45" i="12"/>
  <c r="O28" i="7" s="1"/>
  <c r="Q28" i="7" s="1"/>
  <c r="R28" i="7" s="1"/>
  <c r="C58" i="12"/>
  <c r="D58" i="12" s="1"/>
  <c r="D50" i="12"/>
  <c r="O54" i="7" s="1"/>
  <c r="D48" i="12"/>
  <c r="O33" i="7" s="1"/>
  <c r="Q33" i="7" s="1"/>
  <c r="R33" i="7" s="1"/>
  <c r="C56" i="12"/>
  <c r="D56" i="12" s="1"/>
  <c r="D47" i="12"/>
  <c r="O31" i="7" s="1"/>
  <c r="Q31" i="7" s="1"/>
  <c r="R31" i="7" s="1"/>
  <c r="C55" i="12"/>
  <c r="D55" i="12" s="1"/>
  <c r="C57" i="12"/>
  <c r="D57" i="12" s="1"/>
  <c r="D49" i="12"/>
  <c r="O53" i="7" s="1"/>
  <c r="C52" i="12"/>
  <c r="D52" i="12" s="1"/>
  <c r="D44" i="12"/>
  <c r="O27" i="7" s="1"/>
  <c r="Q27" i="7" s="1"/>
  <c r="R27" i="7" s="1"/>
  <c r="L37" i="7"/>
  <c r="N37" i="7" s="1"/>
  <c r="C61" i="12"/>
  <c r="D61" i="12" s="1"/>
  <c r="O37" i="7" s="1"/>
  <c r="Q37" i="7" s="1"/>
  <c r="R37" i="7" s="1"/>
  <c r="C54" i="12"/>
  <c r="D54" i="12" s="1"/>
  <c r="D46" i="12"/>
  <c r="O30" i="7" s="1"/>
  <c r="Q30" i="7" s="1"/>
  <c r="R30" i="7" s="1"/>
  <c r="O52" i="7"/>
  <c r="D35" i="12"/>
  <c r="C36" i="12"/>
  <c r="N13" i="7"/>
  <c r="O13" i="7"/>
  <c r="Q13" i="7" s="1"/>
  <c r="R13" i="7" s="1"/>
  <c r="N32" i="7"/>
  <c r="S32" i="7" s="1"/>
  <c r="O32" i="7"/>
  <c r="Q32" i="7" s="1"/>
  <c r="R32" i="7" s="1"/>
  <c r="N18" i="7"/>
  <c r="S18" i="7" s="1"/>
  <c r="N25" i="7"/>
  <c r="U25" i="7" s="1"/>
  <c r="Q25" i="7"/>
  <c r="R25" i="7" s="1"/>
  <c r="N35" i="7"/>
  <c r="S35" i="7" s="1"/>
  <c r="O35" i="7"/>
  <c r="Q35" i="7" s="1"/>
  <c r="R35" i="7" s="1"/>
  <c r="N14" i="7"/>
  <c r="S14" i="7" s="1"/>
  <c r="O14" i="7"/>
  <c r="Q14" i="7" s="1"/>
  <c r="R14" i="7" s="1"/>
  <c r="N39" i="7"/>
  <c r="S39" i="7" s="1"/>
  <c r="Q39" i="7"/>
  <c r="R39" i="7" s="1"/>
  <c r="N33" i="7"/>
  <c r="U33" i="7" s="1"/>
  <c r="N7" i="7"/>
  <c r="U7" i="7" s="1"/>
  <c r="V7" i="7" s="1"/>
  <c r="W7" i="7" s="1"/>
  <c r="C11" i="12"/>
  <c r="D11" i="12" s="1"/>
  <c r="O7" i="7" s="1"/>
  <c r="Q7" i="7" s="1"/>
  <c r="R7" i="7" s="1"/>
  <c r="N31" i="7"/>
  <c r="S31" i="7" s="1"/>
  <c r="N34" i="7"/>
  <c r="S34" i="7" s="1"/>
  <c r="O34" i="7"/>
  <c r="Q34" i="7" s="1"/>
  <c r="R34" i="7" s="1"/>
  <c r="N17" i="7"/>
  <c r="S17" i="7" s="1"/>
  <c r="N27" i="7"/>
  <c r="S27" i="7" s="1"/>
  <c r="N38" i="7"/>
  <c r="U38" i="7" s="1"/>
  <c r="Q38" i="7"/>
  <c r="R38" i="7" s="1"/>
  <c r="N26" i="7"/>
  <c r="Q26" i="7"/>
  <c r="R26" i="7" s="1"/>
  <c r="N28" i="7"/>
  <c r="S28" i="7" s="1"/>
  <c r="N8" i="7"/>
  <c r="U8" i="7" s="1"/>
  <c r="V8" i="7" s="1"/>
  <c r="W8" i="7" s="1"/>
  <c r="C12" i="12"/>
  <c r="D12" i="12" s="1"/>
  <c r="O8" i="7" s="1"/>
  <c r="Q8" i="7" s="1"/>
  <c r="R8" i="7" s="1"/>
  <c r="C17" i="12"/>
  <c r="D17" i="12" s="1"/>
  <c r="N10" i="7"/>
  <c r="U10" i="7" s="1"/>
  <c r="V10" i="7" s="1"/>
  <c r="W10" i="7" s="1"/>
  <c r="N30" i="7"/>
  <c r="C18" i="12"/>
  <c r="D18" i="12" s="1"/>
  <c r="O12" i="7" s="1"/>
  <c r="Q12" i="7" s="1"/>
  <c r="R12" i="7" s="1"/>
  <c r="N12" i="7"/>
  <c r="N6" i="7"/>
  <c r="U6" i="7" s="1"/>
  <c r="V6" i="7" s="1"/>
  <c r="W6" i="7" s="1"/>
  <c r="C10" i="12"/>
  <c r="D10" i="12" s="1"/>
  <c r="O6" i="7" s="1"/>
  <c r="Q6" i="7" s="1"/>
  <c r="N40" i="7"/>
  <c r="S40" i="7" s="1"/>
  <c r="N9" i="7"/>
  <c r="S9" i="7" s="1"/>
  <c r="C13" i="12"/>
  <c r="D13" i="12" s="1"/>
  <c r="O9" i="7" s="1"/>
  <c r="Q9" i="7" s="1"/>
  <c r="R9" i="7" s="1"/>
  <c r="N11" i="7"/>
  <c r="S11" i="7" s="1"/>
  <c r="O11" i="7"/>
  <c r="Q11" i="7" s="1"/>
  <c r="R11" i="7" s="1"/>
  <c r="N16" i="7"/>
  <c r="S16" i="7" s="1"/>
  <c r="C23" i="12"/>
  <c r="D23" i="12" s="1"/>
  <c r="C22" i="12"/>
  <c r="D22" i="12" s="1"/>
  <c r="O16" i="7" s="1"/>
  <c r="Q16" i="7" s="1"/>
  <c r="R16" i="7" s="1"/>
  <c r="N36" i="7"/>
  <c r="U36" i="7" s="1"/>
  <c r="N29" i="7"/>
  <c r="U29" i="7" s="1"/>
  <c r="O29" i="7"/>
  <c r="Q29" i="7" s="1"/>
  <c r="R29" i="7" s="1"/>
  <c r="L20" i="7"/>
  <c r="C71" i="12" s="1"/>
  <c r="D71" i="12" s="1"/>
  <c r="L24" i="7"/>
  <c r="L22" i="7"/>
  <c r="C75" i="12" s="1"/>
  <c r="D75" i="12" s="1"/>
  <c r="O22" i="7" s="1"/>
  <c r="L21" i="7"/>
  <c r="L23" i="7"/>
  <c r="C79" i="12" s="1"/>
  <c r="D79" i="12" s="1"/>
  <c r="O23" i="7" s="1"/>
  <c r="L15" i="7"/>
  <c r="I43" i="7"/>
  <c r="O17" i="7" l="1"/>
  <c r="Q17" i="7" s="1"/>
  <c r="R17" i="7" s="1"/>
  <c r="O41" i="7"/>
  <c r="Q41" i="7" s="1"/>
  <c r="R41" i="7" s="1"/>
  <c r="U14" i="7"/>
  <c r="V14" i="7" s="1"/>
  <c r="W14" i="7" s="1"/>
  <c r="S10" i="7"/>
  <c r="S38" i="7"/>
  <c r="T38" i="7" s="1"/>
  <c r="U40" i="7"/>
  <c r="V40" i="7" s="1"/>
  <c r="W40" i="7" s="1"/>
  <c r="S37" i="7"/>
  <c r="T37" i="7" s="1"/>
  <c r="U37" i="7"/>
  <c r="V37" i="7" s="1"/>
  <c r="W37" i="7" s="1"/>
  <c r="U32" i="7"/>
  <c r="V32" i="7" s="1"/>
  <c r="W32" i="7" s="1"/>
  <c r="S7" i="7"/>
  <c r="T7" i="7" s="1"/>
  <c r="S36" i="7"/>
  <c r="C37" i="12"/>
  <c r="D37" i="12" s="1"/>
  <c r="D36" i="12"/>
  <c r="U9" i="7"/>
  <c r="V9" i="7" s="1"/>
  <c r="W9" i="7" s="1"/>
  <c r="O36" i="7"/>
  <c r="Q36" i="7" s="1"/>
  <c r="R36" i="7" s="1"/>
  <c r="O18" i="7"/>
  <c r="Q18" i="7" s="1"/>
  <c r="R18" i="7" s="1"/>
  <c r="U39" i="7"/>
  <c r="V39" i="7" s="1"/>
  <c r="W39" i="7" s="1"/>
  <c r="T32" i="7"/>
  <c r="T35" i="7"/>
  <c r="T14" i="7"/>
  <c r="T27" i="7"/>
  <c r="T40" i="7"/>
  <c r="T39" i="7"/>
  <c r="T28" i="7"/>
  <c r="T9" i="7"/>
  <c r="S6" i="7"/>
  <c r="T6" i="7" s="1"/>
  <c r="O10" i="7"/>
  <c r="Q10" i="7" s="1"/>
  <c r="R10" i="7" s="1"/>
  <c r="Q22" i="7"/>
  <c r="R22" i="7" s="1"/>
  <c r="T11" i="7"/>
  <c r="N24" i="7"/>
  <c r="S24" i="7" s="1"/>
  <c r="O24" i="7"/>
  <c r="Q24" i="7" s="1"/>
  <c r="R24" i="7" s="1"/>
  <c r="S33" i="7"/>
  <c r="T33" i="7" s="1"/>
  <c r="R6" i="7"/>
  <c r="U11" i="7"/>
  <c r="V11" i="7" s="1"/>
  <c r="W11" i="7" s="1"/>
  <c r="S29" i="7"/>
  <c r="T29" i="7" s="1"/>
  <c r="N20" i="7"/>
  <c r="S20" i="7" s="1"/>
  <c r="O20" i="7"/>
  <c r="Q20" i="7" s="1"/>
  <c r="S25" i="7"/>
  <c r="T25" i="7" s="1"/>
  <c r="N23" i="7"/>
  <c r="S23" i="7" s="1"/>
  <c r="Q23" i="7"/>
  <c r="R23" i="7" s="1"/>
  <c r="T31" i="7"/>
  <c r="N21" i="7"/>
  <c r="S21" i="7" s="1"/>
  <c r="O21" i="7"/>
  <c r="Q21" i="7" s="1"/>
  <c r="R21" i="7" s="1"/>
  <c r="C19" i="12"/>
  <c r="D19" i="12" s="1"/>
  <c r="O15" i="7" s="1"/>
  <c r="Q15" i="7" s="1"/>
  <c r="R15" i="7" s="1"/>
  <c r="N15" i="7"/>
  <c r="U15" i="7" s="1"/>
  <c r="V15" i="7" s="1"/>
  <c r="N22" i="7"/>
  <c r="S22" i="7" s="1"/>
  <c r="S13" i="7"/>
  <c r="T13" i="7" s="1"/>
  <c r="U12" i="7"/>
  <c r="S12" i="7"/>
  <c r="T12" i="7" s="1"/>
  <c r="U18" i="7"/>
  <c r="V18" i="7" s="1"/>
  <c r="U16" i="7"/>
  <c r="V16" i="7" s="1"/>
  <c r="T16" i="7"/>
  <c r="U17" i="7"/>
  <c r="V17" i="7" s="1"/>
  <c r="W17" i="7" s="1"/>
  <c r="U13" i="7"/>
  <c r="V13" i="7" s="1"/>
  <c r="W13" i="7" s="1"/>
  <c r="S8" i="7"/>
  <c r="T8" i="7" s="1"/>
  <c r="V38" i="7"/>
  <c r="W38" i="7" s="1"/>
  <c r="V25" i="7"/>
  <c r="W25" i="7" s="1"/>
  <c r="S30" i="7"/>
  <c r="T30" i="7" s="1"/>
  <c r="U30" i="7"/>
  <c r="S26" i="7"/>
  <c r="T26" i="7" s="1"/>
  <c r="U26" i="7"/>
  <c r="V33" i="7"/>
  <c r="W33" i="7" s="1"/>
  <c r="V29" i="7"/>
  <c r="W29" i="7" s="1"/>
  <c r="V36" i="7"/>
  <c r="W36" i="7" s="1"/>
  <c r="U34" i="7"/>
  <c r="T34" i="7"/>
  <c r="U35" i="7"/>
  <c r="U31" i="7"/>
  <c r="U28" i="7"/>
  <c r="U27" i="7"/>
  <c r="T41" i="7" l="1"/>
  <c r="T24" i="7"/>
  <c r="U24" i="7"/>
  <c r="V24" i="7" s="1"/>
  <c r="W24" i="7" s="1"/>
  <c r="T20" i="7"/>
  <c r="T36" i="7"/>
  <c r="U23" i="7"/>
  <c r="V23" i="7" s="1"/>
  <c r="W23" i="7" s="1"/>
  <c r="T18" i="7"/>
  <c r="S15" i="7"/>
  <c r="S19" i="7" s="1"/>
  <c r="T21" i="7"/>
  <c r="U21" i="7"/>
  <c r="V21" i="7" s="1"/>
  <c r="W21" i="7" s="1"/>
  <c r="T10" i="7"/>
  <c r="R19" i="7"/>
  <c r="Q19" i="7"/>
  <c r="T23" i="7"/>
  <c r="U22" i="7"/>
  <c r="V22" i="7" s="1"/>
  <c r="W22" i="7" s="1"/>
  <c r="U20" i="7"/>
  <c r="V20" i="7" s="1"/>
  <c r="W20" i="7" s="1"/>
  <c r="T22" i="7"/>
  <c r="R20" i="7"/>
  <c r="R42" i="7" s="1"/>
  <c r="Q42" i="7"/>
  <c r="W18" i="7"/>
  <c r="V12" i="7"/>
  <c r="W12" i="7" s="1"/>
  <c r="W16" i="7"/>
  <c r="V31" i="7"/>
  <c r="W31" i="7" s="1"/>
  <c r="V26" i="7"/>
  <c r="W26" i="7" s="1"/>
  <c r="V30" i="7"/>
  <c r="W30" i="7" s="1"/>
  <c r="V27" i="7"/>
  <c r="W27" i="7" s="1"/>
  <c r="V28" i="7"/>
  <c r="W28" i="7" s="1"/>
  <c r="V35" i="7"/>
  <c r="W35" i="7" s="1"/>
  <c r="V34" i="7"/>
  <c r="S42" i="7"/>
  <c r="W15" i="7"/>
  <c r="T15" i="7" l="1"/>
  <c r="T19" i="7" s="1"/>
  <c r="T42" i="7"/>
  <c r="R43" i="7"/>
  <c r="B72" i="4" s="1"/>
  <c r="B73" i="4" s="1"/>
  <c r="Q43" i="7"/>
  <c r="S43" i="7"/>
  <c r="V19" i="7"/>
  <c r="W19" i="7"/>
  <c r="V42" i="7"/>
  <c r="W34" i="7"/>
  <c r="W42" i="7" s="1"/>
  <c r="T43" i="7" l="1"/>
  <c r="V43" i="7"/>
  <c r="W43" i="7"/>
  <c r="B76" i="4" s="1"/>
  <c r="B77" i="4" s="1"/>
</calcChain>
</file>

<file path=xl/sharedStrings.xml><?xml version="1.0" encoding="utf-8"?>
<sst xmlns="http://schemas.openxmlformats.org/spreadsheetml/2006/main" count="548" uniqueCount="431">
  <si>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</si>
  <si>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</si>
  <si>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</si>
  <si>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</si>
  <si>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</si>
  <si>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</si>
  <si>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</si>
  <si>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</si>
  <si>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</si>
  <si>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</si>
  <si>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</si>
  <si>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</si>
  <si>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</si>
  <si>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</si>
  <si>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</si>
  <si>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</si>
  <si>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</si>
  <si>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</si>
  <si>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</si>
  <si>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</si>
  <si>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</si>
  <si>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</si>
  <si>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</si>
  <si>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</si>
  <si>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</si>
  <si>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</si>
  <si>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</si>
  <si>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</si>
  <si>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</si>
  <si>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</si>
  <si>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</si>
  <si>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</si>
  <si>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</si>
  <si>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</si>
  <si>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</si>
  <si>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</si>
  <si>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</si>
  <si>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</si>
  <si>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</si>
  <si>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</si>
  <si>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</si>
  <si>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</si>
  <si>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</si>
  <si>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</si>
  <si>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</si>
  <si>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</si>
  <si>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</si>
  <si>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</si>
  <si>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</si>
  <si>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</si>
  <si>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</si>
  <si>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</si>
  <si>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</si>
  <si>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</si>
  <si>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</si>
  <si>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</si>
  <si>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</si>
  <si>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Waste to Energy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</si>
  <si>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</si>
  <si>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</si>
  <si>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</si>
  <si>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</si>
  <si>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</si>
  <si>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</si>
  <si>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</si>
  <si>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</si>
  <si>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</si>
  <si>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</si>
  <si>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</si>
  <si>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</si>
  <si>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</si>
  <si>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</si>
  <si>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</si>
  <si>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</si>
  <si>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</si>
  <si>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</si>
  <si>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</si>
  <si>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</si>
  <si>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</si>
  <si>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</si>
  <si>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</si>
  <si>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</si>
  <si>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</si>
  <si>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</si>
  <si>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</si>
  <si>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</si>
  <si>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</si>
  <si>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</si>
  <si>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</si>
  <si>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</si>
  <si>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Transfer Stations</t>
  </si>
  <si>
    <t>Spokane Waste to Energy</t>
  </si>
  <si>
    <t>*</t>
  </si>
  <si>
    <t>Annual</t>
  </si>
  <si>
    <t>Revenue</t>
  </si>
  <si>
    <t>Rate</t>
  </si>
  <si>
    <t>Customers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</si>
  <si>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</si>
  <si>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</si>
  <si>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</si>
  <si>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</si>
  <si>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</si>
  <si>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</si>
  <si>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Mini Can Weekly</t>
  </si>
  <si>
    <t>1 Can Weekly</t>
  </si>
  <si>
    <t>2 Can</t>
  </si>
  <si>
    <t>3 Can</t>
  </si>
  <si>
    <t>65-Gallon Toter</t>
  </si>
  <si>
    <t>65-Gallon Toter (2)</t>
  </si>
  <si>
    <t>90-Gallon Toter</t>
  </si>
  <si>
    <t>90-Gallon Toter (2)</t>
  </si>
  <si>
    <t>90-Gallon Toter (3)</t>
  </si>
  <si>
    <t>1 Can MG</t>
  </si>
  <si>
    <t>Extra Units</t>
  </si>
  <si>
    <t>Overweight/Oversize</t>
  </si>
  <si>
    <t>Yardage</t>
  </si>
  <si>
    <t>1 Can Weekly (min applies)</t>
  </si>
  <si>
    <t>2 Can Weekly</t>
  </si>
  <si>
    <t>Occasional Extra Unit</t>
  </si>
  <si>
    <t>32-Gallon Toter On Call</t>
  </si>
  <si>
    <t>1 Yard</t>
  </si>
  <si>
    <t>1.5 Yard</t>
  </si>
  <si>
    <t>1.5 Yard (2)</t>
  </si>
  <si>
    <t>2 Yard</t>
  </si>
  <si>
    <t>3 Yard</t>
  </si>
  <si>
    <t>3 Yard (2)</t>
  </si>
  <si>
    <t>4 Yard</t>
  </si>
  <si>
    <t>4 Yard (2)</t>
  </si>
  <si>
    <t>6 Yard (2)</t>
  </si>
  <si>
    <t>Loose Yards</t>
  </si>
  <si>
    <t>1.5 Yard (Temporary)</t>
  </si>
  <si>
    <t>3 Yard (Temporary)</t>
  </si>
  <si>
    <t>4 Yard (Temporary)</t>
  </si>
  <si>
    <t>1.5 Yard on Call</t>
  </si>
  <si>
    <t>Total Regulated Tonnage</t>
  </si>
  <si>
    <t>Transfer Sation</t>
  </si>
  <si>
    <t>1 yd packer/compactor</t>
  </si>
  <si>
    <t>1.5 yd packer/compactor</t>
  </si>
  <si>
    <t>8 yd packer/compactor</t>
  </si>
  <si>
    <t>No Current Customers</t>
  </si>
  <si>
    <t>4 Can</t>
  </si>
  <si>
    <t>5 Can</t>
  </si>
  <si>
    <t>6 Can</t>
  </si>
  <si>
    <t>On-Call Can</t>
  </si>
  <si>
    <t>6 Yard</t>
  </si>
  <si>
    <t>8 Yard</t>
  </si>
  <si>
    <t>1 Yard Compactor</t>
  </si>
  <si>
    <t>1.5 Yard Compactor</t>
  </si>
  <si>
    <t>2 Yard Compactor</t>
  </si>
  <si>
    <t>3 Yard Compactor</t>
  </si>
  <si>
    <t>4 Yard Compactor</t>
  </si>
  <si>
    <t>6 Yard Compactor</t>
  </si>
  <si>
    <t>8 Yard Compactor</t>
  </si>
  <si>
    <t>8 Yard (Temporary)</t>
  </si>
  <si>
    <t>6 Yard (Temporary)</t>
  </si>
  <si>
    <t>2 Yard (Temporary)</t>
  </si>
  <si>
    <t>1 Yard (Temporary)</t>
  </si>
  <si>
    <t>Empire Disposal Inc.</t>
  </si>
  <si>
    <t>Note: Revenue in rows G-H is from detailed billing system reports and cannot be linked.</t>
  </si>
  <si>
    <t>Spokane Co. Regulated - Price Out</t>
  </si>
  <si>
    <t>October 1, 2012 - September 31, 2013</t>
  </si>
  <si>
    <t>Oct-Dec Tariff</t>
  </si>
  <si>
    <t>Jan-Apr Tariff</t>
  </si>
  <si>
    <t>May - Aug Tariff</t>
  </si>
  <si>
    <t>Sept Tariff</t>
  </si>
  <si>
    <t>Jan - March 2013</t>
  </si>
  <si>
    <t>May - Aug 13</t>
  </si>
  <si>
    <t>Jan-March 2013</t>
  </si>
  <si>
    <t>Average</t>
  </si>
  <si>
    <t>Unit</t>
  </si>
  <si>
    <t>Service Code</t>
  </si>
  <si>
    <t>Service Code Description</t>
  </si>
  <si>
    <t>Cust Count</t>
  </si>
  <si>
    <t>Count</t>
  </si>
  <si>
    <t>Cust</t>
  </si>
  <si>
    <t>RESIDENTIAL SERVICES</t>
  </si>
  <si>
    <t>RESIDENTIAL GARBAGE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</si>
  <si>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</si>
  <si>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</si>
  <si>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</si>
  <si>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</si>
  <si>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</si>
  <si>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</si>
  <si>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</si>
  <si>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</si>
  <si>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</si>
  <si>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</si>
  <si>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RL065.0G1W001</t>
  </si>
  <si>
    <t>RL 65 GL 1X WK 1</t>
  </si>
  <si>
    <t>RL065.0G1W002</t>
  </si>
  <si>
    <t>RL 65 GL 1X WK 2</t>
  </si>
  <si>
    <t>RL090.0G1W001</t>
  </si>
  <si>
    <t>RL 90 GL 1X WK 1</t>
  </si>
  <si>
    <t>RL090.0G1W002</t>
  </si>
  <si>
    <t>RL 90 GL 1X WK 2</t>
  </si>
  <si>
    <t>RL090.0G1W003</t>
  </si>
  <si>
    <t>RL 90 GL 1X WK 3</t>
  </si>
  <si>
    <t>RL32R-OC</t>
  </si>
  <si>
    <t>1 RL 32 GL ON CALL-RES</t>
  </si>
  <si>
    <t>EXTRA-RES</t>
  </si>
  <si>
    <t>EXTRA CAN, BAG, BOX-RES</t>
  </si>
  <si>
    <t>EXTRYDG-RES</t>
  </si>
  <si>
    <t>EXTRA YARDAGE - RES</t>
  </si>
  <si>
    <t>BULKY-RES</t>
  </si>
  <si>
    <t>BULKY ITEM PICK UP-RES</t>
  </si>
  <si>
    <t>OS-RES</t>
  </si>
  <si>
    <t>OVERSIZE CAN - RES</t>
  </si>
  <si>
    <t>OW-RES</t>
  </si>
  <si>
    <t>OVERFILL/WEIGHT CAN-RES</t>
  </si>
  <si>
    <t>DIST-RES</t>
  </si>
  <si>
    <t>DISTANCE FEE - RES</t>
  </si>
  <si>
    <t>DRIVEIN-RES</t>
  </si>
  <si>
    <t>DRIVE IN SERVICE - RES</t>
  </si>
  <si>
    <t>REDEL-RES</t>
  </si>
  <si>
    <t>REDELIVERY FEE - RES</t>
  </si>
  <si>
    <t>REINSTATE-RES</t>
  </si>
  <si>
    <t>REINSTATE FEE - RES</t>
  </si>
  <si>
    <t>EFUEL-RES</t>
  </si>
  <si>
    <t>FUEL &amp; MATERIAL SURCHARGE</t>
  </si>
  <si>
    <t>TRIP-RES</t>
  </si>
  <si>
    <t>TOTAL RESIDENTIAL GARBAGE</t>
  </si>
  <si>
    <t>COMMERCIAL SERVICES</t>
  </si>
  <si>
    <t>COMMERCIAL GARBAGE</t>
  </si>
  <si>
    <t>RL001.0Y1W001</t>
  </si>
  <si>
    <t>RL 1 YD 1X WK 1</t>
  </si>
  <si>
    <t>RL001.5Y1W001</t>
  </si>
  <si>
    <t>RL 1.5 YD 1X WK 1</t>
  </si>
  <si>
    <t>RL001.5Y1W002</t>
  </si>
  <si>
    <t>RL 1.5 YD 1X WK 2</t>
  </si>
  <si>
    <t>RL002.0Y1W001</t>
  </si>
  <si>
    <t>RL 2 YD 1X WK 1</t>
  </si>
  <si>
    <t>RL003.0Y1W001</t>
  </si>
  <si>
    <t>RL 3 YD 1X WK 1</t>
  </si>
  <si>
    <t>RL003.0Y1W002</t>
  </si>
  <si>
    <t>RL 3 YD 1X WK 2</t>
  </si>
  <si>
    <t>RL004.0Y1W001</t>
  </si>
  <si>
    <t>RL 4 YD 1X WK 1</t>
  </si>
  <si>
    <t>RL004.0Y1W002</t>
  </si>
  <si>
    <t>RL 4 YD 1X WK 2</t>
  </si>
  <si>
    <t>RL006.0Y1W001</t>
  </si>
  <si>
    <t>RL 6 YD 1X WK 1</t>
  </si>
  <si>
    <t>RL006.0Y1W002</t>
  </si>
  <si>
    <t>RL 6 YD 1X WK 2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</si>
  <si>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</si>
  <si>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</si>
  <si>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</si>
  <si>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</si>
  <si>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</si>
  <si>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</si>
  <si>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RL090.0G1W001COMM</t>
  </si>
  <si>
    <t>RL 90 GL 1X WK COMM 1</t>
  </si>
  <si>
    <t>RL090.0G1W002COMM</t>
  </si>
  <si>
    <t>RL 90 GL 1X WK COMM 2</t>
  </si>
  <si>
    <t>RL32C-OC</t>
  </si>
  <si>
    <t>1 RL 32 GL ON CALL - COMM</t>
  </si>
  <si>
    <t>RL1.5C-OC</t>
  </si>
  <si>
    <t>1 RL 1.5 YD ON CALL-COMM</t>
  </si>
  <si>
    <t>RL4C-OC</t>
  </si>
  <si>
    <t>1 RL 4 YD ON CALL-COMM</t>
  </si>
  <si>
    <t>RL1.5TC-COMM</t>
  </si>
  <si>
    <t>RL TEMPORARY 1.5 YD-COMM</t>
  </si>
  <si>
    <t>RL2TC-COMM</t>
  </si>
  <si>
    <t>RL TEMPORARY 2 YD-COMM</t>
  </si>
  <si>
    <t>RL3TC-COMM</t>
  </si>
  <si>
    <t>RL TEMPORARY 3 YD - COMM</t>
  </si>
  <si>
    <t>RL4TC-COMM</t>
  </si>
  <si>
    <t>RL TEMPORARY 4 YD-COMM</t>
  </si>
  <si>
    <t>EXTRA-COMM</t>
  </si>
  <si>
    <t>EXTRA CAN, BAG, BOX-COMM</t>
  </si>
  <si>
    <t>EXTRAYDG-COMM</t>
  </si>
  <si>
    <t>EXTRA YARDAGE - COMM</t>
  </si>
  <si>
    <t>OS-COMM</t>
  </si>
  <si>
    <t>OVERSIZE CAN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</si>
  <si>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</si>
  <si>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</si>
  <si>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</si>
  <si>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</si>
  <si>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</si>
  <si>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</si>
  <si>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</si>
  <si>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</si>
  <si>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</si>
  <si>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</si>
  <si>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</si>
  <si>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</si>
  <si>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RENT3TEMP-COMM</t>
  </si>
  <si>
    <t>RENTAL FEE 3 YD TEMP - CO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</si>
  <si>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</si>
  <si>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</si>
  <si>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</si>
  <si>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</si>
  <si>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</si>
  <si>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</si>
  <si>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DELTEMP-COMM</t>
  </si>
  <si>
    <t>DELIVERY FEE TEMP-COMM</t>
  </si>
  <si>
    <t>DIST-COM</t>
  </si>
  <si>
    <t>DISTANCE FEE - COMM</t>
  </si>
  <si>
    <t>DRIVEIN-COMM</t>
  </si>
  <si>
    <t>DRIVE IN SERVICE-COMM</t>
  </si>
  <si>
    <t>REINSTATE-COMM</t>
  </si>
  <si>
    <t>REINSTATE FEE - COMM</t>
  </si>
  <si>
    <t>EFUEL-COM</t>
  </si>
  <si>
    <t>EFUEL-ACCT ADJ</t>
  </si>
  <si>
    <t>TOTAL COMMERCIAL GARBAGE</t>
  </si>
  <si>
    <t>DROP BOX SERVICES</t>
  </si>
  <si>
    <t>DROP BOX HAULS/RENTAL</t>
  </si>
  <si>
    <t>HAUL25-RO</t>
  </si>
  <si>
    <t>HAUL 25 YD - RO</t>
  </si>
  <si>
    <t>HAUL25TEMP-RO</t>
  </si>
  <si>
    <t>HAUL 25 YD TEMP - RO</t>
  </si>
  <si>
    <t>HAUL40TEMP-RO</t>
  </si>
  <si>
    <t>HAUL 40 YD TEMP - RO</t>
  </si>
  <si>
    <t>HAUL-CP</t>
  </si>
  <si>
    <t>COMPACTOR HAUL - RO</t>
  </si>
  <si>
    <t>RENT25MO-RO</t>
  </si>
  <si>
    <t>RENTAL FEE 25YD MONTHLY</t>
  </si>
  <si>
    <t>RENT40MO-RO</t>
  </si>
  <si>
    <t>RENTAL FEE 40 YD MONTHLY</t>
  </si>
  <si>
    <t>DEL-RO</t>
  </si>
  <si>
    <t>DELIVERY FEE - RO</t>
  </si>
  <si>
    <t>MILE-RO</t>
  </si>
  <si>
    <t>MILEAGE FEE - RO</t>
  </si>
  <si>
    <t>EFUEL-RO</t>
  </si>
  <si>
    <t>TOTAL DROP BOX HAULS/RENTAL</t>
  </si>
  <si>
    <t>DROP BOX RECYLING</t>
  </si>
  <si>
    <t>HAULREC-RO</t>
  </si>
  <si>
    <t>HAUL RECYCLE - RO</t>
  </si>
  <si>
    <t>TOTAL DROP BOX RECYCLING</t>
  </si>
  <si>
    <t>PASSTHROUGH DISPOSAL</t>
  </si>
  <si>
    <t>DISP-RO</t>
  </si>
  <si>
    <t>DISPOSAL CHARGE - RO</t>
  </si>
  <si>
    <t>TOTAL PASSTHROUGH DISPOSAL</t>
  </si>
  <si>
    <t>Service Charges</t>
  </si>
  <si>
    <t>FINCHG</t>
  </si>
  <si>
    <t>FINANCE CHARGE</t>
  </si>
  <si>
    <t>RETCKC</t>
  </si>
  <si>
    <t>RETURN CHECK CHARGE</t>
  </si>
  <si>
    <t>TOTAL SERVICE CHARGES</t>
  </si>
  <si>
    <t>TOTAL REVENUE</t>
  </si>
  <si>
    <t>* not on meeks - calculated by staff</t>
  </si>
  <si>
    <t>6 yd container (2)</t>
  </si>
  <si>
    <t>4 yd container (2)</t>
  </si>
  <si>
    <t>3 yd container (2)</t>
  </si>
  <si>
    <t>1.5 yd container (2)</t>
  </si>
  <si>
    <t>19-A</t>
  </si>
  <si>
    <t>24-A</t>
  </si>
  <si>
    <t>25-A</t>
  </si>
  <si>
    <t>28-A</t>
  </si>
  <si>
    <t>35-A</t>
  </si>
  <si>
    <t>36-A</t>
  </si>
  <si>
    <t>37-A</t>
  </si>
  <si>
    <t>DF Increase</t>
  </si>
  <si>
    <t>Mini Can</t>
  </si>
  <si>
    <t>3 Can Weekly</t>
  </si>
  <si>
    <t>4 Can Weekly</t>
  </si>
  <si>
    <t>5 Can Weekly</t>
  </si>
  <si>
    <t>32 Gal Extra</t>
  </si>
  <si>
    <t>On-Call</t>
  </si>
  <si>
    <t>Loose Material 1-4yd</t>
  </si>
  <si>
    <t>Loose Material per Yard</t>
  </si>
  <si>
    <t>Loose Material Min Charge</t>
  </si>
  <si>
    <t>Item 230, Pg. 34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</si>
  <si>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</si>
  <si>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</si>
  <si>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</si>
  <si>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</si>
  <si>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</si>
  <si>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</si>
  <si>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</si>
  <si>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</si>
  <si>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</si>
  <si>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</si>
  <si>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32 Gal</t>
  </si>
  <si>
    <t>6  Yard</t>
  </si>
  <si>
    <t>6  Yard - Special</t>
  </si>
  <si>
    <t>Inside Spokane</t>
  </si>
  <si>
    <t xml:space="preserve"> </t>
  </si>
  <si>
    <t>Oversized Unit</t>
  </si>
  <si>
    <t xml:space="preserve">Rate Effective </t>
  </si>
  <si>
    <t>Item 100, Pg. 24-A</t>
  </si>
  <si>
    <t>6 Can Weekly</t>
  </si>
  <si>
    <t>65 Gal Weekly</t>
  </si>
  <si>
    <t>90 Gal Weekly</t>
  </si>
  <si>
    <t xml:space="preserve">1 Can </t>
  </si>
  <si>
    <t>Bag</t>
  </si>
  <si>
    <t>Item 100, Pg. 25-A</t>
  </si>
  <si>
    <t>Item 150, Pg. 28-A</t>
  </si>
  <si>
    <t>Item 55, Pg. 19-A</t>
  </si>
  <si>
    <t>90 Gal Liter Recypabacle</t>
  </si>
  <si>
    <t>Item 130, Pg. 28-A</t>
  </si>
  <si>
    <t>90 Gal Litter Receptacle</t>
  </si>
  <si>
    <t>Minimum p/month</t>
  </si>
  <si>
    <t>Spokane W to Energy</t>
  </si>
  <si>
    <t>Spokane TF Station</t>
  </si>
  <si>
    <t>Item 240, Pg. 35-A</t>
  </si>
  <si>
    <t>3 Yard - Temp</t>
  </si>
  <si>
    <t>4 Yard - Temp</t>
  </si>
  <si>
    <t>6 Yard - Temp</t>
  </si>
  <si>
    <t>8 Yard - Temp</t>
  </si>
  <si>
    <t>Item 240, Pg 36-A</t>
  </si>
  <si>
    <t>32 Gal Special  PU</t>
  </si>
  <si>
    <t>Monthly Minumum</t>
  </si>
  <si>
    <t>65 Gal</t>
  </si>
  <si>
    <t>65 Gal Special  PU</t>
  </si>
  <si>
    <t xml:space="preserve">65 Gal </t>
  </si>
  <si>
    <t>90 Gal</t>
  </si>
  <si>
    <t>90 Gal Special  PU</t>
  </si>
  <si>
    <t>Item 255, Pg 37-A</t>
  </si>
  <si>
    <t>1 yard</t>
  </si>
  <si>
    <t>1.5 yard</t>
  </si>
  <si>
    <t>8 yard</t>
  </si>
  <si>
    <t>1 yard - Special</t>
  </si>
  <si>
    <t>1.5 yard - Special</t>
  </si>
  <si>
    <t>8 yard - Special</t>
  </si>
  <si>
    <t>Empire G-75</t>
  </si>
  <si>
    <t>Item 120, Pg. 28-A</t>
  </si>
  <si>
    <t>90 Gal Drum</t>
  </si>
  <si>
    <t>90 Gal Special</t>
  </si>
  <si>
    <t>Yellow-No Pickups</t>
  </si>
  <si>
    <t>Regulated RO Tons</t>
  </si>
  <si>
    <t>Decrease</t>
  </si>
  <si>
    <t>For Info Verification see TG-132071 Effective 1-1-2014</t>
  </si>
  <si>
    <t>1-1-2016</t>
  </si>
  <si>
    <t>Empire Disposal, Inc.</t>
  </si>
  <si>
    <t>Spokane Co. Waste to Energy DF Calc 1-1-2016</t>
  </si>
  <si>
    <t>Reference Sheet</t>
  </si>
  <si>
    <t xml:space="preserve"> Disposal Fees</t>
  </si>
  <si>
    <t>Spokane County Waste To Energy DF Calc</t>
  </si>
  <si>
    <t>Effective 1-1-2016</t>
  </si>
  <si>
    <t>Tariff Rate Increase</t>
  </si>
  <si>
    <t>Company Increased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</si>
</sst>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%"/>
    <numFmt numFmtId="170" formatCode="_(&quot;$&quot;* #,##0.000000_);_(&quot;$&quot;* \(#,##0.000000\);_(&quot;$&quot;* &quot;-&quot;??_);_(@_)"/>
    <numFmt numFmtId="171" formatCode="0.000000"/>
    <numFmt numFmtId="172" formatCode="0.0%"/>
    <numFmt numFmtId="173" formatCode="0.00_);\(0.00\)"/>
    <numFmt numFmtId="174" formatCode="0.00000"/>
    <numFmt numFmtId="175" formatCode="#,##0.000000_);\(#,##0.000000\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5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7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5" applyNumberFormat="0" applyAlignment="0" applyProtection="0"/>
    <xf numFmtId="0" fontId="32" fillId="24" borderId="5" applyNumberFormat="0" applyAlignment="0" applyProtection="0"/>
    <xf numFmtId="0" fontId="17" fillId="25" borderId="6" applyNumberFormat="0" applyAlignment="0" applyProtection="0"/>
    <xf numFmtId="0" fontId="17" fillId="26" borderId="7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8" applyNumberFormat="0" applyFill="0" applyAlignment="0" applyProtection="0"/>
    <xf numFmtId="0" fontId="36" fillId="0" borderId="9" applyNumberFormat="0" applyFill="0" applyAlignment="0" applyProtection="0"/>
    <xf numFmtId="0" fontId="23" fillId="0" borderId="10" applyNumberFormat="0" applyFill="0" applyAlignment="0" applyProtection="0"/>
    <xf numFmtId="0" fontId="37" fillId="0" borderId="11" applyNumberFormat="0" applyFill="0" applyAlignment="0" applyProtection="0"/>
    <xf numFmtId="0" fontId="24" fillId="0" borderId="12" applyNumberFormat="0" applyFill="0" applyAlignment="0" applyProtection="0"/>
    <xf numFmtId="0" fontId="38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5" applyNumberFormat="0" applyAlignment="0" applyProtection="0"/>
    <xf numFmtId="0" fontId="41" fillId="13" borderId="5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4" applyNumberFormat="0" applyFill="0" applyAlignment="0" applyProtection="0"/>
    <xf numFmtId="0" fontId="42" fillId="0" borderId="15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6" applyNumberFormat="0" applyFont="0" applyAlignment="0" applyProtection="0"/>
    <xf numFmtId="0" fontId="18" fillId="10" borderId="16" applyNumberFormat="0" applyFont="0" applyAlignment="0" applyProtection="0"/>
    <xf numFmtId="172" fontId="44" fillId="0" borderId="0" applyNumberFormat="0"/>
    <xf numFmtId="0" fontId="29" fillId="24" borderId="17" applyNumberFormat="0" applyAlignment="0" applyProtection="0"/>
    <xf numFmtId="0" fontId="24" fillId="24" borderId="18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1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46" fillId="0" borderId="0"/>
  </cellStyleXfs>
  <cellXfs count="276">
    <xf numFmtId="0" fontId="0" fillId="0" borderId="0" xfId="0"/>
    <xf numFmtId="43" fontId="0" fillId="0" borderId="0" xfId="1" applyFont="1"/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0" fontId="3" fillId="0" borderId="0" xfId="0" applyFont="1"/>
    <xf numFmtId="44" fontId="0" fillId="0" borderId="0" xfId="2" applyFont="1" applyBorder="1"/>
    <xf numFmtId="165" fontId="0" fillId="0" borderId="0" xfId="2" applyNumberFormat="1" applyFont="1" applyBorder="1"/>
    <xf numFmtId="0" fontId="0" fillId="0" borderId="0" xfId="0" applyFont="1"/>
    <xf numFmtId="44" fontId="3" fillId="0" borderId="0" xfId="0" applyNumberFormat="1" applyFont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0" fontId="3" fillId="0" borderId="0" xfId="0" applyFont="1" applyBorder="1"/>
    <xf numFmtId="167" fontId="0" fillId="0" borderId="0" xfId="1" applyNumberFormat="1" applyFont="1" applyBorder="1" applyAlignment="1">
      <alignment horizontal="right"/>
    </xf>
    <xf numFmtId="168" fontId="0" fillId="0" borderId="0" xfId="1" applyNumberFormat="1" applyFont="1"/>
    <xf numFmtId="168" fontId="0" fillId="0" borderId="0" xfId="1" applyNumberFormat="1" applyFont="1" applyBorder="1"/>
    <xf numFmtId="168" fontId="0" fillId="0" borderId="1" xfId="1" applyNumberFormat="1" applyFont="1" applyBorder="1"/>
    <xf numFmtId="167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167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166" fontId="0" fillId="0" borderId="0" xfId="0" applyNumberFormat="1" applyFont="1" applyBorder="1" applyAlignment="1">
      <alignment horizontal="right"/>
    </xf>
    <xf numFmtId="0" fontId="11" fillId="0" borderId="0" xfId="4" applyFont="1" applyFill="1" applyBorder="1" applyAlignment="1">
      <alignment horizontal="left"/>
    </xf>
    <xf numFmtId="167" fontId="11" fillId="0" borderId="0" xfId="1" applyNumberFormat="1" applyFont="1" applyFill="1" applyBorder="1" applyAlignment="1">
      <alignment horizontal="left"/>
    </xf>
    <xf numFmtId="0" fontId="12" fillId="0" borderId="0" xfId="4" applyFont="1" applyFill="1" applyBorder="1" applyAlignment="1">
      <alignment horizontal="center"/>
    </xf>
    <xf numFmtId="0" fontId="11" fillId="0" borderId="0" xfId="17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9" fontId="0" fillId="0" borderId="0" xfId="0" applyNumberFormat="1" applyFont="1"/>
    <xf numFmtId="44" fontId="0" fillId="0" borderId="0" xfId="0" applyNumberFormat="1" applyFont="1"/>
    <xf numFmtId="167" fontId="0" fillId="0" borderId="0" xfId="1" applyNumberFormat="1" applyFont="1" applyFill="1" applyBorder="1" applyAlignment="1">
      <alignment horizontal="center" wrapText="1"/>
    </xf>
    <xf numFmtId="44" fontId="0" fillId="0" borderId="0" xfId="2" applyFont="1"/>
    <xf numFmtId="44" fontId="1" fillId="0" borderId="0" xfId="2" applyFont="1" applyBorder="1"/>
    <xf numFmtId="0" fontId="0" fillId="0" borderId="0" xfId="0" applyFont="1" applyFill="1" applyBorder="1" applyAlignment="1">
      <alignment horizontal="center" vertical="center"/>
    </xf>
    <xf numFmtId="171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0" fillId="0" borderId="4" xfId="0" applyFont="1" applyFill="1" applyBorder="1" applyAlignment="1">
      <alignment horizontal="center" vertical="center"/>
    </xf>
    <xf numFmtId="43" fontId="0" fillId="0" borderId="4" xfId="1" applyFont="1" applyFill="1" applyBorder="1"/>
    <xf numFmtId="167" fontId="0" fillId="0" borderId="4" xfId="1" applyNumberFormat="1" applyFont="1" applyFill="1" applyBorder="1" applyAlignment="1">
      <alignment horizontal="center" wrapText="1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7" fontId="3" fillId="6" borderId="1" xfId="0" applyNumberFormat="1" applyFont="1" applyFill="1" applyBorder="1"/>
    <xf numFmtId="43" fontId="0" fillId="6" borderId="1" xfId="0" applyNumberFormat="1" applyFont="1" applyFill="1" applyBorder="1"/>
    <xf numFmtId="167" fontId="3" fillId="6" borderId="1" xfId="1" applyNumberFormat="1" applyFont="1" applyFill="1" applyBorder="1"/>
    <xf numFmtId="167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7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7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43" fontId="0" fillId="0" borderId="4" xfId="1" applyFont="1" applyBorder="1" applyAlignment="1">
      <alignment horizontal="right"/>
    </xf>
    <xf numFmtId="167" fontId="0" fillId="0" borderId="4" xfId="1" applyNumberFormat="1" applyFont="1" applyBorder="1" applyAlignment="1">
      <alignment horizontal="right"/>
    </xf>
    <xf numFmtId="0" fontId="11" fillId="0" borderId="0" xfId="38" applyFont="1" applyBorder="1"/>
    <xf numFmtId="0" fontId="11" fillId="0" borderId="0" xfId="270" applyFont="1" applyBorder="1"/>
    <xf numFmtId="0" fontId="11" fillId="0" borderId="0" xfId="271" applyFont="1" applyBorder="1"/>
    <xf numFmtId="0" fontId="11" fillId="0" borderId="0" xfId="272" applyFont="1" applyBorder="1"/>
    <xf numFmtId="0" fontId="11" fillId="0" borderId="0" xfId="273" applyFont="1" applyBorder="1"/>
    <xf numFmtId="0" fontId="12" fillId="0" borderId="0" xfId="4" applyFont="1" applyFill="1" applyBorder="1" applyAlignment="1">
      <alignment horizontal="left"/>
    </xf>
    <xf numFmtId="167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7" fontId="0" fillId="5" borderId="0" xfId="1" applyNumberFormat="1" applyFont="1" applyFill="1" applyBorder="1" applyAlignment="1">
      <alignment horizontal="right"/>
    </xf>
    <xf numFmtId="43" fontId="0" fillId="5" borderId="0" xfId="1" applyFont="1" applyFill="1" applyBorder="1" applyAlignment="1">
      <alignment horizontal="right"/>
    </xf>
    <xf numFmtId="10" fontId="0" fillId="5" borderId="0" xfId="3" applyNumberFormat="1" applyFont="1" applyFill="1" applyBorder="1"/>
    <xf numFmtId="43" fontId="0" fillId="5" borderId="1" xfId="1" applyFont="1" applyFill="1" applyBorder="1" applyAlignment="1">
      <alignment horizontal="right"/>
    </xf>
    <xf numFmtId="44" fontId="0" fillId="0" borderId="0" xfId="2" applyFont="1" applyFill="1" applyBorder="1"/>
    <xf numFmtId="167" fontId="0" fillId="0" borderId="0" xfId="1" applyNumberFormat="1" applyFont="1" applyFill="1" applyBorder="1"/>
    <xf numFmtId="43" fontId="0" fillId="0" borderId="0" xfId="1" applyNumberFormat="1" applyFont="1" applyFill="1" applyBorder="1"/>
    <xf numFmtId="167" fontId="0" fillId="0" borderId="4" xfId="1" applyNumberFormat="1" applyFont="1" applyFill="1" applyBorder="1"/>
    <xf numFmtId="43" fontId="0" fillId="0" borderId="4" xfId="1" applyNumberFormat="1" applyFont="1" applyFill="1" applyBorder="1"/>
    <xf numFmtId="44" fontId="0" fillId="2" borderId="0" xfId="2" applyFont="1" applyFill="1" applyBorder="1"/>
    <xf numFmtId="44" fontId="0" fillId="0" borderId="4" xfId="2" applyFont="1" applyFill="1" applyBorder="1"/>
    <xf numFmtId="44" fontId="0" fillId="2" borderId="4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0" fillId="32" borderId="0" xfId="0" applyFont="1" applyFill="1" applyBorder="1"/>
    <xf numFmtId="0" fontId="0" fillId="32" borderId="0" xfId="0" applyFont="1" applyFill="1" applyBorder="1" applyAlignment="1">
      <alignment horizontal="center"/>
    </xf>
    <xf numFmtId="0" fontId="0" fillId="32" borderId="0" xfId="0" applyFont="1" applyFill="1" applyBorder="1" applyAlignment="1">
      <alignment horizontal="right"/>
    </xf>
    <xf numFmtId="167" fontId="0" fillId="32" borderId="0" xfId="1" applyNumberFormat="1" applyFont="1" applyFill="1" applyBorder="1"/>
    <xf numFmtId="44" fontId="0" fillId="32" borderId="0" xfId="1" applyNumberFormat="1" applyFont="1" applyFill="1" applyBorder="1"/>
    <xf numFmtId="0" fontId="3" fillId="32" borderId="0" xfId="0" applyFont="1" applyFill="1" applyBorder="1"/>
    <xf numFmtId="43" fontId="0" fillId="0" borderId="1" xfId="1" applyFont="1" applyBorder="1" applyAlignment="1">
      <alignment horizontal="right"/>
    </xf>
    <xf numFmtId="43" fontId="0" fillId="0" borderId="1" xfId="1" applyFont="1" applyFill="1" applyBorder="1"/>
    <xf numFmtId="167" fontId="0" fillId="0" borderId="1" xfId="1" applyNumberFormat="1" applyFont="1" applyFill="1" applyBorder="1"/>
    <xf numFmtId="44" fontId="0" fillId="0" borderId="1" xfId="2" applyFont="1" applyFill="1" applyBorder="1"/>
    <xf numFmtId="44" fontId="0" fillId="0" borderId="1" xfId="2" applyFont="1" applyBorder="1"/>
    <xf numFmtId="0" fontId="0" fillId="0" borderId="4" xfId="0" applyFont="1" applyBorder="1" applyAlignment="1">
      <alignment horizontal="center"/>
    </xf>
    <xf numFmtId="167" fontId="0" fillId="0" borderId="4" xfId="1" applyNumberFormat="1" applyFont="1" applyBorder="1"/>
    <xf numFmtId="44" fontId="0" fillId="0" borderId="4" xfId="2" applyFont="1" applyBorder="1"/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167" fontId="3" fillId="6" borderId="1" xfId="1" applyNumberFormat="1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0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/>
    <xf numFmtId="0" fontId="11" fillId="0" borderId="4" xfId="38" applyFont="1" applyBorder="1"/>
    <xf numFmtId="0" fontId="0" fillId="0" borderId="1" xfId="0" applyFont="1" applyFill="1" applyBorder="1" applyAlignment="1">
      <alignment horizontal="center" vertical="center"/>
    </xf>
    <xf numFmtId="0" fontId="11" fillId="0" borderId="1" xfId="38" applyFont="1" applyFill="1" applyBorder="1"/>
    <xf numFmtId="43" fontId="0" fillId="0" borderId="1" xfId="1" applyNumberFormat="1" applyFont="1" applyFill="1" applyBorder="1"/>
    <xf numFmtId="167" fontId="0" fillId="0" borderId="1" xfId="1" applyNumberFormat="1" applyFont="1" applyFill="1" applyBorder="1" applyAlignment="1">
      <alignment horizontal="center" wrapText="1"/>
    </xf>
    <xf numFmtId="44" fontId="0" fillId="2" borderId="1" xfId="2" applyFont="1" applyFill="1" applyBorder="1"/>
    <xf numFmtId="0" fontId="11" fillId="0" borderId="4" xfId="270" applyFont="1" applyBorder="1"/>
    <xf numFmtId="0" fontId="0" fillId="0" borderId="0" xfId="0" applyFont="1" applyFill="1" applyBorder="1" applyAlignment="1"/>
    <xf numFmtId="0" fontId="11" fillId="0" borderId="1" xfId="274" applyFont="1" applyBorder="1" applyAlignment="1">
      <alignment horizontal="left"/>
    </xf>
    <xf numFmtId="0" fontId="11" fillId="0" borderId="0" xfId="274" applyFont="1" applyBorder="1" applyAlignment="1">
      <alignment horizontal="left"/>
    </xf>
    <xf numFmtId="0" fontId="11" fillId="0" borderId="4" xfId="271" applyFont="1" applyBorder="1"/>
    <xf numFmtId="0" fontId="11" fillId="0" borderId="0" xfId="278" applyFont="1" applyBorder="1"/>
    <xf numFmtId="0" fontId="0" fillId="0" borderId="0" xfId="0" applyFill="1"/>
    <xf numFmtId="167" fontId="2" fillId="0" borderId="0" xfId="18" applyNumberFormat="1" applyFill="1"/>
    <xf numFmtId="167" fontId="49" fillId="0" borderId="0" xfId="279" applyNumberFormat="1" applyFont="1" applyFill="1"/>
    <xf numFmtId="43" fontId="48" fillId="0" borderId="0" xfId="280" applyNumberFormat="1" applyFont="1" applyFill="1"/>
    <xf numFmtId="0" fontId="2" fillId="0" borderId="0" xfId="279"/>
    <xf numFmtId="167" fontId="2" fillId="0" borderId="0" xfId="18" applyNumberFormat="1"/>
    <xf numFmtId="0" fontId="47" fillId="0" borderId="0" xfId="279" applyFont="1" applyFill="1"/>
    <xf numFmtId="0" fontId="48" fillId="0" borderId="0" xfId="280" applyFont="1" applyFill="1"/>
    <xf numFmtId="0" fontId="48" fillId="0" borderId="0" xfId="280" applyFont="1" applyFill="1" applyAlignment="1">
      <alignment horizontal="center"/>
    </xf>
    <xf numFmtId="0" fontId="48" fillId="0" borderId="0" xfId="280" applyFont="1"/>
    <xf numFmtId="0" fontId="49" fillId="0" borderId="0" xfId="279" applyFont="1"/>
    <xf numFmtId="167" fontId="49" fillId="0" borderId="0" xfId="103" applyNumberFormat="1" applyFont="1"/>
    <xf numFmtId="0" fontId="50" fillId="0" borderId="0" xfId="280" applyFont="1" applyFill="1"/>
    <xf numFmtId="0" fontId="50" fillId="0" borderId="0" xfId="280" applyFont="1" applyFill="1" applyAlignment="1">
      <alignment horizontal="center" wrapText="1"/>
    </xf>
    <xf numFmtId="0" fontId="50" fillId="33" borderId="0" xfId="280" applyFont="1" applyFill="1" applyAlignment="1">
      <alignment horizontal="center"/>
    </xf>
    <xf numFmtId="17" fontId="50" fillId="34" borderId="0" xfId="280" applyNumberFormat="1" applyFont="1" applyFill="1" applyAlignment="1">
      <alignment horizontal="center"/>
    </xf>
    <xf numFmtId="0" fontId="50" fillId="34" borderId="0" xfId="280" applyFont="1" applyFill="1" applyAlignment="1">
      <alignment horizontal="center" wrapText="1"/>
    </xf>
    <xf numFmtId="17" fontId="50" fillId="35" borderId="0" xfId="280" applyNumberFormat="1" applyFont="1" applyFill="1" applyAlignment="1">
      <alignment horizontal="center"/>
    </xf>
    <xf numFmtId="167" fontId="50" fillId="35" borderId="0" xfId="103" applyNumberFormat="1" applyFont="1" applyFill="1" applyAlignment="1">
      <alignment horizontal="center"/>
    </xf>
    <xf numFmtId="0" fontId="50" fillId="0" borderId="0" xfId="280" applyFont="1" applyFill="1" applyAlignment="1">
      <alignment horizontal="center"/>
    </xf>
    <xf numFmtId="14" fontId="50" fillId="33" borderId="0" xfId="280" applyNumberFormat="1" applyFont="1" applyFill="1" applyAlignment="1">
      <alignment horizontal="center" wrapText="1"/>
    </xf>
    <xf numFmtId="0" fontId="50" fillId="35" borderId="0" xfId="280" applyFont="1" applyFill="1" applyAlignment="1">
      <alignment horizontal="center" wrapText="1"/>
    </xf>
    <xf numFmtId="167" fontId="50" fillId="35" borderId="0" xfId="103" applyNumberFormat="1" applyFont="1" applyFill="1" applyAlignment="1">
      <alignment horizontal="center" wrapText="1"/>
    </xf>
    <xf numFmtId="0" fontId="49" fillId="0" borderId="0" xfId="279" applyFont="1" applyFill="1"/>
    <xf numFmtId="167" fontId="48" fillId="0" borderId="0" xfId="103" applyNumberFormat="1" applyFont="1"/>
    <xf numFmtId="0" fontId="51" fillId="0" borderId="0" xfId="280" applyFont="1" applyFill="1" applyAlignment="1">
      <alignment horizontal="center"/>
    </xf>
    <xf numFmtId="0" fontId="52" fillId="0" borderId="0" xfId="280" applyFont="1" applyAlignment="1">
      <alignment horizontal="left"/>
    </xf>
    <xf numFmtId="0" fontId="50" fillId="0" borderId="0" xfId="280" applyFont="1" applyAlignment="1">
      <alignment horizontal="left"/>
    </xf>
    <xf numFmtId="43" fontId="48" fillId="0" borderId="0" xfId="103" applyFont="1" applyFill="1" applyAlignment="1">
      <alignment horizontal="center"/>
    </xf>
    <xf numFmtId="43" fontId="48" fillId="0" borderId="0" xfId="280" applyNumberFormat="1" applyFont="1"/>
    <xf numFmtId="167" fontId="48" fillId="0" borderId="0" xfId="103" applyNumberFormat="1" applyFont="1" applyFill="1"/>
    <xf numFmtId="167" fontId="49" fillId="0" borderId="0" xfId="279" applyNumberFormat="1" applyFont="1"/>
    <xf numFmtId="167" fontId="48" fillId="0" borderId="0" xfId="280" applyNumberFormat="1" applyFont="1"/>
    <xf numFmtId="0" fontId="2" fillId="0" borderId="0" xfId="279" applyAlignment="1">
      <alignment horizontal="left"/>
    </xf>
    <xf numFmtId="0" fontId="53" fillId="0" borderId="0" xfId="279" applyFont="1"/>
    <xf numFmtId="0" fontId="48" fillId="0" borderId="0" xfId="280" applyFont="1" applyFill="1" applyBorder="1"/>
    <xf numFmtId="0" fontId="50" fillId="0" borderId="0" xfId="280" applyFont="1" applyBorder="1" applyAlignment="1">
      <alignment horizontal="right"/>
    </xf>
    <xf numFmtId="44" fontId="54" fillId="0" borderId="3" xfId="125" applyFont="1" applyFill="1" applyBorder="1"/>
    <xf numFmtId="167" fontId="50" fillId="0" borderId="21" xfId="280" applyNumberFormat="1" applyFont="1" applyFill="1" applyBorder="1"/>
    <xf numFmtId="44" fontId="48" fillId="0" borderId="0" xfId="280" applyNumberFormat="1" applyFont="1"/>
    <xf numFmtId="0" fontId="52" fillId="0" borderId="0" xfId="280" applyFont="1" applyFill="1" applyAlignment="1">
      <alignment horizontal="left"/>
    </xf>
    <xf numFmtId="0" fontId="48" fillId="0" borderId="0" xfId="279" applyFont="1" applyFill="1" applyAlignment="1">
      <alignment vertical="top"/>
    </xf>
    <xf numFmtId="0" fontId="50" fillId="0" borderId="0" xfId="280" applyFont="1" applyFill="1" applyAlignment="1">
      <alignment horizontal="right"/>
    </xf>
    <xf numFmtId="167" fontId="47" fillId="0" borderId="21" xfId="279" applyNumberFormat="1" applyFont="1" applyBorder="1"/>
    <xf numFmtId="44" fontId="49" fillId="0" borderId="0" xfId="279" applyNumberFormat="1" applyFont="1"/>
    <xf numFmtId="0" fontId="52" fillId="0" borderId="0" xfId="280" applyFont="1" applyFill="1" applyAlignment="1">
      <alignment horizontal="center"/>
    </xf>
    <xf numFmtId="0" fontId="50" fillId="0" borderId="0" xfId="280" applyFont="1" applyFill="1" applyBorder="1"/>
    <xf numFmtId="2" fontId="49" fillId="0" borderId="0" xfId="279" applyNumberFormat="1" applyFont="1"/>
    <xf numFmtId="0" fontId="50" fillId="0" borderId="0" xfId="280" applyFont="1" applyFill="1" applyBorder="1" applyAlignment="1">
      <alignment horizontal="right"/>
    </xf>
    <xf numFmtId="44" fontId="54" fillId="0" borderId="0" xfId="125" applyFont="1" applyFill="1" applyBorder="1"/>
    <xf numFmtId="0" fontId="50" fillId="0" borderId="0" xfId="280" applyFont="1" applyBorder="1" applyAlignment="1">
      <alignment horizontal="left"/>
    </xf>
    <xf numFmtId="0" fontId="48" fillId="0" borderId="0" xfId="280" applyFont="1" applyAlignment="1">
      <alignment horizontal="center"/>
    </xf>
    <xf numFmtId="43" fontId="48" fillId="0" borderId="0" xfId="103" applyFont="1" applyFill="1"/>
    <xf numFmtId="0" fontId="49" fillId="0" borderId="0" xfId="279" applyFont="1" applyFill="1" applyBorder="1"/>
    <xf numFmtId="43" fontId="49" fillId="0" borderId="0" xfId="103" applyFont="1"/>
    <xf numFmtId="0" fontId="52" fillId="0" borderId="0" xfId="280" applyFont="1" applyAlignment="1">
      <alignment horizontal="center"/>
    </xf>
    <xf numFmtId="0" fontId="48" fillId="0" borderId="0" xfId="280" applyFont="1" applyBorder="1"/>
    <xf numFmtId="43" fontId="49" fillId="0" borderId="0" xfId="103" applyFont="1"/>
    <xf numFmtId="43" fontId="48" fillId="0" borderId="0" xfId="103" applyFont="1"/>
    <xf numFmtId="167" fontId="48" fillId="0" borderId="0" xfId="280" applyNumberFormat="1" applyFont="1" applyFill="1"/>
    <xf numFmtId="167" fontId="0" fillId="5" borderId="0" xfId="1" applyNumberFormat="1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44" fontId="0" fillId="0" borderId="0" xfId="2" applyFont="1" applyFill="1"/>
    <xf numFmtId="165" fontId="0" fillId="0" borderId="0" xfId="2" applyNumberFormat="1" applyFont="1" applyFill="1"/>
    <xf numFmtId="0" fontId="3" fillId="6" borderId="0" xfId="0" applyFont="1" applyFill="1" applyBorder="1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center"/>
    </xf>
    <xf numFmtId="173" fontId="0" fillId="0" borderId="0" xfId="0" applyNumberFormat="1"/>
    <xf numFmtId="0" fontId="11" fillId="0" borderId="1" xfId="278" applyFont="1" applyBorder="1"/>
    <xf numFmtId="43" fontId="0" fillId="0" borderId="1" xfId="1" applyFont="1" applyBorder="1"/>
    <xf numFmtId="0" fontId="0" fillId="0" borderId="3" xfId="0" applyFont="1" applyBorder="1" applyAlignment="1">
      <alignment horizontal="center"/>
    </xf>
    <xf numFmtId="0" fontId="11" fillId="0" borderId="3" xfId="278" applyFont="1" applyBorder="1"/>
    <xf numFmtId="43" fontId="0" fillId="0" borderId="3" xfId="1" applyFont="1" applyBorder="1" applyAlignment="1">
      <alignment horizontal="right"/>
    </xf>
    <xf numFmtId="43" fontId="0" fillId="0" borderId="3" xfId="1" applyFont="1" applyFill="1" applyBorder="1"/>
    <xf numFmtId="167" fontId="0" fillId="0" borderId="3" xfId="1" applyNumberFormat="1" applyFont="1" applyBorder="1"/>
    <xf numFmtId="167" fontId="0" fillId="0" borderId="3" xfId="1" applyNumberFormat="1" applyFont="1" applyFill="1" applyBorder="1"/>
    <xf numFmtId="44" fontId="0" fillId="0" borderId="3" xfId="2" applyFont="1" applyFill="1" applyBorder="1"/>
    <xf numFmtId="44" fontId="0" fillId="0" borderId="3" xfId="2" applyFont="1" applyBorder="1"/>
    <xf numFmtId="0" fontId="11" fillId="0" borderId="1" xfId="272" applyFont="1" applyBorder="1"/>
    <xf numFmtId="0" fontId="0" fillId="0" borderId="0" xfId="0" applyFont="1" applyFill="1" applyBorder="1" applyAlignment="1">
      <alignment horizontal="center" vertical="center" textRotation="90"/>
    </xf>
    <xf numFmtId="10" fontId="0" fillId="0" borderId="0" xfId="0" applyNumberFormat="1" applyFont="1"/>
    <xf numFmtId="1" fontId="0" fillId="0" borderId="0" xfId="0" applyNumberFormat="1" applyFont="1" applyBorder="1"/>
    <xf numFmtId="42" fontId="0" fillId="0" borderId="0" xfId="0" applyNumberFormat="1" applyFont="1" applyBorder="1"/>
    <xf numFmtId="0" fontId="3" fillId="5" borderId="0" xfId="0" applyFont="1" applyFill="1" applyBorder="1" applyAlignment="1">
      <alignment horizontal="left"/>
    </xf>
    <xf numFmtId="0" fontId="11" fillId="5" borderId="0" xfId="4" applyFont="1" applyFill="1" applyBorder="1" applyAlignment="1">
      <alignment horizontal="left"/>
    </xf>
    <xf numFmtId="43" fontId="0" fillId="5" borderId="0" xfId="1" applyFont="1" applyFill="1" applyBorder="1"/>
    <xf numFmtId="165" fontId="0" fillId="0" borderId="0" xfId="2" applyNumberFormat="1" applyFont="1" applyFill="1" applyBorder="1"/>
    <xf numFmtId="170" fontId="0" fillId="0" borderId="0" xfId="2" applyNumberFormat="1" applyFont="1" applyFill="1" applyBorder="1"/>
    <xf numFmtId="44" fontId="0" fillId="0" borderId="0" xfId="0" applyNumberFormat="1" applyFont="1" applyFill="1" applyBorder="1"/>
    <xf numFmtId="44" fontId="3" fillId="0" borderId="0" xfId="0" applyNumberFormat="1" applyFont="1" applyFill="1" applyBorder="1"/>
    <xf numFmtId="167" fontId="0" fillId="0" borderId="0" xfId="0" applyNumberFormat="1" applyFont="1"/>
    <xf numFmtId="4" fontId="0" fillId="0" borderId="0" xfId="0" applyNumberFormat="1" applyFont="1" applyBorder="1"/>
    <xf numFmtId="2" fontId="0" fillId="0" borderId="0" xfId="0" applyNumberFormat="1" applyFont="1" applyBorder="1"/>
    <xf numFmtId="174" fontId="0" fillId="0" borderId="0" xfId="0" applyNumberFormat="1" applyFont="1" applyFill="1" applyBorder="1"/>
    <xf numFmtId="175" fontId="0" fillId="0" borderId="0" xfId="1" applyNumberFormat="1" applyFont="1" applyBorder="1"/>
    <xf numFmtId="175" fontId="0" fillId="0" borderId="0" xfId="0" applyNumberFormat="1" applyFont="1" applyBorder="1"/>
    <xf numFmtId="42" fontId="3" fillId="0" borderId="0" xfId="0" applyNumberFormat="1" applyFont="1" applyBorder="1"/>
    <xf numFmtId="0" fontId="11" fillId="0" borderId="0" xfId="271" applyFont="1" applyFill="1" applyBorder="1"/>
    <xf numFmtId="167" fontId="0" fillId="0" borderId="0" xfId="1" applyNumberFormat="1" applyFont="1" applyFill="1" applyBorder="1" applyAlignment="1">
      <alignment horizontal="right"/>
    </xf>
    <xf numFmtId="44" fontId="0" fillId="36" borderId="0" xfId="2" applyFont="1" applyFill="1" applyBorder="1"/>
    <xf numFmtId="0" fontId="3" fillId="0" borderId="22" xfId="0" applyFont="1" applyBorder="1"/>
    <xf numFmtId="4" fontId="0" fillId="0" borderId="23" xfId="0" applyNumberFormat="1" applyBorder="1"/>
    <xf numFmtId="173" fontId="0" fillId="0" borderId="23" xfId="0" applyNumberFormat="1" applyBorder="1"/>
    <xf numFmtId="4" fontId="0" fillId="0" borderId="24" xfId="0" applyNumberFormat="1" applyBorder="1"/>
    <xf numFmtId="0" fontId="3" fillId="0" borderId="25" xfId="0" applyFont="1" applyBorder="1"/>
    <xf numFmtId="4" fontId="0" fillId="0" borderId="0" xfId="0" applyNumberFormat="1" applyBorder="1"/>
    <xf numFmtId="173" fontId="0" fillId="0" borderId="0" xfId="0" applyNumberFormat="1" applyBorder="1"/>
    <xf numFmtId="4" fontId="0" fillId="0" borderId="26" xfId="0" applyNumberFormat="1" applyBorder="1"/>
    <xf numFmtId="0" fontId="0" fillId="0" borderId="25" xfId="0" applyBorder="1"/>
    <xf numFmtId="0" fontId="0" fillId="5" borderId="25" xfId="0" applyFill="1" applyBorder="1"/>
    <xf numFmtId="0" fontId="0" fillId="0" borderId="0" xfId="0" applyFill="1" applyBorder="1"/>
    <xf numFmtId="173" fontId="3" fillId="0" borderId="0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6" xfId="0" quotePrefix="1" applyNumberFormat="1" applyFont="1" applyBorder="1" applyAlignment="1">
      <alignment horizontal="center"/>
    </xf>
    <xf numFmtId="0" fontId="0" fillId="0" borderId="25" xfId="0" applyFill="1" applyBorder="1"/>
    <xf numFmtId="4" fontId="0" fillId="0" borderId="0" xfId="0" applyNumberFormat="1" applyFill="1" applyBorder="1"/>
    <xf numFmtId="173" fontId="0" fillId="0" borderId="0" xfId="0" applyNumberFormat="1" applyFill="1" applyBorder="1"/>
    <xf numFmtId="4" fontId="0" fillId="0" borderId="26" xfId="0" applyNumberFormat="1" applyFill="1" applyBorder="1"/>
    <xf numFmtId="4" fontId="0" fillId="5" borderId="0" xfId="0" applyNumberFormat="1" applyFill="1" applyBorder="1"/>
    <xf numFmtId="173" fontId="0" fillId="5" borderId="0" xfId="0" applyNumberFormat="1" applyFill="1" applyBorder="1"/>
    <xf numFmtId="4" fontId="0" fillId="5" borderId="26" xfId="0" applyNumberFormat="1" applyFill="1" applyBorder="1"/>
    <xf numFmtId="0" fontId="3" fillId="5" borderId="25" xfId="0" applyFont="1" applyFill="1" applyBorder="1"/>
    <xf numFmtId="0" fontId="0" fillId="5" borderId="25" xfId="0" applyFont="1" applyFill="1" applyBorder="1"/>
    <xf numFmtId="0" fontId="0" fillId="5" borderId="27" xfId="0" applyFill="1" applyBorder="1"/>
    <xf numFmtId="4" fontId="0" fillId="5" borderId="2" xfId="0" applyNumberFormat="1" applyFill="1" applyBorder="1"/>
    <xf numFmtId="173" fontId="0" fillId="5" borderId="2" xfId="0" applyNumberFormat="1" applyFill="1" applyBorder="1"/>
    <xf numFmtId="4" fontId="0" fillId="5" borderId="28" xfId="0" applyNumberFormat="1" applyFill="1" applyBorder="1"/>
    <xf numFmtId="165" fontId="0" fillId="0" borderId="1" xfId="2" applyNumberFormat="1" applyFont="1" applyFill="1" applyBorder="1"/>
    <xf numFmtId="170" fontId="0" fillId="0" borderId="0" xfId="2" applyNumberFormat="1" applyFont="1" applyFill="1"/>
    <xf numFmtId="44" fontId="0" fillId="37" borderId="0" xfId="2" applyFont="1" applyFill="1" applyBorder="1"/>
    <xf numFmtId="44" fontId="0" fillId="37" borderId="1" xfId="2" applyFont="1" applyFill="1" applyBorder="1"/>
    <xf numFmtId="44" fontId="0" fillId="37" borderId="0" xfId="2" applyFont="1" applyFill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6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43" fontId="55" fillId="0" borderId="0" xfId="103" applyFont="1" applyFill="1" applyAlignment="1">
      <alignment horizontal="left"/>
    </xf>
  </cellXfs>
  <cellStyles count="281">
    <cellStyle name="20% - Accent1 2" xfId="40"/>
    <cellStyle name="20% - Accent1 3" xfId="39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3" xfId="45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5 2" xfId="60"/>
    <cellStyle name="40% - Accent5 3" xfId="59"/>
    <cellStyle name="40% - Accent6 2" xfId="62"/>
    <cellStyle name="40% - Accent6 3" xfId="61"/>
    <cellStyle name="60% - Accent1 2" xfId="64"/>
    <cellStyle name="60% - Accent1 3" xfId="63"/>
    <cellStyle name="60% - Accent2 2" xfId="66"/>
    <cellStyle name="60% - Accent2 3" xfId="65"/>
    <cellStyle name="60% - Accent3 2" xfId="68"/>
    <cellStyle name="60% - Accent3 3" xfId="67"/>
    <cellStyle name="60% - Accent4 2" xfId="70"/>
    <cellStyle name="60% - Accent4 3" xfId="69"/>
    <cellStyle name="60% - Accent5 2" xfId="72"/>
    <cellStyle name="60% - Accent5 3" xfId="71"/>
    <cellStyle name="60% - Accent6 2" xfId="74"/>
    <cellStyle name="60% - Accent6 3" xfId="73"/>
    <cellStyle name="Accent1 2" xfId="76"/>
    <cellStyle name="Accent1 3" xfId="75"/>
    <cellStyle name="Accent2 2" xfId="78"/>
    <cellStyle name="Accent2 3" xfId="77"/>
    <cellStyle name="Accent3 2" xfId="80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3" xfId="97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2" xfId="5"/>
    <cellStyle name="Comma 2 2" xfId="6"/>
    <cellStyle name="Comma 2 3" xfId="105"/>
    <cellStyle name="Comma 2 6" xfId="7"/>
    <cellStyle name="Comma 2 6 2" xfId="8"/>
    <cellStyle name="Comma 3" xfId="9"/>
    <cellStyle name="Comma 3 2" xfId="106"/>
    <cellStyle name="Comma 3 2 2" xfId="107"/>
    <cellStyle name="Comma 4" xfId="108"/>
    <cellStyle name="Comma 4 2" xfId="109"/>
    <cellStyle name="Comma 4 3" xfId="110"/>
    <cellStyle name="Comma 4 5" xfId="111"/>
    <cellStyle name="Comma 5" xfId="112"/>
    <cellStyle name="Comma 6" xfId="113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2" xfId="10"/>
    <cellStyle name="Currency 2 2" xfId="11"/>
    <cellStyle name="Currency 2 2 2" xfId="123"/>
    <cellStyle name="Currency 2 3" xfId="122"/>
    <cellStyle name="Currency 2 6" xfId="12"/>
    <cellStyle name="Currency 2 6 2" xfId="13"/>
    <cellStyle name="Currency 3" xfId="14"/>
    <cellStyle name="Currency 3 2" xfId="125"/>
    <cellStyle name="Currency 3 3" xfId="124"/>
    <cellStyle name="Currency 4" xfId="15"/>
    <cellStyle name="Currency 4 2" xfId="16"/>
    <cellStyle name="Currency 5" xfId="121"/>
    <cellStyle name="Currency 5 2" xfId="276"/>
    <cellStyle name="Data Enter" xfId="126"/>
    <cellStyle name="Explanatory Text 2" xfId="128"/>
    <cellStyle name="Explanatory Text 3" xfId="127"/>
    <cellStyle name="FactSheet" xfId="129"/>
    <cellStyle name="Good 2" xfId="131"/>
    <cellStyle name="Good 3" xfId="130"/>
    <cellStyle name="Heading 1 2" xfId="133"/>
    <cellStyle name="Heading 1 3" xfId="132"/>
    <cellStyle name="Heading 2 2" xfId="135"/>
    <cellStyle name="Heading 2 3" xfId="134"/>
    <cellStyle name="Heading 3 2" xfId="137"/>
    <cellStyle name="Heading 3 3" xfId="136"/>
    <cellStyle name="Heading 4 2" xfId="139"/>
    <cellStyle name="Heading 4 3" xfId="138"/>
    <cellStyle name="Hyperlink 2" xfId="140"/>
    <cellStyle name="Hyperlink 3" xfId="141"/>
    <cellStyle name="Input 2" xfId="143"/>
    <cellStyle name="Input 3" xfId="142"/>
    <cellStyle name="input(0)" xfId="144"/>
    <cellStyle name="Input(2)" xfId="145"/>
    <cellStyle name="Linked Cell 2" xfId="147"/>
    <cellStyle name="Linked Cell 3" xfId="146"/>
    <cellStyle name="Neutral 2" xfId="149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1" xfId="157"/>
    <cellStyle name="Normal 12" xfId="158"/>
    <cellStyle name="Normal 13" xfId="159"/>
    <cellStyle name="Normal 14" xfId="160"/>
    <cellStyle name="Normal 15" xfId="161"/>
    <cellStyle name="Normal 16" xfId="162"/>
    <cellStyle name="Normal 17" xfId="163"/>
    <cellStyle name="Normal 18" xfId="164"/>
    <cellStyle name="Normal 19" xfId="165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5" xfId="252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_Price out" xfId="4"/>
    <cellStyle name="Normal_Regulated Price Out 9-6-2011 Final HL" xfId="280"/>
    <cellStyle name="Note 2" xfId="246"/>
    <cellStyle name="Note 3" xfId="245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6" xfId="26"/>
    <cellStyle name="Percent 3" xfId="27"/>
    <cellStyle name="Percent 3 2" xfId="28"/>
    <cellStyle name="Percent 4" xfId="29"/>
    <cellStyle name="Percent 5" xfId="253"/>
    <cellStyle name="Percent 6" xfId="254"/>
    <cellStyle name="Percent 7" xfId="250"/>
    <cellStyle name="Percent 7 2" xfId="275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e 1" xfId="261"/>
    <cellStyle name="Style 1 2" xfId="262"/>
    <cellStyle name="STYLE1" xfId="263"/>
    <cellStyle name="Title 2" xfId="265"/>
    <cellStyle name="Title 3" xfId="264"/>
    <cellStyle name="Total 2" xfId="267"/>
    <cellStyle name="Total 3" xfId="266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workbookViewId="0">
      <selection activeCell="A37" sqref="A37"/>
    </sheetView>
  </sheetViews>
  <sheetFormatPr defaultColWidth="9.1796875" defaultRowHeight="14.5" x14ac:dyDescent="0.35"/>
  <cols>
    <col min="1" max="1" width="36.26953125" style="9" bestFit="1" customWidth="1"/>
    <col min="2" max="2" width="19" style="9" bestFit="1" customWidth="1"/>
    <col min="3" max="3" width="16" style="9" bestFit="1" customWidth="1"/>
    <col min="4" max="4" width="13.1796875" style="9" customWidth="1"/>
    <col min="5" max="5" width="7" style="9" bestFit="1" customWidth="1"/>
    <col min="6" max="6" width="11.453125" style="9" bestFit="1" customWidth="1"/>
    <col min="7" max="7" width="10" style="9" bestFit="1" customWidth="1"/>
    <col min="8" max="8" width="8" style="9" bestFit="1" customWidth="1"/>
    <col min="9" max="9" width="15.81640625" style="9" bestFit="1" customWidth="1"/>
    <col min="10" max="10" width="12" style="9" bestFit="1" customWidth="1"/>
    <col min="11" max="16384" width="9.1796875" style="9"/>
  </cols>
  <sheetData>
    <row r="1" spans="1:8" s="64" customFormat="1" x14ac:dyDescent="0.35">
      <c r="A1" s="66" t="s">
        <v>423</v>
      </c>
    </row>
    <row r="2" spans="1:8" s="64" customFormat="1" x14ac:dyDescent="0.35">
      <c r="A2" s="66" t="s">
        <v>424</v>
      </c>
    </row>
    <row r="3" spans="1:8" s="64" customFormat="1" x14ac:dyDescent="0.35">
      <c r="A3" s="66" t="s">
        <v>425</v>
      </c>
    </row>
    <row r="4" spans="1:8" s="64" customFormat="1" x14ac:dyDescent="0.35">
      <c r="A4"/>
    </row>
    <row r="5" spans="1:8" x14ac:dyDescent="0.35">
      <c r="A5" s="268" t="s">
        <v>19</v>
      </c>
      <c r="B5" s="268"/>
      <c r="C5" s="268"/>
      <c r="D5" s="268"/>
      <c r="E5" s="268"/>
      <c r="F5" s="268"/>
      <c r="G5" s="268"/>
      <c r="H5" s="268"/>
    </row>
    <row r="6" spans="1:8" x14ac:dyDescent="0.35">
      <c r="A6" s="9" t="s">
        <v>63</v>
      </c>
      <c r="B6" s="35" t="s">
        <v>48</v>
      </c>
      <c r="C6" s="35" t="s">
        <v>49</v>
      </c>
      <c r="D6" s="35" t="s">
        <v>50</v>
      </c>
      <c r="E6" s="36" t="s">
        <v>53</v>
      </c>
      <c r="F6" s="36" t="s">
        <v>54</v>
      </c>
      <c r="G6" s="36" t="s">
        <v>55</v>
      </c>
      <c r="H6" s="35" t="s">
        <v>59</v>
      </c>
    </row>
    <row r="7" spans="1:8" x14ac:dyDescent="0.35">
      <c r="A7" s="9" t="s">
        <v>60</v>
      </c>
      <c r="B7" s="1">
        <f>52*5/12</f>
        <v>21.666666666666668</v>
      </c>
      <c r="C7" s="37">
        <f>$B$7*2</f>
        <v>43.333333333333336</v>
      </c>
      <c r="D7" s="37">
        <f>$B$7*3</f>
        <v>65</v>
      </c>
      <c r="E7" s="37">
        <f>$B$7*4</f>
        <v>86.666666666666671</v>
      </c>
      <c r="F7" s="37">
        <f>$B$7*5</f>
        <v>108.33333333333334</v>
      </c>
      <c r="G7" s="37">
        <f>$B$7*6</f>
        <v>130</v>
      </c>
      <c r="H7" s="37">
        <f>$B$7*7</f>
        <v>151.66666666666669</v>
      </c>
    </row>
    <row r="8" spans="1:8" x14ac:dyDescent="0.35">
      <c r="A8" s="9" t="s">
        <v>102</v>
      </c>
      <c r="B8" s="1">
        <f>52*4/12</f>
        <v>17.333333333333332</v>
      </c>
      <c r="C8" s="37">
        <f>$B$8*2</f>
        <v>34.666666666666664</v>
      </c>
      <c r="D8" s="37">
        <f>$B$8*3</f>
        <v>52</v>
      </c>
      <c r="E8" s="37">
        <f>$B$8*4</f>
        <v>69.333333333333329</v>
      </c>
      <c r="F8" s="37">
        <f>$B$8*5</f>
        <v>86.666666666666657</v>
      </c>
      <c r="G8" s="37">
        <f>$B$8*6</f>
        <v>104</v>
      </c>
      <c r="H8" s="37">
        <f>$B$8*7</f>
        <v>121.33333333333333</v>
      </c>
    </row>
    <row r="9" spans="1:8" x14ac:dyDescent="0.35">
      <c r="A9" s="9" t="s">
        <v>61</v>
      </c>
      <c r="B9" s="1">
        <f>52*3/12</f>
        <v>13</v>
      </c>
      <c r="C9" s="37">
        <f>$B$9*2</f>
        <v>26</v>
      </c>
      <c r="D9" s="37">
        <f>$B$9*3</f>
        <v>39</v>
      </c>
      <c r="E9" s="37">
        <f>$B$9*4</f>
        <v>52</v>
      </c>
      <c r="F9" s="37">
        <f>$B$9*5</f>
        <v>65</v>
      </c>
      <c r="G9" s="37">
        <f>$B$9*6</f>
        <v>78</v>
      </c>
      <c r="H9" s="37">
        <f>$B$9*7</f>
        <v>91</v>
      </c>
    </row>
    <row r="10" spans="1:8" x14ac:dyDescent="0.35">
      <c r="A10" s="9" t="s">
        <v>62</v>
      </c>
      <c r="B10" s="1">
        <f>52*2/12</f>
        <v>8.6666666666666661</v>
      </c>
      <c r="C10" s="38">
        <f>$B$10*2</f>
        <v>17.333333333333332</v>
      </c>
      <c r="D10" s="38">
        <f>$B$10*3</f>
        <v>26</v>
      </c>
      <c r="E10" s="38">
        <f>$B$10*4</f>
        <v>34.666666666666664</v>
      </c>
      <c r="F10" s="38">
        <f>$B$10*5</f>
        <v>43.333333333333329</v>
      </c>
      <c r="G10" s="38">
        <f>$B$10*6</f>
        <v>52</v>
      </c>
      <c r="H10" s="38">
        <f>$B$10*7</f>
        <v>60.666666666666664</v>
      </c>
    </row>
    <row r="11" spans="1:8" x14ac:dyDescent="0.35">
      <c r="A11" s="9" t="s">
        <v>22</v>
      </c>
      <c r="B11" s="1">
        <f>52/12</f>
        <v>4.333333333333333</v>
      </c>
      <c r="C11" s="38">
        <f>$B$11*2</f>
        <v>8.6666666666666661</v>
      </c>
      <c r="D11" s="38">
        <f>$B$11*3</f>
        <v>13</v>
      </c>
      <c r="E11" s="38">
        <f>$B$11*4</f>
        <v>17.333333333333332</v>
      </c>
      <c r="F11" s="38">
        <f>$B$11*5</f>
        <v>21.666666666666664</v>
      </c>
      <c r="G11" s="38">
        <f>$B$11*6</f>
        <v>26</v>
      </c>
      <c r="H11" s="38">
        <f>$B$11*7</f>
        <v>30.333333333333332</v>
      </c>
    </row>
    <row r="12" spans="1:8" x14ac:dyDescent="0.35">
      <c r="A12" s="9" t="s">
        <v>24</v>
      </c>
      <c r="B12" s="1">
        <f>26/12</f>
        <v>2.1666666666666665</v>
      </c>
      <c r="C12" s="38">
        <f>$B$12*2</f>
        <v>4.333333333333333</v>
      </c>
      <c r="D12" s="38">
        <f>$B$12*3</f>
        <v>6.5</v>
      </c>
      <c r="E12" s="38">
        <f>$B$12*4</f>
        <v>8.6666666666666661</v>
      </c>
      <c r="F12" s="38">
        <f>$B$12*5</f>
        <v>10.833333333333332</v>
      </c>
      <c r="G12" s="38">
        <f>$B$12*6</f>
        <v>13</v>
      </c>
      <c r="H12" s="38">
        <f>$B$12*7</f>
        <v>15.166666666666666</v>
      </c>
    </row>
    <row r="13" spans="1:8" x14ac:dyDescent="0.35">
      <c r="A13" s="9" t="s">
        <v>23</v>
      </c>
      <c r="B13" s="1">
        <f>12/12</f>
        <v>1</v>
      </c>
      <c r="C13" s="38">
        <f>$B$13*2</f>
        <v>2</v>
      </c>
      <c r="D13" s="38">
        <f>$B$13*3</f>
        <v>3</v>
      </c>
      <c r="E13" s="38">
        <f>$B$13*4</f>
        <v>4</v>
      </c>
      <c r="F13" s="38">
        <f>$B$13*5</f>
        <v>5</v>
      </c>
      <c r="G13" s="38">
        <f>$B$13*6</f>
        <v>6</v>
      </c>
      <c r="H13" s="38">
        <f>$B$13*7</f>
        <v>7</v>
      </c>
    </row>
    <row r="14" spans="1:8" x14ac:dyDescent="0.35">
      <c r="B14" s="1"/>
      <c r="C14" s="38"/>
      <c r="D14" s="38"/>
      <c r="E14" s="38"/>
      <c r="F14" s="38"/>
      <c r="G14" s="38"/>
      <c r="H14" s="38"/>
    </row>
    <row r="15" spans="1:8" x14ac:dyDescent="0.35">
      <c r="A15" s="268" t="s">
        <v>11</v>
      </c>
      <c r="B15" s="268"/>
      <c r="C15" s="68"/>
      <c r="D15" s="38"/>
      <c r="E15" s="38"/>
      <c r="F15" s="38"/>
      <c r="G15" s="38"/>
      <c r="H15" s="38"/>
    </row>
    <row r="16" spans="1:8" x14ac:dyDescent="0.35">
      <c r="A16" s="66" t="s">
        <v>58</v>
      </c>
      <c r="B16" s="70" t="s">
        <v>88</v>
      </c>
      <c r="C16" s="68"/>
      <c r="D16" s="38"/>
      <c r="E16" s="38"/>
      <c r="F16" s="38"/>
      <c r="G16" s="38"/>
      <c r="H16" s="38"/>
    </row>
    <row r="17" spans="1:8" x14ac:dyDescent="0.35">
      <c r="A17" s="69" t="s">
        <v>89</v>
      </c>
      <c r="B17" s="67">
        <v>20</v>
      </c>
      <c r="C17" s="68"/>
      <c r="D17" s="38"/>
      <c r="E17" s="38"/>
      <c r="F17" s="38"/>
      <c r="G17" s="38"/>
      <c r="H17" s="38"/>
    </row>
    <row r="18" spans="1:8" x14ac:dyDescent="0.35">
      <c r="A18" s="69" t="s">
        <v>64</v>
      </c>
      <c r="B18" s="67">
        <v>34</v>
      </c>
      <c r="C18" s="68"/>
      <c r="D18" s="38"/>
      <c r="E18" s="38"/>
      <c r="F18" s="38"/>
      <c r="G18" s="38"/>
      <c r="H18" s="38"/>
    </row>
    <row r="19" spans="1:8" x14ac:dyDescent="0.35">
      <c r="A19" s="69" t="s">
        <v>65</v>
      </c>
      <c r="B19" s="67">
        <v>51</v>
      </c>
      <c r="C19" s="68"/>
      <c r="D19" s="38"/>
      <c r="E19" s="38"/>
      <c r="F19" s="38"/>
      <c r="G19" s="38"/>
      <c r="H19" s="38"/>
    </row>
    <row r="20" spans="1:8" x14ac:dyDescent="0.35">
      <c r="A20" s="69" t="s">
        <v>66</v>
      </c>
      <c r="B20" s="67">
        <v>77</v>
      </c>
      <c r="C20" s="68"/>
      <c r="D20" s="38"/>
      <c r="E20" s="38"/>
      <c r="F20" s="9" t="s">
        <v>20</v>
      </c>
      <c r="G20" s="18">
        <v>2000</v>
      </c>
      <c r="H20" s="38"/>
    </row>
    <row r="21" spans="1:8" x14ac:dyDescent="0.35">
      <c r="A21" s="69" t="s">
        <v>67</v>
      </c>
      <c r="B21" s="67">
        <v>97</v>
      </c>
      <c r="C21" s="68"/>
      <c r="D21" s="38"/>
      <c r="E21" s="38"/>
      <c r="F21" s="9" t="s">
        <v>21</v>
      </c>
      <c r="G21" s="40" t="s">
        <v>51</v>
      </c>
      <c r="H21" s="38"/>
    </row>
    <row r="22" spans="1:8" x14ac:dyDescent="0.35">
      <c r="A22" s="69" t="s">
        <v>68</v>
      </c>
      <c r="B22" s="67">
        <v>117</v>
      </c>
      <c r="C22" s="68"/>
      <c r="D22" s="38"/>
      <c r="E22" s="38"/>
      <c r="H22" s="38"/>
    </row>
    <row r="23" spans="1:8" x14ac:dyDescent="0.35">
      <c r="A23" s="69" t="s">
        <v>69</v>
      </c>
      <c r="B23" s="67">
        <v>157</v>
      </c>
      <c r="C23" s="68"/>
      <c r="D23" s="38"/>
      <c r="E23" s="38"/>
      <c r="F23" s="22"/>
      <c r="G23" s="23"/>
      <c r="H23" s="38"/>
    </row>
    <row r="24" spans="1:8" x14ac:dyDescent="0.35">
      <c r="A24" s="69" t="s">
        <v>70</v>
      </c>
      <c r="B24" s="67">
        <v>47</v>
      </c>
      <c r="C24" s="68"/>
      <c r="D24" s="38"/>
      <c r="E24" s="38"/>
      <c r="F24" s="38"/>
      <c r="G24" s="38"/>
      <c r="H24" s="38"/>
    </row>
    <row r="25" spans="1:8" x14ac:dyDescent="0.35">
      <c r="A25" s="69" t="s">
        <v>71</v>
      </c>
      <c r="B25" s="67">
        <v>68</v>
      </c>
      <c r="C25" s="68"/>
      <c r="D25" s="38"/>
      <c r="E25" s="38"/>
      <c r="F25" s="38"/>
      <c r="G25" s="38"/>
      <c r="H25" s="38"/>
    </row>
    <row r="26" spans="1:8" x14ac:dyDescent="0.35">
      <c r="A26" s="69" t="s">
        <v>72</v>
      </c>
      <c r="B26" s="67">
        <v>34</v>
      </c>
      <c r="C26" s="68"/>
      <c r="D26" s="38"/>
      <c r="E26" s="38"/>
      <c r="F26" s="38"/>
      <c r="G26" s="38"/>
      <c r="H26" s="38"/>
    </row>
    <row r="27" spans="1:8" x14ac:dyDescent="0.35">
      <c r="A27" s="69" t="s">
        <v>32</v>
      </c>
      <c r="B27" s="67">
        <v>34</v>
      </c>
      <c r="C27" s="68"/>
      <c r="D27" s="38"/>
      <c r="E27" s="38"/>
      <c r="F27" s="38"/>
      <c r="G27" s="38"/>
      <c r="H27" s="38"/>
    </row>
    <row r="28" spans="1:8" x14ac:dyDescent="0.35">
      <c r="A28" s="66" t="s">
        <v>73</v>
      </c>
      <c r="B28" s="67"/>
      <c r="C28" s="68"/>
      <c r="D28" s="38"/>
      <c r="E28" s="38"/>
      <c r="F28" s="38"/>
      <c r="G28" s="38"/>
      <c r="H28" s="38"/>
    </row>
    <row r="29" spans="1:8" x14ac:dyDescent="0.35">
      <c r="A29" s="69" t="s">
        <v>74</v>
      </c>
      <c r="B29" s="67">
        <v>29</v>
      </c>
      <c r="C29" s="68"/>
      <c r="D29" s="38"/>
      <c r="E29" s="38"/>
      <c r="F29" s="38"/>
      <c r="G29" s="38"/>
      <c r="H29" s="38"/>
    </row>
    <row r="30" spans="1:8" x14ac:dyDescent="0.35">
      <c r="A30" s="69" t="s">
        <v>75</v>
      </c>
      <c r="B30" s="67">
        <v>175</v>
      </c>
      <c r="C30" s="68"/>
      <c r="D30" s="38"/>
      <c r="E30" s="38"/>
      <c r="F30" s="38"/>
      <c r="G30" s="38"/>
      <c r="H30" s="38"/>
    </row>
    <row r="31" spans="1:8" x14ac:dyDescent="0.35">
      <c r="A31" s="69" t="s">
        <v>76</v>
      </c>
      <c r="B31" s="67">
        <v>250</v>
      </c>
      <c r="C31" s="68"/>
      <c r="D31" s="38"/>
      <c r="E31" s="38"/>
      <c r="F31" s="38"/>
      <c r="G31" s="38"/>
      <c r="H31" s="38"/>
    </row>
    <row r="32" spans="1:8" s="64" customFormat="1" x14ac:dyDescent="0.35">
      <c r="A32" s="69" t="s">
        <v>343</v>
      </c>
      <c r="B32" s="67">
        <v>375</v>
      </c>
      <c r="C32" s="68" t="s">
        <v>92</v>
      </c>
      <c r="D32" s="68"/>
      <c r="E32" s="68"/>
      <c r="F32" s="68"/>
      <c r="G32" s="68"/>
      <c r="H32" s="68"/>
    </row>
    <row r="33" spans="1:8" x14ac:dyDescent="0.35">
      <c r="A33" s="69" t="s">
        <v>77</v>
      </c>
      <c r="B33" s="67">
        <v>324</v>
      </c>
      <c r="C33" s="68"/>
      <c r="D33" s="38"/>
      <c r="E33" s="38"/>
      <c r="F33" s="38"/>
      <c r="G33" s="38"/>
      <c r="H33" s="38"/>
    </row>
    <row r="34" spans="1:8" x14ac:dyDescent="0.35">
      <c r="A34" s="69" t="s">
        <v>78</v>
      </c>
      <c r="B34" s="67">
        <v>473</v>
      </c>
      <c r="C34" s="68"/>
      <c r="D34" s="38"/>
      <c r="E34" s="38"/>
      <c r="F34" s="38"/>
      <c r="G34" s="38"/>
      <c r="H34" s="38"/>
    </row>
    <row r="35" spans="1:8" s="64" customFormat="1" x14ac:dyDescent="0.35">
      <c r="A35" s="69" t="s">
        <v>342</v>
      </c>
      <c r="B35" s="67">
        <v>710</v>
      </c>
      <c r="C35" s="68" t="s">
        <v>92</v>
      </c>
      <c r="D35" s="68"/>
      <c r="E35" s="68"/>
      <c r="F35" s="68"/>
      <c r="G35" s="68"/>
      <c r="H35" s="68"/>
    </row>
    <row r="36" spans="1:8" x14ac:dyDescent="0.35">
      <c r="A36" s="69" t="s">
        <v>79</v>
      </c>
      <c r="B36" s="67">
        <v>613</v>
      </c>
      <c r="C36" s="68"/>
      <c r="D36" s="38"/>
      <c r="E36" s="38"/>
      <c r="F36" s="38"/>
      <c r="G36" s="38"/>
      <c r="H36" s="38"/>
    </row>
    <row r="37" spans="1:8" s="64" customFormat="1" x14ac:dyDescent="0.35">
      <c r="A37" s="69" t="s">
        <v>341</v>
      </c>
      <c r="B37" s="67">
        <v>920</v>
      </c>
      <c r="C37" s="68" t="s">
        <v>92</v>
      </c>
      <c r="D37" s="68"/>
      <c r="E37" s="68"/>
      <c r="F37" s="68"/>
      <c r="G37" s="68"/>
      <c r="H37" s="68"/>
    </row>
    <row r="38" spans="1:8" x14ac:dyDescent="0.35">
      <c r="A38" s="69" t="s">
        <v>80</v>
      </c>
      <c r="B38" s="67">
        <v>840</v>
      </c>
      <c r="C38" s="68"/>
      <c r="D38" s="38"/>
      <c r="E38" s="38"/>
      <c r="F38" s="38"/>
      <c r="G38" s="38"/>
      <c r="H38" s="38"/>
    </row>
    <row r="39" spans="1:8" s="64" customFormat="1" x14ac:dyDescent="0.35">
      <c r="A39" s="69" t="s">
        <v>340</v>
      </c>
      <c r="B39" s="67">
        <v>1260</v>
      </c>
      <c r="C39" s="68" t="s">
        <v>92</v>
      </c>
      <c r="D39" s="68"/>
      <c r="E39" s="68"/>
      <c r="F39" s="68"/>
      <c r="G39" s="68"/>
      <c r="H39" s="68"/>
    </row>
    <row r="40" spans="1:8" x14ac:dyDescent="0.35">
      <c r="A40" s="69" t="s">
        <v>81</v>
      </c>
      <c r="B40" s="67">
        <v>980</v>
      </c>
      <c r="C40" s="68"/>
      <c r="D40" s="38"/>
      <c r="E40" s="38"/>
      <c r="F40" s="38"/>
      <c r="G40" s="38"/>
      <c r="H40" s="38"/>
    </row>
    <row r="41" spans="1:8" x14ac:dyDescent="0.35">
      <c r="A41" s="69" t="s">
        <v>136</v>
      </c>
      <c r="B41" s="67">
        <v>482</v>
      </c>
      <c r="C41" s="68" t="s">
        <v>92</v>
      </c>
      <c r="D41" s="38"/>
      <c r="E41" s="38"/>
      <c r="F41" s="38"/>
      <c r="G41" s="38"/>
      <c r="H41" s="38"/>
    </row>
    <row r="42" spans="1:8" x14ac:dyDescent="0.35">
      <c r="A42" s="69" t="s">
        <v>137</v>
      </c>
      <c r="B42" s="67">
        <v>689</v>
      </c>
      <c r="C42" s="68" t="s">
        <v>92</v>
      </c>
      <c r="D42" s="38"/>
      <c r="E42" s="38"/>
      <c r="F42" s="38"/>
      <c r="G42" s="38"/>
      <c r="H42" s="38"/>
    </row>
    <row r="43" spans="1:8" s="64" customFormat="1" x14ac:dyDescent="0.35">
      <c r="A43" s="69" t="s">
        <v>83</v>
      </c>
      <c r="B43" s="67">
        <v>892</v>
      </c>
      <c r="C43" s="68" t="s">
        <v>92</v>
      </c>
      <c r="D43" s="65"/>
      <c r="E43" s="65"/>
      <c r="F43" s="65"/>
      <c r="G43" s="65"/>
      <c r="H43" s="65"/>
    </row>
    <row r="44" spans="1:8" s="64" customFormat="1" x14ac:dyDescent="0.35">
      <c r="A44" s="69" t="s">
        <v>82</v>
      </c>
      <c r="B44" s="67">
        <v>1301</v>
      </c>
      <c r="C44" s="68"/>
      <c r="D44" s="65"/>
      <c r="E44" s="65"/>
      <c r="F44" s="65"/>
      <c r="G44" s="65"/>
      <c r="H44" s="65"/>
    </row>
    <row r="45" spans="1:8" s="64" customFormat="1" x14ac:dyDescent="0.35">
      <c r="A45" s="69" t="s">
        <v>84</v>
      </c>
      <c r="B45" s="67">
        <v>1686</v>
      </c>
      <c r="C45" s="68"/>
      <c r="D45" s="65"/>
      <c r="E45" s="65"/>
      <c r="F45" s="65"/>
      <c r="G45" s="65"/>
      <c r="H45" s="65"/>
    </row>
    <row r="46" spans="1:8" s="64" customFormat="1" x14ac:dyDescent="0.35">
      <c r="A46" s="69" t="s">
        <v>85</v>
      </c>
      <c r="B46" s="67">
        <v>2046</v>
      </c>
      <c r="C46" s="68"/>
      <c r="D46" s="65"/>
      <c r="E46" s="65"/>
      <c r="F46" s="65"/>
      <c r="G46" s="65"/>
      <c r="H46" s="65"/>
    </row>
    <row r="47" spans="1:8" s="64" customFormat="1" x14ac:dyDescent="0.35">
      <c r="A47" s="69" t="s">
        <v>86</v>
      </c>
      <c r="B47" s="67">
        <v>2310</v>
      </c>
      <c r="C47" s="68"/>
      <c r="D47" s="65"/>
      <c r="E47" s="65"/>
      <c r="F47" s="65"/>
      <c r="G47" s="65"/>
      <c r="H47" s="65"/>
    </row>
    <row r="48" spans="1:8" s="64" customFormat="1" x14ac:dyDescent="0.35">
      <c r="A48" s="69" t="s">
        <v>138</v>
      </c>
      <c r="B48" s="67">
        <v>2800</v>
      </c>
      <c r="C48" s="68" t="s">
        <v>92</v>
      </c>
      <c r="D48" s="65"/>
      <c r="E48" s="65"/>
      <c r="F48" s="65"/>
      <c r="G48" s="65"/>
      <c r="H48" s="65"/>
    </row>
    <row r="49" spans="1:12" s="64" customFormat="1" x14ac:dyDescent="0.35">
      <c r="A49" s="69" t="s">
        <v>87</v>
      </c>
      <c r="B49" s="67">
        <v>125</v>
      </c>
      <c r="C49" s="68"/>
      <c r="D49" s="65"/>
      <c r="E49" s="65"/>
      <c r="F49" s="65"/>
      <c r="G49" s="65"/>
      <c r="H49" s="65"/>
    </row>
    <row r="50" spans="1:12" x14ac:dyDescent="0.35">
      <c r="B50" s="270" t="s">
        <v>339</v>
      </c>
      <c r="C50" s="270"/>
    </row>
    <row r="53" spans="1:12" x14ac:dyDescent="0.35">
      <c r="A53" s="51" t="s">
        <v>426</v>
      </c>
      <c r="B53" s="49" t="s">
        <v>6</v>
      </c>
      <c r="C53" s="49" t="s">
        <v>7</v>
      </c>
      <c r="F53" s="269" t="s">
        <v>27</v>
      </c>
      <c r="G53" s="269"/>
    </row>
    <row r="54" spans="1:12" x14ac:dyDescent="0.35">
      <c r="A54" s="13" t="s">
        <v>91</v>
      </c>
      <c r="B54" s="24"/>
      <c r="C54" s="24"/>
      <c r="F54" s="13"/>
      <c r="G54" s="24"/>
      <c r="I54" s="197">
        <v>99.5</v>
      </c>
      <c r="J54" s="198"/>
    </row>
    <row r="55" spans="1:12" x14ac:dyDescent="0.35">
      <c r="A55" s="41" t="s">
        <v>8</v>
      </c>
      <c r="B55" s="265">
        <v>102.39</v>
      </c>
      <c r="C55" s="198">
        <f>B55/2000</f>
        <v>5.1194999999999997E-2</v>
      </c>
      <c r="F55" s="9" t="s">
        <v>28</v>
      </c>
      <c r="G55" s="15">
        <f>0.015</f>
        <v>1.4999999999999999E-2</v>
      </c>
      <c r="I55" s="92">
        <v>102.39</v>
      </c>
      <c r="J55" s="221"/>
      <c r="K55" s="74"/>
      <c r="L55" s="74"/>
    </row>
    <row r="56" spans="1:12" x14ac:dyDescent="0.35">
      <c r="A56" s="41" t="s">
        <v>9</v>
      </c>
      <c r="B56" s="266">
        <v>105.36</v>
      </c>
      <c r="C56" s="263">
        <f>B56/2000</f>
        <v>5.2679999999999998E-2</v>
      </c>
      <c r="F56" s="9" t="s">
        <v>29</v>
      </c>
      <c r="G56" s="16">
        <f>0.004275</f>
        <v>4.2750000000000002E-3</v>
      </c>
      <c r="I56" s="92">
        <v>2.8900000000000006</v>
      </c>
      <c r="J56" s="221"/>
      <c r="K56" s="74"/>
      <c r="L56" s="74"/>
    </row>
    <row r="57" spans="1:12" x14ac:dyDescent="0.35">
      <c r="A57" s="39" t="s">
        <v>10</v>
      </c>
      <c r="B57" s="197">
        <f>B56-B55</f>
        <v>2.9699999999999989</v>
      </c>
      <c r="C57" s="264">
        <f>C56-C55</f>
        <v>1.4850000000000002E-3</v>
      </c>
      <c r="D57" s="215">
        <f>B57/B55</f>
        <v>2.9006738939349536E-2</v>
      </c>
      <c r="F57" s="9" t="s">
        <v>56</v>
      </c>
      <c r="G57" s="17"/>
      <c r="I57" s="92"/>
      <c r="J57" s="222"/>
      <c r="K57" s="74"/>
      <c r="L57" s="74"/>
    </row>
    <row r="58" spans="1:12" x14ac:dyDescent="0.35">
      <c r="A58" s="6" t="s">
        <v>90</v>
      </c>
      <c r="B58" s="197"/>
      <c r="C58" s="198"/>
      <c r="F58" s="9" t="s">
        <v>17</v>
      </c>
      <c r="G58" s="42">
        <f>SUM(G55:G57)</f>
        <v>1.9275E-2</v>
      </c>
      <c r="I58" s="92"/>
      <c r="J58" s="221"/>
      <c r="K58" s="74"/>
      <c r="L58" s="74"/>
    </row>
    <row r="59" spans="1:12" x14ac:dyDescent="0.35">
      <c r="A59" s="9" t="s">
        <v>8</v>
      </c>
      <c r="B59" s="267">
        <v>101</v>
      </c>
      <c r="C59" s="198">
        <f>B59/2000</f>
        <v>5.0500000000000003E-2</v>
      </c>
      <c r="I59" s="92">
        <v>104.59</v>
      </c>
      <c r="J59" s="221"/>
      <c r="K59" s="74"/>
      <c r="L59" s="74"/>
    </row>
    <row r="60" spans="1:12" x14ac:dyDescent="0.35">
      <c r="A60" s="41" t="s">
        <v>9</v>
      </c>
      <c r="B60" s="266">
        <v>101</v>
      </c>
      <c r="C60" s="263">
        <f>B60/2000</f>
        <v>5.0500000000000003E-2</v>
      </c>
      <c r="F60" s="9" t="s">
        <v>30</v>
      </c>
      <c r="G60" s="48">
        <f>1-G58</f>
        <v>0.98072499999999996</v>
      </c>
      <c r="I60" s="92">
        <v>101</v>
      </c>
      <c r="J60" s="221"/>
      <c r="K60" s="74"/>
      <c r="L60" s="74"/>
    </row>
    <row r="61" spans="1:12" x14ac:dyDescent="0.35">
      <c r="A61" s="39" t="s">
        <v>10</v>
      </c>
      <c r="B61" s="197">
        <f>B60-B59</f>
        <v>0</v>
      </c>
      <c r="C61" s="264">
        <f>C60-C59</f>
        <v>0</v>
      </c>
      <c r="D61" s="215">
        <f>B61/B59</f>
        <v>0</v>
      </c>
      <c r="I61" s="92">
        <v>-3.5900000000000034</v>
      </c>
      <c r="J61" s="222"/>
      <c r="K61" s="74"/>
      <c r="L61" s="74"/>
    </row>
    <row r="62" spans="1:12" x14ac:dyDescent="0.35">
      <c r="D62" s="215"/>
      <c r="I62" s="74"/>
      <c r="J62" s="74"/>
      <c r="K62" s="74"/>
      <c r="L62" s="74"/>
    </row>
    <row r="63" spans="1:12" x14ac:dyDescent="0.35">
      <c r="B63" s="50" t="s">
        <v>57</v>
      </c>
      <c r="C63" s="50" t="s">
        <v>90</v>
      </c>
      <c r="I63" s="74"/>
      <c r="J63" s="74"/>
      <c r="K63" s="74"/>
      <c r="L63" s="74"/>
    </row>
    <row r="64" spans="1:12" x14ac:dyDescent="0.35">
      <c r="A64" s="9" t="s">
        <v>4</v>
      </c>
      <c r="B64" s="43">
        <f>B57</f>
        <v>2.9699999999999989</v>
      </c>
      <c r="C64" s="43">
        <f>B61</f>
        <v>0</v>
      </c>
      <c r="I64" s="223"/>
      <c r="J64" s="223"/>
      <c r="K64" s="74"/>
      <c r="L64" s="74"/>
    </row>
    <row r="65" spans="1:12" x14ac:dyDescent="0.35">
      <c r="A65" s="9" t="s">
        <v>26</v>
      </c>
      <c r="B65" s="43">
        <f>B64/$G$60</f>
        <v>3.0283718677508977</v>
      </c>
      <c r="C65" s="43">
        <f>C64/$G$60</f>
        <v>0</v>
      </c>
      <c r="I65" s="223"/>
      <c r="J65" s="223"/>
      <c r="K65" s="74"/>
      <c r="L65" s="74"/>
    </row>
    <row r="66" spans="1:12" x14ac:dyDescent="0.35">
      <c r="A66" s="9" t="s">
        <v>25</v>
      </c>
      <c r="B66" s="21">
        <f>'Spokane DF Calc '!D83</f>
        <v>367.93</v>
      </c>
      <c r="C66" s="21">
        <f>'Spokane DF Calc '!D82</f>
        <v>813.18</v>
      </c>
      <c r="D66" s="225"/>
      <c r="I66" s="93"/>
      <c r="J66" s="93"/>
      <c r="K66" s="74"/>
      <c r="L66" s="74"/>
    </row>
    <row r="67" spans="1:12" x14ac:dyDescent="0.35">
      <c r="A67" s="6" t="s">
        <v>31</v>
      </c>
      <c r="B67" s="10">
        <f>B65*B66</f>
        <v>1114.2288613015878</v>
      </c>
      <c r="C67" s="10">
        <f t="shared" ref="C67" si="0">C65*C66</f>
        <v>0</v>
      </c>
      <c r="D67" s="43">
        <f>SUM(B67:C67)</f>
        <v>1114.2288613015878</v>
      </c>
      <c r="I67" s="224"/>
      <c r="J67" s="224"/>
      <c r="K67" s="223"/>
      <c r="L67" s="74"/>
    </row>
    <row r="68" spans="1:12" x14ac:dyDescent="0.35">
      <c r="I68" s="74"/>
      <c r="J68" s="74"/>
      <c r="K68" s="74"/>
      <c r="L68" s="74"/>
    </row>
    <row r="71" spans="1:12" x14ac:dyDescent="0.35">
      <c r="A71" s="6" t="s">
        <v>99</v>
      </c>
      <c r="B71" s="49" t="s">
        <v>97</v>
      </c>
    </row>
    <row r="72" spans="1:12" x14ac:dyDescent="0.35">
      <c r="A72" s="9" t="s">
        <v>98</v>
      </c>
      <c r="B72" s="45">
        <f>'Spokane DF Calc '!R43</f>
        <v>1114.1019721275047</v>
      </c>
    </row>
    <row r="73" spans="1:12" x14ac:dyDescent="0.35">
      <c r="A73" s="9" t="s">
        <v>13</v>
      </c>
      <c r="B73" s="45">
        <f>B72-B67-C67</f>
        <v>-0.12688917408308953</v>
      </c>
    </row>
    <row r="75" spans="1:12" x14ac:dyDescent="0.35">
      <c r="A75" s="6" t="s">
        <v>100</v>
      </c>
      <c r="B75" s="49" t="s">
        <v>97</v>
      </c>
    </row>
    <row r="76" spans="1:12" x14ac:dyDescent="0.35">
      <c r="A76" s="9" t="s">
        <v>52</v>
      </c>
      <c r="B76" s="46">
        <f>'Spokane DF Calc '!W43</f>
        <v>1114.1019721275047</v>
      </c>
    </row>
    <row r="77" spans="1:12" x14ac:dyDescent="0.35">
      <c r="A77" s="28" t="s">
        <v>13</v>
      </c>
      <c r="B77" s="45">
        <f>B76-B67-C67</f>
        <v>-0.12688917408308953</v>
      </c>
    </row>
  </sheetData>
  <mergeCells count="4">
    <mergeCell ref="A5:H5"/>
    <mergeCell ref="F53:G53"/>
    <mergeCell ref="A15:B15"/>
    <mergeCell ref="B50:C50"/>
  </mergeCells>
  <pageMargins left="0.28000000000000003" right="0.52" top="0.75" bottom="0.75" header="0.3" footer="0.3"/>
  <pageSetup scale="61" orientation="portrait" r:id="rId1"/>
  <headerFooter>
    <oddHeader>&amp;C&amp;"-,Bold"&amp;12Empire Disposal Inc&amp;"-,Regular"
Disposal Fee Reference</oddHeader>
    <oddFooter>&amp;L&amp;F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3"/>
  <sheetViews>
    <sheetView zoomScale="80" zoomScaleNormal="80" workbookViewId="0">
      <pane xSplit="3" ySplit="5" topLeftCell="H6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8.81640625" defaultRowHeight="14.5" x14ac:dyDescent="0.35"/>
  <cols>
    <col min="1" max="1" width="4.54296875" style="72" customWidth="1"/>
    <col min="2" max="2" width="8.81640625" style="76" bestFit="1" customWidth="1"/>
    <col min="3" max="3" width="25" style="72" bestFit="1" customWidth="1"/>
    <col min="4" max="4" width="13.453125" style="73" bestFit="1" customWidth="1"/>
    <col min="5" max="6" width="12.26953125" style="72" bestFit="1" customWidth="1"/>
    <col min="7" max="7" width="17" style="72" bestFit="1" customWidth="1"/>
    <col min="8" max="8" width="17.26953125" style="72" bestFit="1" customWidth="1"/>
    <col min="9" max="9" width="16.26953125" style="71" bestFit="1" customWidth="1"/>
    <col min="10" max="10" width="12.26953125" style="72" bestFit="1" customWidth="1"/>
    <col min="11" max="11" width="17" style="72" bestFit="1" customWidth="1"/>
    <col min="12" max="12" width="11.26953125" style="72" bestFit="1" customWidth="1"/>
    <col min="13" max="13" width="16.54296875" style="72" bestFit="1" customWidth="1"/>
    <col min="14" max="14" width="20.1796875" style="72" bestFit="1" customWidth="1"/>
    <col min="15" max="15" width="18.1796875" style="72" bestFit="1" customWidth="1"/>
    <col min="16" max="16" width="16.54296875" style="72" bestFit="1" customWidth="1"/>
    <col min="17" max="17" width="18.453125" style="72" bestFit="1" customWidth="1"/>
    <col min="18" max="18" width="18.7265625" style="72" bestFit="1" customWidth="1"/>
    <col min="19" max="19" width="15.26953125" style="72" bestFit="1" customWidth="1"/>
    <col min="20" max="20" width="22.81640625" style="72" bestFit="1" customWidth="1"/>
    <col min="21" max="21" width="13.54296875" style="72" bestFit="1" customWidth="1"/>
    <col min="22" max="23" width="16.54296875" style="72" bestFit="1" customWidth="1"/>
    <col min="24" max="16384" width="8.81640625" style="72"/>
  </cols>
  <sheetData>
    <row r="1" spans="1:23" x14ac:dyDescent="0.35">
      <c r="A1" s="13" t="s">
        <v>423</v>
      </c>
    </row>
    <row r="2" spans="1:23" x14ac:dyDescent="0.35">
      <c r="A2" s="13" t="s">
        <v>427</v>
      </c>
    </row>
    <row r="3" spans="1:23" x14ac:dyDescent="0.35">
      <c r="A3" s="13" t="s">
        <v>428</v>
      </c>
    </row>
    <row r="5" spans="1:23" ht="29" x14ac:dyDescent="0.35">
      <c r="A5" s="51"/>
      <c r="B5" s="117" t="s">
        <v>16</v>
      </c>
      <c r="C5" s="118" t="s">
        <v>18</v>
      </c>
      <c r="D5" s="117" t="s">
        <v>43</v>
      </c>
      <c r="E5" s="117" t="s">
        <v>0</v>
      </c>
      <c r="F5" s="51" t="s">
        <v>1</v>
      </c>
      <c r="G5" s="117" t="s">
        <v>11</v>
      </c>
      <c r="H5" s="117" t="s">
        <v>35</v>
      </c>
      <c r="I5" s="119" t="s">
        <v>36</v>
      </c>
      <c r="J5" s="120" t="s">
        <v>420</v>
      </c>
      <c r="K5" s="117" t="s">
        <v>2</v>
      </c>
      <c r="L5" s="117" t="s">
        <v>429</v>
      </c>
      <c r="M5" s="199" t="s">
        <v>40</v>
      </c>
      <c r="N5" s="117" t="s">
        <v>37</v>
      </c>
      <c r="O5" s="199" t="s">
        <v>38</v>
      </c>
      <c r="P5" s="117" t="s">
        <v>41</v>
      </c>
      <c r="Q5" s="117" t="s">
        <v>39</v>
      </c>
      <c r="R5" s="117" t="s">
        <v>430</v>
      </c>
      <c r="S5" s="117" t="s">
        <v>42</v>
      </c>
      <c r="T5" s="117" t="s">
        <v>44</v>
      </c>
      <c r="U5" s="117" t="s">
        <v>45</v>
      </c>
      <c r="V5" s="117" t="s">
        <v>47</v>
      </c>
      <c r="W5" s="117" t="s">
        <v>46</v>
      </c>
    </row>
    <row r="6" spans="1:23" s="74" customFormat="1" ht="15" customHeight="1" x14ac:dyDescent="0.35">
      <c r="A6" s="272" t="s">
        <v>14</v>
      </c>
      <c r="B6" s="53" t="s">
        <v>345</v>
      </c>
      <c r="C6" s="123" t="s">
        <v>103</v>
      </c>
      <c r="D6" s="79">
        <f>'Co Provided Price Out'!Y12</f>
        <v>5.1091135649341899</v>
      </c>
      <c r="E6" s="96">
        <f>References!B11</f>
        <v>4.333333333333333</v>
      </c>
      <c r="F6" s="95">
        <f>D6*E6*12</f>
        <v>265.67390537657786</v>
      </c>
      <c r="G6" s="95">
        <f>References!B17</f>
        <v>20</v>
      </c>
      <c r="H6" s="95">
        <f>F6*G6</f>
        <v>5313.4781075315568</v>
      </c>
      <c r="I6" s="55">
        <f t="shared" ref="I6:I18" si="0">$D$76*H6</f>
        <v>3302.1983266161546</v>
      </c>
      <c r="J6" s="98">
        <f>(References!$C$61*I6*$E$82)+(References!$C$57*I6*$E$83)</f>
        <v>1.5275817476891611</v>
      </c>
      <c r="K6" s="98">
        <f>J6/References!$G$60</f>
        <v>1.5576045758894299</v>
      </c>
      <c r="L6" s="98">
        <f>K6/F6*E6</f>
        <v>2.5405655927280429E-2</v>
      </c>
      <c r="M6" s="92">
        <f>'Rate Schedule'!B10</f>
        <v>14.4</v>
      </c>
      <c r="N6" s="98">
        <f>L6+M6</f>
        <v>14.42540565592728</v>
      </c>
      <c r="O6" s="92">
        <f>'Rate Schedule'!D10</f>
        <v>14.42540565592728</v>
      </c>
      <c r="P6" s="98">
        <f>D6*M6*12</f>
        <v>882.85482402062803</v>
      </c>
      <c r="Q6" s="98">
        <f>D6*O6*12</f>
        <v>884.41242859651743</v>
      </c>
      <c r="R6" s="98">
        <f>Q6-P6</f>
        <v>1.5576045758893997</v>
      </c>
      <c r="S6" s="98">
        <f>D6*N6*12</f>
        <v>884.41242859651743</v>
      </c>
      <c r="T6" s="98">
        <f t="shared" ref="T6:T16" si="1">Q6-S6</f>
        <v>0</v>
      </c>
      <c r="U6" s="99">
        <f t="shared" ref="U6:U16" si="2">N6</f>
        <v>14.42540565592728</v>
      </c>
      <c r="V6" s="99">
        <f>D6*U6*12</f>
        <v>884.41242859651743</v>
      </c>
      <c r="W6" s="99">
        <f>V6-P6</f>
        <v>1.5576045758893997</v>
      </c>
    </row>
    <row r="7" spans="1:23" s="74" customFormat="1" ht="15" customHeight="1" x14ac:dyDescent="0.35">
      <c r="A7" s="273"/>
      <c r="B7" s="47" t="s">
        <v>345</v>
      </c>
      <c r="C7" s="80" t="s">
        <v>104</v>
      </c>
      <c r="D7" s="14">
        <f>'Co Provided Price Out'!Z14</f>
        <v>447.29702347728357</v>
      </c>
      <c r="E7" s="94">
        <f>References!B11</f>
        <v>4.333333333333333</v>
      </c>
      <c r="F7" s="93">
        <f>D7*E7*12</f>
        <v>23259.445220818743</v>
      </c>
      <c r="G7" s="93">
        <f>References!B18</f>
        <v>34</v>
      </c>
      <c r="H7" s="93">
        <f>F7*G7</f>
        <v>790821.13750783727</v>
      </c>
      <c r="I7" s="44">
        <f t="shared" si="0"/>
        <v>491476.23911905894</v>
      </c>
      <c r="J7" s="92">
        <f>(References!$C$61*I7*$E$82)+(References!$C$57*I7*$E$83)</f>
        <v>227.35464622154328</v>
      </c>
      <c r="K7" s="92">
        <f>J7/References!$G$60</f>
        <v>231.8230352255151</v>
      </c>
      <c r="L7" s="92">
        <f>K7/F7*E7</f>
        <v>4.3189615076376739E-2</v>
      </c>
      <c r="M7" s="92">
        <f>'Rate Schedule'!B11</f>
        <v>17.670000000000002</v>
      </c>
      <c r="N7" s="92">
        <f t="shared" ref="N7:N18" si="3">L7+M7</f>
        <v>17.713189615076377</v>
      </c>
      <c r="O7" s="92">
        <f>'Rate Schedule'!D11</f>
        <v>17.713189615076377</v>
      </c>
      <c r="P7" s="92">
        <f t="shared" ref="P7:P15" si="4">D7*M7*12</f>
        <v>94844.860858123226</v>
      </c>
      <c r="Q7" s="92">
        <f t="shared" ref="Q7:Q15" si="5">D7*O7*12</f>
        <v>95076.683893348731</v>
      </c>
      <c r="R7" s="92">
        <f>Q7-P7</f>
        <v>231.82303522550501</v>
      </c>
      <c r="S7" s="92">
        <f t="shared" ref="S7:S15" si="6">D7*N7*12</f>
        <v>95076.683893348731</v>
      </c>
      <c r="T7" s="92">
        <f t="shared" si="1"/>
        <v>0</v>
      </c>
      <c r="U7" s="97">
        <f t="shared" si="2"/>
        <v>17.713189615076377</v>
      </c>
      <c r="V7" s="97">
        <f>D7*U7*12</f>
        <v>95076.683893348731</v>
      </c>
      <c r="W7" s="97">
        <f>V7-P7</f>
        <v>231.82303522550501</v>
      </c>
    </row>
    <row r="8" spans="1:23" s="74" customFormat="1" x14ac:dyDescent="0.35">
      <c r="A8" s="273"/>
      <c r="B8" s="47" t="s">
        <v>345</v>
      </c>
      <c r="C8" s="80" t="s">
        <v>105</v>
      </c>
      <c r="D8" s="14">
        <f>'Co Provided Price Out'!Z15</f>
        <v>151.63057702160609</v>
      </c>
      <c r="E8" s="94">
        <f>References!B11</f>
        <v>4.333333333333333</v>
      </c>
      <c r="F8" s="93">
        <f t="shared" ref="F8:F15" si="7">D8*E8*12</f>
        <v>7884.7900051235156</v>
      </c>
      <c r="G8" s="93">
        <f>References!B19</f>
        <v>51</v>
      </c>
      <c r="H8" s="93">
        <f t="shared" ref="H8:H17" si="8">F8*G8</f>
        <v>402124.29026129929</v>
      </c>
      <c r="I8" s="44">
        <f t="shared" si="0"/>
        <v>249910.53534413851</v>
      </c>
      <c r="J8" s="92">
        <f>(References!$C$61*I8*$E$82)+(References!$C$57*I8*$E$83)</f>
        <v>115.60746344939577</v>
      </c>
      <c r="K8" s="92">
        <f>J8/References!$G$60</f>
        <v>117.87959259669711</v>
      </c>
      <c r="L8" s="92">
        <f t="shared" ref="L8:L12" si="9">K8/F8*E8</f>
        <v>6.4784422614565101E-2</v>
      </c>
      <c r="M8" s="92">
        <f>'Rate Schedule'!B12</f>
        <v>24.95</v>
      </c>
      <c r="N8" s="92">
        <f t="shared" si="3"/>
        <v>25.014784422614564</v>
      </c>
      <c r="O8" s="92">
        <f>'Rate Schedule'!D12</f>
        <v>25.014784422614564</v>
      </c>
      <c r="P8" s="92">
        <f t="shared" si="4"/>
        <v>45398.19476026886</v>
      </c>
      <c r="Q8" s="92">
        <f t="shared" si="5"/>
        <v>45516.074352865558</v>
      </c>
      <c r="R8" s="92">
        <f t="shared" ref="R8:R20" si="10">Q8-P8</f>
        <v>117.87959259669879</v>
      </c>
      <c r="S8" s="92">
        <f t="shared" si="6"/>
        <v>45516.074352865558</v>
      </c>
      <c r="T8" s="92">
        <f t="shared" si="1"/>
        <v>0</v>
      </c>
      <c r="U8" s="97">
        <f t="shared" si="2"/>
        <v>25.014784422614564</v>
      </c>
      <c r="V8" s="97">
        <f t="shared" ref="V8:V15" si="11">D8*U8*12</f>
        <v>45516.074352865558</v>
      </c>
      <c r="W8" s="97">
        <f t="shared" ref="W8:W20" si="12">V8-P8</f>
        <v>117.87959259669879</v>
      </c>
    </row>
    <row r="9" spans="1:23" s="74" customFormat="1" x14ac:dyDescent="0.35">
      <c r="A9" s="273"/>
      <c r="B9" s="47" t="s">
        <v>345</v>
      </c>
      <c r="C9" s="80" t="s">
        <v>106</v>
      </c>
      <c r="D9" s="14">
        <f>'Co Provided Price Out'!Z16</f>
        <v>1.6458395689913201</v>
      </c>
      <c r="E9" s="94">
        <f>References!B11</f>
        <v>4.333333333333333</v>
      </c>
      <c r="F9" s="93">
        <f t="shared" si="7"/>
        <v>85.583657587548643</v>
      </c>
      <c r="G9" s="93">
        <f>References!B20</f>
        <v>77</v>
      </c>
      <c r="H9" s="93">
        <f t="shared" si="8"/>
        <v>6589.9416342412451</v>
      </c>
      <c r="I9" s="44">
        <f t="shared" si="0"/>
        <v>4095.4895826603961</v>
      </c>
      <c r="J9" s="92">
        <f>(References!$C$61*I9*$E$82)+(References!$C$57*I9*$E$83)</f>
        <v>1.8945546316516975</v>
      </c>
      <c r="K9" s="92">
        <f>J9/References!$G$60</f>
        <v>1.9317898816199215</v>
      </c>
      <c r="L9" s="92">
        <f t="shared" si="9"/>
        <v>9.7811775320029659E-2</v>
      </c>
      <c r="M9" s="92">
        <f>'Rate Schedule'!B13</f>
        <v>35.58</v>
      </c>
      <c r="N9" s="92">
        <f t="shared" si="3"/>
        <v>35.677811775320031</v>
      </c>
      <c r="O9" s="92">
        <f>'Rate Schedule'!D13</f>
        <v>35.677811775320031</v>
      </c>
      <c r="P9" s="92">
        <f t="shared" si="4"/>
        <v>702.70766237653402</v>
      </c>
      <c r="Q9" s="92">
        <f t="shared" si="5"/>
        <v>704.63945225815405</v>
      </c>
      <c r="R9" s="92">
        <f t="shared" si="10"/>
        <v>1.9317898816200341</v>
      </c>
      <c r="S9" s="92">
        <f t="shared" si="6"/>
        <v>704.63945225815405</v>
      </c>
      <c r="T9" s="92">
        <f t="shared" si="1"/>
        <v>0</v>
      </c>
      <c r="U9" s="97">
        <f t="shared" si="2"/>
        <v>35.677811775320031</v>
      </c>
      <c r="V9" s="97">
        <f t="shared" si="11"/>
        <v>704.63945225815405</v>
      </c>
      <c r="W9" s="97">
        <f t="shared" si="12"/>
        <v>1.9317898816200341</v>
      </c>
    </row>
    <row r="10" spans="1:23" s="74" customFormat="1" x14ac:dyDescent="0.35">
      <c r="A10" s="273"/>
      <c r="B10" s="47" t="s">
        <v>345</v>
      </c>
      <c r="C10" s="80" t="s">
        <v>107</v>
      </c>
      <c r="D10" s="14">
        <f>'Co Provided Price Out'!Y17</f>
        <v>158.40995461549221</v>
      </c>
      <c r="E10" s="94">
        <f>References!B11</f>
        <v>4.333333333333333</v>
      </c>
      <c r="F10" s="93">
        <f t="shared" si="7"/>
        <v>8237.3176400055945</v>
      </c>
      <c r="G10" s="93">
        <f>References!B24</f>
        <v>47</v>
      </c>
      <c r="H10" s="93">
        <f t="shared" si="8"/>
        <v>387153.92908026295</v>
      </c>
      <c r="I10" s="44">
        <f t="shared" si="0"/>
        <v>240606.8173951013</v>
      </c>
      <c r="J10" s="92">
        <f>(References!$C$61*I10*$E$82)+(References!$C$57*I10*$E$83)</f>
        <v>111.30360634607004</v>
      </c>
      <c r="K10" s="92">
        <f>J10/References!$G$60</f>
        <v>113.49114822816799</v>
      </c>
      <c r="L10" s="92">
        <f t="shared" si="9"/>
        <v>5.9703291429109025E-2</v>
      </c>
      <c r="M10" s="92">
        <f>'Rate Schedule'!B17</f>
        <v>26.62</v>
      </c>
      <c r="N10" s="92">
        <f t="shared" si="3"/>
        <v>26.67970329142911</v>
      </c>
      <c r="O10" s="92">
        <f>'Rate Schedule'!D17</f>
        <v>26.67970329142911</v>
      </c>
      <c r="P10" s="92">
        <f t="shared" si="4"/>
        <v>50602.47590237284</v>
      </c>
      <c r="Q10" s="92">
        <f t="shared" si="5"/>
        <v>50715.967050601001</v>
      </c>
      <c r="R10" s="92">
        <f t="shared" si="10"/>
        <v>113.49114822816045</v>
      </c>
      <c r="S10" s="92">
        <f t="shared" si="6"/>
        <v>50715.967050601001</v>
      </c>
      <c r="T10" s="92">
        <f t="shared" si="1"/>
        <v>0</v>
      </c>
      <c r="U10" s="97">
        <f t="shared" si="2"/>
        <v>26.67970329142911</v>
      </c>
      <c r="V10" s="97">
        <f t="shared" si="11"/>
        <v>50715.967050601001</v>
      </c>
      <c r="W10" s="97">
        <f t="shared" si="12"/>
        <v>113.49114822816045</v>
      </c>
    </row>
    <row r="11" spans="1:23" s="74" customFormat="1" x14ac:dyDescent="0.35">
      <c r="A11" s="273"/>
      <c r="B11" s="47"/>
      <c r="C11" s="80" t="s">
        <v>108</v>
      </c>
      <c r="D11" s="14">
        <f>'Co Provided Price Out'!AA18</f>
        <v>0.5</v>
      </c>
      <c r="E11" s="94">
        <f>References!C11</f>
        <v>8.6666666666666661</v>
      </c>
      <c r="F11" s="93">
        <f t="shared" si="7"/>
        <v>52</v>
      </c>
      <c r="G11" s="93">
        <f>References!B24</f>
        <v>47</v>
      </c>
      <c r="H11" s="93">
        <f t="shared" si="8"/>
        <v>2444</v>
      </c>
      <c r="I11" s="44">
        <f t="shared" si="0"/>
        <v>1518.8869789094074</v>
      </c>
      <c r="J11" s="92">
        <f>(References!$C$61*I11*$E$82)+(References!$C$57*I11*$E$83)</f>
        <v>0.70263012584175533</v>
      </c>
      <c r="K11" s="92">
        <f>J11/References!$G$60</f>
        <v>0.71643949714930832</v>
      </c>
      <c r="L11" s="92">
        <f t="shared" si="9"/>
        <v>0.11940658285821805</v>
      </c>
      <c r="M11" s="92">
        <f>M10+M10</f>
        <v>53.24</v>
      </c>
      <c r="N11" s="92">
        <f t="shared" si="3"/>
        <v>53.35940658285822</v>
      </c>
      <c r="O11" s="92">
        <f t="shared" ref="O11:O14" si="13">L11+M11</f>
        <v>53.35940658285822</v>
      </c>
      <c r="P11" s="92">
        <f t="shared" si="4"/>
        <v>319.44</v>
      </c>
      <c r="Q11" s="92">
        <f t="shared" si="5"/>
        <v>320.15643949714934</v>
      </c>
      <c r="R11" s="92">
        <f t="shared" si="10"/>
        <v>0.71643949714933797</v>
      </c>
      <c r="S11" s="92">
        <f t="shared" si="6"/>
        <v>320.15643949714934</v>
      </c>
      <c r="T11" s="92">
        <f t="shared" si="1"/>
        <v>0</v>
      </c>
      <c r="U11" s="97">
        <f t="shared" si="2"/>
        <v>53.35940658285822</v>
      </c>
      <c r="V11" s="97">
        <f t="shared" si="11"/>
        <v>320.15643949714934</v>
      </c>
      <c r="W11" s="97">
        <f t="shared" si="12"/>
        <v>0.71643949714933797</v>
      </c>
    </row>
    <row r="12" spans="1:23" s="74" customFormat="1" x14ac:dyDescent="0.35">
      <c r="A12" s="273"/>
      <c r="B12" s="47" t="s">
        <v>345</v>
      </c>
      <c r="C12" s="80" t="s">
        <v>109</v>
      </c>
      <c r="D12" s="14">
        <f>'Co Provided Price Out'!Y19</f>
        <v>302.61112347973875</v>
      </c>
      <c r="E12" s="94">
        <f>References!B11</f>
        <v>4.333333333333333</v>
      </c>
      <c r="F12" s="93">
        <f t="shared" si="7"/>
        <v>15735.778420946413</v>
      </c>
      <c r="G12" s="93">
        <f>References!B25</f>
        <v>68</v>
      </c>
      <c r="H12" s="93">
        <f t="shared" si="8"/>
        <v>1070032.9326243561</v>
      </c>
      <c r="I12" s="44">
        <f t="shared" si="0"/>
        <v>664999.62699156371</v>
      </c>
      <c r="J12" s="92">
        <f>(References!$C$61*I12*$E$82)+(References!$C$57*I12*$E$83)</f>
        <v>307.62576681860628</v>
      </c>
      <c r="K12" s="92">
        <f>J12/References!$G$60</f>
        <v>313.6717905820758</v>
      </c>
      <c r="L12" s="92">
        <f t="shared" si="9"/>
        <v>8.637923015275345E-2</v>
      </c>
      <c r="M12" s="92">
        <f>'Rate Schedule'!B18</f>
        <v>33.229999999999997</v>
      </c>
      <c r="N12" s="92">
        <f t="shared" si="3"/>
        <v>33.316379230152748</v>
      </c>
      <c r="O12" s="92">
        <f>'Rate Schedule'!D18</f>
        <v>33.316379230152748</v>
      </c>
      <c r="P12" s="92">
        <f t="shared" si="4"/>
        <v>120669.2115987806</v>
      </c>
      <c r="Q12" s="92">
        <f t="shared" si="5"/>
        <v>120982.88338936267</v>
      </c>
      <c r="R12" s="92">
        <f t="shared" si="10"/>
        <v>313.67179058206966</v>
      </c>
      <c r="S12" s="92">
        <f t="shared" si="6"/>
        <v>120982.88338936267</v>
      </c>
      <c r="T12" s="92">
        <f t="shared" si="1"/>
        <v>0</v>
      </c>
      <c r="U12" s="97">
        <f t="shared" si="2"/>
        <v>33.316379230152748</v>
      </c>
      <c r="V12" s="97">
        <f t="shared" si="11"/>
        <v>120982.88338936267</v>
      </c>
      <c r="W12" s="97">
        <f t="shared" si="12"/>
        <v>313.67179058206966</v>
      </c>
    </row>
    <row r="13" spans="1:23" s="74" customFormat="1" x14ac:dyDescent="0.35">
      <c r="A13" s="273"/>
      <c r="B13" s="47"/>
      <c r="C13" s="80" t="s">
        <v>110</v>
      </c>
      <c r="D13" s="14">
        <f>'Co Provided Price Out'!Y20</f>
        <v>3.8333333333333335</v>
      </c>
      <c r="E13" s="94">
        <f>References!C11</f>
        <v>8.6666666666666661</v>
      </c>
      <c r="F13" s="93">
        <f t="shared" si="7"/>
        <v>398.66666666666663</v>
      </c>
      <c r="G13" s="93">
        <f>References!B25</f>
        <v>68</v>
      </c>
      <c r="H13" s="93">
        <f t="shared" si="8"/>
        <v>27109.333333333332</v>
      </c>
      <c r="I13" s="44">
        <f t="shared" si="0"/>
        <v>16847.795993009313</v>
      </c>
      <c r="J13" s="92">
        <f>(References!$C$61*I13*$E$82)+(References!$C$57*I13*$E$83)</f>
        <v>7.7937128852234414</v>
      </c>
      <c r="K13" s="92">
        <f>J13/References!$G$60</f>
        <v>7.9468891740533198</v>
      </c>
      <c r="L13" s="92">
        <f>ROUND(K13/F13*E13,2)</f>
        <v>0.17</v>
      </c>
      <c r="M13" s="92">
        <f>M12+M12</f>
        <v>66.459999999999994</v>
      </c>
      <c r="N13" s="92">
        <f t="shared" si="3"/>
        <v>66.63</v>
      </c>
      <c r="O13" s="92">
        <f t="shared" si="13"/>
        <v>66.63</v>
      </c>
      <c r="P13" s="92">
        <f t="shared" si="4"/>
        <v>3057.16</v>
      </c>
      <c r="Q13" s="92">
        <f t="shared" si="5"/>
        <v>3064.98</v>
      </c>
      <c r="R13" s="92">
        <f t="shared" si="10"/>
        <v>7.8200000000001637</v>
      </c>
      <c r="S13" s="92">
        <f t="shared" si="6"/>
        <v>3064.98</v>
      </c>
      <c r="T13" s="92">
        <f t="shared" si="1"/>
        <v>0</v>
      </c>
      <c r="U13" s="97">
        <f t="shared" si="2"/>
        <v>66.63</v>
      </c>
      <c r="V13" s="97">
        <f t="shared" si="11"/>
        <v>3064.98</v>
      </c>
      <c r="W13" s="97">
        <f t="shared" si="12"/>
        <v>7.8200000000001637</v>
      </c>
    </row>
    <row r="14" spans="1:23" s="74" customFormat="1" x14ac:dyDescent="0.35">
      <c r="A14" s="273"/>
      <c r="B14" s="47"/>
      <c r="C14" s="80" t="s">
        <v>111</v>
      </c>
      <c r="D14" s="14">
        <f>'Co Provided Price Out'!Y21</f>
        <v>1.0000000000000002</v>
      </c>
      <c r="E14" s="94">
        <f>References!D11</f>
        <v>13</v>
      </c>
      <c r="F14" s="93">
        <f t="shared" si="7"/>
        <v>156.00000000000006</v>
      </c>
      <c r="G14" s="93">
        <f>References!B25</f>
        <v>68</v>
      </c>
      <c r="H14" s="93">
        <f t="shared" si="8"/>
        <v>10608.000000000004</v>
      </c>
      <c r="I14" s="44">
        <f t="shared" si="0"/>
        <v>6592.6158233514725</v>
      </c>
      <c r="J14" s="92">
        <f>(References!$C$61*I14*$E$82)+(References!$C$57*I14*$E$83)</f>
        <v>3.0497137376961305</v>
      </c>
      <c r="K14" s="92">
        <f>J14/References!$G$60</f>
        <v>3.1096522854991262</v>
      </c>
      <c r="L14" s="92">
        <f>K14/F14*E14</f>
        <v>0.25913769045826041</v>
      </c>
      <c r="M14" s="92">
        <f>M13+M12</f>
        <v>99.69</v>
      </c>
      <c r="N14" s="92">
        <f t="shared" si="3"/>
        <v>99.949137690458258</v>
      </c>
      <c r="O14" s="92">
        <f t="shared" si="13"/>
        <v>99.949137690458258</v>
      </c>
      <c r="P14" s="92">
        <f t="shared" si="4"/>
        <v>1196.2800000000002</v>
      </c>
      <c r="Q14" s="92">
        <f t="shared" si="5"/>
        <v>1199.3896522854993</v>
      </c>
      <c r="R14" s="92">
        <f t="shared" si="10"/>
        <v>3.1096522854991235</v>
      </c>
      <c r="S14" s="92">
        <f t="shared" si="6"/>
        <v>1199.3896522854993</v>
      </c>
      <c r="T14" s="92">
        <f t="shared" si="1"/>
        <v>0</v>
      </c>
      <c r="U14" s="97">
        <f t="shared" si="2"/>
        <v>99.949137690458258</v>
      </c>
      <c r="V14" s="97">
        <f t="shared" si="11"/>
        <v>1199.3896522854993</v>
      </c>
      <c r="W14" s="97">
        <f t="shared" si="12"/>
        <v>3.1096522854991235</v>
      </c>
    </row>
    <row r="15" spans="1:23" s="74" customFormat="1" ht="14.5" customHeight="1" x14ac:dyDescent="0.35">
      <c r="A15" s="273"/>
      <c r="B15" s="47" t="s">
        <v>345</v>
      </c>
      <c r="C15" s="80" t="s">
        <v>112</v>
      </c>
      <c r="D15" s="71">
        <f>'Co Provided Price Out'!Y13</f>
        <v>5.1723618074537194</v>
      </c>
      <c r="E15" s="94">
        <f>References!B13</f>
        <v>1</v>
      </c>
      <c r="F15" s="93">
        <f t="shared" si="7"/>
        <v>62.068341689444637</v>
      </c>
      <c r="G15" s="93">
        <f>References!B18</f>
        <v>34</v>
      </c>
      <c r="H15" s="93">
        <f t="shared" si="8"/>
        <v>2110.3236174411177</v>
      </c>
      <c r="I15" s="44">
        <f t="shared" si="0"/>
        <v>1311.5151652276234</v>
      </c>
      <c r="J15" s="92">
        <f>(References!$C$61*I15*$E$82)+(References!$C$57*I15*$E$83)</f>
        <v>0.60670087925101512</v>
      </c>
      <c r="K15" s="92">
        <f>J15/References!$G$60</f>
        <v>0.61862487369141717</v>
      </c>
      <c r="L15" s="92">
        <f t="shared" ref="L15" si="14">K15/F15*E15</f>
        <v>9.9668342483946321E-3</v>
      </c>
      <c r="M15" s="92">
        <f>'Rate Schedule'!B19</f>
        <v>11.24</v>
      </c>
      <c r="N15" s="92">
        <f t="shared" si="3"/>
        <v>11.249966834248395</v>
      </c>
      <c r="O15" s="92">
        <f>'Rate Schedule'!D19</f>
        <v>11.249966834248395</v>
      </c>
      <c r="P15" s="92">
        <f t="shared" si="4"/>
        <v>697.64816058935764</v>
      </c>
      <c r="Q15" s="92">
        <f t="shared" si="5"/>
        <v>698.26678546304913</v>
      </c>
      <c r="R15" s="92">
        <f>Q15-P15</f>
        <v>0.61862487369148766</v>
      </c>
      <c r="S15" s="92">
        <f t="shared" si="6"/>
        <v>698.26678546304913</v>
      </c>
      <c r="T15" s="92">
        <f>Q15-S15</f>
        <v>0</v>
      </c>
      <c r="U15" s="97">
        <f t="shared" si="2"/>
        <v>11.249966834248395</v>
      </c>
      <c r="V15" s="97">
        <f t="shared" si="11"/>
        <v>698.26678546304913</v>
      </c>
      <c r="W15" s="97">
        <f t="shared" si="12"/>
        <v>0.61862487369148766</v>
      </c>
    </row>
    <row r="16" spans="1:23" s="74" customFormat="1" x14ac:dyDescent="0.35">
      <c r="A16" s="273"/>
      <c r="B16" s="47" t="s">
        <v>346</v>
      </c>
      <c r="C16" s="80" t="s">
        <v>113</v>
      </c>
      <c r="D16" s="71">
        <v>0</v>
      </c>
      <c r="E16" s="94">
        <v>0</v>
      </c>
      <c r="F16" s="93">
        <f>'Co Provided Price Out'!AA23</f>
        <v>1120.5887356466781</v>
      </c>
      <c r="G16" s="93">
        <f>References!B27</f>
        <v>34</v>
      </c>
      <c r="H16" s="93">
        <f t="shared" si="8"/>
        <v>38100.017011987053</v>
      </c>
      <c r="I16" s="44">
        <f t="shared" si="0"/>
        <v>23678.240481069573</v>
      </c>
      <c r="J16" s="92">
        <f>(References!$C$61*I16*$E$82)+(References!$C$57*I16*$E$83)</f>
        <v>10.953445068619263</v>
      </c>
      <c r="K16" s="92">
        <f>J16/References!$G$60</f>
        <v>11.168722188808548</v>
      </c>
      <c r="L16" s="92">
        <f>K16/F16</f>
        <v>9.9668342483946303E-3</v>
      </c>
      <c r="M16" s="92">
        <f>'Rate Schedule'!B22</f>
        <v>4.2</v>
      </c>
      <c r="N16" s="92">
        <f t="shared" si="3"/>
        <v>4.2099668342483945</v>
      </c>
      <c r="O16" s="92">
        <f>'Rate Schedule'!D22</f>
        <v>4.2099668342483945</v>
      </c>
      <c r="P16" s="92">
        <f>F16*M16</f>
        <v>4706.4726897160481</v>
      </c>
      <c r="Q16" s="92">
        <f>F16*O16</f>
        <v>4717.6414119048559</v>
      </c>
      <c r="R16" s="92">
        <f t="shared" ref="R16:R18" si="15">Q16-P16</f>
        <v>11.168722188807806</v>
      </c>
      <c r="S16" s="92">
        <f>F16*N16</f>
        <v>4717.6414119048559</v>
      </c>
      <c r="T16" s="92">
        <f t="shared" si="1"/>
        <v>0</v>
      </c>
      <c r="U16" s="97">
        <f t="shared" si="2"/>
        <v>4.2099668342483945</v>
      </c>
      <c r="V16" s="97">
        <f>F16*U16</f>
        <v>4717.6414119048559</v>
      </c>
      <c r="W16" s="97">
        <f t="shared" si="12"/>
        <v>11.168722188807806</v>
      </c>
    </row>
    <row r="17" spans="1:23" s="74" customFormat="1" x14ac:dyDescent="0.35">
      <c r="A17" s="273"/>
      <c r="B17" s="47" t="s">
        <v>344</v>
      </c>
      <c r="C17" s="80" t="s">
        <v>114</v>
      </c>
      <c r="D17" s="71">
        <v>0</v>
      </c>
      <c r="E17" s="94">
        <v>0</v>
      </c>
      <c r="F17" s="93">
        <f>'Co Provided Price Out'!AA26+'Co Provided Price Out'!AA27</f>
        <v>70.043929733417301</v>
      </c>
      <c r="G17" s="93">
        <f>References!B27</f>
        <v>34</v>
      </c>
      <c r="H17" s="93">
        <f t="shared" si="8"/>
        <v>2381.4936109361884</v>
      </c>
      <c r="I17" s="44">
        <f t="shared" si="0"/>
        <v>1480.0407675969407</v>
      </c>
      <c r="J17" s="92">
        <f>(References!$C$61*I17*$E$82)+(References!$C$57*I17*$E$83)</f>
        <v>0.68466004727636265</v>
      </c>
      <c r="K17" s="92">
        <f>J17/References!$G$60</f>
        <v>0.69811623775917064</v>
      </c>
      <c r="L17" s="92">
        <f t="shared" ref="L17:L18" si="16">K17/F17</f>
        <v>9.9668342483946321E-3</v>
      </c>
      <c r="M17" s="92">
        <f>'Rate Schedule'!B7</f>
        <v>4.2</v>
      </c>
      <c r="N17" s="92">
        <f t="shared" si="3"/>
        <v>4.2099668342483945</v>
      </c>
      <c r="O17" s="92">
        <f>'Rate Schedule'!D7</f>
        <v>4.2099668342483945</v>
      </c>
      <c r="P17" s="92">
        <f t="shared" ref="P17:P18" si="17">F17*M17</f>
        <v>294.18450488035268</v>
      </c>
      <c r="Q17" s="92">
        <f t="shared" ref="Q17:Q18" si="18">F17*O17</f>
        <v>294.88262111811184</v>
      </c>
      <c r="R17" s="92">
        <f t="shared" si="15"/>
        <v>0.69811623775916587</v>
      </c>
      <c r="S17" s="92">
        <f t="shared" ref="S17:S18" si="19">F17*N17</f>
        <v>294.88262111811184</v>
      </c>
      <c r="T17" s="92"/>
      <c r="U17" s="97">
        <f>N17</f>
        <v>4.2099668342483945</v>
      </c>
      <c r="V17" s="97">
        <f t="shared" ref="V17:V18" si="20">F17*U17</f>
        <v>294.88262111811184</v>
      </c>
      <c r="W17" s="97">
        <f t="shared" si="12"/>
        <v>0.69811623775916587</v>
      </c>
    </row>
    <row r="18" spans="1:23" s="74" customFormat="1" x14ac:dyDescent="0.35">
      <c r="A18" s="274"/>
      <c r="B18" s="124" t="s">
        <v>347</v>
      </c>
      <c r="C18" s="125" t="s">
        <v>115</v>
      </c>
      <c r="D18" s="21">
        <v>0</v>
      </c>
      <c r="E18" s="126">
        <v>0</v>
      </c>
      <c r="F18" s="111">
        <f>'Co Provided Price Out'!AA24</f>
        <v>4.000497032749073</v>
      </c>
      <c r="G18" s="111">
        <v>125</v>
      </c>
      <c r="H18" s="111">
        <f t="shared" ref="H18" si="21">F18*G18</f>
        <v>500.0621290936341</v>
      </c>
      <c r="I18" s="127">
        <f t="shared" si="0"/>
        <v>310.77653704011294</v>
      </c>
      <c r="J18" s="112">
        <f>(References!$C$61*I18*$E$82)+(References!$C$57*I18*$E$83)</f>
        <v>0.14376379570120959</v>
      </c>
      <c r="K18" s="112">
        <f>J18/References!$G$60</f>
        <v>0.14658930454634031</v>
      </c>
      <c r="L18" s="112">
        <f t="shared" si="16"/>
        <v>3.6642772972039092E-2</v>
      </c>
      <c r="M18" s="112">
        <f>'Rate Schedule'!B35</f>
        <v>21.41</v>
      </c>
      <c r="N18" s="92">
        <f t="shared" si="3"/>
        <v>21.446642772972041</v>
      </c>
      <c r="O18" s="92">
        <f>'Rate Schedule'!D35</f>
        <v>21.446642772972041</v>
      </c>
      <c r="P18" s="112">
        <f t="shared" si="17"/>
        <v>85.650641471157655</v>
      </c>
      <c r="Q18" s="112">
        <f t="shared" si="18"/>
        <v>85.797230775703994</v>
      </c>
      <c r="R18" s="92">
        <f t="shared" si="15"/>
        <v>0.14658930454633889</v>
      </c>
      <c r="S18" s="112">
        <f t="shared" si="19"/>
        <v>85.797230775703994</v>
      </c>
      <c r="T18" s="112">
        <f t="shared" ref="T18" si="22">Q18-S18</f>
        <v>0</v>
      </c>
      <c r="U18" s="128">
        <f t="shared" ref="U18" si="23">N18</f>
        <v>21.446642772972041</v>
      </c>
      <c r="V18" s="128">
        <f t="shared" si="20"/>
        <v>85.797230775703994</v>
      </c>
      <c r="W18" s="128">
        <f t="shared" ref="W18" si="24">V18-P18</f>
        <v>0.14658930454633889</v>
      </c>
    </row>
    <row r="19" spans="1:23" s="74" customFormat="1" x14ac:dyDescent="0.35">
      <c r="A19" s="52"/>
      <c r="B19" s="121"/>
      <c r="C19" s="56" t="s">
        <v>17</v>
      </c>
      <c r="D19" s="57">
        <f>SUM(D6:D18)</f>
        <v>1077.2093268688329</v>
      </c>
      <c r="E19" s="58"/>
      <c r="F19" s="59">
        <f>SUM(F6:F18)</f>
        <v>57331.957020627349</v>
      </c>
      <c r="G19" s="60"/>
      <c r="H19" s="122">
        <f>SUM(H6:H18)</f>
        <v>2745288.93891832</v>
      </c>
      <c r="I19" s="61">
        <f>SUM(I6:I18)</f>
        <v>1706130.7785053435</v>
      </c>
      <c r="J19" s="101"/>
      <c r="K19" s="101"/>
      <c r="L19" s="101"/>
      <c r="M19" s="101"/>
      <c r="N19" s="101"/>
      <c r="O19" s="101"/>
      <c r="P19" s="100">
        <f>SUM(P6:P18)</f>
        <v>323457.14160259953</v>
      </c>
      <c r="Q19" s="100">
        <f>SUM(Q6:Q18)</f>
        <v>324261.7747080769</v>
      </c>
      <c r="R19" s="100">
        <f>SUM(R6:R18)</f>
        <v>804.63310547739684</v>
      </c>
      <c r="S19" s="100">
        <f>SUM(S6:S18)</f>
        <v>324261.7747080769</v>
      </c>
      <c r="T19" s="100">
        <f>SUM(T6:T18)</f>
        <v>0</v>
      </c>
      <c r="U19" s="100"/>
      <c r="V19" s="100">
        <f>SUM(V6:V18)</f>
        <v>324261.7747080769</v>
      </c>
      <c r="W19" s="100">
        <f>SUM(W6:W18)</f>
        <v>804.63310547739684</v>
      </c>
    </row>
    <row r="20" spans="1:23" s="74" customFormat="1" ht="14.5" customHeight="1" x14ac:dyDescent="0.35">
      <c r="A20" s="272" t="s">
        <v>15</v>
      </c>
      <c r="B20" s="53" t="s">
        <v>349</v>
      </c>
      <c r="C20" s="129" t="s">
        <v>116</v>
      </c>
      <c r="D20" s="79">
        <f>'Co Provided Price Out'!Y50</f>
        <v>11.624809943962264</v>
      </c>
      <c r="E20" s="96">
        <f>References!B11</f>
        <v>4.333333333333333</v>
      </c>
      <c r="F20" s="95">
        <f>D20*E20*12</f>
        <v>604.49011708603769</v>
      </c>
      <c r="G20" s="95">
        <f>References!B29</f>
        <v>29</v>
      </c>
      <c r="H20" s="95">
        <f>F20*G20</f>
        <v>17530.213395495091</v>
      </c>
      <c r="I20" s="55">
        <f t="shared" ref="I20:I41" si="25">$D$76*H20</f>
        <v>10894.604281473308</v>
      </c>
      <c r="J20" s="98">
        <f>((References!$C$57*I20*$E$83)+(References!$C$61*I20*$E$82))</f>
        <v>5.0397937987354915</v>
      </c>
      <c r="K20" s="98">
        <f>J20/References!$G$60</f>
        <v>5.138845036820201</v>
      </c>
      <c r="L20" s="98">
        <f>K20/F20*E20</f>
        <v>3.683820109455662E-2</v>
      </c>
      <c r="M20" s="98">
        <f>'Rate Schedule'!B71</f>
        <v>18.100000000000001</v>
      </c>
      <c r="N20" s="98">
        <f>L20+M20</f>
        <v>18.136838201094559</v>
      </c>
      <c r="O20" s="98">
        <f>L20+M20</f>
        <v>18.136838201094559</v>
      </c>
      <c r="P20" s="98">
        <f>D20*M20*12</f>
        <v>2524.9087198286038</v>
      </c>
      <c r="Q20" s="98">
        <f>D20*O20*12</f>
        <v>2530.0475648654242</v>
      </c>
      <c r="R20" s="98">
        <f t="shared" si="10"/>
        <v>5.1388450368203848</v>
      </c>
      <c r="S20" s="98">
        <f>D20*N20*12</f>
        <v>2530.0475648654242</v>
      </c>
      <c r="T20" s="98">
        <f t="shared" ref="T20" si="26">Q20-S20</f>
        <v>0</v>
      </c>
      <c r="U20" s="99">
        <f>N20</f>
        <v>18.136838201094559</v>
      </c>
      <c r="V20" s="99">
        <f>D20*U20*12</f>
        <v>2530.0475648654242</v>
      </c>
      <c r="W20" s="99">
        <f t="shared" si="12"/>
        <v>5.1388450368203848</v>
      </c>
    </row>
    <row r="21" spans="1:23" s="74" customFormat="1" ht="14.5" customHeight="1" x14ac:dyDescent="0.35">
      <c r="A21" s="273"/>
      <c r="B21" s="47"/>
      <c r="C21" s="81" t="s">
        <v>117</v>
      </c>
      <c r="D21" s="14">
        <f>'Co Provided Price Out'!Y51</f>
        <v>1.3749306070484446</v>
      </c>
      <c r="E21" s="94">
        <f>References!B10</f>
        <v>8.6666666666666661</v>
      </c>
      <c r="F21" s="93">
        <f t="shared" ref="F21:F24" si="27">D21*E21*12</f>
        <v>142.99278313303824</v>
      </c>
      <c r="G21" s="93">
        <v>29</v>
      </c>
      <c r="H21" s="93">
        <f t="shared" ref="H21:H41" si="28">F21*G21</f>
        <v>4146.7907108581094</v>
      </c>
      <c r="I21" s="44">
        <f t="shared" si="25"/>
        <v>2577.130284363694</v>
      </c>
      <c r="J21" s="92">
        <f>((References!$C$57*I21*$E$83)+(References!$C$61*I21*$E$82))</f>
        <v>1.1921686084327558</v>
      </c>
      <c r="K21" s="92">
        <f>J21/References!$G$60</f>
        <v>1.2155992846442742</v>
      </c>
      <c r="L21" s="92">
        <f t="shared" ref="L21:L23" si="29">K21/F21*E21</f>
        <v>7.3676402189113255E-2</v>
      </c>
      <c r="M21" s="92">
        <f>'Rate Schedule'!B71+'Rate Schedule'!B71</f>
        <v>36.200000000000003</v>
      </c>
      <c r="N21" s="92">
        <f t="shared" ref="N21:N40" si="30">L21+M21</f>
        <v>36.273676402189118</v>
      </c>
      <c r="O21" s="92">
        <f t="shared" ref="O21:O35" si="31">L21+M21</f>
        <v>36.273676402189118</v>
      </c>
      <c r="P21" s="92">
        <f t="shared" ref="P21:P24" si="32">D21*M21*12</f>
        <v>597.26985570184445</v>
      </c>
      <c r="Q21" s="92">
        <f t="shared" ref="Q21:Q24" si="33">D21*O21*12</f>
        <v>598.48545498648866</v>
      </c>
      <c r="R21" s="92">
        <f t="shared" ref="R21" si="34">Q21-P21</f>
        <v>1.2155992846442132</v>
      </c>
      <c r="S21" s="92">
        <f t="shared" ref="S21:S24" si="35">D21*N21*12</f>
        <v>598.48545498648866</v>
      </c>
      <c r="T21" s="92">
        <f t="shared" ref="T21" si="36">Q21-S21</f>
        <v>0</v>
      </c>
      <c r="U21" s="97">
        <f>N21</f>
        <v>36.273676402189118</v>
      </c>
      <c r="V21" s="97">
        <f t="shared" ref="V21:V24" si="37">D21*U21*12</f>
        <v>598.48545498648866</v>
      </c>
      <c r="W21" s="97">
        <f t="shared" ref="W21" si="38">V21-P21</f>
        <v>1.2155992846442132</v>
      </c>
    </row>
    <row r="22" spans="1:23" s="74" customFormat="1" ht="14.5" customHeight="1" x14ac:dyDescent="0.35">
      <c r="A22" s="273"/>
      <c r="B22" s="47" t="s">
        <v>349</v>
      </c>
      <c r="C22" s="81" t="s">
        <v>107</v>
      </c>
      <c r="D22" s="14">
        <f>'Co Provided Price Out'!Y52</f>
        <v>3.3333489550175663</v>
      </c>
      <c r="E22" s="94">
        <f>References!B11</f>
        <v>4.333333333333333</v>
      </c>
      <c r="F22" s="93">
        <f t="shared" si="27"/>
        <v>173.33414566091344</v>
      </c>
      <c r="G22" s="93">
        <f>References!B24</f>
        <v>47</v>
      </c>
      <c r="H22" s="93">
        <f t="shared" si="28"/>
        <v>8146.7048460629312</v>
      </c>
      <c r="I22" s="44">
        <f t="shared" si="25"/>
        <v>5062.9803239374605</v>
      </c>
      <c r="J22" s="92">
        <f>((References!$C$57*I22*$E$83)+(References!$C$61*I22*$E$82))</f>
        <v>2.3421113957384754</v>
      </c>
      <c r="K22" s="92">
        <f>J22/References!$G$60</f>
        <v>2.3881428491559564</v>
      </c>
      <c r="L22" s="92">
        <f t="shared" si="29"/>
        <v>5.9703291429108997E-2</v>
      </c>
      <c r="M22" s="92">
        <f>'Rate Schedule'!B75</f>
        <v>33.97</v>
      </c>
      <c r="N22" s="92">
        <f t="shared" si="30"/>
        <v>34.029703291429108</v>
      </c>
      <c r="O22" s="92">
        <f>'Rate Schedule'!D75</f>
        <v>34.029703291429108</v>
      </c>
      <c r="P22" s="92">
        <f t="shared" si="32"/>
        <v>1358.8063680233608</v>
      </c>
      <c r="Q22" s="92">
        <f t="shared" si="33"/>
        <v>1361.1945108725167</v>
      </c>
      <c r="R22" s="92">
        <f t="shared" ref="R22:R40" si="39">Q22-P22</f>
        <v>2.3881428491558836</v>
      </c>
      <c r="S22" s="92">
        <f t="shared" si="35"/>
        <v>1361.1945108725167</v>
      </c>
      <c r="T22" s="92">
        <f t="shared" ref="T22:T40" si="40">Q22-S22</f>
        <v>0</v>
      </c>
      <c r="U22" s="97">
        <f t="shared" ref="U22:U40" si="41">N22</f>
        <v>34.029703291429108</v>
      </c>
      <c r="V22" s="97">
        <f t="shared" si="37"/>
        <v>1361.1945108725167</v>
      </c>
      <c r="W22" s="97">
        <f t="shared" ref="W22:W40" si="42">V22-P22</f>
        <v>2.3881428491558836</v>
      </c>
    </row>
    <row r="23" spans="1:23" s="74" customFormat="1" ht="14.5" customHeight="1" x14ac:dyDescent="0.35">
      <c r="A23" s="273"/>
      <c r="B23" s="47" t="s">
        <v>349</v>
      </c>
      <c r="C23" s="81" t="s">
        <v>109</v>
      </c>
      <c r="D23" s="14">
        <f>'Co Provided Price Out'!Y53</f>
        <v>11.208670585296572</v>
      </c>
      <c r="E23" s="94">
        <f>References!B11</f>
        <v>4.333333333333333</v>
      </c>
      <c r="F23" s="93">
        <f t="shared" si="27"/>
        <v>582.85087043542171</v>
      </c>
      <c r="G23" s="93">
        <f>References!B25</f>
        <v>68</v>
      </c>
      <c r="H23" s="93">
        <f t="shared" si="28"/>
        <v>39633.859189608673</v>
      </c>
      <c r="I23" s="44">
        <f t="shared" si="25"/>
        <v>24631.486353120119</v>
      </c>
      <c r="J23" s="92">
        <f>((References!$C$57*I23*$E$83)+(References!$C$61*I23*$E$82))</f>
        <v>11.394412221763156</v>
      </c>
      <c r="K23" s="92">
        <f>J23/References!$G$60</f>
        <v>11.618356034324767</v>
      </c>
      <c r="L23" s="92">
        <f t="shared" si="29"/>
        <v>8.6379230152753478E-2</v>
      </c>
      <c r="M23" s="92">
        <f>'Rate Schedule'!B79</f>
        <v>41.71</v>
      </c>
      <c r="N23" s="92">
        <f t="shared" si="30"/>
        <v>41.796379230152752</v>
      </c>
      <c r="O23" s="92">
        <f>'Rate Schedule'!D79</f>
        <v>41.796379230152752</v>
      </c>
      <c r="P23" s="92">
        <f t="shared" si="32"/>
        <v>5610.1638013526408</v>
      </c>
      <c r="Q23" s="92">
        <f t="shared" si="33"/>
        <v>5621.7821573869642</v>
      </c>
      <c r="R23" s="92">
        <f t="shared" si="39"/>
        <v>11.618356034323369</v>
      </c>
      <c r="S23" s="92">
        <f t="shared" si="35"/>
        <v>5621.7821573869642</v>
      </c>
      <c r="T23" s="92">
        <f t="shared" si="40"/>
        <v>0</v>
      </c>
      <c r="U23" s="97">
        <f t="shared" si="41"/>
        <v>41.796379230152752</v>
      </c>
      <c r="V23" s="97">
        <f t="shared" si="37"/>
        <v>5621.7821573869642</v>
      </c>
      <c r="W23" s="97">
        <f t="shared" si="42"/>
        <v>11.618356034323369</v>
      </c>
    </row>
    <row r="24" spans="1:23" s="74" customFormat="1" ht="14.5" customHeight="1" x14ac:dyDescent="0.35">
      <c r="A24" s="273"/>
      <c r="B24" s="47"/>
      <c r="C24" s="81" t="s">
        <v>110</v>
      </c>
      <c r="D24" s="14">
        <f>'Co Provided Price Out'!Y54</f>
        <v>1.1250217668829523</v>
      </c>
      <c r="E24" s="94">
        <f>References!B10</f>
        <v>8.6666666666666661</v>
      </c>
      <c r="F24" s="93">
        <f t="shared" si="27"/>
        <v>117.00226375582704</v>
      </c>
      <c r="G24" s="93">
        <f>References!B25</f>
        <v>68</v>
      </c>
      <c r="H24" s="93">
        <f t="shared" si="28"/>
        <v>7956.1539353962389</v>
      </c>
      <c r="I24" s="44">
        <f t="shared" si="25"/>
        <v>4944.5575346449205</v>
      </c>
      <c r="J24" s="92">
        <f>((References!$C$57*I24*$E$83)+(References!$C$61*I24*$E$82))</f>
        <v>2.2873295584467415</v>
      </c>
      <c r="K24" s="92">
        <f>J24/References!$G$60</f>
        <v>2.3322843390825581</v>
      </c>
      <c r="L24" s="92">
        <f>K24/F24*E24</f>
        <v>0.17275846030550696</v>
      </c>
      <c r="M24" s="92">
        <f>'Rate Schedule'!B79+'Rate Schedule'!B79</f>
        <v>83.42</v>
      </c>
      <c r="N24" s="92">
        <f t="shared" si="30"/>
        <v>83.592758460305504</v>
      </c>
      <c r="O24" s="92">
        <f t="shared" si="31"/>
        <v>83.592758460305504</v>
      </c>
      <c r="P24" s="92">
        <f t="shared" si="32"/>
        <v>1126.1917895205106</v>
      </c>
      <c r="Q24" s="92">
        <f t="shared" si="33"/>
        <v>1128.524073859593</v>
      </c>
      <c r="R24" s="92">
        <f t="shared" si="39"/>
        <v>2.3322843390824346</v>
      </c>
      <c r="S24" s="92">
        <f t="shared" si="35"/>
        <v>1128.524073859593</v>
      </c>
      <c r="T24" s="92">
        <f t="shared" si="40"/>
        <v>0</v>
      </c>
      <c r="U24" s="97">
        <f t="shared" si="41"/>
        <v>83.592758460305504</v>
      </c>
      <c r="V24" s="97">
        <f t="shared" si="37"/>
        <v>1128.524073859593</v>
      </c>
      <c r="W24" s="97">
        <f t="shared" si="42"/>
        <v>2.3322843390824346</v>
      </c>
    </row>
    <row r="25" spans="1:23" s="74" customFormat="1" ht="14.5" customHeight="1" x14ac:dyDescent="0.35">
      <c r="A25" s="273"/>
      <c r="B25" s="47" t="s">
        <v>349</v>
      </c>
      <c r="C25" s="81" t="s">
        <v>118</v>
      </c>
      <c r="D25" s="14">
        <v>0</v>
      </c>
      <c r="E25" s="94">
        <v>0</v>
      </c>
      <c r="F25" s="93">
        <f>'Co Provided Price Out'!AA62</f>
        <v>623.35863095238108</v>
      </c>
      <c r="G25" s="93">
        <f>References!B29</f>
        <v>29</v>
      </c>
      <c r="H25" s="93">
        <f t="shared" si="28"/>
        <v>18077.40029761905</v>
      </c>
      <c r="I25" s="44">
        <f t="shared" si="25"/>
        <v>11234.667726917602</v>
      </c>
      <c r="J25" s="92">
        <f>((References!$C$57*I25*$E$83)+(References!$C$61*I25*$E$82))</f>
        <v>5.1971055834729363</v>
      </c>
      <c r="K25" s="92">
        <f>J25/References!$G$60</f>
        <v>5.2992486002426125</v>
      </c>
      <c r="L25" s="92">
        <f t="shared" ref="L25:L40" si="43">K25/F25</f>
        <v>8.5011233295130655E-3</v>
      </c>
      <c r="M25" s="92">
        <f>'Rate Schedule'!B69</f>
        <v>4.01</v>
      </c>
      <c r="N25" s="92">
        <f t="shared" si="30"/>
        <v>4.0185011233295125</v>
      </c>
      <c r="O25" s="92">
        <f>'Rate Schedule'!D69</f>
        <v>4.0185011233295125</v>
      </c>
      <c r="P25" s="92">
        <f>F25*M25</f>
        <v>2499.6681101190479</v>
      </c>
      <c r="Q25" s="92">
        <f>F25*O25</f>
        <v>2504.9673587192906</v>
      </c>
      <c r="R25" s="92">
        <f t="shared" si="39"/>
        <v>5.2992486002426631</v>
      </c>
      <c r="S25" s="92">
        <f t="shared" ref="S25:S40" si="44">F25*N25</f>
        <v>2504.9673587192906</v>
      </c>
      <c r="T25" s="92">
        <f t="shared" si="40"/>
        <v>0</v>
      </c>
      <c r="U25" s="97">
        <f t="shared" si="41"/>
        <v>4.0185011233295125</v>
      </c>
      <c r="V25" s="97">
        <f t="shared" ref="V25:V40" si="45">F25*U25</f>
        <v>2504.9673587192906</v>
      </c>
      <c r="W25" s="97">
        <f t="shared" si="42"/>
        <v>5.2992486002426631</v>
      </c>
    </row>
    <row r="26" spans="1:23" s="74" customFormat="1" ht="14.5" customHeight="1" x14ac:dyDescent="0.35">
      <c r="A26" s="273"/>
      <c r="B26" s="47" t="s">
        <v>349</v>
      </c>
      <c r="C26" s="81" t="s">
        <v>119</v>
      </c>
      <c r="D26" s="14">
        <v>0</v>
      </c>
      <c r="E26" s="94">
        <v>0</v>
      </c>
      <c r="F26" s="93">
        <f>'Co Provided Price Out'!AA55</f>
        <v>5</v>
      </c>
      <c r="G26" s="93">
        <f>References!B29</f>
        <v>29</v>
      </c>
      <c r="H26" s="93">
        <f t="shared" si="28"/>
        <v>145</v>
      </c>
      <c r="I26" s="44">
        <f t="shared" si="25"/>
        <v>90.113998339551586</v>
      </c>
      <c r="J26" s="92">
        <f>((References!$C$57*I26*$E$83)+(References!$C$61*I26*$E$82))</f>
        <v>4.1686320886683517E-2</v>
      </c>
      <c r="K26" s="92">
        <f>J26/References!$G$60</f>
        <v>4.2505616647565338E-2</v>
      </c>
      <c r="L26" s="92">
        <f t="shared" si="43"/>
        <v>8.5011233295130672E-3</v>
      </c>
      <c r="M26" s="92">
        <f>'Rate Schedule'!B70</f>
        <v>11.53</v>
      </c>
      <c r="N26" s="92">
        <f t="shared" si="30"/>
        <v>11.538501123329512</v>
      </c>
      <c r="O26" s="92">
        <f>'Rate Schedule'!D70</f>
        <v>11.538501123329512</v>
      </c>
      <c r="P26" s="92">
        <f t="shared" ref="P26:P41" si="46">F26*M26</f>
        <v>57.65</v>
      </c>
      <c r="Q26" s="92">
        <f t="shared" ref="Q26:Q40" si="47">F26*O26</f>
        <v>57.692505616647558</v>
      </c>
      <c r="R26" s="92">
        <f t="shared" si="39"/>
        <v>4.2505616647559918E-2</v>
      </c>
      <c r="S26" s="92">
        <f t="shared" si="44"/>
        <v>57.692505616647558</v>
      </c>
      <c r="T26" s="92">
        <f t="shared" si="40"/>
        <v>0</v>
      </c>
      <c r="U26" s="97">
        <f t="shared" si="41"/>
        <v>11.538501123329512</v>
      </c>
      <c r="V26" s="97">
        <f t="shared" si="45"/>
        <v>57.692505616647558</v>
      </c>
      <c r="W26" s="97">
        <f t="shared" si="42"/>
        <v>4.2505616647559918E-2</v>
      </c>
    </row>
    <row r="27" spans="1:23" s="74" customFormat="1" ht="14.5" customHeight="1" x14ac:dyDescent="0.35">
      <c r="A27" s="273"/>
      <c r="B27" s="47" t="s">
        <v>348</v>
      </c>
      <c r="C27" s="82" t="s">
        <v>120</v>
      </c>
      <c r="D27" s="14">
        <v>0</v>
      </c>
      <c r="E27" s="94">
        <v>0</v>
      </c>
      <c r="F27" s="93">
        <f>'Co Provided Price Out'!AA40*References!B11</f>
        <v>1287.1305914900868</v>
      </c>
      <c r="G27" s="93">
        <f>References!B30</f>
        <v>175</v>
      </c>
      <c r="H27" s="93">
        <f>F27*G27</f>
        <v>225247.85351076518</v>
      </c>
      <c r="I27" s="44">
        <f t="shared" si="25"/>
        <v>139986.10136039072</v>
      </c>
      <c r="J27" s="92">
        <f>((References!$C$57*I27*$E$83)+(References!$C$61*I27*$E$82))</f>
        <v>64.756926210251322</v>
      </c>
      <c r="K27" s="92">
        <f>J27/References!$G$60</f>
        <v>66.029647669072702</v>
      </c>
      <c r="L27" s="92">
        <f t="shared" si="43"/>
        <v>5.129988216085473E-2</v>
      </c>
      <c r="M27" s="92">
        <f>'Rate Schedule'!B44</f>
        <v>16.62</v>
      </c>
      <c r="N27" s="92">
        <f t="shared" si="30"/>
        <v>16.671299882160856</v>
      </c>
      <c r="O27" s="92">
        <f>'Rate Schedule'!D44</f>
        <v>16.671299882160856</v>
      </c>
      <c r="P27" s="92">
        <f t="shared" si="46"/>
        <v>21392.110430565244</v>
      </c>
      <c r="Q27" s="92">
        <f t="shared" si="47"/>
        <v>21458.140078234315</v>
      </c>
      <c r="R27" s="92">
        <f t="shared" si="39"/>
        <v>66.029647669070982</v>
      </c>
      <c r="S27" s="92">
        <f t="shared" si="44"/>
        <v>21458.140078234315</v>
      </c>
      <c r="T27" s="92">
        <f t="shared" si="40"/>
        <v>0</v>
      </c>
      <c r="U27" s="97">
        <f t="shared" si="41"/>
        <v>16.671299882160856</v>
      </c>
      <c r="V27" s="97">
        <f t="shared" si="45"/>
        <v>21458.140078234315</v>
      </c>
      <c r="W27" s="97">
        <f t="shared" si="42"/>
        <v>66.029647669070982</v>
      </c>
    </row>
    <row r="28" spans="1:23" s="74" customFormat="1" ht="14.5" customHeight="1" x14ac:dyDescent="0.35">
      <c r="A28" s="273"/>
      <c r="B28" s="47" t="s">
        <v>348</v>
      </c>
      <c r="C28" s="82" t="s">
        <v>121</v>
      </c>
      <c r="D28" s="14">
        <v>0</v>
      </c>
      <c r="E28" s="94">
        <v>0</v>
      </c>
      <c r="F28" s="93">
        <f>'Co Provided Price Out'!AA41*References!B11</f>
        <v>451.74403065338902</v>
      </c>
      <c r="G28" s="93">
        <f>References!B31</f>
        <v>250</v>
      </c>
      <c r="H28" s="93">
        <f t="shared" si="28"/>
        <v>112936.00766334725</v>
      </c>
      <c r="I28" s="44">
        <f t="shared" si="25"/>
        <v>70187.001427934199</v>
      </c>
      <c r="J28" s="92">
        <f>((References!$C$57*I28*$E$83)+(References!$C$61*I28*$E$82))</f>
        <v>32.46818382838098</v>
      </c>
      <c r="K28" s="92">
        <f>J28/References!$G$60</f>
        <v>33.106307913411996</v>
      </c>
      <c r="L28" s="92">
        <f t="shared" si="43"/>
        <v>7.328554594407817E-2</v>
      </c>
      <c r="M28" s="92">
        <f>'Rate Schedule'!B45</f>
        <v>24.91</v>
      </c>
      <c r="N28" s="92">
        <f t="shared" si="30"/>
        <v>24.983285545944078</v>
      </c>
      <c r="O28" s="92">
        <f>'Rate Schedule'!D45</f>
        <v>24.983285545944078</v>
      </c>
      <c r="P28" s="92">
        <f t="shared" si="46"/>
        <v>11252.943803575921</v>
      </c>
      <c r="Q28" s="92">
        <f t="shared" si="47"/>
        <v>11286.050111489332</v>
      </c>
      <c r="R28" s="92">
        <f t="shared" si="39"/>
        <v>33.106307913411001</v>
      </c>
      <c r="S28" s="92">
        <f t="shared" si="44"/>
        <v>11286.050111489332</v>
      </c>
      <c r="T28" s="92">
        <f t="shared" si="40"/>
        <v>0</v>
      </c>
      <c r="U28" s="97">
        <f t="shared" si="41"/>
        <v>24.983285545944078</v>
      </c>
      <c r="V28" s="97">
        <f t="shared" si="45"/>
        <v>11286.050111489332</v>
      </c>
      <c r="W28" s="97">
        <f t="shared" si="42"/>
        <v>33.106307913411001</v>
      </c>
    </row>
    <row r="29" spans="1:23" s="74" customFormat="1" ht="14.5" customHeight="1" x14ac:dyDescent="0.35">
      <c r="A29" s="273"/>
      <c r="B29" s="47"/>
      <c r="C29" s="82" t="s">
        <v>122</v>
      </c>
      <c r="D29" s="14">
        <v>0</v>
      </c>
      <c r="E29" s="94">
        <v>0</v>
      </c>
      <c r="F29" s="93">
        <f>'Co Provided Price Out'!AA42*References!C11</f>
        <v>8.6666666666666661</v>
      </c>
      <c r="G29" s="93">
        <f>References!B31</f>
        <v>250</v>
      </c>
      <c r="H29" s="93">
        <f t="shared" si="28"/>
        <v>2166.6666666666665</v>
      </c>
      <c r="I29" s="44">
        <f t="shared" si="25"/>
        <v>1346.5310096714604</v>
      </c>
      <c r="J29" s="92">
        <f>((References!$C$57*I29*$E$83)+(References!$C$61*I29*$E$82))</f>
        <v>0.62289904773205262</v>
      </c>
      <c r="K29" s="92">
        <f>J29/References!$G$60</f>
        <v>0.63514139818201087</v>
      </c>
      <c r="L29" s="92">
        <f t="shared" si="43"/>
        <v>7.3285545944078184E-2</v>
      </c>
      <c r="M29" s="234">
        <f>'Rate Schedule'!B45</f>
        <v>24.91</v>
      </c>
      <c r="N29" s="92">
        <f t="shared" si="30"/>
        <v>24.983285545944078</v>
      </c>
      <c r="O29" s="92">
        <f t="shared" si="31"/>
        <v>24.983285545944078</v>
      </c>
      <c r="P29" s="92">
        <f t="shared" si="46"/>
        <v>215.88666666666666</v>
      </c>
      <c r="Q29" s="92">
        <f t="shared" si="47"/>
        <v>216.52180806484867</v>
      </c>
      <c r="R29" s="92">
        <f t="shared" si="39"/>
        <v>0.63514139818201443</v>
      </c>
      <c r="S29" s="92">
        <f t="shared" si="44"/>
        <v>216.52180806484867</v>
      </c>
      <c r="T29" s="92">
        <f t="shared" si="40"/>
        <v>0</v>
      </c>
      <c r="U29" s="97">
        <f t="shared" si="41"/>
        <v>24.983285545944078</v>
      </c>
      <c r="V29" s="97">
        <f t="shared" si="45"/>
        <v>216.52180806484867</v>
      </c>
      <c r="W29" s="97">
        <f t="shared" si="42"/>
        <v>0.63514139818201443</v>
      </c>
    </row>
    <row r="30" spans="1:23" s="74" customFormat="1" ht="14.5" customHeight="1" x14ac:dyDescent="0.35">
      <c r="A30" s="273"/>
      <c r="B30" s="47" t="s">
        <v>348</v>
      </c>
      <c r="C30" s="82" t="s">
        <v>123</v>
      </c>
      <c r="D30" s="14">
        <v>0</v>
      </c>
      <c r="E30" s="94">
        <v>0</v>
      </c>
      <c r="F30" s="93">
        <f>'Co Provided Price Out'!AA43*References!B11</f>
        <v>564.41149008195816</v>
      </c>
      <c r="G30" s="93">
        <f>References!B33</f>
        <v>324</v>
      </c>
      <c r="H30" s="93">
        <f t="shared" si="28"/>
        <v>182869.32278655443</v>
      </c>
      <c r="I30" s="44">
        <f t="shared" si="25"/>
        <v>113648.86793063785</v>
      </c>
      <c r="J30" s="92">
        <f>((References!$C$57*I30*$E$83)+(References!$C$61*I30*$E$82))</f>
        <v>52.573443241453887</v>
      </c>
      <c r="K30" s="92">
        <f>J30/References!$G$60</f>
        <v>53.606712627345985</v>
      </c>
      <c r="L30" s="92">
        <f t="shared" si="43"/>
        <v>9.4978067543525307E-2</v>
      </c>
      <c r="M30" s="92">
        <f>'Rate Schedule'!B46</f>
        <v>33.119999999999997</v>
      </c>
      <c r="N30" s="92">
        <f t="shared" si="30"/>
        <v>33.21497806754352</v>
      </c>
      <c r="O30" s="92">
        <f>'Rate Schedule'!D46</f>
        <v>33.21497806754352</v>
      </c>
      <c r="P30" s="92">
        <f t="shared" si="46"/>
        <v>18693.308551514452</v>
      </c>
      <c r="Q30" s="92">
        <f t="shared" si="47"/>
        <v>18746.915264141797</v>
      </c>
      <c r="R30" s="92">
        <f t="shared" si="39"/>
        <v>53.606712627344677</v>
      </c>
      <c r="S30" s="92">
        <f t="shared" si="44"/>
        <v>18746.915264141797</v>
      </c>
      <c r="T30" s="92">
        <f t="shared" si="40"/>
        <v>0</v>
      </c>
      <c r="U30" s="97">
        <f t="shared" si="41"/>
        <v>33.21497806754352</v>
      </c>
      <c r="V30" s="97">
        <f t="shared" si="45"/>
        <v>18746.915264141797</v>
      </c>
      <c r="W30" s="97">
        <f t="shared" si="42"/>
        <v>53.606712627344677</v>
      </c>
    </row>
    <row r="31" spans="1:23" s="74" customFormat="1" ht="14.5" customHeight="1" x14ac:dyDescent="0.35">
      <c r="A31" s="273"/>
      <c r="B31" s="47" t="s">
        <v>348</v>
      </c>
      <c r="C31" s="82" t="s">
        <v>124</v>
      </c>
      <c r="D31" s="14">
        <v>0</v>
      </c>
      <c r="E31" s="94">
        <v>0</v>
      </c>
      <c r="F31" s="93">
        <f>'Co Provided Price Out'!AA44*References!B11</f>
        <v>88.833885831847411</v>
      </c>
      <c r="G31" s="93">
        <f>References!B34</f>
        <v>473</v>
      </c>
      <c r="H31" s="93">
        <f t="shared" si="28"/>
        <v>42018.427998463827</v>
      </c>
      <c r="I31" s="44">
        <f t="shared" si="25"/>
        <v>26113.438281959567</v>
      </c>
      <c r="J31" s="92">
        <f>((References!$C$57*I31*$E$83)+(References!$C$61*I31*$E$82))</f>
        <v>12.079956363434276</v>
      </c>
      <c r="K31" s="92">
        <f>J31/References!$G$60</f>
        <v>12.317373742317445</v>
      </c>
      <c r="L31" s="92">
        <f t="shared" si="43"/>
        <v>0.13865625292619591</v>
      </c>
      <c r="M31" s="92">
        <f>'Rate Schedule'!B47</f>
        <v>46.5</v>
      </c>
      <c r="N31" s="92">
        <f t="shared" si="30"/>
        <v>46.638656252926197</v>
      </c>
      <c r="O31" s="92">
        <f>'Rate Schedule'!D47</f>
        <v>46.638656252926197</v>
      </c>
      <c r="P31" s="92">
        <f t="shared" si="46"/>
        <v>4130.7756911809047</v>
      </c>
      <c r="Q31" s="92">
        <f t="shared" si="47"/>
        <v>4143.0930649232223</v>
      </c>
      <c r="R31" s="92">
        <f t="shared" si="39"/>
        <v>12.317373742317614</v>
      </c>
      <c r="S31" s="92">
        <f t="shared" si="44"/>
        <v>4143.0930649232223</v>
      </c>
      <c r="T31" s="92">
        <f t="shared" si="40"/>
        <v>0</v>
      </c>
      <c r="U31" s="97">
        <f t="shared" si="41"/>
        <v>46.638656252926197</v>
      </c>
      <c r="V31" s="97">
        <f t="shared" si="45"/>
        <v>4143.0930649232223</v>
      </c>
      <c r="W31" s="97">
        <f t="shared" si="42"/>
        <v>12.317373742317614</v>
      </c>
    </row>
    <row r="32" spans="1:23" s="74" customFormat="1" ht="14.5" customHeight="1" x14ac:dyDescent="0.35">
      <c r="A32" s="273"/>
      <c r="B32" s="47"/>
      <c r="C32" s="232" t="s">
        <v>125</v>
      </c>
      <c r="D32" s="233">
        <v>0</v>
      </c>
      <c r="E32" s="94">
        <v>0</v>
      </c>
      <c r="F32" s="93">
        <f>'Co Provided Price Out'!AA45*References!C11</f>
        <v>103.9997006594878</v>
      </c>
      <c r="G32" s="93">
        <f>References!B34</f>
        <v>473</v>
      </c>
      <c r="H32" s="93">
        <f t="shared" si="28"/>
        <v>49191.858411937726</v>
      </c>
      <c r="I32" s="44">
        <f t="shared" si="25"/>
        <v>30571.5520500194</v>
      </c>
      <c r="J32" s="92">
        <f>((References!$C$57*I32*$E$83)+(References!$C$61*I32*$E$82))</f>
        <v>14.142259274291986</v>
      </c>
      <c r="K32" s="92">
        <f>J32/References!$G$60</f>
        <v>14.420208798890602</v>
      </c>
      <c r="L32" s="92">
        <f t="shared" si="43"/>
        <v>0.13865625292619591</v>
      </c>
      <c r="M32" s="234">
        <f>'Rate Schedule'!B47</f>
        <v>46.5</v>
      </c>
      <c r="N32" s="92">
        <f t="shared" si="30"/>
        <v>46.638656252926197</v>
      </c>
      <c r="O32" s="92">
        <f t="shared" si="31"/>
        <v>46.638656252926197</v>
      </c>
      <c r="P32" s="92">
        <f t="shared" si="46"/>
        <v>4835.9860806661827</v>
      </c>
      <c r="Q32" s="92">
        <f t="shared" si="47"/>
        <v>4850.4062894650733</v>
      </c>
      <c r="R32" s="92">
        <f t="shared" si="39"/>
        <v>14.420208798890599</v>
      </c>
      <c r="S32" s="92">
        <f t="shared" si="44"/>
        <v>4850.4062894650733</v>
      </c>
      <c r="T32" s="92">
        <f t="shared" si="40"/>
        <v>0</v>
      </c>
      <c r="U32" s="92">
        <f t="shared" si="41"/>
        <v>46.638656252926197</v>
      </c>
      <c r="V32" s="92">
        <f t="shared" si="45"/>
        <v>4850.4062894650733</v>
      </c>
      <c r="W32" s="92">
        <f t="shared" si="42"/>
        <v>14.420208798890599</v>
      </c>
    </row>
    <row r="33" spans="1:25" s="74" customFormat="1" ht="14.5" customHeight="1" x14ac:dyDescent="0.35">
      <c r="A33" s="273"/>
      <c r="B33" s="47" t="s">
        <v>348</v>
      </c>
      <c r="C33" s="82" t="s">
        <v>126</v>
      </c>
      <c r="D33" s="14">
        <v>0</v>
      </c>
      <c r="E33" s="94">
        <v>0</v>
      </c>
      <c r="F33" s="93">
        <f>'Co Provided Price Out'!AA46*References!B11</f>
        <v>288.88171102072266</v>
      </c>
      <c r="G33" s="93">
        <f>References!B36</f>
        <v>613</v>
      </c>
      <c r="H33" s="93">
        <f t="shared" si="28"/>
        <v>177084.48885570301</v>
      </c>
      <c r="I33" s="44">
        <f t="shared" si="25"/>
        <v>110053.73334278043</v>
      </c>
      <c r="J33" s="92">
        <f>((References!$C$57*I33*$E$83)+(References!$C$61*I33*$E$82))</f>
        <v>50.91035052753908</v>
      </c>
      <c r="K33" s="92">
        <f>J33/References!$G$60</f>
        <v>51.910933776072888</v>
      </c>
      <c r="L33" s="92">
        <f t="shared" si="43"/>
        <v>0.1796961586548797</v>
      </c>
      <c r="M33" s="92">
        <f>'Rate Schedule'!B48</f>
        <v>61.59</v>
      </c>
      <c r="N33" s="92">
        <f t="shared" si="30"/>
        <v>61.769696158654881</v>
      </c>
      <c r="O33" s="92">
        <f>'Rate Schedule'!D48</f>
        <v>61.769696158654881</v>
      </c>
      <c r="P33" s="92">
        <f t="shared" si="46"/>
        <v>17792.22458176631</v>
      </c>
      <c r="Q33" s="92">
        <f t="shared" si="47"/>
        <v>17844.135515542381</v>
      </c>
      <c r="R33" s="92">
        <f t="shared" si="39"/>
        <v>51.910933776071033</v>
      </c>
      <c r="S33" s="92">
        <f t="shared" si="44"/>
        <v>17844.135515542381</v>
      </c>
      <c r="T33" s="92">
        <f t="shared" si="40"/>
        <v>0</v>
      </c>
      <c r="U33" s="97">
        <f t="shared" si="41"/>
        <v>61.769696158654881</v>
      </c>
      <c r="V33" s="97">
        <f t="shared" si="45"/>
        <v>17844.135515542381</v>
      </c>
      <c r="W33" s="97">
        <f t="shared" si="42"/>
        <v>51.910933776071033</v>
      </c>
    </row>
    <row r="34" spans="1:25" s="74" customFormat="1" ht="14.5" customHeight="1" x14ac:dyDescent="0.35">
      <c r="A34" s="273"/>
      <c r="B34" s="47"/>
      <c r="C34" s="82" t="s">
        <v>127</v>
      </c>
      <c r="D34" s="14">
        <v>0</v>
      </c>
      <c r="E34" s="94">
        <v>0</v>
      </c>
      <c r="F34" s="93">
        <f>'Co Provided Price Out'!AA47*References!C11</f>
        <v>104.00009905863274</v>
      </c>
      <c r="G34" s="93">
        <f>References!B36</f>
        <v>613</v>
      </c>
      <c r="H34" s="93">
        <f t="shared" si="28"/>
        <v>63752.060722941867</v>
      </c>
      <c r="I34" s="44">
        <f t="shared" si="25"/>
        <v>39620.366166414999</v>
      </c>
      <c r="J34" s="92">
        <f>((References!$C$57*I34*$E$83)+(References!$C$61*I34*$E$82))</f>
        <v>18.328199037819914</v>
      </c>
      <c r="K34" s="92">
        <f>J34/References!$G$60</f>
        <v>18.688418300563271</v>
      </c>
      <c r="L34" s="92">
        <f t="shared" si="43"/>
        <v>0.17969615865487967</v>
      </c>
      <c r="M34" s="234">
        <f>'Rate Schedule'!B48</f>
        <v>61.59</v>
      </c>
      <c r="N34" s="92">
        <f t="shared" si="30"/>
        <v>61.769696158654881</v>
      </c>
      <c r="O34" s="92">
        <f t="shared" si="31"/>
        <v>61.769696158654881</v>
      </c>
      <c r="P34" s="92">
        <f t="shared" si="46"/>
        <v>6405.3661010211908</v>
      </c>
      <c r="Q34" s="92">
        <f t="shared" si="47"/>
        <v>6424.054519321754</v>
      </c>
      <c r="R34" s="92">
        <f t="shared" si="39"/>
        <v>18.688418300563171</v>
      </c>
      <c r="S34" s="92">
        <f t="shared" si="44"/>
        <v>6424.054519321754</v>
      </c>
      <c r="T34" s="92">
        <f t="shared" si="40"/>
        <v>0</v>
      </c>
      <c r="U34" s="97">
        <f t="shared" si="41"/>
        <v>61.769696158654881</v>
      </c>
      <c r="V34" s="97">
        <f t="shared" si="45"/>
        <v>6424.054519321754</v>
      </c>
      <c r="W34" s="97">
        <f t="shared" si="42"/>
        <v>18.688418300563171</v>
      </c>
    </row>
    <row r="35" spans="1:25" s="74" customFormat="1" ht="14.5" customHeight="1" x14ac:dyDescent="0.35">
      <c r="A35" s="273"/>
      <c r="B35" s="47"/>
      <c r="C35" s="82" t="s">
        <v>128</v>
      </c>
      <c r="D35" s="14">
        <v>0</v>
      </c>
      <c r="E35" s="94">
        <v>0</v>
      </c>
      <c r="F35" s="93">
        <f>'Co Provided Price Out'!AA49*References!C11</f>
        <v>103.99990682522612</v>
      </c>
      <c r="G35" s="93">
        <f>References!B38</f>
        <v>840</v>
      </c>
      <c r="H35" s="93">
        <f t="shared" si="28"/>
        <v>87359.921733189942</v>
      </c>
      <c r="I35" s="44">
        <f t="shared" si="25"/>
        <v>54292.081669020932</v>
      </c>
      <c r="J35" s="92">
        <f>((References!$C$57*I35*$E$83)+(References!$C$61*I35*$E$82))</f>
        <v>25.115267103484921</v>
      </c>
      <c r="K35" s="92">
        <f>J35/References!$G$60</f>
        <v>25.608878231395064</v>
      </c>
      <c r="L35" s="92">
        <f t="shared" si="43"/>
        <v>0.24623943437210272</v>
      </c>
      <c r="M35" s="234">
        <f>'Rate Schedule'!B49</f>
        <v>89.37</v>
      </c>
      <c r="N35" s="92">
        <f t="shared" si="30"/>
        <v>89.616239434372105</v>
      </c>
      <c r="O35" s="92">
        <f t="shared" si="31"/>
        <v>89.616239434372105</v>
      </c>
      <c r="P35" s="92">
        <f t="shared" si="46"/>
        <v>9294.4716729704596</v>
      </c>
      <c r="Q35" s="92">
        <f t="shared" si="47"/>
        <v>9320.0805512018542</v>
      </c>
      <c r="R35" s="92">
        <f t="shared" si="39"/>
        <v>25.608878231394556</v>
      </c>
      <c r="S35" s="92">
        <f t="shared" si="44"/>
        <v>9320.0805512018542</v>
      </c>
      <c r="T35" s="92">
        <f t="shared" si="40"/>
        <v>0</v>
      </c>
      <c r="U35" s="97">
        <f t="shared" si="41"/>
        <v>89.616239434372105</v>
      </c>
      <c r="V35" s="97">
        <f t="shared" si="45"/>
        <v>9320.0805512018542</v>
      </c>
      <c r="W35" s="97">
        <f t="shared" si="42"/>
        <v>25.608878231394556</v>
      </c>
    </row>
    <row r="36" spans="1:25" s="74" customFormat="1" ht="14.5" customHeight="1" x14ac:dyDescent="0.35">
      <c r="A36" s="273"/>
      <c r="B36" s="47" t="s">
        <v>347</v>
      </c>
      <c r="C36" s="82" t="s">
        <v>129</v>
      </c>
      <c r="D36" s="14">
        <v>0</v>
      </c>
      <c r="E36" s="94">
        <v>0</v>
      </c>
      <c r="F36" s="93">
        <f>'Co Provided Price Out'!AA63</f>
        <v>9.5188653592075596</v>
      </c>
      <c r="G36" s="93">
        <v>125</v>
      </c>
      <c r="H36" s="93">
        <f t="shared" si="28"/>
        <v>1189.8581699009449</v>
      </c>
      <c r="I36" s="44">
        <f t="shared" si="25"/>
        <v>739.46811825348709</v>
      </c>
      <c r="J36" s="92">
        <f>((References!$C$57*I36*$E$83)+(References!$C$61*I36*$E$82))</f>
        <v>0.3420745481388468</v>
      </c>
      <c r="K36" s="92">
        <f>J36/References!$G$60</f>
        <v>0.34879762230884992</v>
      </c>
      <c r="L36" s="92">
        <f t="shared" si="43"/>
        <v>3.6642772972039092E-2</v>
      </c>
      <c r="M36" s="92">
        <f>'Rate Schedule'!B35</f>
        <v>21.41</v>
      </c>
      <c r="N36" s="92">
        <f t="shared" si="30"/>
        <v>21.446642772972041</v>
      </c>
      <c r="O36" s="92">
        <f>'Rate Schedule'!D35</f>
        <v>21.446642772972041</v>
      </c>
      <c r="P36" s="92">
        <f t="shared" si="46"/>
        <v>203.79890734063386</v>
      </c>
      <c r="Q36" s="92">
        <f t="shared" si="47"/>
        <v>204.14770496294273</v>
      </c>
      <c r="R36" s="92">
        <f t="shared" si="39"/>
        <v>0.34879762230886513</v>
      </c>
      <c r="S36" s="92">
        <f t="shared" si="44"/>
        <v>204.14770496294273</v>
      </c>
      <c r="T36" s="92">
        <f t="shared" si="40"/>
        <v>0</v>
      </c>
      <c r="U36" s="97">
        <f t="shared" si="41"/>
        <v>21.446642772972041</v>
      </c>
      <c r="V36" s="97">
        <f t="shared" si="45"/>
        <v>204.14770496294273</v>
      </c>
      <c r="W36" s="97">
        <f t="shared" si="42"/>
        <v>0.34879762230886513</v>
      </c>
    </row>
    <row r="37" spans="1:25" s="74" customFormat="1" ht="14.5" customHeight="1" x14ac:dyDescent="0.35">
      <c r="A37" s="273"/>
      <c r="B37" s="47" t="s">
        <v>348</v>
      </c>
      <c r="C37" s="83" t="s">
        <v>130</v>
      </c>
      <c r="D37" s="14">
        <v>0</v>
      </c>
      <c r="E37" s="94">
        <v>0</v>
      </c>
      <c r="F37" s="93">
        <f>'Co Provided Price Out'!AA58</f>
        <v>1</v>
      </c>
      <c r="G37" s="93">
        <f>References!B31</f>
        <v>250</v>
      </c>
      <c r="H37" s="93">
        <f t="shared" si="28"/>
        <v>250</v>
      </c>
      <c r="I37" s="44">
        <f t="shared" si="25"/>
        <v>155.3689626543993</v>
      </c>
      <c r="J37" s="92">
        <f>((References!$C$57*I37*$E$83)+(References!$C$61*I37*$E$82))</f>
        <v>7.187296704600607E-2</v>
      </c>
      <c r="K37" s="92">
        <f>J37/References!$G$60</f>
        <v>7.3285545944078184E-2</v>
      </c>
      <c r="L37" s="92">
        <f t="shared" si="43"/>
        <v>7.3285545944078184E-2</v>
      </c>
      <c r="M37" s="92">
        <f>'Rate Schedule'!B61</f>
        <v>30.67</v>
      </c>
      <c r="N37" s="92">
        <f t="shared" si="30"/>
        <v>30.743285545944079</v>
      </c>
      <c r="O37" s="92">
        <f>'Rate Schedule'!D61</f>
        <v>30.743285545944079</v>
      </c>
      <c r="P37" s="92">
        <f t="shared" si="46"/>
        <v>30.67</v>
      </c>
      <c r="Q37" s="92">
        <f t="shared" si="47"/>
        <v>30.743285545944079</v>
      </c>
      <c r="R37" s="92">
        <f t="shared" si="39"/>
        <v>7.3285545944077768E-2</v>
      </c>
      <c r="S37" s="92">
        <f t="shared" si="44"/>
        <v>30.743285545944079</v>
      </c>
      <c r="T37" s="92">
        <f t="shared" si="40"/>
        <v>0</v>
      </c>
      <c r="U37" s="97">
        <f t="shared" si="41"/>
        <v>30.743285545944079</v>
      </c>
      <c r="V37" s="97">
        <f t="shared" si="45"/>
        <v>30.743285545944079</v>
      </c>
      <c r="W37" s="97">
        <f t="shared" si="42"/>
        <v>7.3285545944077768E-2</v>
      </c>
    </row>
    <row r="38" spans="1:25" s="74" customFormat="1" ht="14.5" customHeight="1" x14ac:dyDescent="0.35">
      <c r="A38" s="273"/>
      <c r="B38" s="47" t="s">
        <v>348</v>
      </c>
      <c r="C38" s="83" t="s">
        <v>131</v>
      </c>
      <c r="D38" s="14">
        <v>0</v>
      </c>
      <c r="E38" s="94">
        <v>0</v>
      </c>
      <c r="F38" s="93">
        <f>'Co Provided Price Out'!AA60</f>
        <v>2</v>
      </c>
      <c r="G38" s="93">
        <f>References!B34</f>
        <v>473</v>
      </c>
      <c r="H38" s="93">
        <f t="shared" si="28"/>
        <v>946</v>
      </c>
      <c r="I38" s="44">
        <f t="shared" si="25"/>
        <v>587.91615468424686</v>
      </c>
      <c r="J38" s="92">
        <f>((References!$C$57*I38*$E$83)+(References!$C$61*I38*$E$82))</f>
        <v>0.2719673073020869</v>
      </c>
      <c r="K38" s="92">
        <f>J38/References!$G$60</f>
        <v>0.27731250585239176</v>
      </c>
      <c r="L38" s="92">
        <f t="shared" si="43"/>
        <v>0.13865625292619588</v>
      </c>
      <c r="M38" s="92">
        <f>'Rate Schedule'!B63</f>
        <v>55.3</v>
      </c>
      <c r="N38" s="92">
        <f t="shared" si="30"/>
        <v>55.438656252926194</v>
      </c>
      <c r="O38" s="92">
        <f>'Rate Schedule'!D63</f>
        <v>55.438656252926194</v>
      </c>
      <c r="P38" s="92">
        <f t="shared" si="46"/>
        <v>110.6</v>
      </c>
      <c r="Q38" s="92">
        <f t="shared" si="47"/>
        <v>110.87731250585239</v>
      </c>
      <c r="R38" s="92">
        <f t="shared" si="39"/>
        <v>0.27731250585239309</v>
      </c>
      <c r="S38" s="92">
        <f t="shared" si="44"/>
        <v>110.87731250585239</v>
      </c>
      <c r="T38" s="92">
        <f t="shared" si="40"/>
        <v>0</v>
      </c>
      <c r="U38" s="97">
        <f t="shared" si="41"/>
        <v>55.438656252926194</v>
      </c>
      <c r="V38" s="97">
        <f t="shared" si="45"/>
        <v>110.87731250585239</v>
      </c>
      <c r="W38" s="97">
        <f t="shared" si="42"/>
        <v>0.27731250585239309</v>
      </c>
    </row>
    <row r="39" spans="1:25" s="74" customFormat="1" ht="14.5" customHeight="1" x14ac:dyDescent="0.35">
      <c r="A39" s="273"/>
      <c r="B39" s="47" t="s">
        <v>348</v>
      </c>
      <c r="C39" s="83" t="s">
        <v>132</v>
      </c>
      <c r="D39" s="14">
        <v>0</v>
      </c>
      <c r="E39" s="94">
        <v>0</v>
      </c>
      <c r="F39" s="93">
        <f>'Co Provided Price Out'!AA61</f>
        <v>22.914928203738821</v>
      </c>
      <c r="G39" s="93">
        <f>References!B36</f>
        <v>613</v>
      </c>
      <c r="H39" s="93">
        <f t="shared" si="28"/>
        <v>14046.850988891898</v>
      </c>
      <c r="I39" s="44">
        <f t="shared" si="25"/>
        <v>8729.778666820228</v>
      </c>
      <c r="J39" s="92">
        <f>((References!$C$57*I39*$E$83)+(References!$C$61*I39*$E$82))</f>
        <v>4.0383554328991407</v>
      </c>
      <c r="K39" s="92">
        <f>J39/References!$G$60</f>
        <v>4.117724574064229</v>
      </c>
      <c r="L39" s="92">
        <f t="shared" si="43"/>
        <v>0.1796961586548797</v>
      </c>
      <c r="M39" s="92">
        <f>'Rate Schedule'!B64</f>
        <v>73.81</v>
      </c>
      <c r="N39" s="92">
        <f t="shared" si="30"/>
        <v>73.98969615865488</v>
      </c>
      <c r="O39" s="92">
        <f>'Rate Schedule'!D64</f>
        <v>73.98969615865488</v>
      </c>
      <c r="P39" s="92">
        <f t="shared" si="46"/>
        <v>1691.3508507179624</v>
      </c>
      <c r="Q39" s="92">
        <f t="shared" si="47"/>
        <v>1695.4685752920266</v>
      </c>
      <c r="R39" s="92">
        <f t="shared" si="39"/>
        <v>4.1177245740641411</v>
      </c>
      <c r="S39" s="92">
        <f t="shared" si="44"/>
        <v>1695.4685752920266</v>
      </c>
      <c r="T39" s="92">
        <f t="shared" si="40"/>
        <v>0</v>
      </c>
      <c r="U39" s="97">
        <f t="shared" si="41"/>
        <v>73.98969615865488</v>
      </c>
      <c r="V39" s="97">
        <f t="shared" si="45"/>
        <v>1695.4685752920266</v>
      </c>
      <c r="W39" s="97">
        <f t="shared" si="42"/>
        <v>4.1177245740641411</v>
      </c>
    </row>
    <row r="40" spans="1:25" s="74" customFormat="1" ht="14.5" customHeight="1" x14ac:dyDescent="0.35">
      <c r="A40" s="273"/>
      <c r="B40" s="47" t="s">
        <v>350</v>
      </c>
      <c r="C40" s="84" t="s">
        <v>133</v>
      </c>
      <c r="D40" s="14">
        <v>0</v>
      </c>
      <c r="E40" s="94">
        <v>0</v>
      </c>
      <c r="F40" s="93">
        <f>'Co Provided Price Out'!AA56</f>
        <v>4</v>
      </c>
      <c r="G40" s="93">
        <f>References!B31</f>
        <v>250</v>
      </c>
      <c r="H40" s="93">
        <f t="shared" si="28"/>
        <v>1000</v>
      </c>
      <c r="I40" s="44">
        <f t="shared" si="25"/>
        <v>621.47585061759719</v>
      </c>
      <c r="J40" s="92">
        <f>((References!$C$57*I40*$E$83)+(References!$C$61*I40*$E$82))</f>
        <v>0.28749186818402428</v>
      </c>
      <c r="K40" s="92">
        <f>J40/References!$G$60</f>
        <v>0.29314218377631274</v>
      </c>
      <c r="L40" s="92">
        <f t="shared" si="43"/>
        <v>7.3285545944078184E-2</v>
      </c>
      <c r="M40" s="92">
        <f>'Rate Schedule'!B53</f>
        <v>63.61</v>
      </c>
      <c r="N40" s="92">
        <f t="shared" si="30"/>
        <v>63.683285545944081</v>
      </c>
      <c r="O40" s="92">
        <f>'Rate Schedule'!D53</f>
        <v>63.683285545944081</v>
      </c>
      <c r="P40" s="92">
        <f t="shared" si="46"/>
        <v>254.44</v>
      </c>
      <c r="Q40" s="92">
        <f t="shared" si="47"/>
        <v>254.73314218377632</v>
      </c>
      <c r="R40" s="92">
        <f t="shared" si="39"/>
        <v>0.29314218377632528</v>
      </c>
      <c r="S40" s="92">
        <f t="shared" si="44"/>
        <v>254.73314218377632</v>
      </c>
      <c r="T40" s="92">
        <f t="shared" si="40"/>
        <v>0</v>
      </c>
      <c r="U40" s="97">
        <f t="shared" si="41"/>
        <v>63.683285545944081</v>
      </c>
      <c r="V40" s="97">
        <f t="shared" si="45"/>
        <v>254.73314218377632</v>
      </c>
      <c r="W40" s="97">
        <f t="shared" si="42"/>
        <v>0.29314218377632528</v>
      </c>
    </row>
    <row r="41" spans="1:25" s="74" customFormat="1" ht="14.5" customHeight="1" x14ac:dyDescent="0.35">
      <c r="A41" s="273"/>
      <c r="B41" s="47" t="s">
        <v>344</v>
      </c>
      <c r="C41" s="84" t="s">
        <v>114</v>
      </c>
      <c r="D41" s="14">
        <v>0</v>
      </c>
      <c r="E41" s="94">
        <v>0</v>
      </c>
      <c r="F41" s="93">
        <f>'Co Provided Price Out'!AA64</f>
        <v>1</v>
      </c>
      <c r="G41" s="93">
        <f>References!B29</f>
        <v>29</v>
      </c>
      <c r="H41" s="93">
        <f t="shared" si="28"/>
        <v>29</v>
      </c>
      <c r="I41" s="44">
        <f t="shared" si="25"/>
        <v>18.022799667910316</v>
      </c>
      <c r="J41" s="92">
        <f>((References!$C$57*I41*$E$83)+(References!$C$61*I41*$E$82))</f>
        <v>8.3372641773367031E-3</v>
      </c>
      <c r="K41" s="92">
        <f>J41/References!$G$60</f>
        <v>8.5011233295130672E-3</v>
      </c>
      <c r="L41" s="92">
        <f t="shared" ref="L41" si="48">K41/F41</f>
        <v>8.5011233295130672E-3</v>
      </c>
      <c r="M41" s="92">
        <f>'Rate Schedule'!B7</f>
        <v>4.2</v>
      </c>
      <c r="N41" s="92">
        <f t="shared" ref="N41" si="49">L41+M41</f>
        <v>4.2085011233295129</v>
      </c>
      <c r="O41" s="92">
        <f>'Rate Schedule'!D7</f>
        <v>4.2099668342483945</v>
      </c>
      <c r="P41" s="92">
        <f t="shared" si="46"/>
        <v>4.2</v>
      </c>
      <c r="Q41" s="92">
        <f t="shared" ref="Q41" si="50">F41*O41</f>
        <v>4.2099668342483945</v>
      </c>
      <c r="R41" s="92">
        <f t="shared" ref="R41" si="51">Q41-P41</f>
        <v>9.9668342483942851E-3</v>
      </c>
      <c r="S41" s="92">
        <f t="shared" ref="S41" si="52">F41*N41</f>
        <v>4.2085011233295129</v>
      </c>
      <c r="T41" s="92">
        <f t="shared" ref="T41" si="53">Q41-S41</f>
        <v>1.4657109188815909E-3</v>
      </c>
      <c r="U41" s="97">
        <f t="shared" ref="U41" si="54">N41</f>
        <v>4.2085011233295129</v>
      </c>
      <c r="V41" s="97">
        <f t="shared" ref="V41" si="55">F41*U41</f>
        <v>4.2085011233295129</v>
      </c>
      <c r="W41" s="97">
        <f t="shared" ref="W41" si="56">V41-P41</f>
        <v>8.5011233295126942E-3</v>
      </c>
    </row>
    <row r="42" spans="1:25" s="74" customFormat="1" x14ac:dyDescent="0.35">
      <c r="A42" s="52"/>
      <c r="B42" s="49"/>
      <c r="C42" s="56" t="s">
        <v>17</v>
      </c>
      <c r="D42" s="57">
        <f>SUM(D20:D40)</f>
        <v>28.666781858207798</v>
      </c>
      <c r="E42" s="58"/>
      <c r="F42" s="59">
        <f>SUM(F20:F40)</f>
        <v>5290.1306868745842</v>
      </c>
      <c r="G42" s="60"/>
      <c r="H42" s="59">
        <f>SUM(H20:H40)</f>
        <v>1055695.4398834028</v>
      </c>
      <c r="I42" s="61">
        <f>SUM(I20:I40)</f>
        <v>656089.22149465629</v>
      </c>
      <c r="J42" s="100"/>
      <c r="K42" s="100"/>
      <c r="L42" s="100"/>
      <c r="M42" s="100"/>
      <c r="N42" s="100"/>
      <c r="O42" s="100"/>
      <c r="P42" s="100">
        <f>SUM(P20:P40)</f>
        <v>110078.59198253196</v>
      </c>
      <c r="Q42" s="100">
        <f>SUM(Q20:Q40)</f>
        <v>110388.06084918205</v>
      </c>
      <c r="R42" s="100">
        <f>SUM(R20:R40)</f>
        <v>309.468866650108</v>
      </c>
      <c r="S42" s="100">
        <f>SUM(S20:S40)</f>
        <v>110388.06084918205</v>
      </c>
      <c r="T42" s="100">
        <f>SUM(T20:T40)</f>
        <v>0</v>
      </c>
      <c r="U42" s="101"/>
      <c r="V42" s="100">
        <f>SUM(V20:V40)</f>
        <v>110388.06084918205</v>
      </c>
      <c r="W42" s="100">
        <f>SUM(W20:W40)</f>
        <v>309.468866650108</v>
      </c>
      <c r="Y42" s="228"/>
    </row>
    <row r="43" spans="1:25" x14ac:dyDescent="0.35">
      <c r="C43" s="85" t="s">
        <v>3</v>
      </c>
      <c r="D43" s="86">
        <f>D19+D42</f>
        <v>1105.8761087270407</v>
      </c>
      <c r="E43" s="86"/>
      <c r="F43" s="86">
        <f>F19+F42</f>
        <v>62622.087707501931</v>
      </c>
      <c r="G43" s="86"/>
      <c r="H43" s="86">
        <f>H19+H42</f>
        <v>3800984.378801723</v>
      </c>
      <c r="I43" s="86">
        <f>I19+I42</f>
        <v>2362220</v>
      </c>
      <c r="J43" s="92"/>
      <c r="K43" s="102"/>
      <c r="L43" s="102"/>
      <c r="M43" s="102"/>
      <c r="N43" s="102"/>
      <c r="O43" s="102"/>
      <c r="P43" s="102">
        <f>P19+P42</f>
        <v>433535.73358513147</v>
      </c>
      <c r="Q43" s="102">
        <f>Q19+Q42</f>
        <v>434649.83555725892</v>
      </c>
      <c r="R43" s="102">
        <f>R19+R42</f>
        <v>1114.1019721275047</v>
      </c>
      <c r="S43" s="102">
        <f>S19+S42</f>
        <v>434649.83555725892</v>
      </c>
      <c r="T43" s="102">
        <f>T19+T42</f>
        <v>0</v>
      </c>
      <c r="U43" s="102"/>
      <c r="V43" s="102">
        <f>V19+V42</f>
        <v>434649.83555725892</v>
      </c>
      <c r="W43" s="102">
        <f>W19+W42</f>
        <v>1114.1019721275047</v>
      </c>
    </row>
    <row r="44" spans="1:25" x14ac:dyDescent="0.35">
      <c r="J44" s="63"/>
      <c r="S44" s="75"/>
    </row>
    <row r="45" spans="1:25" x14ac:dyDescent="0.35">
      <c r="J45" s="63"/>
      <c r="S45" s="75"/>
    </row>
    <row r="46" spans="1:25" x14ac:dyDescent="0.35">
      <c r="A46" s="103"/>
      <c r="B46" s="104"/>
      <c r="C46" s="108" t="s">
        <v>139</v>
      </c>
      <c r="D46" s="105"/>
      <c r="E46" s="103"/>
      <c r="F46" s="103"/>
      <c r="G46" s="103"/>
      <c r="H46" s="103"/>
      <c r="I46" s="106"/>
      <c r="J46" s="107"/>
      <c r="K46" s="103"/>
      <c r="L46" s="103"/>
      <c r="M46" s="103"/>
      <c r="N46" s="103"/>
      <c r="O46" s="103"/>
      <c r="Q46" s="226"/>
      <c r="R46" s="227"/>
      <c r="S46" s="75"/>
    </row>
    <row r="47" spans="1:25" ht="15" customHeight="1" x14ac:dyDescent="0.35">
      <c r="A47" s="273" t="s">
        <v>14</v>
      </c>
      <c r="B47" s="76" t="s">
        <v>345</v>
      </c>
      <c r="C47" s="134" t="s">
        <v>140</v>
      </c>
      <c r="D47" s="20">
        <v>0</v>
      </c>
      <c r="E47" s="5">
        <f>References!B11</f>
        <v>4.333333333333333</v>
      </c>
      <c r="F47" s="71">
        <f>E47*12</f>
        <v>52</v>
      </c>
      <c r="G47" s="71">
        <f>References!B21</f>
        <v>97</v>
      </c>
      <c r="H47" s="71">
        <f>F47*G47/12</f>
        <v>420.33333333333331</v>
      </c>
      <c r="I47" s="71">
        <f>H47*$D$76</f>
        <v>261.22701587626329</v>
      </c>
      <c r="J47" s="92">
        <f>((References!$C$57*I47*$E$83)+(References!$C$61*I47*$E$82))</f>
        <v>0.12084241526001817</v>
      </c>
      <c r="K47" s="7">
        <f>J47/References!$G$60</f>
        <v>0.12321743124731008</v>
      </c>
      <c r="L47" s="7"/>
      <c r="M47" s="7">
        <f>'Rate Schedule'!B14</f>
        <v>51.52</v>
      </c>
      <c r="N47" s="7">
        <f>K47+M47</f>
        <v>51.643217431247315</v>
      </c>
      <c r="O47" s="7">
        <f>'Rate Schedule'!D14</f>
        <v>51.643217431247315</v>
      </c>
      <c r="Q47" s="226"/>
      <c r="R47" s="227"/>
      <c r="S47" s="75"/>
    </row>
    <row r="48" spans="1:25" x14ac:dyDescent="0.35">
      <c r="A48" s="273"/>
      <c r="B48" s="76" t="s">
        <v>345</v>
      </c>
      <c r="C48" s="134" t="s">
        <v>141</v>
      </c>
      <c r="D48" s="20">
        <v>0</v>
      </c>
      <c r="E48" s="5">
        <f>References!B11</f>
        <v>4.333333333333333</v>
      </c>
      <c r="F48" s="71">
        <f t="shared" ref="F48:F67" si="57">E48*12</f>
        <v>52</v>
      </c>
      <c r="G48" s="71">
        <f>References!B22</f>
        <v>117</v>
      </c>
      <c r="H48" s="71">
        <f t="shared" ref="H48:H67" si="58">F48*G48/12</f>
        <v>507</v>
      </c>
      <c r="I48" s="71">
        <f t="shared" ref="I48:I67" si="59">H48*$D$76</f>
        <v>315.08825626312176</v>
      </c>
      <c r="J48" s="92">
        <f>((References!$C$57*I48*$E$83)+(References!$C$61*I48*$E$82))</f>
        <v>0.14575837716930029</v>
      </c>
      <c r="K48" s="7">
        <f>J48/References!$G$60</f>
        <v>0.14862308717459052</v>
      </c>
      <c r="L48" s="7"/>
      <c r="M48" s="7">
        <f>'Rate Schedule'!B15</f>
        <v>63.09</v>
      </c>
      <c r="N48" s="7">
        <f t="shared" ref="N48:N67" si="60">K48+M48</f>
        <v>63.238623087174595</v>
      </c>
      <c r="O48" s="7">
        <f>'Rate Schedule'!D15</f>
        <v>63.238623087174595</v>
      </c>
      <c r="R48" s="227"/>
      <c r="S48" s="75"/>
    </row>
    <row r="49" spans="1:19" x14ac:dyDescent="0.35">
      <c r="A49" s="273"/>
      <c r="B49" s="35" t="s">
        <v>345</v>
      </c>
      <c r="C49" s="203" t="s">
        <v>142</v>
      </c>
      <c r="D49" s="109">
        <v>0</v>
      </c>
      <c r="E49" s="204">
        <f>References!B11</f>
        <v>4.333333333333333</v>
      </c>
      <c r="F49" s="21">
        <f t="shared" si="57"/>
        <v>52</v>
      </c>
      <c r="G49" s="21">
        <f>References!B23</f>
        <v>157</v>
      </c>
      <c r="H49" s="21">
        <f t="shared" si="58"/>
        <v>680.33333333333337</v>
      </c>
      <c r="I49" s="21">
        <f t="shared" si="59"/>
        <v>422.81073703683859</v>
      </c>
      <c r="J49" s="112">
        <f>((References!$C$57*I49*$E$83)+(References!$C$61*I49*$E$82))</f>
        <v>0.19559030098786448</v>
      </c>
      <c r="K49" s="113">
        <f>J49/References!$G$60</f>
        <v>0.19943439902915139</v>
      </c>
      <c r="L49" s="113"/>
      <c r="M49" s="113">
        <f>'Rate Schedule'!B16</f>
        <v>73</v>
      </c>
      <c r="N49" s="113">
        <f t="shared" si="60"/>
        <v>73.199434399029158</v>
      </c>
      <c r="O49" s="7">
        <f>'Rate Schedule'!D16</f>
        <v>73.199434399029158</v>
      </c>
      <c r="R49" s="227"/>
      <c r="S49" s="75"/>
    </row>
    <row r="50" spans="1:19" x14ac:dyDescent="0.35">
      <c r="A50" s="274"/>
      <c r="B50" s="205" t="s">
        <v>346</v>
      </c>
      <c r="C50" s="206" t="s">
        <v>143</v>
      </c>
      <c r="D50" s="207">
        <v>0</v>
      </c>
      <c r="E50" s="208">
        <v>1</v>
      </c>
      <c r="F50" s="209">
        <f t="shared" si="57"/>
        <v>12</v>
      </c>
      <c r="G50" s="210">
        <f>References!B18</f>
        <v>34</v>
      </c>
      <c r="H50" s="209">
        <f t="shared" si="58"/>
        <v>34</v>
      </c>
      <c r="I50" s="209">
        <f t="shared" si="59"/>
        <v>21.130178920998304</v>
      </c>
      <c r="J50" s="211">
        <f>((References!$C$57*I50*$E$83)+(References!$C$61*I50*$E$82))</f>
        <v>9.7747235182568254E-3</v>
      </c>
      <c r="K50" s="212">
        <f>J50/References!$G$60</f>
        <v>9.9668342483946321E-3</v>
      </c>
      <c r="L50" s="212"/>
      <c r="M50" s="113">
        <f>'Rate Schedule'!B24</f>
        <v>12.33</v>
      </c>
      <c r="N50" s="212">
        <f t="shared" si="60"/>
        <v>12.339966834248395</v>
      </c>
      <c r="O50" s="211">
        <f>'Rate Schedule'!D24</f>
        <v>12.339966834248395</v>
      </c>
      <c r="S50" s="75"/>
    </row>
    <row r="51" spans="1:19" x14ac:dyDescent="0.35">
      <c r="A51" s="214"/>
      <c r="B51" s="76" t="s">
        <v>347</v>
      </c>
      <c r="C51" s="134" t="s">
        <v>416</v>
      </c>
      <c r="D51" s="20">
        <v>0</v>
      </c>
      <c r="E51" s="4">
        <v>1</v>
      </c>
      <c r="F51" s="71">
        <f t="shared" si="57"/>
        <v>12</v>
      </c>
      <c r="G51" s="93">
        <f>References!B25</f>
        <v>68</v>
      </c>
      <c r="H51" s="71">
        <f t="shared" si="58"/>
        <v>68</v>
      </c>
      <c r="I51" s="71">
        <f t="shared" si="59"/>
        <v>42.260357841996608</v>
      </c>
      <c r="J51" s="92">
        <f>((References!$C$57*I51*$E$83)+(References!$C$61*I51*$E$82))</f>
        <v>1.9549447036513651E-2</v>
      </c>
      <c r="K51" s="7">
        <f>J51/References!$G$60</f>
        <v>1.9933668496789264E-2</v>
      </c>
      <c r="L51" s="7"/>
      <c r="M51" s="7">
        <f>'Rate Schedule'!B27</f>
        <v>21.18</v>
      </c>
      <c r="N51" s="7">
        <f t="shared" si="60"/>
        <v>21.19993366849679</v>
      </c>
      <c r="O51" s="92">
        <f>'Rate Schedule'!D27</f>
        <v>21.19993366849679</v>
      </c>
      <c r="S51" s="75"/>
    </row>
    <row r="52" spans="1:19" x14ac:dyDescent="0.35">
      <c r="A52" s="196"/>
      <c r="B52" s="76" t="s">
        <v>347</v>
      </c>
      <c r="C52" s="134" t="s">
        <v>388</v>
      </c>
      <c r="D52" s="109">
        <v>0</v>
      </c>
      <c r="E52" s="110">
        <v>1</v>
      </c>
      <c r="F52" s="21">
        <f t="shared" ref="F52" si="61">E52*12</f>
        <v>12</v>
      </c>
      <c r="G52" s="111">
        <f>References!B25</f>
        <v>68</v>
      </c>
      <c r="H52" s="21">
        <f t="shared" ref="H52" si="62">F52*G52/12</f>
        <v>68</v>
      </c>
      <c r="I52" s="21">
        <f t="shared" ref="I52" si="63">H52*$D$76</f>
        <v>42.260357841996608</v>
      </c>
      <c r="J52" s="112">
        <f>((References!$C$57*I52*$E$83)+(References!$C$61*I52*$E$82))</f>
        <v>1.9549447036513651E-2</v>
      </c>
      <c r="K52" s="113">
        <f>J52/References!$G$60</f>
        <v>1.9933668496789264E-2</v>
      </c>
      <c r="L52" s="113"/>
      <c r="M52" s="113">
        <f>'Rate Schedule'!B31</f>
        <v>9.64</v>
      </c>
      <c r="N52" s="113">
        <f t="shared" ref="N52" si="64">K52+M52</f>
        <v>9.6599336684967891</v>
      </c>
      <c r="O52" s="112">
        <f>'Rate Schedule'!D31</f>
        <v>9.6599336684967891</v>
      </c>
      <c r="S52" s="75"/>
    </row>
    <row r="53" spans="1:19" ht="15" customHeight="1" x14ac:dyDescent="0.35">
      <c r="A53" s="272" t="s">
        <v>15</v>
      </c>
      <c r="B53" s="114" t="s">
        <v>348</v>
      </c>
      <c r="C53" s="133" t="s">
        <v>144</v>
      </c>
      <c r="D53" s="78">
        <v>0</v>
      </c>
      <c r="E53" s="54">
        <v>1</v>
      </c>
      <c r="F53" s="115">
        <f t="shared" si="57"/>
        <v>12</v>
      </c>
      <c r="G53" s="95">
        <f>References!B38</f>
        <v>840</v>
      </c>
      <c r="H53" s="115">
        <f t="shared" si="58"/>
        <v>840</v>
      </c>
      <c r="I53" s="115">
        <f t="shared" si="59"/>
        <v>522.03971451878158</v>
      </c>
      <c r="J53" s="98">
        <f>((References!$C$57*I53*$E$83)+(References!$C$61*I53*$E$82))</f>
        <v>0.24149316927458037</v>
      </c>
      <c r="K53" s="116">
        <f>J53/References!$G$60</f>
        <v>0.24623943437210266</v>
      </c>
      <c r="L53" s="116"/>
      <c r="M53" s="7">
        <f>'Rate Schedule'!B49</f>
        <v>89.37</v>
      </c>
      <c r="N53" s="116">
        <f t="shared" si="60"/>
        <v>89.616239434372105</v>
      </c>
      <c r="O53" s="92">
        <f>'Rate Schedule'!D49</f>
        <v>89.616239434372105</v>
      </c>
      <c r="S53" s="75"/>
    </row>
    <row r="54" spans="1:19" x14ac:dyDescent="0.35">
      <c r="A54" s="273"/>
      <c r="B54" s="76" t="s">
        <v>348</v>
      </c>
      <c r="C54" s="82" t="s">
        <v>145</v>
      </c>
      <c r="D54" s="20">
        <v>0</v>
      </c>
      <c r="E54" s="4">
        <v>1</v>
      </c>
      <c r="F54" s="71">
        <f t="shared" si="57"/>
        <v>12</v>
      </c>
      <c r="G54" s="93">
        <f>References!B40</f>
        <v>980</v>
      </c>
      <c r="H54" s="71">
        <f t="shared" si="58"/>
        <v>980</v>
      </c>
      <c r="I54" s="71">
        <f t="shared" si="59"/>
        <v>609.0463336052452</v>
      </c>
      <c r="J54" s="92">
        <f>((References!$C$57*I54*$E$83)+(References!$C$61*I54*$E$82))</f>
        <v>0.28174203082034377</v>
      </c>
      <c r="K54" s="7">
        <f>J54/References!$G$60</f>
        <v>0.28727934010078643</v>
      </c>
      <c r="L54" s="7"/>
      <c r="M54" s="7">
        <f>'Rate Schedule'!B50</f>
        <v>117.31</v>
      </c>
      <c r="N54" s="7">
        <f t="shared" si="60"/>
        <v>117.59727934010078</v>
      </c>
      <c r="O54" s="92">
        <f>'Rate Schedule'!D50</f>
        <v>117.59727934010078</v>
      </c>
      <c r="S54" s="75"/>
    </row>
    <row r="55" spans="1:19" x14ac:dyDescent="0.35">
      <c r="A55" s="273"/>
      <c r="B55" s="76" t="s">
        <v>348</v>
      </c>
      <c r="C55" s="83" t="s">
        <v>156</v>
      </c>
      <c r="D55" s="20">
        <v>0</v>
      </c>
      <c r="E55" s="4">
        <v>1</v>
      </c>
      <c r="F55" s="71">
        <f t="shared" si="57"/>
        <v>12</v>
      </c>
      <c r="G55" s="93">
        <f>References!B30</f>
        <v>175</v>
      </c>
      <c r="H55" s="71">
        <f t="shared" si="58"/>
        <v>175</v>
      </c>
      <c r="I55" s="71">
        <f t="shared" si="59"/>
        <v>108.75827385807951</v>
      </c>
      <c r="J55" s="92">
        <f>((References!$C$57*I55*$E$83)+(References!$C$61*I55*$E$82))</f>
        <v>5.0311076932204248E-2</v>
      </c>
      <c r="K55" s="7">
        <f>J55/References!$G$60</f>
        <v>5.1299882160854723E-2</v>
      </c>
      <c r="L55" s="7"/>
      <c r="M55" s="7">
        <f>'Rate Schedule'!B60</f>
        <v>20.37</v>
      </c>
      <c r="N55" s="7">
        <f t="shared" si="60"/>
        <v>20.421299882160856</v>
      </c>
      <c r="O55" s="92">
        <f>'Rate Schedule'!D60</f>
        <v>20.421299882160856</v>
      </c>
      <c r="S55" s="75"/>
    </row>
    <row r="56" spans="1:19" x14ac:dyDescent="0.35">
      <c r="A56" s="273"/>
      <c r="B56" s="76" t="s">
        <v>348</v>
      </c>
      <c r="C56" s="83" t="s">
        <v>155</v>
      </c>
      <c r="D56" s="20">
        <v>0</v>
      </c>
      <c r="E56" s="4">
        <v>1</v>
      </c>
      <c r="F56" s="71">
        <f t="shared" si="57"/>
        <v>12</v>
      </c>
      <c r="G56" s="93">
        <f>References!B33</f>
        <v>324</v>
      </c>
      <c r="H56" s="71">
        <f t="shared" si="58"/>
        <v>324</v>
      </c>
      <c r="I56" s="71">
        <f t="shared" si="59"/>
        <v>201.35817560010148</v>
      </c>
      <c r="J56" s="92">
        <f>((References!$C$57*I56*$E$83)+(References!$C$61*I56*$E$82))</f>
        <v>9.314736529162386E-2</v>
      </c>
      <c r="K56" s="7">
        <f>J56/References!$G$60</f>
        <v>9.4978067543525307E-2</v>
      </c>
      <c r="L56" s="7"/>
      <c r="M56" s="7">
        <f>'Rate Schedule'!B62</f>
        <v>39.31</v>
      </c>
      <c r="N56" s="7">
        <f t="shared" si="60"/>
        <v>39.404978067543524</v>
      </c>
      <c r="O56" s="92">
        <f>'Rate Schedule'!D62</f>
        <v>39.404978067543524</v>
      </c>
      <c r="S56" s="75"/>
    </row>
    <row r="57" spans="1:19" x14ac:dyDescent="0.35">
      <c r="A57" s="273"/>
      <c r="B57" s="76" t="s">
        <v>348</v>
      </c>
      <c r="C57" s="83" t="s">
        <v>154</v>
      </c>
      <c r="D57" s="20">
        <v>0</v>
      </c>
      <c r="E57" s="4">
        <v>1</v>
      </c>
      <c r="F57" s="71">
        <f t="shared" si="57"/>
        <v>12</v>
      </c>
      <c r="G57" s="93">
        <f>References!B38</f>
        <v>840</v>
      </c>
      <c r="H57" s="71">
        <f t="shared" si="58"/>
        <v>840</v>
      </c>
      <c r="I57" s="71">
        <f t="shared" si="59"/>
        <v>522.03971451878158</v>
      </c>
      <c r="J57" s="92">
        <f>((References!$C$57*I57*$E$83)+(References!$C$61*I57*$E$82))</f>
        <v>0.24149316927458037</v>
      </c>
      <c r="K57" s="7">
        <f>J57/References!$G$60</f>
        <v>0.24623943437210266</v>
      </c>
      <c r="L57" s="7"/>
      <c r="M57" s="7">
        <f>'Rate Schedule'!B65</f>
        <v>104.73</v>
      </c>
      <c r="N57" s="7">
        <f t="shared" si="60"/>
        <v>104.9762394343721</v>
      </c>
      <c r="O57" s="92">
        <f>'Rate Schedule'!D65</f>
        <v>104.9762394343721</v>
      </c>
      <c r="S57" s="75"/>
    </row>
    <row r="58" spans="1:19" x14ac:dyDescent="0.35">
      <c r="A58" s="273"/>
      <c r="B58" s="35" t="s">
        <v>348</v>
      </c>
      <c r="C58" s="213" t="s">
        <v>153</v>
      </c>
      <c r="D58" s="109">
        <v>0</v>
      </c>
      <c r="E58" s="110">
        <v>1</v>
      </c>
      <c r="F58" s="21">
        <f t="shared" si="57"/>
        <v>12</v>
      </c>
      <c r="G58" s="111">
        <f>References!B40</f>
        <v>980</v>
      </c>
      <c r="H58" s="21">
        <f t="shared" si="58"/>
        <v>980</v>
      </c>
      <c r="I58" s="21">
        <f t="shared" si="59"/>
        <v>609.0463336052452</v>
      </c>
      <c r="J58" s="112">
        <f>((References!$C$57*I58*$E$83)+(References!$C$61*I58*$E$82))</f>
        <v>0.28174203082034377</v>
      </c>
      <c r="K58" s="113">
        <f>J58/References!$G$60</f>
        <v>0.28727934010078643</v>
      </c>
      <c r="L58" s="113"/>
      <c r="M58" s="113">
        <f>'Rate Schedule'!B66</f>
        <v>141.26</v>
      </c>
      <c r="N58" s="113">
        <f t="shared" si="60"/>
        <v>141.54727934010077</v>
      </c>
      <c r="O58" s="112">
        <f>'Rate Schedule'!D66</f>
        <v>141.54727934010077</v>
      </c>
      <c r="S58" s="75"/>
    </row>
    <row r="59" spans="1:19" x14ac:dyDescent="0.35">
      <c r="A59" s="273"/>
      <c r="B59" s="76" t="s">
        <v>349</v>
      </c>
      <c r="C59" s="83" t="s">
        <v>404</v>
      </c>
      <c r="D59" s="20">
        <v>0</v>
      </c>
      <c r="E59" s="4">
        <v>1</v>
      </c>
      <c r="F59" s="71">
        <f t="shared" si="57"/>
        <v>12</v>
      </c>
      <c r="G59" s="93">
        <f>References!B24</f>
        <v>47</v>
      </c>
      <c r="H59" s="71">
        <f t="shared" si="58"/>
        <v>47</v>
      </c>
      <c r="I59" s="71">
        <f t="shared" si="59"/>
        <v>29.209364979027065</v>
      </c>
      <c r="J59" s="92">
        <f>((References!$C$57*I59*$E$83)+(References!$C$61*I59*$E$82))</f>
        <v>1.351211780464914E-2</v>
      </c>
      <c r="K59" s="7">
        <f>J59/References!$G$60</f>
        <v>1.3777682637486697E-2</v>
      </c>
      <c r="L59" s="7"/>
      <c r="M59" s="7">
        <f>'Rate Schedule'!B73</f>
        <v>7.85</v>
      </c>
      <c r="N59" s="7">
        <f t="shared" si="60"/>
        <v>7.8637776826374868</v>
      </c>
      <c r="O59" s="92">
        <f>'Rate Schedule'!D73</f>
        <v>7.8637776826374868</v>
      </c>
      <c r="S59" s="75"/>
    </row>
    <row r="60" spans="1:19" x14ac:dyDescent="0.35">
      <c r="A60" s="273"/>
      <c r="B60" s="35" t="s">
        <v>349</v>
      </c>
      <c r="C60" s="213" t="s">
        <v>405</v>
      </c>
      <c r="D60" s="109">
        <v>0</v>
      </c>
      <c r="E60" s="110">
        <v>1</v>
      </c>
      <c r="F60" s="21">
        <f t="shared" si="57"/>
        <v>12</v>
      </c>
      <c r="G60" s="111">
        <f>References!B25</f>
        <v>68</v>
      </c>
      <c r="H60" s="21">
        <f t="shared" si="58"/>
        <v>68</v>
      </c>
      <c r="I60" s="21">
        <f t="shared" si="59"/>
        <v>42.260357841996608</v>
      </c>
      <c r="J60" s="112">
        <f>((References!$C$57*I60*$E$83)+(References!$C$61*I60*$E$82))</f>
        <v>1.9549447036513651E-2</v>
      </c>
      <c r="K60" s="113">
        <f>J60/References!$G$60</f>
        <v>1.9933668496789264E-2</v>
      </c>
      <c r="L60" s="113"/>
      <c r="M60" s="113">
        <f>'Rate Schedule'!B77</f>
        <v>9.6300000000000008</v>
      </c>
      <c r="N60" s="113">
        <f t="shared" si="60"/>
        <v>9.6499336684967894</v>
      </c>
      <c r="O60" s="112">
        <f>'Rate Schedule'!D77</f>
        <v>9.6499336684967894</v>
      </c>
      <c r="S60" s="75"/>
    </row>
    <row r="61" spans="1:19" x14ac:dyDescent="0.35">
      <c r="A61" s="273"/>
      <c r="B61" s="76" t="s">
        <v>350</v>
      </c>
      <c r="C61" s="132" t="s">
        <v>146</v>
      </c>
      <c r="D61" s="20">
        <v>0</v>
      </c>
      <c r="E61" s="4">
        <v>1</v>
      </c>
      <c r="F61" s="71">
        <f t="shared" si="57"/>
        <v>12</v>
      </c>
      <c r="G61" s="93">
        <f>References!B41</f>
        <v>482</v>
      </c>
      <c r="H61" s="71">
        <f t="shared" si="58"/>
        <v>482</v>
      </c>
      <c r="I61" s="71">
        <f t="shared" si="59"/>
        <v>299.5513599976818</v>
      </c>
      <c r="J61" s="92">
        <f>((References!$C$57*I61*$E$83)+(References!$C$61*I61*$E$82))</f>
        <v>0.13857108046469968</v>
      </c>
      <c r="K61" s="7">
        <f>J61/References!$G$60</f>
        <v>0.14129453258018271</v>
      </c>
      <c r="L61" s="7"/>
      <c r="M61" s="7">
        <f>'Rate Schedule'!B82</f>
        <v>58.1</v>
      </c>
      <c r="N61" s="7">
        <f t="shared" si="60"/>
        <v>58.241294532580184</v>
      </c>
      <c r="O61" s="92">
        <f>'Rate Schedule'!D82</f>
        <v>58.241294532580184</v>
      </c>
      <c r="S61" s="75"/>
    </row>
    <row r="62" spans="1:19" x14ac:dyDescent="0.35">
      <c r="A62" s="273"/>
      <c r="B62" s="76" t="s">
        <v>350</v>
      </c>
      <c r="C62" s="132" t="s">
        <v>147</v>
      </c>
      <c r="D62" s="20">
        <v>0</v>
      </c>
      <c r="E62" s="4">
        <v>1</v>
      </c>
      <c r="F62" s="71">
        <f t="shared" si="57"/>
        <v>12</v>
      </c>
      <c r="G62" s="93">
        <f>References!B42</f>
        <v>689</v>
      </c>
      <c r="H62" s="71">
        <f t="shared" si="58"/>
        <v>689</v>
      </c>
      <c r="I62" s="71">
        <f t="shared" si="59"/>
        <v>428.19686107552445</v>
      </c>
      <c r="J62" s="92">
        <f>((References!$C$57*I62*$E$83)+(References!$C$61*I62*$E$82))</f>
        <v>0.19808189717879271</v>
      </c>
      <c r="K62" s="7">
        <f>J62/References!$G$60</f>
        <v>0.20197496462187944</v>
      </c>
      <c r="L62" s="7"/>
      <c r="M62" s="7">
        <f>'Rate Schedule'!B83</f>
        <v>74.44</v>
      </c>
      <c r="N62" s="7">
        <f t="shared" si="60"/>
        <v>74.64197496462188</v>
      </c>
      <c r="O62" s="92">
        <f>'Rate Schedule'!D83</f>
        <v>74.64197496462188</v>
      </c>
      <c r="S62" s="75"/>
    </row>
    <row r="63" spans="1:19" x14ac:dyDescent="0.35">
      <c r="A63" s="273"/>
      <c r="B63" s="76" t="s">
        <v>350</v>
      </c>
      <c r="C63" s="132" t="s">
        <v>148</v>
      </c>
      <c r="D63" s="20">
        <v>0</v>
      </c>
      <c r="E63" s="4">
        <v>1</v>
      </c>
      <c r="F63" s="71">
        <f t="shared" si="57"/>
        <v>12</v>
      </c>
      <c r="G63" s="93">
        <f>References!B43</f>
        <v>892</v>
      </c>
      <c r="H63" s="71">
        <f t="shared" si="58"/>
        <v>892</v>
      </c>
      <c r="I63" s="71">
        <f t="shared" si="59"/>
        <v>554.35645875089665</v>
      </c>
      <c r="J63" s="92">
        <f>((References!$C$57*I63*$E$83)+(References!$C$61*I63*$E$82))</f>
        <v>0.25644274642014964</v>
      </c>
      <c r="K63" s="7">
        <f>J63/References!$G$60</f>
        <v>0.26148282792847094</v>
      </c>
      <c r="L63" s="7"/>
      <c r="M63" s="7">
        <f>'Rate Schedule'!B84</f>
        <v>99.02</v>
      </c>
      <c r="N63" s="7">
        <f t="shared" si="60"/>
        <v>99.281482827928471</v>
      </c>
      <c r="O63" s="92">
        <f>'Rate Schedule'!D84</f>
        <v>99.281482827928471</v>
      </c>
      <c r="S63" s="75"/>
    </row>
    <row r="64" spans="1:19" x14ac:dyDescent="0.35">
      <c r="A64" s="273"/>
      <c r="B64" s="76" t="s">
        <v>350</v>
      </c>
      <c r="C64" s="132" t="s">
        <v>149</v>
      </c>
      <c r="D64" s="20">
        <v>0</v>
      </c>
      <c r="E64" s="4">
        <v>1</v>
      </c>
      <c r="F64" s="71">
        <f t="shared" si="57"/>
        <v>12</v>
      </c>
      <c r="G64" s="93">
        <f>References!B44</f>
        <v>1301</v>
      </c>
      <c r="H64" s="71">
        <f t="shared" si="58"/>
        <v>1301</v>
      </c>
      <c r="I64" s="71">
        <f t="shared" si="59"/>
        <v>808.54008165349387</v>
      </c>
      <c r="J64" s="92">
        <f>((References!$C$57*I64*$E$83)+(References!$C$61*I64*$E$82))</f>
        <v>0.37402692050741554</v>
      </c>
      <c r="K64" s="7">
        <f>J64/References!$G$60</f>
        <v>0.38137798109298282</v>
      </c>
      <c r="L64" s="7"/>
      <c r="M64" s="7">
        <f>'Rate Schedule'!B85</f>
        <v>139.04</v>
      </c>
      <c r="N64" s="7">
        <f t="shared" si="60"/>
        <v>139.42137798109297</v>
      </c>
      <c r="O64" s="92">
        <f>'Rate Schedule'!D85</f>
        <v>139.42137798109297</v>
      </c>
      <c r="S64" s="75"/>
    </row>
    <row r="65" spans="1:19" x14ac:dyDescent="0.35">
      <c r="A65" s="273"/>
      <c r="B65" s="76" t="s">
        <v>350</v>
      </c>
      <c r="C65" s="132" t="s">
        <v>150</v>
      </c>
      <c r="D65" s="20">
        <v>0</v>
      </c>
      <c r="E65" s="4">
        <v>1</v>
      </c>
      <c r="F65" s="71">
        <f t="shared" si="57"/>
        <v>12</v>
      </c>
      <c r="G65" s="93">
        <f>References!B45</f>
        <v>1686</v>
      </c>
      <c r="H65" s="71">
        <f t="shared" si="58"/>
        <v>1686</v>
      </c>
      <c r="I65" s="71">
        <f t="shared" si="59"/>
        <v>1047.8082841412688</v>
      </c>
      <c r="J65" s="92">
        <f>((References!$C$57*I65*$E$83)+(References!$C$61*I65*$E$82))</f>
        <v>0.48471128975826488</v>
      </c>
      <c r="K65" s="7">
        <f>J65/References!$G$60</f>
        <v>0.49423772184686321</v>
      </c>
      <c r="L65" s="7"/>
      <c r="M65" s="7">
        <f>'Rate Schedule'!B86</f>
        <v>184.21</v>
      </c>
      <c r="N65" s="7">
        <f t="shared" si="60"/>
        <v>184.70423772184688</v>
      </c>
      <c r="O65" s="92">
        <f>'Rate Schedule'!D86</f>
        <v>184.70423772184688</v>
      </c>
      <c r="S65" s="75"/>
    </row>
    <row r="66" spans="1:19" x14ac:dyDescent="0.35">
      <c r="A66" s="273"/>
      <c r="B66" s="76" t="s">
        <v>350</v>
      </c>
      <c r="C66" s="132" t="s">
        <v>151</v>
      </c>
      <c r="D66" s="20">
        <v>0</v>
      </c>
      <c r="E66" s="4">
        <v>1</v>
      </c>
      <c r="F66" s="71">
        <f t="shared" si="57"/>
        <v>12</v>
      </c>
      <c r="G66" s="93">
        <f>References!B47</f>
        <v>2310</v>
      </c>
      <c r="H66" s="71">
        <f t="shared" si="58"/>
        <v>2310</v>
      </c>
      <c r="I66" s="71">
        <f t="shared" si="59"/>
        <v>1435.6092149266494</v>
      </c>
      <c r="J66" s="92">
        <f>((References!$C$57*I66*$E$83)+(References!$C$61*I66*$E$82))</f>
        <v>0.66410621550509596</v>
      </c>
      <c r="K66" s="7">
        <f>J66/References!$G$60</f>
        <v>0.67715844452328222</v>
      </c>
      <c r="L66" s="7"/>
      <c r="M66" s="7">
        <f>'Rate Schedule'!B87</f>
        <v>267.33</v>
      </c>
      <c r="N66" s="7">
        <f t="shared" si="60"/>
        <v>268.00715844452327</v>
      </c>
      <c r="O66" s="92">
        <f>'Rate Schedule'!D87</f>
        <v>268.00715844452327</v>
      </c>
      <c r="S66" s="75"/>
    </row>
    <row r="67" spans="1:19" x14ac:dyDescent="0.35">
      <c r="A67" s="274"/>
      <c r="B67" s="35" t="s">
        <v>350</v>
      </c>
      <c r="C67" s="131" t="s">
        <v>152</v>
      </c>
      <c r="D67" s="109">
        <v>0</v>
      </c>
      <c r="E67" s="110">
        <v>1</v>
      </c>
      <c r="F67" s="21">
        <f t="shared" si="57"/>
        <v>12</v>
      </c>
      <c r="G67" s="111">
        <f>References!B48</f>
        <v>2800</v>
      </c>
      <c r="H67" s="21">
        <f t="shared" si="58"/>
        <v>2800</v>
      </c>
      <c r="I67" s="21">
        <f t="shared" si="59"/>
        <v>1740.1323817292721</v>
      </c>
      <c r="J67" s="112">
        <f>((References!$C$57*I67*$E$83)+(References!$C$61*I67*$E$82))</f>
        <v>0.80497723091526796</v>
      </c>
      <c r="K67" s="113">
        <f>J67/References!$G$60</f>
        <v>0.82079811457367557</v>
      </c>
      <c r="L67" s="113"/>
      <c r="M67" s="113">
        <f>'Rate Schedule'!B88</f>
        <v>292.35000000000002</v>
      </c>
      <c r="N67" s="113">
        <f t="shared" si="60"/>
        <v>293.1707981145737</v>
      </c>
      <c r="O67" s="112">
        <f>'Rate Schedule'!D88</f>
        <v>293.1707981145737</v>
      </c>
      <c r="S67" s="75"/>
    </row>
    <row r="68" spans="1:19" x14ac:dyDescent="0.35">
      <c r="A68" s="77"/>
      <c r="C68" s="87"/>
      <c r="S68" s="75"/>
    </row>
    <row r="69" spans="1:19" x14ac:dyDescent="0.35">
      <c r="A69" s="77"/>
      <c r="C69" s="87"/>
      <c r="S69" s="75"/>
    </row>
    <row r="70" spans="1:19" x14ac:dyDescent="0.35">
      <c r="A70" s="77"/>
      <c r="C70" s="87"/>
      <c r="S70" s="75"/>
    </row>
    <row r="71" spans="1:19" x14ac:dyDescent="0.35">
      <c r="A71" s="77"/>
      <c r="C71" s="271" t="s">
        <v>101</v>
      </c>
      <c r="D71" s="271"/>
      <c r="E71" s="130"/>
      <c r="F71" s="130"/>
      <c r="G71" s="73"/>
      <c r="H71" s="3"/>
    </row>
    <row r="72" spans="1:19" x14ac:dyDescent="0.35">
      <c r="A72" s="77"/>
      <c r="D72" s="62" t="s">
        <v>17</v>
      </c>
      <c r="E72" s="19"/>
      <c r="F72" s="218" t="s">
        <v>421</v>
      </c>
      <c r="G72" s="219"/>
      <c r="H72" s="220"/>
      <c r="I72" s="195"/>
      <c r="J72" s="27"/>
      <c r="P72" s="73"/>
      <c r="Q72" s="27"/>
    </row>
    <row r="73" spans="1:19" x14ac:dyDescent="0.35">
      <c r="A73" s="77"/>
      <c r="C73" s="72" t="s">
        <v>33</v>
      </c>
      <c r="D73" s="88">
        <f>D84</f>
        <v>1181.1099999999999</v>
      </c>
      <c r="E73" s="71"/>
      <c r="F73" s="71"/>
      <c r="G73" s="32"/>
      <c r="H73" s="71"/>
      <c r="J73" s="27"/>
      <c r="P73" s="73"/>
      <c r="Q73" s="7"/>
    </row>
    <row r="74" spans="1:19" x14ac:dyDescent="0.35">
      <c r="A74" s="77"/>
      <c r="C74" s="72" t="s">
        <v>34</v>
      </c>
      <c r="D74" s="14">
        <f>D73*2000</f>
        <v>2362220</v>
      </c>
      <c r="E74" s="14"/>
      <c r="F74" s="14"/>
      <c r="G74" s="14"/>
      <c r="H74" s="14"/>
      <c r="J74" s="27"/>
      <c r="Q74" s="7"/>
    </row>
    <row r="75" spans="1:19" x14ac:dyDescent="0.35">
      <c r="A75" s="77"/>
      <c r="C75" s="72" t="s">
        <v>5</v>
      </c>
      <c r="D75" s="14">
        <f>F19+F42</f>
        <v>62622.087707501931</v>
      </c>
      <c r="E75" s="71"/>
      <c r="F75" s="71"/>
      <c r="G75" s="71"/>
      <c r="H75" s="71"/>
      <c r="J75" s="27"/>
      <c r="P75" s="73"/>
      <c r="Q75" s="7"/>
    </row>
    <row r="76" spans="1:19" x14ac:dyDescent="0.35">
      <c r="C76" s="28" t="s">
        <v>12</v>
      </c>
      <c r="D76" s="12">
        <f>D74/$H$43</f>
        <v>0.62147585061759714</v>
      </c>
      <c r="E76" s="12"/>
      <c r="F76" s="12"/>
      <c r="G76" s="12"/>
      <c r="H76" s="3"/>
      <c r="J76" s="27"/>
      <c r="M76" s="26"/>
      <c r="N76" s="26"/>
      <c r="O76" s="26"/>
      <c r="P76" s="25"/>
      <c r="Q76" s="25"/>
    </row>
    <row r="77" spans="1:19" x14ac:dyDescent="0.35">
      <c r="G77" s="31"/>
      <c r="H77" s="5"/>
      <c r="J77" s="27"/>
      <c r="M77" s="29"/>
      <c r="N77" s="2"/>
      <c r="O77" s="2"/>
      <c r="P77" s="75"/>
      <c r="Q77" s="3"/>
    </row>
    <row r="78" spans="1:19" x14ac:dyDescent="0.35">
      <c r="D78" s="11"/>
      <c r="E78" s="8"/>
      <c r="G78" s="31"/>
      <c r="H78" s="5"/>
      <c r="J78" s="27"/>
      <c r="M78" s="29"/>
      <c r="N78" s="2"/>
      <c r="O78" s="2"/>
      <c r="P78" s="75"/>
      <c r="Q78" s="3"/>
    </row>
    <row r="79" spans="1:19" x14ac:dyDescent="0.35">
      <c r="D79" s="11"/>
      <c r="E79" s="8"/>
      <c r="G79" s="31"/>
      <c r="H79" s="5"/>
      <c r="J79" s="27"/>
      <c r="M79" s="29"/>
      <c r="N79" s="2"/>
      <c r="O79" s="2"/>
      <c r="P79" s="75"/>
      <c r="Q79" s="3"/>
    </row>
    <row r="80" spans="1:19" x14ac:dyDescent="0.35">
      <c r="B80" s="130"/>
      <c r="C80" s="271" t="s">
        <v>134</v>
      </c>
      <c r="D80" s="271"/>
      <c r="E80" s="271"/>
      <c r="G80" s="33"/>
      <c r="I80" s="32"/>
      <c r="J80" s="27"/>
      <c r="M80" s="29"/>
      <c r="N80" s="2"/>
      <c r="O80" s="2"/>
      <c r="P80" s="3"/>
      <c r="Q80" s="3"/>
    </row>
    <row r="81" spans="2:10" x14ac:dyDescent="0.35">
      <c r="B81" s="19"/>
      <c r="D81" s="30"/>
      <c r="I81" s="72"/>
    </row>
    <row r="82" spans="2:10" x14ac:dyDescent="0.35">
      <c r="B82" s="19"/>
      <c r="C82" s="72" t="s">
        <v>135</v>
      </c>
      <c r="D82" s="89">
        <v>813.18</v>
      </c>
      <c r="E82" s="90">
        <f>D82/D84</f>
        <v>0.68848794777793776</v>
      </c>
      <c r="G82" s="216"/>
      <c r="I82" s="72"/>
    </row>
    <row r="83" spans="2:10" x14ac:dyDescent="0.35">
      <c r="B83" s="19"/>
      <c r="C83" s="34" t="s">
        <v>57</v>
      </c>
      <c r="D83" s="91">
        <v>367.93</v>
      </c>
      <c r="E83" s="90">
        <f>D83/D84</f>
        <v>0.31151205222206235</v>
      </c>
      <c r="G83" s="216"/>
      <c r="I83" s="72"/>
    </row>
    <row r="84" spans="2:10" x14ac:dyDescent="0.35">
      <c r="B84" s="19"/>
      <c r="C84" s="34" t="s">
        <v>57</v>
      </c>
      <c r="D84" s="89">
        <f>SUM(D82:D83)</f>
        <v>1181.1099999999999</v>
      </c>
      <c r="E84" s="90"/>
      <c r="G84" s="216"/>
      <c r="I84" s="72"/>
    </row>
    <row r="85" spans="2:10" x14ac:dyDescent="0.35">
      <c r="D85" s="72"/>
      <c r="G85" s="216"/>
      <c r="I85" s="72"/>
    </row>
    <row r="86" spans="2:10" x14ac:dyDescent="0.35">
      <c r="D86" s="72"/>
      <c r="I86" s="72"/>
    </row>
    <row r="87" spans="2:10" x14ac:dyDescent="0.35">
      <c r="C87" s="74" t="s">
        <v>419</v>
      </c>
      <c r="D87" s="216">
        <v>113.28</v>
      </c>
      <c r="E87" s="27"/>
      <c r="G87" s="29"/>
      <c r="H87" s="29"/>
      <c r="I87" s="29"/>
    </row>
    <row r="88" spans="2:10" x14ac:dyDescent="0.35">
      <c r="D88" s="72"/>
      <c r="G88" s="29"/>
      <c r="H88" s="29"/>
      <c r="I88" s="29"/>
    </row>
    <row r="89" spans="2:10" x14ac:dyDescent="0.35">
      <c r="C89" s="72" t="s">
        <v>420</v>
      </c>
      <c r="D89" s="231">
        <f>(D87*References!B61*0.5)+(D87*References!B57*0.5)</f>
        <v>168.22079999999994</v>
      </c>
      <c r="G89" s="29"/>
      <c r="H89" s="29"/>
      <c r="I89" s="29"/>
      <c r="J89" s="29"/>
    </row>
    <row r="90" spans="2:10" x14ac:dyDescent="0.35">
      <c r="C90" s="217"/>
      <c r="D90" s="72"/>
      <c r="I90" s="229"/>
    </row>
    <row r="91" spans="2:10" x14ac:dyDescent="0.35">
      <c r="H91" s="29"/>
      <c r="I91" s="229"/>
    </row>
    <row r="92" spans="2:10" x14ac:dyDescent="0.35">
      <c r="I92" s="229"/>
      <c r="J92" s="230"/>
    </row>
    <row r="93" spans="2:10" x14ac:dyDescent="0.35">
      <c r="I93" s="229"/>
    </row>
  </sheetData>
  <mergeCells count="6">
    <mergeCell ref="C80:E80"/>
    <mergeCell ref="A6:A18"/>
    <mergeCell ref="A47:A50"/>
    <mergeCell ref="A53:A67"/>
    <mergeCell ref="A20:A41"/>
    <mergeCell ref="C71:D71"/>
  </mergeCells>
  <pageMargins left="0.2" right="0.22" top="0.17" bottom="0.17" header="0.19" footer="0.17"/>
  <pageSetup scale="53" fitToWidth="2" orientation="landscape" r:id="rId1"/>
  <headerFooter>
    <oddHeader>&amp;C&amp;"-,Bold"&amp;12Empire Disposal Inc&amp;"-,Regular"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zoomScaleNormal="100" workbookViewId="0">
      <selection activeCell="I45" sqref="I45"/>
    </sheetView>
  </sheetViews>
  <sheetFormatPr defaultRowHeight="14.5" x14ac:dyDescent="0.35"/>
  <cols>
    <col min="1" max="1" width="21.7265625" customWidth="1"/>
    <col min="2" max="2" width="14.1796875" style="200" customWidth="1"/>
    <col min="3" max="3" width="14" style="202" customWidth="1"/>
    <col min="4" max="4" width="13" style="200" customWidth="1"/>
  </cols>
  <sheetData>
    <row r="1" spans="1:7" x14ac:dyDescent="0.35">
      <c r="A1" s="235" t="s">
        <v>414</v>
      </c>
      <c r="B1" s="236"/>
      <c r="C1" s="237"/>
      <c r="D1" s="238"/>
    </row>
    <row r="2" spans="1:7" x14ac:dyDescent="0.35">
      <c r="A2" s="239" t="s">
        <v>375</v>
      </c>
      <c r="B2" s="240"/>
      <c r="C2" s="241"/>
      <c r="D2" s="242"/>
    </row>
    <row r="3" spans="1:7" x14ac:dyDescent="0.35">
      <c r="A3" s="243" t="s">
        <v>376</v>
      </c>
      <c r="B3" s="240"/>
      <c r="C3" s="241"/>
      <c r="D3" s="242"/>
    </row>
    <row r="4" spans="1:7" x14ac:dyDescent="0.35">
      <c r="A4" s="244" t="s">
        <v>418</v>
      </c>
      <c r="B4" s="245"/>
      <c r="D4" s="247" t="s">
        <v>378</v>
      </c>
      <c r="E4" s="201"/>
    </row>
    <row r="5" spans="1:7" x14ac:dyDescent="0.35">
      <c r="A5" s="243"/>
      <c r="B5" s="248" t="s">
        <v>95</v>
      </c>
      <c r="C5" s="246" t="s">
        <v>351</v>
      </c>
      <c r="D5" s="249" t="s">
        <v>422</v>
      </c>
      <c r="E5" s="201"/>
    </row>
    <row r="6" spans="1:7" x14ac:dyDescent="0.35">
      <c r="A6" s="239" t="s">
        <v>387</v>
      </c>
      <c r="B6" s="240"/>
      <c r="C6" s="241"/>
      <c r="D6" s="242"/>
    </row>
    <row r="7" spans="1:7" x14ac:dyDescent="0.35">
      <c r="A7" s="250" t="s">
        <v>377</v>
      </c>
      <c r="B7" s="251">
        <v>4.2</v>
      </c>
      <c r="C7" s="252">
        <f>'Spokane DF Calc '!L17</f>
        <v>9.9668342483946321E-3</v>
      </c>
      <c r="D7" s="253">
        <f>SUM(B7:C7)</f>
        <v>4.2099668342483945</v>
      </c>
      <c r="F7" s="135"/>
      <c r="G7" s="135"/>
    </row>
    <row r="8" spans="1:7" x14ac:dyDescent="0.35">
      <c r="A8" s="243"/>
      <c r="B8" s="240"/>
      <c r="C8" s="241"/>
      <c r="D8" s="242"/>
    </row>
    <row r="9" spans="1:7" x14ac:dyDescent="0.35">
      <c r="A9" s="239" t="s">
        <v>379</v>
      </c>
      <c r="B9" s="240"/>
      <c r="C9" s="241"/>
      <c r="D9" s="242"/>
    </row>
    <row r="10" spans="1:7" x14ac:dyDescent="0.35">
      <c r="A10" s="243" t="s">
        <v>352</v>
      </c>
      <c r="B10" s="240">
        <v>14.4</v>
      </c>
      <c r="C10" s="241">
        <f>'Spokane DF Calc '!L6</f>
        <v>2.5405655927280429E-2</v>
      </c>
      <c r="D10" s="242">
        <f t="shared" ref="D10:D19" si="0">SUM(B10:C10)</f>
        <v>14.42540565592728</v>
      </c>
    </row>
    <row r="11" spans="1:7" x14ac:dyDescent="0.35">
      <c r="A11" s="243" t="s">
        <v>104</v>
      </c>
      <c r="B11" s="240">
        <v>17.670000000000002</v>
      </c>
      <c r="C11" s="241">
        <f>'Spokane DF Calc '!L7</f>
        <v>4.3189615076376739E-2</v>
      </c>
      <c r="D11" s="242">
        <f t="shared" si="0"/>
        <v>17.713189615076377</v>
      </c>
    </row>
    <row r="12" spans="1:7" x14ac:dyDescent="0.35">
      <c r="A12" s="243" t="s">
        <v>117</v>
      </c>
      <c r="B12" s="240">
        <v>24.95</v>
      </c>
      <c r="C12" s="241">
        <f>'Spokane DF Calc '!L8</f>
        <v>6.4784422614565101E-2</v>
      </c>
      <c r="D12" s="242">
        <f t="shared" si="0"/>
        <v>25.014784422614564</v>
      </c>
    </row>
    <row r="13" spans="1:7" x14ac:dyDescent="0.35">
      <c r="A13" s="243" t="s">
        <v>353</v>
      </c>
      <c r="B13" s="240">
        <v>35.58</v>
      </c>
      <c r="C13" s="241">
        <f>'Spokane DF Calc '!L9</f>
        <v>9.7811775320029659E-2</v>
      </c>
      <c r="D13" s="242">
        <f t="shared" si="0"/>
        <v>35.677811775320031</v>
      </c>
    </row>
    <row r="14" spans="1:7" x14ac:dyDescent="0.35">
      <c r="A14" s="244" t="s">
        <v>354</v>
      </c>
      <c r="B14" s="254">
        <v>51.52</v>
      </c>
      <c r="C14" s="255">
        <f>'Spokane DF Calc '!K47</f>
        <v>0.12321743124731008</v>
      </c>
      <c r="D14" s="256">
        <f t="shared" si="0"/>
        <v>51.643217431247315</v>
      </c>
    </row>
    <row r="15" spans="1:7" x14ac:dyDescent="0.35">
      <c r="A15" s="244" t="s">
        <v>355</v>
      </c>
      <c r="B15" s="254">
        <v>63.09</v>
      </c>
      <c r="C15" s="255">
        <f>'Spokane DF Calc '!K48</f>
        <v>0.14862308717459052</v>
      </c>
      <c r="D15" s="256">
        <f t="shared" si="0"/>
        <v>63.238623087174595</v>
      </c>
    </row>
    <row r="16" spans="1:7" x14ac:dyDescent="0.35">
      <c r="A16" s="244" t="s">
        <v>380</v>
      </c>
      <c r="B16" s="254">
        <v>73</v>
      </c>
      <c r="C16" s="255">
        <f>'Spokane DF Calc '!K49</f>
        <v>0.19943439902915139</v>
      </c>
      <c r="D16" s="256">
        <f t="shared" si="0"/>
        <v>73.199434399029158</v>
      </c>
    </row>
    <row r="17" spans="1:5" x14ac:dyDescent="0.35">
      <c r="A17" s="243" t="s">
        <v>381</v>
      </c>
      <c r="B17" s="240">
        <v>26.62</v>
      </c>
      <c r="C17" s="241">
        <f>'Spokane DF Calc '!L10</f>
        <v>5.9703291429109025E-2</v>
      </c>
      <c r="D17" s="242">
        <f t="shared" si="0"/>
        <v>26.67970329142911</v>
      </c>
    </row>
    <row r="18" spans="1:5" x14ac:dyDescent="0.35">
      <c r="A18" s="243" t="s">
        <v>382</v>
      </c>
      <c r="B18" s="240">
        <v>33.229999999999997</v>
      </c>
      <c r="C18" s="241">
        <f>'Spokane DF Calc '!L12</f>
        <v>8.637923015275345E-2</v>
      </c>
      <c r="D18" s="242">
        <f t="shared" si="0"/>
        <v>33.316379230152748</v>
      </c>
    </row>
    <row r="19" spans="1:5" x14ac:dyDescent="0.35">
      <c r="A19" s="243" t="s">
        <v>383</v>
      </c>
      <c r="B19" s="240">
        <v>11.24</v>
      </c>
      <c r="C19" s="241">
        <f>'Spokane DF Calc '!L15</f>
        <v>9.9668342483946321E-3</v>
      </c>
      <c r="D19" s="242">
        <f t="shared" si="0"/>
        <v>11.249966834248395</v>
      </c>
    </row>
    <row r="20" spans="1:5" x14ac:dyDescent="0.35">
      <c r="A20" s="243"/>
      <c r="B20" s="240"/>
      <c r="C20" s="241"/>
      <c r="D20" s="242"/>
    </row>
    <row r="21" spans="1:5" x14ac:dyDescent="0.35">
      <c r="A21" s="239" t="s">
        <v>385</v>
      </c>
      <c r="B21" s="240"/>
      <c r="C21" s="241"/>
      <c r="D21" s="242"/>
    </row>
    <row r="22" spans="1:5" x14ac:dyDescent="0.35">
      <c r="A22" s="243" t="s">
        <v>356</v>
      </c>
      <c r="B22" s="240">
        <v>4.2</v>
      </c>
      <c r="C22" s="241">
        <f>'Spokane DF Calc '!L16</f>
        <v>9.9668342483946303E-3</v>
      </c>
      <c r="D22" s="242">
        <f t="shared" ref="D22:D32" si="1">SUM(B22:C22)</f>
        <v>4.2099668342483945</v>
      </c>
    </row>
    <row r="23" spans="1:5" x14ac:dyDescent="0.35">
      <c r="A23" s="243" t="s">
        <v>384</v>
      </c>
      <c r="B23" s="240">
        <v>4.2</v>
      </c>
      <c r="C23" s="241">
        <f>'Spokane DF Calc '!L16</f>
        <v>9.9668342483946303E-3</v>
      </c>
      <c r="D23" s="242">
        <f t="shared" si="1"/>
        <v>4.2099668342483945</v>
      </c>
    </row>
    <row r="24" spans="1:5" x14ac:dyDescent="0.35">
      <c r="A24" s="244" t="s">
        <v>357</v>
      </c>
      <c r="B24" s="254">
        <v>12.33</v>
      </c>
      <c r="C24" s="255">
        <f>'Spokane DF Calc '!K50</f>
        <v>9.9668342483946321E-3</v>
      </c>
      <c r="D24" s="256">
        <f t="shared" si="1"/>
        <v>12.339966834248395</v>
      </c>
    </row>
    <row r="25" spans="1:5" x14ac:dyDescent="0.35">
      <c r="A25" s="243"/>
      <c r="B25" s="240"/>
      <c r="C25" s="241"/>
      <c r="D25" s="242"/>
    </row>
    <row r="26" spans="1:5" x14ac:dyDescent="0.35">
      <c r="A26" s="257" t="s">
        <v>415</v>
      </c>
      <c r="B26" s="254"/>
      <c r="C26" s="255"/>
      <c r="D26" s="256"/>
    </row>
    <row r="27" spans="1:5" x14ac:dyDescent="0.35">
      <c r="A27" s="244" t="s">
        <v>416</v>
      </c>
      <c r="B27" s="254">
        <v>21.18</v>
      </c>
      <c r="C27" s="255">
        <f>'Spokane DF Calc '!K51</f>
        <v>1.9933668496789264E-2</v>
      </c>
      <c r="D27" s="256">
        <f t="shared" si="1"/>
        <v>21.19993366849679</v>
      </c>
    </row>
    <row r="28" spans="1:5" x14ac:dyDescent="0.35">
      <c r="A28" s="244" t="s">
        <v>417</v>
      </c>
      <c r="B28" s="254">
        <v>28.61</v>
      </c>
      <c r="C28" s="255">
        <f>'Spokane DF Calc '!K51</f>
        <v>1.9933668496789264E-2</v>
      </c>
      <c r="D28" s="256">
        <f t="shared" si="1"/>
        <v>28.62993366849679</v>
      </c>
    </row>
    <row r="29" spans="1:5" x14ac:dyDescent="0.35">
      <c r="A29" s="243"/>
      <c r="B29" s="240"/>
      <c r="C29" s="241"/>
      <c r="D29" s="242"/>
    </row>
    <row r="30" spans="1:5" x14ac:dyDescent="0.35">
      <c r="A30" s="257" t="s">
        <v>389</v>
      </c>
      <c r="B30" s="254"/>
      <c r="C30" s="255"/>
      <c r="D30" s="256"/>
    </row>
    <row r="31" spans="1:5" x14ac:dyDescent="0.35">
      <c r="A31" s="244" t="s">
        <v>390</v>
      </c>
      <c r="B31" s="254">
        <v>9.64</v>
      </c>
      <c r="C31" s="255">
        <f>'Spokane DF Calc '!K52</f>
        <v>1.9933668496789264E-2</v>
      </c>
      <c r="D31" s="256">
        <f t="shared" si="1"/>
        <v>9.6599336684967891</v>
      </c>
    </row>
    <row r="32" spans="1:5" x14ac:dyDescent="0.35">
      <c r="A32" s="244" t="s">
        <v>391</v>
      </c>
      <c r="B32" s="254">
        <v>41.76</v>
      </c>
      <c r="C32" s="255">
        <f>'Spokane DF Calc '!K52*'Spokane DF Calc '!E49</f>
        <v>8.6379230152753478E-2</v>
      </c>
      <c r="D32" s="256">
        <f t="shared" si="1"/>
        <v>41.846379230152749</v>
      </c>
      <c r="E32" s="200"/>
    </row>
    <row r="33" spans="1:4" x14ac:dyDescent="0.35">
      <c r="A33" s="243"/>
      <c r="B33" s="240"/>
      <c r="C33" s="241"/>
      <c r="D33" s="242"/>
    </row>
    <row r="34" spans="1:4" x14ac:dyDescent="0.35">
      <c r="A34" s="239" t="s">
        <v>386</v>
      </c>
      <c r="B34" s="240"/>
      <c r="C34" s="241"/>
      <c r="D34" s="242"/>
    </row>
    <row r="35" spans="1:4" x14ac:dyDescent="0.35">
      <c r="A35" s="243" t="s">
        <v>358</v>
      </c>
      <c r="B35" s="240">
        <v>21.41</v>
      </c>
      <c r="C35" s="241">
        <f>'Spokane DF Calc '!L36</f>
        <v>3.6642772972039092E-2</v>
      </c>
      <c r="D35" s="242">
        <f t="shared" ref="D35:D37" si="2">SUM(B35:C35)</f>
        <v>21.446642772972041</v>
      </c>
    </row>
    <row r="36" spans="1:4" x14ac:dyDescent="0.35">
      <c r="A36" s="243" t="s">
        <v>359</v>
      </c>
      <c r="B36" s="240">
        <v>21.41</v>
      </c>
      <c r="C36" s="241">
        <f>C35</f>
        <v>3.6642772972039092E-2</v>
      </c>
      <c r="D36" s="242">
        <f t="shared" si="2"/>
        <v>21.446642772972041</v>
      </c>
    </row>
    <row r="37" spans="1:4" x14ac:dyDescent="0.35">
      <c r="A37" s="243" t="s">
        <v>360</v>
      </c>
      <c r="B37" s="240">
        <v>21.41</v>
      </c>
      <c r="C37" s="241">
        <f>C36</f>
        <v>3.6642772972039092E-2</v>
      </c>
      <c r="D37" s="242">
        <f t="shared" si="2"/>
        <v>21.446642772972041</v>
      </c>
    </row>
    <row r="38" spans="1:4" x14ac:dyDescent="0.35">
      <c r="A38" s="243"/>
      <c r="B38" s="240"/>
      <c r="C38" s="241"/>
      <c r="D38" s="242"/>
    </row>
    <row r="39" spans="1:4" x14ac:dyDescent="0.35">
      <c r="A39" s="239" t="s">
        <v>361</v>
      </c>
      <c r="B39" s="240"/>
      <c r="C39" s="241"/>
      <c r="D39" s="242"/>
    </row>
    <row r="40" spans="1:4" x14ac:dyDescent="0.35">
      <c r="A40" s="243" t="s">
        <v>392</v>
      </c>
      <c r="B40" s="240">
        <v>102.39</v>
      </c>
      <c r="C40" s="241">
        <f>References!B57</f>
        <v>2.9699999999999989</v>
      </c>
      <c r="D40" s="242">
        <f t="shared" ref="D40:D41" si="3">SUM(B40:C40)</f>
        <v>105.36</v>
      </c>
    </row>
    <row r="41" spans="1:4" x14ac:dyDescent="0.35">
      <c r="A41" s="243" t="s">
        <v>393</v>
      </c>
      <c r="B41" s="240">
        <v>101</v>
      </c>
      <c r="C41" s="241">
        <f>References!B61</f>
        <v>0</v>
      </c>
      <c r="D41" s="242">
        <f t="shared" si="3"/>
        <v>101</v>
      </c>
    </row>
    <row r="42" spans="1:4" x14ac:dyDescent="0.35">
      <c r="A42" s="243"/>
      <c r="B42" s="240"/>
      <c r="C42" s="241"/>
      <c r="D42" s="242"/>
    </row>
    <row r="43" spans="1:4" x14ac:dyDescent="0.35">
      <c r="A43" s="239" t="s">
        <v>394</v>
      </c>
      <c r="B43" s="240"/>
      <c r="C43" s="241"/>
      <c r="D43" s="242"/>
    </row>
    <row r="44" spans="1:4" x14ac:dyDescent="0.35">
      <c r="A44" s="243" t="s">
        <v>120</v>
      </c>
      <c r="B44" s="240">
        <v>16.62</v>
      </c>
      <c r="C44" s="241">
        <f>'Spokane DF Calc '!L27</f>
        <v>5.129988216085473E-2</v>
      </c>
      <c r="D44" s="242">
        <f t="shared" ref="D44:D50" si="4">SUM(B44:C44)</f>
        <v>16.671299882160856</v>
      </c>
    </row>
    <row r="45" spans="1:4" x14ac:dyDescent="0.35">
      <c r="A45" s="243" t="s">
        <v>121</v>
      </c>
      <c r="B45" s="240">
        <v>24.91</v>
      </c>
      <c r="C45" s="241">
        <f>'Spokane DF Calc '!L28</f>
        <v>7.328554594407817E-2</v>
      </c>
      <c r="D45" s="242">
        <f t="shared" si="4"/>
        <v>24.983285545944078</v>
      </c>
    </row>
    <row r="46" spans="1:4" x14ac:dyDescent="0.35">
      <c r="A46" s="243" t="s">
        <v>123</v>
      </c>
      <c r="B46" s="240">
        <v>33.119999999999997</v>
      </c>
      <c r="C46" s="241">
        <f>'Spokane DF Calc '!L30</f>
        <v>9.4978067543525307E-2</v>
      </c>
      <c r="D46" s="242">
        <f t="shared" si="4"/>
        <v>33.21497806754352</v>
      </c>
    </row>
    <row r="47" spans="1:4" x14ac:dyDescent="0.35">
      <c r="A47" s="243" t="s">
        <v>124</v>
      </c>
      <c r="B47" s="240">
        <v>46.5</v>
      </c>
      <c r="C47" s="241">
        <f>'Spokane DF Calc '!L31</f>
        <v>0.13865625292619591</v>
      </c>
      <c r="D47" s="242">
        <f t="shared" si="4"/>
        <v>46.638656252926197</v>
      </c>
    </row>
    <row r="48" spans="1:4" x14ac:dyDescent="0.35">
      <c r="A48" s="243" t="s">
        <v>126</v>
      </c>
      <c r="B48" s="240">
        <v>61.59</v>
      </c>
      <c r="C48" s="241">
        <f>'Spokane DF Calc '!L33</f>
        <v>0.1796961586548797</v>
      </c>
      <c r="D48" s="242">
        <f t="shared" si="4"/>
        <v>61.769696158654881</v>
      </c>
    </row>
    <row r="49" spans="1:4" x14ac:dyDescent="0.35">
      <c r="A49" s="244" t="s">
        <v>144</v>
      </c>
      <c r="B49" s="254">
        <v>89.37</v>
      </c>
      <c r="C49" s="255">
        <f>'Spokane DF Calc '!K53</f>
        <v>0.24623943437210266</v>
      </c>
      <c r="D49" s="256">
        <f t="shared" si="4"/>
        <v>89.616239434372105</v>
      </c>
    </row>
    <row r="50" spans="1:4" x14ac:dyDescent="0.35">
      <c r="A50" s="244" t="s">
        <v>145</v>
      </c>
      <c r="B50" s="254">
        <v>117.31</v>
      </c>
      <c r="C50" s="255">
        <f>'Spokane DF Calc '!K54</f>
        <v>0.28727934010078643</v>
      </c>
      <c r="D50" s="256">
        <f t="shared" si="4"/>
        <v>117.59727934010078</v>
      </c>
    </row>
    <row r="51" spans="1:4" x14ac:dyDescent="0.35">
      <c r="A51" s="243"/>
      <c r="B51" s="240"/>
      <c r="C51" s="241"/>
      <c r="D51" s="242"/>
    </row>
    <row r="52" spans="1:4" x14ac:dyDescent="0.35">
      <c r="A52" s="243" t="s">
        <v>362</v>
      </c>
      <c r="B52" s="240">
        <v>44.76</v>
      </c>
      <c r="C52" s="241">
        <f>C44</f>
        <v>5.129988216085473E-2</v>
      </c>
      <c r="D52" s="242">
        <f t="shared" ref="D52:D58" si="5">SUM(B52:C52)</f>
        <v>44.811299882160853</v>
      </c>
    </row>
    <row r="53" spans="1:4" x14ac:dyDescent="0.35">
      <c r="A53" s="243" t="s">
        <v>363</v>
      </c>
      <c r="B53" s="240">
        <v>63.61</v>
      </c>
      <c r="C53" s="241">
        <f t="shared" ref="C53:C58" si="6">C45</f>
        <v>7.328554594407817E-2</v>
      </c>
      <c r="D53" s="242">
        <f t="shared" si="5"/>
        <v>63.683285545944081</v>
      </c>
    </row>
    <row r="54" spans="1:4" x14ac:dyDescent="0.35">
      <c r="A54" s="243" t="s">
        <v>364</v>
      </c>
      <c r="B54" s="240">
        <v>74.19</v>
      </c>
      <c r="C54" s="241">
        <f t="shared" si="6"/>
        <v>9.4978067543525307E-2</v>
      </c>
      <c r="D54" s="242">
        <f t="shared" si="5"/>
        <v>74.28497806754352</v>
      </c>
    </row>
    <row r="55" spans="1:4" x14ac:dyDescent="0.35">
      <c r="A55" s="243" t="s">
        <v>365</v>
      </c>
      <c r="B55" s="240">
        <v>97.69</v>
      </c>
      <c r="C55" s="241">
        <f t="shared" si="6"/>
        <v>0.13865625292619591</v>
      </c>
      <c r="D55" s="242">
        <f t="shared" si="5"/>
        <v>97.828656252926194</v>
      </c>
    </row>
    <row r="56" spans="1:4" x14ac:dyDescent="0.35">
      <c r="A56" s="243" t="s">
        <v>366</v>
      </c>
      <c r="B56" s="240">
        <v>114.74</v>
      </c>
      <c r="C56" s="241">
        <f t="shared" si="6"/>
        <v>0.1796961586548797</v>
      </c>
      <c r="D56" s="242">
        <f t="shared" si="5"/>
        <v>114.91969615865487</v>
      </c>
    </row>
    <row r="57" spans="1:4" x14ac:dyDescent="0.35">
      <c r="A57" s="243" t="s">
        <v>367</v>
      </c>
      <c r="B57" s="240">
        <v>154.15</v>
      </c>
      <c r="C57" s="241">
        <f t="shared" si="6"/>
        <v>0.24623943437210266</v>
      </c>
      <c r="D57" s="242">
        <f t="shared" si="5"/>
        <v>154.39623943437212</v>
      </c>
    </row>
    <row r="58" spans="1:4" x14ac:dyDescent="0.35">
      <c r="A58" s="243" t="s">
        <v>368</v>
      </c>
      <c r="B58" s="240">
        <v>191.42</v>
      </c>
      <c r="C58" s="241">
        <f t="shared" si="6"/>
        <v>0.28727934010078643</v>
      </c>
      <c r="D58" s="242">
        <f t="shared" si="5"/>
        <v>191.70727934010077</v>
      </c>
    </row>
    <row r="59" spans="1:4" x14ac:dyDescent="0.35">
      <c r="A59" s="243"/>
      <c r="B59" s="240"/>
      <c r="C59" s="241"/>
      <c r="D59" s="242"/>
    </row>
    <row r="60" spans="1:4" x14ac:dyDescent="0.35">
      <c r="A60" s="244" t="s">
        <v>369</v>
      </c>
      <c r="B60" s="254">
        <v>20.37</v>
      </c>
      <c r="C60" s="255">
        <f>'Spokane DF Calc '!K55</f>
        <v>5.1299882160854723E-2</v>
      </c>
      <c r="D60" s="256">
        <f t="shared" ref="D60:D66" si="7">SUM(B60:C60)</f>
        <v>20.421299882160856</v>
      </c>
    </row>
    <row r="61" spans="1:4" x14ac:dyDescent="0.35">
      <c r="A61" s="243" t="s">
        <v>370</v>
      </c>
      <c r="B61" s="240">
        <v>30.67</v>
      </c>
      <c r="C61" s="241">
        <f>'Spokane DF Calc '!K37</f>
        <v>7.3285545944078184E-2</v>
      </c>
      <c r="D61" s="242">
        <f t="shared" si="7"/>
        <v>30.743285545944079</v>
      </c>
    </row>
    <row r="62" spans="1:4" x14ac:dyDescent="0.35">
      <c r="A62" s="244" t="s">
        <v>371</v>
      </c>
      <c r="B62" s="254">
        <v>39.31</v>
      </c>
      <c r="C62" s="255">
        <f>'Spokane DF Calc '!K56</f>
        <v>9.4978067543525307E-2</v>
      </c>
      <c r="D62" s="256">
        <f t="shared" si="7"/>
        <v>39.404978067543524</v>
      </c>
    </row>
    <row r="63" spans="1:4" x14ac:dyDescent="0.35">
      <c r="A63" s="243" t="s">
        <v>395</v>
      </c>
      <c r="B63" s="240">
        <v>55.3</v>
      </c>
      <c r="C63" s="241">
        <f>'Spokane DF Calc '!L38</f>
        <v>0.13865625292619588</v>
      </c>
      <c r="D63" s="242">
        <f t="shared" si="7"/>
        <v>55.438656252926194</v>
      </c>
    </row>
    <row r="64" spans="1:4" x14ac:dyDescent="0.35">
      <c r="A64" s="243" t="s">
        <v>396</v>
      </c>
      <c r="B64" s="240">
        <v>73.81</v>
      </c>
      <c r="C64" s="241">
        <f>'Spokane DF Calc '!L39</f>
        <v>0.1796961586548797</v>
      </c>
      <c r="D64" s="242">
        <f t="shared" si="7"/>
        <v>73.98969615865488</v>
      </c>
    </row>
    <row r="65" spans="1:4" x14ac:dyDescent="0.35">
      <c r="A65" s="244" t="s">
        <v>397</v>
      </c>
      <c r="B65" s="254">
        <v>104.73</v>
      </c>
      <c r="C65" s="255">
        <f>'Spokane DF Calc '!K57</f>
        <v>0.24623943437210266</v>
      </c>
      <c r="D65" s="256">
        <f t="shared" si="7"/>
        <v>104.9762394343721</v>
      </c>
    </row>
    <row r="66" spans="1:4" x14ac:dyDescent="0.35">
      <c r="A66" s="244" t="s">
        <v>398</v>
      </c>
      <c r="B66" s="254">
        <v>141.26</v>
      </c>
      <c r="C66" s="255">
        <f>'Spokane DF Calc '!K58</f>
        <v>0.28727934010078643</v>
      </c>
      <c r="D66" s="256">
        <f t="shared" si="7"/>
        <v>141.54727934010077</v>
      </c>
    </row>
    <row r="67" spans="1:4" x14ac:dyDescent="0.35">
      <c r="A67" s="243"/>
      <c r="B67" s="240"/>
      <c r="C67" s="241"/>
      <c r="D67" s="242"/>
    </row>
    <row r="68" spans="1:4" x14ac:dyDescent="0.35">
      <c r="A68" s="239" t="s">
        <v>399</v>
      </c>
      <c r="B68" s="240"/>
      <c r="C68" s="241"/>
      <c r="D68" s="242"/>
    </row>
    <row r="69" spans="1:4" x14ac:dyDescent="0.35">
      <c r="A69" s="243" t="s">
        <v>372</v>
      </c>
      <c r="B69" s="240">
        <v>4.01</v>
      </c>
      <c r="C69" s="241">
        <f>'Spokane DF Calc '!L25</f>
        <v>8.5011233295130655E-3</v>
      </c>
      <c r="D69" s="242">
        <f t="shared" ref="D69:D79" si="8">SUM(B69:C69)</f>
        <v>4.0185011233295125</v>
      </c>
    </row>
    <row r="70" spans="1:4" x14ac:dyDescent="0.35">
      <c r="A70" s="243" t="s">
        <v>400</v>
      </c>
      <c r="B70" s="240">
        <v>11.53</v>
      </c>
      <c r="C70" s="241">
        <f>'Spokane DF Calc '!L26</f>
        <v>8.5011233295130672E-3</v>
      </c>
      <c r="D70" s="242">
        <f t="shared" si="8"/>
        <v>11.538501123329512</v>
      </c>
    </row>
    <row r="71" spans="1:4" x14ac:dyDescent="0.35">
      <c r="A71" s="243" t="s">
        <v>401</v>
      </c>
      <c r="B71" s="240">
        <v>18.100000000000001</v>
      </c>
      <c r="C71" s="241">
        <f>'Spokane DF Calc '!L20</f>
        <v>3.683820109455662E-2</v>
      </c>
      <c r="D71" s="242">
        <f t="shared" si="8"/>
        <v>18.136838201094559</v>
      </c>
    </row>
    <row r="72" spans="1:4" x14ac:dyDescent="0.35">
      <c r="A72" s="243"/>
      <c r="B72" s="240"/>
      <c r="C72" s="241"/>
      <c r="D72" s="242"/>
    </row>
    <row r="73" spans="1:4" x14ac:dyDescent="0.35">
      <c r="A73" s="244" t="s">
        <v>402</v>
      </c>
      <c r="B73" s="254">
        <v>7.85</v>
      </c>
      <c r="C73" s="255">
        <f>'Spokane DF Calc '!K59</f>
        <v>1.3777682637486697E-2</v>
      </c>
      <c r="D73" s="256">
        <f t="shared" si="8"/>
        <v>7.8637776826374868</v>
      </c>
    </row>
    <row r="74" spans="1:4" x14ac:dyDescent="0.35">
      <c r="A74" s="243" t="s">
        <v>403</v>
      </c>
      <c r="B74" s="240">
        <v>15.7</v>
      </c>
      <c r="C74" s="241">
        <f>C73</f>
        <v>1.3777682637486697E-2</v>
      </c>
      <c r="D74" s="242">
        <f t="shared" si="8"/>
        <v>15.713777682637486</v>
      </c>
    </row>
    <row r="75" spans="1:4" x14ac:dyDescent="0.35">
      <c r="A75" s="243" t="s">
        <v>401</v>
      </c>
      <c r="B75" s="240">
        <v>33.97</v>
      </c>
      <c r="C75" s="241">
        <f>'Spokane DF Calc '!L22</f>
        <v>5.9703291429108997E-2</v>
      </c>
      <c r="D75" s="242">
        <f t="shared" si="8"/>
        <v>34.029703291429108</v>
      </c>
    </row>
    <row r="76" spans="1:4" x14ac:dyDescent="0.35">
      <c r="A76" s="243"/>
      <c r="B76" s="240"/>
      <c r="C76" s="241"/>
      <c r="D76" s="242"/>
    </row>
    <row r="77" spans="1:4" x14ac:dyDescent="0.35">
      <c r="A77" s="244" t="s">
        <v>405</v>
      </c>
      <c r="B77" s="254">
        <v>9.6300000000000008</v>
      </c>
      <c r="C77" s="255">
        <f>'Spokane DF Calc '!K60</f>
        <v>1.9933668496789264E-2</v>
      </c>
      <c r="D77" s="256">
        <f t="shared" si="8"/>
        <v>9.6499336684967894</v>
      </c>
    </row>
    <row r="78" spans="1:4" x14ac:dyDescent="0.35">
      <c r="A78" s="243" t="s">
        <v>406</v>
      </c>
      <c r="B78" s="240">
        <v>19.260000000000002</v>
      </c>
      <c r="C78" s="241">
        <f>C77</f>
        <v>1.9933668496789264E-2</v>
      </c>
      <c r="D78" s="242">
        <f t="shared" si="8"/>
        <v>19.279933668496792</v>
      </c>
    </row>
    <row r="79" spans="1:4" x14ac:dyDescent="0.35">
      <c r="A79" s="243" t="s">
        <v>401</v>
      </c>
      <c r="B79" s="240">
        <v>41.71</v>
      </c>
      <c r="C79" s="241">
        <f>'Spokane DF Calc '!L23</f>
        <v>8.6379230152753478E-2</v>
      </c>
      <c r="D79" s="242">
        <f t="shared" si="8"/>
        <v>41.796379230152752</v>
      </c>
    </row>
    <row r="80" spans="1:4" x14ac:dyDescent="0.35">
      <c r="A80" s="243"/>
      <c r="B80" s="240"/>
      <c r="C80" s="241"/>
      <c r="D80" s="242"/>
    </row>
    <row r="81" spans="1:4" x14ac:dyDescent="0.35">
      <c r="A81" s="239" t="s">
        <v>407</v>
      </c>
      <c r="B81" s="240"/>
      <c r="C81" s="241"/>
      <c r="D81" s="242"/>
    </row>
    <row r="82" spans="1:4" x14ac:dyDescent="0.35">
      <c r="A82" s="258" t="s">
        <v>408</v>
      </c>
      <c r="B82" s="254">
        <v>58.1</v>
      </c>
      <c r="C82" s="255">
        <f>'Spokane DF Calc '!K61</f>
        <v>0.14129453258018271</v>
      </c>
      <c r="D82" s="256">
        <f t="shared" ref="D82:D96" si="9">SUM(B82:C82)</f>
        <v>58.241294532580184</v>
      </c>
    </row>
    <row r="83" spans="1:4" x14ac:dyDescent="0.35">
      <c r="A83" s="258" t="s">
        <v>409</v>
      </c>
      <c r="B83" s="254">
        <v>74.44</v>
      </c>
      <c r="C83" s="255">
        <f>'Spokane DF Calc '!K62</f>
        <v>0.20197496462187944</v>
      </c>
      <c r="D83" s="256">
        <f t="shared" si="9"/>
        <v>74.64197496462188</v>
      </c>
    </row>
    <row r="84" spans="1:4" x14ac:dyDescent="0.35">
      <c r="A84" s="244" t="s">
        <v>123</v>
      </c>
      <c r="B84" s="254">
        <v>99.02</v>
      </c>
      <c r="C84" s="255">
        <f>'Spokane DF Calc '!K63</f>
        <v>0.26148282792847094</v>
      </c>
      <c r="D84" s="256">
        <f t="shared" si="9"/>
        <v>99.281482827928471</v>
      </c>
    </row>
    <row r="85" spans="1:4" x14ac:dyDescent="0.35">
      <c r="A85" s="244" t="s">
        <v>124</v>
      </c>
      <c r="B85" s="254">
        <v>139.04</v>
      </c>
      <c r="C85" s="255">
        <f>'Spokane DF Calc '!K64</f>
        <v>0.38137798109298282</v>
      </c>
      <c r="D85" s="256">
        <f t="shared" si="9"/>
        <v>139.42137798109297</v>
      </c>
    </row>
    <row r="86" spans="1:4" x14ac:dyDescent="0.35">
      <c r="A86" s="244" t="s">
        <v>126</v>
      </c>
      <c r="B86" s="254">
        <v>184.21</v>
      </c>
      <c r="C86" s="255">
        <f>'Spokane DF Calc '!K65</f>
        <v>0.49423772184686321</v>
      </c>
      <c r="D86" s="256">
        <f t="shared" si="9"/>
        <v>184.70423772184688</v>
      </c>
    </row>
    <row r="87" spans="1:4" x14ac:dyDescent="0.35">
      <c r="A87" s="244" t="s">
        <v>373</v>
      </c>
      <c r="B87" s="254">
        <v>267.33</v>
      </c>
      <c r="C87" s="255">
        <f>'Spokane DF Calc '!K66</f>
        <v>0.67715844452328222</v>
      </c>
      <c r="D87" s="256">
        <f t="shared" si="9"/>
        <v>268.00715844452327</v>
      </c>
    </row>
    <row r="88" spans="1:4" x14ac:dyDescent="0.35">
      <c r="A88" s="244" t="s">
        <v>410</v>
      </c>
      <c r="B88" s="254">
        <v>292.35000000000002</v>
      </c>
      <c r="C88" s="255">
        <f>'Spokane DF Calc '!K67</f>
        <v>0.82079811457367557</v>
      </c>
      <c r="D88" s="256">
        <f t="shared" si="9"/>
        <v>293.1707981145737</v>
      </c>
    </row>
    <row r="89" spans="1:4" x14ac:dyDescent="0.35">
      <c r="A89" s="243"/>
      <c r="B89" s="240"/>
      <c r="C89" s="241"/>
      <c r="D89" s="242"/>
    </row>
    <row r="90" spans="1:4" x14ac:dyDescent="0.35">
      <c r="A90" s="258" t="s">
        <v>411</v>
      </c>
      <c r="B90" s="254">
        <v>104</v>
      </c>
      <c r="C90" s="255">
        <f>C82</f>
        <v>0.14129453258018271</v>
      </c>
      <c r="D90" s="256">
        <f t="shared" si="9"/>
        <v>104.14129453258018</v>
      </c>
    </row>
    <row r="91" spans="1:4" x14ac:dyDescent="0.35">
      <c r="A91" s="258" t="s">
        <v>412</v>
      </c>
      <c r="B91" s="254">
        <v>143.12</v>
      </c>
      <c r="C91" s="255">
        <f t="shared" ref="C91:C96" si="10">C83</f>
        <v>0.20197496462187944</v>
      </c>
      <c r="D91" s="256">
        <f t="shared" si="9"/>
        <v>143.32197496462189</v>
      </c>
    </row>
    <row r="92" spans="1:4" x14ac:dyDescent="0.35">
      <c r="A92" s="244" t="s">
        <v>364</v>
      </c>
      <c r="B92" s="254">
        <v>189.76</v>
      </c>
      <c r="C92" s="255">
        <f t="shared" si="10"/>
        <v>0.26148282792847094</v>
      </c>
      <c r="D92" s="256">
        <f t="shared" si="9"/>
        <v>190.02148282792845</v>
      </c>
    </row>
    <row r="93" spans="1:4" x14ac:dyDescent="0.35">
      <c r="A93" s="244" t="s">
        <v>365</v>
      </c>
      <c r="B93" s="254">
        <v>283.79000000000002</v>
      </c>
      <c r="C93" s="255">
        <f t="shared" si="10"/>
        <v>0.38137798109298282</v>
      </c>
      <c r="D93" s="256">
        <f t="shared" si="9"/>
        <v>284.17137798109303</v>
      </c>
    </row>
    <row r="94" spans="1:4" x14ac:dyDescent="0.35">
      <c r="A94" s="244" t="s">
        <v>366</v>
      </c>
      <c r="B94" s="254">
        <v>375.52</v>
      </c>
      <c r="C94" s="255">
        <f t="shared" si="10"/>
        <v>0.49423772184686321</v>
      </c>
      <c r="D94" s="256">
        <f t="shared" si="9"/>
        <v>376.01423772184683</v>
      </c>
    </row>
    <row r="95" spans="1:4" x14ac:dyDescent="0.35">
      <c r="A95" s="244" t="s">
        <v>374</v>
      </c>
      <c r="B95" s="254">
        <v>477.6</v>
      </c>
      <c r="C95" s="255">
        <f t="shared" si="10"/>
        <v>0.67715844452328222</v>
      </c>
      <c r="D95" s="256">
        <f t="shared" si="9"/>
        <v>478.27715844452331</v>
      </c>
    </row>
    <row r="96" spans="1:4" ht="15" thickBot="1" x14ac:dyDescent="0.4">
      <c r="A96" s="259" t="s">
        <v>413</v>
      </c>
      <c r="B96" s="260">
        <v>557.25</v>
      </c>
      <c r="C96" s="261">
        <f t="shared" si="10"/>
        <v>0.82079811457367557</v>
      </c>
      <c r="D96" s="262">
        <f t="shared" si="9"/>
        <v>558.07079811457368</v>
      </c>
    </row>
  </sheetData>
  <pageMargins left="0.7" right="0.7" top="0.75" bottom="0.75" header="0.3" footer="0.3"/>
  <pageSetup scale="89" fitToHeight="2" orientation="portrait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7"/>
  <sheetViews>
    <sheetView workbookViewId="0">
      <pane xSplit="2" ySplit="5" topLeftCell="C6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RowHeight="14.5" x14ac:dyDescent="0.35"/>
  <cols>
    <col min="1" max="1" width="32" bestFit="1" customWidth="1"/>
    <col min="2" max="2" width="27.54296875" bestFit="1" customWidth="1"/>
    <col min="3" max="3" width="11.54296875" bestFit="1" customWidth="1"/>
    <col min="4" max="4" width="11.26953125" bestFit="1" customWidth="1"/>
    <col min="5" max="5" width="13.26953125" bestFit="1" customWidth="1"/>
    <col min="6" max="6" width="9" bestFit="1" customWidth="1"/>
    <col min="7" max="7" width="7.54296875" bestFit="1" customWidth="1"/>
    <col min="8" max="10" width="11" bestFit="1" customWidth="1"/>
    <col min="11" max="11" width="14.26953125" bestFit="1" customWidth="1"/>
    <col min="12" max="12" width="11" bestFit="1" customWidth="1"/>
    <col min="13" max="13" width="12" bestFit="1" customWidth="1"/>
    <col min="14" max="14" width="11" bestFit="1" customWidth="1"/>
    <col min="16" max="16" width="12" bestFit="1" customWidth="1"/>
    <col min="18" max="20" width="8.7265625" bestFit="1" customWidth="1"/>
    <col min="21" max="21" width="13.453125" bestFit="1" customWidth="1"/>
    <col min="22" max="22" width="8.7265625" bestFit="1" customWidth="1"/>
    <col min="23" max="23" width="11.1796875" bestFit="1" customWidth="1"/>
    <col min="24" max="24" width="8.7265625" bestFit="1" customWidth="1"/>
    <col min="25" max="25" width="7.453125" bestFit="1" customWidth="1"/>
    <col min="26" max="26" width="6.1796875" bestFit="1" customWidth="1"/>
    <col min="27" max="27" width="7.54296875" bestFit="1" customWidth="1"/>
  </cols>
  <sheetData>
    <row r="1" spans="1:28" x14ac:dyDescent="0.35">
      <c r="A1" s="141" t="s">
        <v>157</v>
      </c>
      <c r="B1" s="275" t="s">
        <v>158</v>
      </c>
      <c r="C1" s="275"/>
      <c r="D1" s="275"/>
      <c r="E1" s="275"/>
      <c r="F1" s="275"/>
      <c r="G1" s="142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5"/>
      <c r="Z1" s="146"/>
      <c r="AA1" s="145"/>
      <c r="AB1" s="139"/>
    </row>
    <row r="2" spans="1:28" x14ac:dyDescent="0.35">
      <c r="A2" s="141" t="s">
        <v>159</v>
      </c>
      <c r="B2" s="142"/>
      <c r="C2" s="143"/>
      <c r="D2" s="143"/>
      <c r="E2" s="143"/>
      <c r="F2" s="143"/>
      <c r="G2" s="142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5"/>
      <c r="Z2" s="146"/>
      <c r="AA2" s="145"/>
      <c r="AB2" s="139"/>
    </row>
    <row r="3" spans="1:28" x14ac:dyDescent="0.35">
      <c r="A3" s="147" t="s">
        <v>160</v>
      </c>
      <c r="B3" s="142"/>
      <c r="C3" s="143"/>
      <c r="D3" s="143"/>
      <c r="E3" s="143"/>
      <c r="F3" s="143"/>
      <c r="G3" s="142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5"/>
      <c r="Z3" s="146"/>
      <c r="AA3" s="145"/>
      <c r="AB3" s="139"/>
    </row>
    <row r="4" spans="1:28" x14ac:dyDescent="0.35">
      <c r="A4" s="142"/>
      <c r="B4" s="148"/>
      <c r="C4" s="149" t="s">
        <v>161</v>
      </c>
      <c r="D4" s="149" t="s">
        <v>162</v>
      </c>
      <c r="E4" s="149" t="s">
        <v>163</v>
      </c>
      <c r="F4" s="149" t="s">
        <v>164</v>
      </c>
      <c r="G4" s="142"/>
      <c r="H4" s="150">
        <v>41183</v>
      </c>
      <c r="I4" s="150">
        <v>41214</v>
      </c>
      <c r="J4" s="150">
        <v>41244</v>
      </c>
      <c r="K4" s="150" t="s">
        <v>165</v>
      </c>
      <c r="L4" s="150">
        <v>41377</v>
      </c>
      <c r="M4" s="150" t="s">
        <v>166</v>
      </c>
      <c r="N4" s="150">
        <v>41530</v>
      </c>
      <c r="O4" s="150"/>
      <c r="P4" s="151" t="s">
        <v>17</v>
      </c>
      <c r="Q4" s="144"/>
      <c r="R4" s="152">
        <v>41183</v>
      </c>
      <c r="S4" s="152">
        <v>41214</v>
      </c>
      <c r="T4" s="152">
        <v>41244</v>
      </c>
      <c r="U4" s="152" t="s">
        <v>167</v>
      </c>
      <c r="V4" s="152">
        <v>41377</v>
      </c>
      <c r="W4" s="152" t="s">
        <v>166</v>
      </c>
      <c r="X4" s="152">
        <v>41530</v>
      </c>
      <c r="Y4" s="152" t="s">
        <v>168</v>
      </c>
      <c r="Z4" s="153" t="s">
        <v>169</v>
      </c>
      <c r="AA4" s="153" t="s">
        <v>93</v>
      </c>
      <c r="AB4" s="139"/>
    </row>
    <row r="5" spans="1:28" ht="26.5" x14ac:dyDescent="0.35">
      <c r="A5" s="154" t="s">
        <v>170</v>
      </c>
      <c r="B5" s="148" t="s">
        <v>171</v>
      </c>
      <c r="C5" s="155" t="s">
        <v>95</v>
      </c>
      <c r="D5" s="155" t="s">
        <v>95</v>
      </c>
      <c r="E5" s="155" t="s">
        <v>95</v>
      </c>
      <c r="F5" s="155" t="s">
        <v>95</v>
      </c>
      <c r="G5" s="148"/>
      <c r="H5" s="151" t="s">
        <v>94</v>
      </c>
      <c r="I5" s="151" t="s">
        <v>94</v>
      </c>
      <c r="J5" s="151" t="s">
        <v>94</v>
      </c>
      <c r="K5" s="151" t="s">
        <v>94</v>
      </c>
      <c r="L5" s="151" t="s">
        <v>94</v>
      </c>
      <c r="M5" s="151" t="s">
        <v>94</v>
      </c>
      <c r="N5" s="151" t="s">
        <v>94</v>
      </c>
      <c r="O5" s="151"/>
      <c r="P5" s="151" t="s">
        <v>94</v>
      </c>
      <c r="Q5" s="144"/>
      <c r="R5" s="156" t="s">
        <v>96</v>
      </c>
      <c r="S5" s="156" t="s">
        <v>96</v>
      </c>
      <c r="T5" s="156" t="s">
        <v>96</v>
      </c>
      <c r="U5" s="156" t="s">
        <v>96</v>
      </c>
      <c r="V5" s="156" t="s">
        <v>96</v>
      </c>
      <c r="W5" s="156" t="s">
        <v>96</v>
      </c>
      <c r="X5" s="156" t="s">
        <v>96</v>
      </c>
      <c r="Y5" s="156" t="s">
        <v>172</v>
      </c>
      <c r="Z5" s="157" t="s">
        <v>173</v>
      </c>
      <c r="AA5" s="157" t="s">
        <v>174</v>
      </c>
      <c r="AB5" s="139"/>
    </row>
    <row r="6" spans="1:28" x14ac:dyDescent="0.35">
      <c r="A6" s="158"/>
      <c r="B6" s="158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6"/>
      <c r="AA6" s="145"/>
      <c r="AB6" s="139"/>
    </row>
    <row r="7" spans="1:28" x14ac:dyDescent="0.35">
      <c r="A7" s="144"/>
      <c r="B7" s="142"/>
      <c r="C7" s="143"/>
      <c r="D7" s="143"/>
      <c r="E7" s="143"/>
      <c r="F7" s="143"/>
      <c r="G7" s="142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5"/>
      <c r="Z7" s="159"/>
      <c r="AA7" s="144"/>
      <c r="AB7" s="139"/>
    </row>
    <row r="8" spans="1:28" x14ac:dyDescent="0.35">
      <c r="A8" s="144"/>
      <c r="B8" s="144"/>
      <c r="C8" s="143"/>
      <c r="D8" s="143"/>
      <c r="E8" s="143"/>
      <c r="F8" s="143"/>
      <c r="G8" s="160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5"/>
      <c r="Z8" s="159"/>
      <c r="AA8" s="144"/>
      <c r="AB8" s="139"/>
    </row>
    <row r="9" spans="1:28" x14ac:dyDescent="0.35">
      <c r="A9" s="161" t="s">
        <v>175</v>
      </c>
      <c r="B9" s="161" t="s">
        <v>175</v>
      </c>
      <c r="C9" s="143"/>
      <c r="D9" s="143"/>
      <c r="E9" s="143"/>
      <c r="F9" s="143"/>
      <c r="G9" s="160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5"/>
      <c r="Z9" s="159"/>
      <c r="AA9" s="144"/>
      <c r="AB9" s="139"/>
    </row>
    <row r="10" spans="1:28" x14ac:dyDescent="0.35">
      <c r="A10" s="161"/>
      <c r="B10" s="161"/>
      <c r="C10" s="143"/>
      <c r="D10" s="143"/>
      <c r="E10" s="143"/>
      <c r="F10" s="143"/>
      <c r="G10" s="160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5"/>
      <c r="Z10" s="159"/>
      <c r="AA10" s="142"/>
      <c r="AB10" s="139"/>
    </row>
    <row r="11" spans="1:28" x14ac:dyDescent="0.35">
      <c r="A11" s="162" t="s">
        <v>176</v>
      </c>
      <c r="B11" s="162" t="s">
        <v>176</v>
      </c>
      <c r="C11" s="163"/>
      <c r="D11" s="163"/>
      <c r="E11" s="163"/>
      <c r="F11" s="163"/>
      <c r="G11" s="163"/>
      <c r="H11" s="159">
        <v>4.6594857539958303</v>
      </c>
      <c r="I11" s="159"/>
      <c r="J11" s="159"/>
      <c r="K11" s="159"/>
      <c r="L11" s="159"/>
      <c r="M11" s="159"/>
      <c r="N11" s="159"/>
      <c r="O11" s="159"/>
      <c r="P11" s="164"/>
      <c r="Q11" s="144"/>
      <c r="R11" s="159"/>
      <c r="S11" s="159"/>
      <c r="T11" s="159"/>
      <c r="U11" s="159"/>
      <c r="V11" s="159"/>
      <c r="W11" s="159"/>
      <c r="X11" s="159"/>
      <c r="Y11" s="145"/>
      <c r="Z11" s="159"/>
      <c r="AA11" s="142"/>
      <c r="AB11" s="139"/>
    </row>
    <row r="12" spans="1:28" x14ac:dyDescent="0.35">
      <c r="A12" s="145" t="s">
        <v>177</v>
      </c>
      <c r="B12" s="145" t="s">
        <v>178</v>
      </c>
      <c r="C12" s="163">
        <v>13.41</v>
      </c>
      <c r="D12" s="163">
        <v>13.53</v>
      </c>
      <c r="E12" s="163">
        <v>13.17</v>
      </c>
      <c r="F12" s="163">
        <v>14.39</v>
      </c>
      <c r="G12" s="163"/>
      <c r="H12" s="165">
        <v>67.05</v>
      </c>
      <c r="I12" s="165">
        <v>80.459999999999994</v>
      </c>
      <c r="J12" s="165">
        <v>53.88</v>
      </c>
      <c r="K12" s="165">
        <v>182.66000000000003</v>
      </c>
      <c r="L12" s="165">
        <v>80.099999999999994</v>
      </c>
      <c r="M12" s="165">
        <v>301.20999999999998</v>
      </c>
      <c r="N12" s="165">
        <v>57.56</v>
      </c>
      <c r="O12" s="165"/>
      <c r="P12" s="164">
        <v>822.91999999999985</v>
      </c>
      <c r="Q12" s="164"/>
      <c r="R12" s="159">
        <v>5</v>
      </c>
      <c r="S12" s="159">
        <v>5.9999999999999991</v>
      </c>
      <c r="T12" s="159">
        <v>4.0178970917225953</v>
      </c>
      <c r="U12" s="159">
        <v>13.50036954915004</v>
      </c>
      <c r="V12" s="159">
        <v>5.9201773835920175</v>
      </c>
      <c r="W12" s="159">
        <v>22.870918754745631</v>
      </c>
      <c r="X12" s="159">
        <v>4</v>
      </c>
      <c r="Y12" s="166">
        <v>5.1091135649341899</v>
      </c>
      <c r="Z12" s="159">
        <v>5.1091135649341899</v>
      </c>
      <c r="AA12" s="194">
        <v>61.309362779210282</v>
      </c>
      <c r="AB12" s="140"/>
    </row>
    <row r="13" spans="1:28" x14ac:dyDescent="0.35">
      <c r="A13" s="145" t="s">
        <v>179</v>
      </c>
      <c r="B13" s="145" t="s">
        <v>180</v>
      </c>
      <c r="C13" s="163">
        <v>10.37</v>
      </c>
      <c r="D13" s="163">
        <v>10.41</v>
      </c>
      <c r="E13" s="163">
        <v>10.28</v>
      </c>
      <c r="F13" s="163">
        <v>11.24</v>
      </c>
      <c r="G13" s="163"/>
      <c r="H13" s="165">
        <v>41.48</v>
      </c>
      <c r="I13" s="165">
        <v>72.59</v>
      </c>
      <c r="J13" s="165">
        <v>31.190000000000005</v>
      </c>
      <c r="K13" s="165">
        <v>166.56</v>
      </c>
      <c r="L13" s="165">
        <v>41.38</v>
      </c>
      <c r="M13" s="165">
        <v>216.76</v>
      </c>
      <c r="N13" s="165">
        <v>78.680000000000007</v>
      </c>
      <c r="O13" s="165"/>
      <c r="P13" s="164">
        <v>648.6400000000001</v>
      </c>
      <c r="Q13" s="144"/>
      <c r="R13" s="159">
        <v>4</v>
      </c>
      <c r="S13" s="159">
        <v>7.0000000000000009</v>
      </c>
      <c r="T13" s="159">
        <v>3.0077145612343306</v>
      </c>
      <c r="U13" s="159">
        <v>16</v>
      </c>
      <c r="V13" s="159">
        <v>3.9750240153698368</v>
      </c>
      <c r="W13" s="159">
        <v>21.085603112840467</v>
      </c>
      <c r="X13" s="159">
        <v>7.0000000000000009</v>
      </c>
      <c r="Y13" s="166">
        <v>5.1723618074537194</v>
      </c>
      <c r="Z13" s="159">
        <v>5.1723618074537194</v>
      </c>
      <c r="AA13" s="194">
        <v>62.068341689444637</v>
      </c>
      <c r="AB13" s="140"/>
    </row>
    <row r="14" spans="1:28" x14ac:dyDescent="0.35">
      <c r="A14" s="145" t="s">
        <v>181</v>
      </c>
      <c r="B14" s="145" t="s">
        <v>182</v>
      </c>
      <c r="C14" s="163">
        <v>16.54</v>
      </c>
      <c r="D14" s="163">
        <v>16.73</v>
      </c>
      <c r="E14" s="163">
        <v>16.170000000000002</v>
      </c>
      <c r="F14" s="163">
        <v>17.670000000000002</v>
      </c>
      <c r="G14" s="163"/>
      <c r="H14" s="165">
        <v>6834.8799999999992</v>
      </c>
      <c r="I14" s="165">
        <v>8017.64</v>
      </c>
      <c r="J14" s="165">
        <v>6711.06</v>
      </c>
      <c r="K14" s="165">
        <v>22869.19</v>
      </c>
      <c r="L14" s="165">
        <v>6812.5599999999995</v>
      </c>
      <c r="M14" s="165">
        <v>29232.129999999997</v>
      </c>
      <c r="N14" s="165">
        <v>8514.7800000000007</v>
      </c>
      <c r="O14" s="165"/>
      <c r="P14" s="164">
        <v>88992.239999999991</v>
      </c>
      <c r="Q14" s="144"/>
      <c r="R14" s="159">
        <v>413.23337363966141</v>
      </c>
      <c r="S14" s="159">
        <v>484.74244256348248</v>
      </c>
      <c r="T14" s="159">
        <v>405.74727932285373</v>
      </c>
      <c r="U14" s="159">
        <v>1366.9569635385533</v>
      </c>
      <c r="V14" s="159">
        <v>407.20621637776446</v>
      </c>
      <c r="W14" s="159">
        <v>1807.8002473716756</v>
      </c>
      <c r="X14" s="159">
        <v>481.87775891341255</v>
      </c>
      <c r="Y14" s="166">
        <v>447.29702347728357</v>
      </c>
      <c r="Z14" s="159">
        <v>447.29702347728357</v>
      </c>
      <c r="AA14" s="194">
        <v>5367.5642817274029</v>
      </c>
      <c r="AB14" s="140"/>
    </row>
    <row r="15" spans="1:28" x14ac:dyDescent="0.35">
      <c r="A15" s="145" t="s">
        <v>183</v>
      </c>
      <c r="B15" s="145" t="s">
        <v>184</v>
      </c>
      <c r="C15" s="163">
        <v>23.39</v>
      </c>
      <c r="D15" s="163">
        <v>23.67</v>
      </c>
      <c r="E15" s="163">
        <v>22.83</v>
      </c>
      <c r="F15" s="163">
        <v>24.95</v>
      </c>
      <c r="G15" s="163"/>
      <c r="H15" s="165">
        <v>2947.14</v>
      </c>
      <c r="I15" s="165">
        <v>4444.75</v>
      </c>
      <c r="J15" s="165">
        <v>2935.26</v>
      </c>
      <c r="K15" s="165">
        <v>11182.560000000001</v>
      </c>
      <c r="L15" s="165">
        <v>2877.08</v>
      </c>
      <c r="M15" s="165">
        <v>13831.880000000001</v>
      </c>
      <c r="N15" s="165">
        <v>4446.0200000000004</v>
      </c>
      <c r="O15" s="165"/>
      <c r="P15" s="164">
        <v>42664.69</v>
      </c>
      <c r="Q15" s="144"/>
      <c r="R15" s="159">
        <v>125.99999999999999</v>
      </c>
      <c r="S15" s="159">
        <v>190.02778965369816</v>
      </c>
      <c r="T15" s="159">
        <v>125.49209063702438</v>
      </c>
      <c r="U15" s="159">
        <v>472.43599493029154</v>
      </c>
      <c r="V15" s="159">
        <v>121.54964089564849</v>
      </c>
      <c r="W15" s="159">
        <v>605.86421375383281</v>
      </c>
      <c r="X15" s="159">
        <v>178.19719438877758</v>
      </c>
      <c r="Y15" s="166">
        <v>151.63057702160609</v>
      </c>
      <c r="Z15" s="159">
        <v>151.63057702160609</v>
      </c>
      <c r="AA15" s="194">
        <v>1819.566924259273</v>
      </c>
      <c r="AB15" s="140"/>
    </row>
    <row r="16" spans="1:28" x14ac:dyDescent="0.35">
      <c r="A16" s="145" t="s">
        <v>185</v>
      </c>
      <c r="B16" s="145" t="s">
        <v>186</v>
      </c>
      <c r="C16" s="163">
        <v>33.409999999999997</v>
      </c>
      <c r="D16" s="163">
        <v>33.83</v>
      </c>
      <c r="E16" s="163">
        <v>32.56</v>
      </c>
      <c r="F16" s="163">
        <v>35.590000000000003</v>
      </c>
      <c r="G16" s="163"/>
      <c r="H16" s="165">
        <v>25.06</v>
      </c>
      <c r="I16" s="165">
        <v>133.63999999999999</v>
      </c>
      <c r="J16" s="165">
        <v>0</v>
      </c>
      <c r="K16" s="165">
        <v>270.64</v>
      </c>
      <c r="L16" s="165">
        <v>0</v>
      </c>
      <c r="M16" s="165">
        <v>162.80000000000001</v>
      </c>
      <c r="N16" s="165">
        <v>71.180000000000007</v>
      </c>
      <c r="O16" s="165"/>
      <c r="P16" s="164">
        <v>663.31999999999994</v>
      </c>
      <c r="Q16" s="144"/>
      <c r="R16" s="159">
        <v>0.75007482789583957</v>
      </c>
      <c r="S16" s="159">
        <v>4</v>
      </c>
      <c r="T16" s="159">
        <v>0</v>
      </c>
      <c r="U16" s="159">
        <v>8</v>
      </c>
      <c r="V16" s="159">
        <v>0</v>
      </c>
      <c r="W16" s="159">
        <v>5</v>
      </c>
      <c r="X16" s="159">
        <v>2</v>
      </c>
      <c r="Y16" s="166">
        <v>1.6458395689913201</v>
      </c>
      <c r="Z16" s="159">
        <v>1.6458395689913201</v>
      </c>
      <c r="AA16" s="194">
        <v>19.75007482789584</v>
      </c>
      <c r="AB16" s="140"/>
    </row>
    <row r="17" spans="1:28" x14ac:dyDescent="0.35">
      <c r="A17" s="145" t="s">
        <v>187</v>
      </c>
      <c r="B17" s="145" t="s">
        <v>188</v>
      </c>
      <c r="C17" s="163">
        <v>24.91</v>
      </c>
      <c r="D17" s="163">
        <v>25.19</v>
      </c>
      <c r="E17" s="163">
        <v>24.35</v>
      </c>
      <c r="F17" s="163">
        <v>26.61</v>
      </c>
      <c r="G17" s="163"/>
      <c r="H17" s="165">
        <v>1270.4199999999998</v>
      </c>
      <c r="I17" s="165">
        <v>6221.27</v>
      </c>
      <c r="J17" s="165">
        <v>1233.82</v>
      </c>
      <c r="K17" s="165">
        <v>14182.779999999999</v>
      </c>
      <c r="L17" s="165">
        <v>1502.75</v>
      </c>
      <c r="M17" s="165">
        <v>16079.73</v>
      </c>
      <c r="N17" s="165">
        <v>7120.59</v>
      </c>
      <c r="O17" s="165"/>
      <c r="P17" s="164">
        <v>47611.360000000001</v>
      </c>
      <c r="Q17" s="144"/>
      <c r="R17" s="159">
        <v>51.000401445202726</v>
      </c>
      <c r="S17" s="159">
        <v>249.74989963869933</v>
      </c>
      <c r="T17" s="159">
        <v>49.531112003211561</v>
      </c>
      <c r="U17" s="159">
        <v>563.03215561730838</v>
      </c>
      <c r="V17" s="159">
        <v>59.656609765780068</v>
      </c>
      <c r="W17" s="159">
        <v>660.3585215605749</v>
      </c>
      <c r="X17" s="159">
        <v>267.59075535512966</v>
      </c>
      <c r="Y17" s="166">
        <v>158.40995461549221</v>
      </c>
      <c r="Z17" s="159">
        <v>158.40995461549221</v>
      </c>
      <c r="AA17" s="194">
        <v>1900.9194553859065</v>
      </c>
      <c r="AB17" s="140"/>
    </row>
    <row r="18" spans="1:28" x14ac:dyDescent="0.35">
      <c r="A18" s="145" t="s">
        <v>189</v>
      </c>
      <c r="B18" s="145" t="s">
        <v>190</v>
      </c>
      <c r="C18" s="163">
        <v>49.82</v>
      </c>
      <c r="D18" s="163">
        <v>50.38</v>
      </c>
      <c r="E18" s="163">
        <v>48.7</v>
      </c>
      <c r="F18" s="163">
        <v>53.22</v>
      </c>
      <c r="G18" s="163"/>
      <c r="H18" s="165">
        <v>0</v>
      </c>
      <c r="I18" s="165">
        <v>24.91</v>
      </c>
      <c r="J18" s="165">
        <v>0</v>
      </c>
      <c r="K18" s="165"/>
      <c r="L18" s="165">
        <v>0</v>
      </c>
      <c r="M18" s="165">
        <v>0</v>
      </c>
      <c r="N18" s="165">
        <v>0</v>
      </c>
      <c r="O18" s="165"/>
      <c r="P18" s="164">
        <v>24.91</v>
      </c>
      <c r="Q18" s="144"/>
      <c r="R18" s="159">
        <v>0</v>
      </c>
      <c r="S18" s="159">
        <v>0.5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66">
        <v>4.1666666666666664E-2</v>
      </c>
      <c r="Z18" s="159">
        <v>4.1666666666666664E-2</v>
      </c>
      <c r="AA18" s="194">
        <v>0.5</v>
      </c>
      <c r="AB18" s="140"/>
    </row>
    <row r="19" spans="1:28" s="135" customFormat="1" x14ac:dyDescent="0.35">
      <c r="A19" s="158" t="s">
        <v>191</v>
      </c>
      <c r="B19" s="158" t="s">
        <v>192</v>
      </c>
      <c r="C19" s="163">
        <v>31.17</v>
      </c>
      <c r="D19" s="163">
        <v>31.56</v>
      </c>
      <c r="E19" s="163">
        <v>30.4</v>
      </c>
      <c r="F19" s="163">
        <v>33.229999999999997</v>
      </c>
      <c r="G19" s="163"/>
      <c r="H19" s="165">
        <v>1301.3300000000002</v>
      </c>
      <c r="I19" s="165">
        <v>17470.810000000001</v>
      </c>
      <c r="J19" s="165">
        <v>1535.92</v>
      </c>
      <c r="K19" s="165">
        <v>36930.410000000003</v>
      </c>
      <c r="L19" s="165">
        <v>1571.51</v>
      </c>
      <c r="M19" s="165">
        <v>37085.81</v>
      </c>
      <c r="N19" s="165">
        <v>17941.55</v>
      </c>
      <c r="O19" s="165"/>
      <c r="P19" s="138">
        <v>113837.34000000001</v>
      </c>
      <c r="Q19" s="142"/>
      <c r="R19" s="165">
        <v>41.74943856272057</v>
      </c>
      <c r="S19" s="165">
        <v>560.50080205325639</v>
      </c>
      <c r="T19" s="165">
        <v>49.275585498877128</v>
      </c>
      <c r="U19" s="165">
        <v>1170.1650823827631</v>
      </c>
      <c r="V19" s="165">
        <v>49.794359949302915</v>
      </c>
      <c r="W19" s="165">
        <v>1219.9279605263157</v>
      </c>
      <c r="X19" s="165">
        <v>539.92025278362928</v>
      </c>
      <c r="Y19" s="137">
        <v>302.61112347973875</v>
      </c>
      <c r="Z19" s="165">
        <v>302.61112347973875</v>
      </c>
      <c r="AA19" s="194">
        <v>3631.3334817568652</v>
      </c>
      <c r="AB19" s="136"/>
    </row>
    <row r="20" spans="1:28" s="135" customFormat="1" x14ac:dyDescent="0.35">
      <c r="A20" s="158" t="s">
        <v>193</v>
      </c>
      <c r="B20" s="158" t="s">
        <v>194</v>
      </c>
      <c r="C20" s="163">
        <v>62.34</v>
      </c>
      <c r="D20" s="163">
        <v>63.12</v>
      </c>
      <c r="E20" s="163">
        <v>60.8</v>
      </c>
      <c r="F20" s="163">
        <v>66.459999999999994</v>
      </c>
      <c r="G20" s="163"/>
      <c r="H20" s="165">
        <v>0</v>
      </c>
      <c r="I20" s="165">
        <v>498.72</v>
      </c>
      <c r="J20" s="165">
        <v>0</v>
      </c>
      <c r="K20" s="165">
        <v>1009.92</v>
      </c>
      <c r="L20" s="165">
        <v>0</v>
      </c>
      <c r="M20" s="165">
        <v>972.8</v>
      </c>
      <c r="N20" s="165">
        <v>398.76</v>
      </c>
      <c r="O20" s="165"/>
      <c r="P20" s="138">
        <v>2880.2</v>
      </c>
      <c r="Q20" s="142"/>
      <c r="R20" s="165">
        <v>0</v>
      </c>
      <c r="S20" s="165">
        <v>8</v>
      </c>
      <c r="T20" s="165">
        <v>0</v>
      </c>
      <c r="U20" s="165">
        <v>16</v>
      </c>
      <c r="V20" s="165">
        <v>0</v>
      </c>
      <c r="W20" s="165">
        <v>16</v>
      </c>
      <c r="X20" s="165">
        <v>6</v>
      </c>
      <c r="Y20" s="137">
        <v>3.8333333333333335</v>
      </c>
      <c r="Z20" s="165">
        <v>3.8333333333333335</v>
      </c>
      <c r="AA20" s="194">
        <v>46</v>
      </c>
      <c r="AB20" s="136"/>
    </row>
    <row r="21" spans="1:28" s="135" customFormat="1" x14ac:dyDescent="0.35">
      <c r="A21" s="158" t="s">
        <v>195</v>
      </c>
      <c r="B21" s="158" t="s">
        <v>196</v>
      </c>
      <c r="C21" s="163">
        <v>93.51</v>
      </c>
      <c r="D21" s="163">
        <v>94.679999999999993</v>
      </c>
      <c r="E21" s="163">
        <v>91.199999999999989</v>
      </c>
      <c r="F21" s="163">
        <v>99.69</v>
      </c>
      <c r="G21" s="163"/>
      <c r="H21" s="165">
        <v>0</v>
      </c>
      <c r="I21" s="165">
        <v>187.02</v>
      </c>
      <c r="J21" s="165">
        <v>0</v>
      </c>
      <c r="K21" s="165">
        <v>378.72</v>
      </c>
      <c r="L21" s="165">
        <v>0</v>
      </c>
      <c r="M21" s="165">
        <v>364.8</v>
      </c>
      <c r="N21" s="165">
        <v>199.38</v>
      </c>
      <c r="O21" s="165"/>
      <c r="P21" s="138">
        <v>1129.92</v>
      </c>
      <c r="Q21" s="142"/>
      <c r="R21" s="165">
        <v>0</v>
      </c>
      <c r="S21" s="165">
        <v>2</v>
      </c>
      <c r="T21" s="165">
        <v>0</v>
      </c>
      <c r="U21" s="165">
        <v>4.0000000000000009</v>
      </c>
      <c r="V21" s="165">
        <v>0</v>
      </c>
      <c r="W21" s="165">
        <v>4.0000000000000009</v>
      </c>
      <c r="X21" s="165">
        <v>2</v>
      </c>
      <c r="Y21" s="137">
        <v>1.0000000000000002</v>
      </c>
      <c r="Z21" s="165">
        <v>1.0000000000000002</v>
      </c>
      <c r="AA21" s="194">
        <v>12.000000000000002</v>
      </c>
      <c r="AB21" s="136"/>
    </row>
    <row r="22" spans="1:28" x14ac:dyDescent="0.35">
      <c r="A22" s="145" t="s">
        <v>197</v>
      </c>
      <c r="B22" s="145" t="s">
        <v>198</v>
      </c>
      <c r="C22" s="163">
        <v>11.37</v>
      </c>
      <c r="D22" s="163">
        <v>11.41</v>
      </c>
      <c r="E22" s="163">
        <v>11.28</v>
      </c>
      <c r="F22" s="163">
        <v>12.33</v>
      </c>
      <c r="G22" s="163"/>
      <c r="H22" s="165">
        <v>0</v>
      </c>
      <c r="I22" s="165">
        <v>0</v>
      </c>
      <c r="J22" s="165">
        <v>0</v>
      </c>
      <c r="K22" s="165"/>
      <c r="L22" s="165">
        <v>0</v>
      </c>
      <c r="M22" s="165">
        <v>0</v>
      </c>
      <c r="N22" s="165">
        <v>0</v>
      </c>
      <c r="O22" s="165"/>
      <c r="P22" s="164">
        <v>0</v>
      </c>
      <c r="Q22" s="144"/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66">
        <v>0</v>
      </c>
      <c r="Z22" s="159">
        <v>0</v>
      </c>
      <c r="AA22" s="194">
        <v>0</v>
      </c>
      <c r="AB22" s="140"/>
    </row>
    <row r="23" spans="1:28" x14ac:dyDescent="0.35">
      <c r="A23" s="145" t="s">
        <v>199</v>
      </c>
      <c r="B23" s="145" t="s">
        <v>200</v>
      </c>
      <c r="C23" s="163">
        <v>3.93</v>
      </c>
      <c r="D23" s="163">
        <v>3.97</v>
      </c>
      <c r="E23" s="163">
        <v>3.84</v>
      </c>
      <c r="F23" s="163">
        <v>4.2</v>
      </c>
      <c r="G23" s="163"/>
      <c r="H23" s="165">
        <v>428.37</v>
      </c>
      <c r="I23" s="165">
        <v>321.58</v>
      </c>
      <c r="J23" s="165">
        <v>393</v>
      </c>
      <c r="K23" s="165">
        <v>944.1</v>
      </c>
      <c r="L23" s="165">
        <v>281.87</v>
      </c>
      <c r="M23" s="165">
        <v>1712.57</v>
      </c>
      <c r="N23" s="165">
        <v>314.88</v>
      </c>
      <c r="O23" s="165"/>
      <c r="P23" s="164">
        <v>4396.37</v>
      </c>
      <c r="Q23" s="144"/>
      <c r="R23" s="159">
        <v>109</v>
      </c>
      <c r="S23" s="159">
        <v>81.82697201017811</v>
      </c>
      <c r="T23" s="159">
        <v>100</v>
      </c>
      <c r="U23" s="159">
        <v>237.80856423173802</v>
      </c>
      <c r="V23" s="159">
        <v>71</v>
      </c>
      <c r="W23" s="159">
        <v>445.98177083333331</v>
      </c>
      <c r="X23" s="159">
        <v>74.971428571428561</v>
      </c>
      <c r="Y23" s="166">
        <v>93.382394637223172</v>
      </c>
      <c r="Z23" s="159">
        <v>93.382394637223172</v>
      </c>
      <c r="AA23" s="194">
        <v>1120.5887356466781</v>
      </c>
      <c r="AB23" s="140"/>
    </row>
    <row r="24" spans="1:28" x14ac:dyDescent="0.35">
      <c r="A24" s="145" t="s">
        <v>201</v>
      </c>
      <c r="B24" s="145" t="s">
        <v>202</v>
      </c>
      <c r="C24" s="163">
        <v>20.010000000000002</v>
      </c>
      <c r="D24" s="163">
        <v>20.23</v>
      </c>
      <c r="E24" s="163">
        <v>19.559999999999999</v>
      </c>
      <c r="F24" s="163">
        <v>21.38</v>
      </c>
      <c r="G24" s="163"/>
      <c r="H24" s="165">
        <v>10.01</v>
      </c>
      <c r="I24" s="165">
        <v>0</v>
      </c>
      <c r="J24" s="165">
        <v>0</v>
      </c>
      <c r="K24" s="165">
        <v>30.35</v>
      </c>
      <c r="L24" s="165">
        <v>0</v>
      </c>
      <c r="M24" s="165">
        <v>9.7799999999999994</v>
      </c>
      <c r="N24" s="165">
        <v>32.07</v>
      </c>
      <c r="O24" s="165"/>
      <c r="P24" s="164">
        <v>82.210000000000008</v>
      </c>
      <c r="Q24" s="144"/>
      <c r="R24" s="159">
        <v>0.50024987506246876</v>
      </c>
      <c r="S24" s="159">
        <v>0</v>
      </c>
      <c r="T24" s="159">
        <v>0</v>
      </c>
      <c r="U24" s="159">
        <v>1.5002471576866041</v>
      </c>
      <c r="V24" s="159">
        <v>0</v>
      </c>
      <c r="W24" s="159">
        <v>0.5</v>
      </c>
      <c r="X24" s="159">
        <v>1.5</v>
      </c>
      <c r="Y24" s="166">
        <v>0.3333747527290894</v>
      </c>
      <c r="Z24" s="159">
        <v>0.3333747527290894</v>
      </c>
      <c r="AA24" s="194">
        <v>4.000497032749073</v>
      </c>
      <c r="AB24" s="140"/>
    </row>
    <row r="25" spans="1:28" x14ac:dyDescent="0.35">
      <c r="A25" s="145" t="s">
        <v>203</v>
      </c>
      <c r="B25" s="145" t="s">
        <v>204</v>
      </c>
      <c r="C25" s="163">
        <v>20.010000000000002</v>
      </c>
      <c r="D25" s="163">
        <v>20.23</v>
      </c>
      <c r="E25" s="163">
        <v>19.559999999999999</v>
      </c>
      <c r="F25" s="163">
        <v>21.38</v>
      </c>
      <c r="G25" s="163"/>
      <c r="H25" s="165">
        <v>0</v>
      </c>
      <c r="I25" s="165">
        <v>0</v>
      </c>
      <c r="J25" s="165">
        <v>0</v>
      </c>
      <c r="K25" s="165"/>
      <c r="L25" s="165">
        <v>0</v>
      </c>
      <c r="M25" s="165">
        <v>0</v>
      </c>
      <c r="N25" s="165">
        <v>0</v>
      </c>
      <c r="O25" s="165"/>
      <c r="P25" s="164">
        <v>0</v>
      </c>
      <c r="Q25" s="142"/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66">
        <v>0</v>
      </c>
      <c r="Z25" s="159">
        <v>0</v>
      </c>
      <c r="AA25" s="194">
        <v>0</v>
      </c>
      <c r="AB25" s="140"/>
    </row>
    <row r="26" spans="1:28" x14ac:dyDescent="0.35">
      <c r="A26" s="145" t="s">
        <v>205</v>
      </c>
      <c r="B26" s="145" t="s">
        <v>206</v>
      </c>
      <c r="C26" s="163">
        <v>3.93</v>
      </c>
      <c r="D26" s="163">
        <v>3.97</v>
      </c>
      <c r="E26" s="163">
        <v>3.84</v>
      </c>
      <c r="F26" s="163">
        <v>4.2</v>
      </c>
      <c r="G26" s="163"/>
      <c r="H26" s="165">
        <v>15.72</v>
      </c>
      <c r="I26" s="165">
        <v>11.79</v>
      </c>
      <c r="J26" s="165">
        <v>27.509999999999998</v>
      </c>
      <c r="K26" s="165">
        <v>47.64</v>
      </c>
      <c r="L26" s="165">
        <v>11.91</v>
      </c>
      <c r="M26" s="165">
        <v>69.25</v>
      </c>
      <c r="N26" s="165">
        <v>8.4</v>
      </c>
      <c r="O26" s="165"/>
      <c r="P26" s="164">
        <v>192.22</v>
      </c>
      <c r="Q26" s="142"/>
      <c r="R26" s="159">
        <v>4</v>
      </c>
      <c r="S26" s="159">
        <v>2.9999999999999996</v>
      </c>
      <c r="T26" s="159">
        <v>6.9999999999999991</v>
      </c>
      <c r="U26" s="159">
        <v>12</v>
      </c>
      <c r="V26" s="159">
        <v>3</v>
      </c>
      <c r="W26" s="159">
        <v>18.033854166666668</v>
      </c>
      <c r="X26" s="159">
        <v>2</v>
      </c>
      <c r="Y26" s="166">
        <v>4.0861545138888893</v>
      </c>
      <c r="Z26" s="159">
        <v>4.0861545138888893</v>
      </c>
      <c r="AA26" s="194">
        <v>49.033854166666671</v>
      </c>
      <c r="AB26" s="140"/>
    </row>
    <row r="27" spans="1:28" x14ac:dyDescent="0.35">
      <c r="A27" s="145" t="s">
        <v>207</v>
      </c>
      <c r="B27" s="145" t="s">
        <v>208</v>
      </c>
      <c r="C27" s="163">
        <v>3.93</v>
      </c>
      <c r="D27" s="163">
        <v>3.97</v>
      </c>
      <c r="E27" s="163">
        <v>3.84</v>
      </c>
      <c r="F27" s="163">
        <v>4.2</v>
      </c>
      <c r="G27" s="163"/>
      <c r="H27" s="165">
        <v>0</v>
      </c>
      <c r="I27" s="165">
        <v>0</v>
      </c>
      <c r="J27" s="165">
        <v>23.580000000000002</v>
      </c>
      <c r="K27" s="165">
        <v>27.83</v>
      </c>
      <c r="L27" s="165">
        <v>0</v>
      </c>
      <c r="M27" s="165">
        <v>23.04</v>
      </c>
      <c r="N27" s="165">
        <v>8.4</v>
      </c>
      <c r="O27" s="165"/>
      <c r="P27" s="164">
        <v>82.85</v>
      </c>
      <c r="Q27" s="144"/>
      <c r="R27" s="159">
        <v>0</v>
      </c>
      <c r="S27" s="159">
        <v>0</v>
      </c>
      <c r="T27" s="159">
        <v>6</v>
      </c>
      <c r="U27" s="159">
        <v>7.0100755667506292</v>
      </c>
      <c r="V27" s="159">
        <v>0</v>
      </c>
      <c r="W27" s="159">
        <v>6</v>
      </c>
      <c r="X27" s="159">
        <v>2</v>
      </c>
      <c r="Y27" s="166">
        <v>1.7508396305625524</v>
      </c>
      <c r="Z27" s="159">
        <v>1.7508396305625524</v>
      </c>
      <c r="AA27" s="194">
        <v>21.010075566750629</v>
      </c>
      <c r="AB27" s="140"/>
    </row>
    <row r="28" spans="1:28" x14ac:dyDescent="0.35">
      <c r="A28" s="145" t="s">
        <v>209</v>
      </c>
      <c r="B28" s="145" t="s">
        <v>210</v>
      </c>
      <c r="C28" s="163">
        <v>3.16</v>
      </c>
      <c r="D28" s="163">
        <v>3.1608999999999998</v>
      </c>
      <c r="E28" s="163">
        <v>3.1608999999999998</v>
      </c>
      <c r="F28" s="163">
        <v>3.4640000000000004</v>
      </c>
      <c r="G28" s="163"/>
      <c r="H28" s="165">
        <v>0</v>
      </c>
      <c r="I28" s="165">
        <v>0</v>
      </c>
      <c r="J28" s="165">
        <v>0</v>
      </c>
      <c r="K28" s="165"/>
      <c r="L28" s="165">
        <v>0</v>
      </c>
      <c r="M28" s="165">
        <v>0</v>
      </c>
      <c r="N28" s="165">
        <v>0</v>
      </c>
      <c r="O28" s="165"/>
      <c r="P28" s="164">
        <v>0</v>
      </c>
      <c r="Q28" s="144"/>
      <c r="R28" s="159"/>
      <c r="S28" s="159"/>
      <c r="T28" s="159"/>
      <c r="U28" s="159"/>
      <c r="V28" s="159"/>
      <c r="W28" s="159"/>
      <c r="X28" s="159"/>
      <c r="Y28" s="145"/>
      <c r="Z28" s="159"/>
      <c r="AA28" s="142"/>
      <c r="AB28" s="139"/>
    </row>
    <row r="29" spans="1:28" x14ac:dyDescent="0.35">
      <c r="A29" s="145" t="s">
        <v>211</v>
      </c>
      <c r="B29" s="145" t="s">
        <v>212</v>
      </c>
      <c r="C29" s="163">
        <v>6.06</v>
      </c>
      <c r="D29" s="163">
        <v>6.06</v>
      </c>
      <c r="E29" s="163">
        <v>6.0619999999999994</v>
      </c>
      <c r="F29" s="163">
        <v>6.6249000000000002</v>
      </c>
      <c r="G29" s="163"/>
      <c r="H29" s="165">
        <v>87.87</v>
      </c>
      <c r="I29" s="165">
        <v>410.57</v>
      </c>
      <c r="J29" s="165">
        <v>72.72</v>
      </c>
      <c r="K29" s="165">
        <v>871.13</v>
      </c>
      <c r="L29" s="165">
        <v>84.84</v>
      </c>
      <c r="M29" s="165">
        <v>1032.8399999999999</v>
      </c>
      <c r="N29" s="165">
        <v>424</v>
      </c>
      <c r="O29" s="165"/>
      <c r="P29" s="164">
        <v>2983.97</v>
      </c>
      <c r="Q29" s="144"/>
      <c r="R29" s="159"/>
      <c r="S29" s="159"/>
      <c r="T29" s="159"/>
      <c r="U29" s="159"/>
      <c r="V29" s="159"/>
      <c r="W29" s="159"/>
      <c r="X29" s="159"/>
      <c r="Y29" s="145"/>
      <c r="Z29" s="159"/>
      <c r="AA29" s="142"/>
      <c r="AB29" s="139"/>
    </row>
    <row r="30" spans="1:28" x14ac:dyDescent="0.35">
      <c r="A30" s="145" t="s">
        <v>213</v>
      </c>
      <c r="B30" s="145" t="s">
        <v>214</v>
      </c>
      <c r="C30" s="163">
        <v>20</v>
      </c>
      <c r="D30" s="163">
        <v>20</v>
      </c>
      <c r="E30" s="163">
        <v>20</v>
      </c>
      <c r="F30" s="163">
        <v>21.86</v>
      </c>
      <c r="G30" s="163"/>
      <c r="H30" s="165">
        <v>0</v>
      </c>
      <c r="I30" s="165">
        <v>0</v>
      </c>
      <c r="J30" s="165">
        <v>0</v>
      </c>
      <c r="K30" s="165"/>
      <c r="L30" s="165">
        <v>0</v>
      </c>
      <c r="M30" s="165">
        <v>0</v>
      </c>
      <c r="N30" s="165">
        <v>0</v>
      </c>
      <c r="O30" s="165"/>
      <c r="P30" s="164">
        <v>0</v>
      </c>
      <c r="Q30" s="142"/>
      <c r="R30" s="159"/>
      <c r="S30" s="159"/>
      <c r="T30" s="159"/>
      <c r="U30" s="159"/>
      <c r="V30" s="159"/>
      <c r="W30" s="159"/>
      <c r="X30" s="159"/>
      <c r="Y30" s="142"/>
      <c r="Z30" s="165"/>
      <c r="AA30" s="142"/>
      <c r="AB30" s="139"/>
    </row>
    <row r="31" spans="1:28" x14ac:dyDescent="0.35">
      <c r="A31" s="145" t="s">
        <v>215</v>
      </c>
      <c r="B31" s="145" t="s">
        <v>216</v>
      </c>
      <c r="C31" s="163">
        <v>12</v>
      </c>
      <c r="D31" s="163">
        <v>12</v>
      </c>
      <c r="E31" s="163">
        <v>12</v>
      </c>
      <c r="F31" s="163">
        <v>13.12</v>
      </c>
      <c r="G31" s="163"/>
      <c r="H31" s="165">
        <v>12</v>
      </c>
      <c r="I31" s="165">
        <v>36</v>
      </c>
      <c r="J31" s="165">
        <v>0</v>
      </c>
      <c r="K31" s="165">
        <v>180</v>
      </c>
      <c r="L31" s="165">
        <v>0</v>
      </c>
      <c r="M31" s="165">
        <v>72</v>
      </c>
      <c r="N31" s="165">
        <v>25.12</v>
      </c>
      <c r="O31" s="165"/>
      <c r="P31" s="164">
        <v>325.12</v>
      </c>
      <c r="Q31" s="142"/>
      <c r="R31" s="159"/>
      <c r="S31" s="159"/>
      <c r="T31" s="159"/>
      <c r="U31" s="159"/>
      <c r="V31" s="159"/>
      <c r="W31" s="159"/>
      <c r="X31" s="159"/>
      <c r="Y31" s="142"/>
      <c r="Z31" s="165"/>
      <c r="AA31" s="142"/>
      <c r="AB31" s="139"/>
    </row>
    <row r="32" spans="1:28" x14ac:dyDescent="0.35">
      <c r="A32" s="145" t="s">
        <v>217</v>
      </c>
      <c r="B32" s="145" t="s">
        <v>218</v>
      </c>
      <c r="C32" s="163"/>
      <c r="D32" s="163"/>
      <c r="E32" s="163"/>
      <c r="F32" s="163"/>
      <c r="G32" s="163"/>
      <c r="H32" s="165">
        <v>83.629999999999981</v>
      </c>
      <c r="I32" s="165">
        <v>670.28000000000009</v>
      </c>
      <c r="J32" s="165">
        <v>230.56999999999996</v>
      </c>
      <c r="K32" s="165">
        <v>902.06999999999994</v>
      </c>
      <c r="L32" s="165">
        <v>64.12</v>
      </c>
      <c r="M32" s="165">
        <v>958.7600000000001</v>
      </c>
      <c r="N32" s="165">
        <v>0</v>
      </c>
      <c r="O32" s="165"/>
      <c r="P32" s="164">
        <v>2909.4300000000003</v>
      </c>
      <c r="Q32" s="142"/>
      <c r="R32" s="159"/>
      <c r="S32" s="159"/>
      <c r="T32" s="159"/>
      <c r="U32" s="159"/>
      <c r="V32" s="159"/>
      <c r="W32" s="159"/>
      <c r="X32" s="159"/>
      <c r="Y32" s="142"/>
      <c r="Z32" s="165"/>
      <c r="AA32" s="142"/>
      <c r="AB32" s="139"/>
    </row>
    <row r="33" spans="1:28" x14ac:dyDescent="0.35">
      <c r="A33" s="168" t="s">
        <v>219</v>
      </c>
      <c r="B33" s="145"/>
      <c r="C33" s="163"/>
      <c r="D33" s="163"/>
      <c r="E33" s="163"/>
      <c r="F33" s="163"/>
      <c r="G33" s="163"/>
      <c r="H33" s="165"/>
      <c r="I33" s="165"/>
      <c r="J33" s="165"/>
      <c r="K33" s="165"/>
      <c r="L33" s="165">
        <v>0</v>
      </c>
      <c r="M33" s="165">
        <v>7.35</v>
      </c>
      <c r="N33" s="165">
        <v>0</v>
      </c>
      <c r="O33" s="165"/>
      <c r="P33" s="164">
        <v>7.35</v>
      </c>
      <c r="Q33" s="142"/>
      <c r="R33" s="159"/>
      <c r="S33" s="159"/>
      <c r="T33" s="159"/>
      <c r="U33" s="159"/>
      <c r="V33" s="159"/>
      <c r="W33" s="159"/>
      <c r="X33" s="159"/>
      <c r="Y33" s="142"/>
      <c r="Z33" s="165"/>
      <c r="AA33" s="142"/>
      <c r="AB33" s="139"/>
    </row>
    <row r="34" spans="1:28" ht="15" thickBot="1" x14ac:dyDescent="0.4">
      <c r="A34" s="169"/>
      <c r="B34" s="169"/>
      <c r="C34" s="163"/>
      <c r="D34" s="163"/>
      <c r="E34" s="163"/>
      <c r="F34" s="163"/>
      <c r="G34" s="163"/>
      <c r="H34" s="159"/>
      <c r="I34" s="159"/>
      <c r="J34" s="159"/>
      <c r="K34" s="159"/>
      <c r="L34" s="159"/>
      <c r="M34" s="159"/>
      <c r="N34" s="159"/>
      <c r="O34" s="159"/>
      <c r="P34" s="164"/>
      <c r="Q34" s="144"/>
      <c r="R34" s="144"/>
      <c r="S34" s="144"/>
      <c r="T34" s="144"/>
      <c r="U34" s="144"/>
      <c r="V34" s="144"/>
      <c r="W34" s="144"/>
      <c r="X34" s="144"/>
      <c r="Y34" s="145"/>
      <c r="Z34" s="159"/>
      <c r="AA34" s="142"/>
      <c r="AB34" s="139"/>
    </row>
    <row r="35" spans="1:28" ht="15" thickBot="1" x14ac:dyDescent="0.4">
      <c r="A35" s="170"/>
      <c r="B35" s="171" t="s">
        <v>220</v>
      </c>
      <c r="C35" s="163"/>
      <c r="D35" s="163"/>
      <c r="E35" s="163"/>
      <c r="F35" s="163"/>
      <c r="G35" s="163"/>
      <c r="H35" s="172">
        <v>13124.96</v>
      </c>
      <c r="I35" s="172">
        <v>38602.03</v>
      </c>
      <c r="J35" s="172">
        <v>13248.509999999998</v>
      </c>
      <c r="K35" s="172">
        <v>90176.560000000027</v>
      </c>
      <c r="L35" s="172">
        <v>13328.12</v>
      </c>
      <c r="M35" s="172">
        <v>102133.51</v>
      </c>
      <c r="N35" s="172">
        <v>39641.370000000003</v>
      </c>
      <c r="O35" s="172"/>
      <c r="P35" s="172">
        <v>310255.05999999988</v>
      </c>
      <c r="Q35" s="142"/>
      <c r="R35" s="159"/>
      <c r="S35" s="159"/>
      <c r="T35" s="159"/>
      <c r="U35" s="159"/>
      <c r="V35" s="159"/>
      <c r="W35" s="159"/>
      <c r="X35" s="159"/>
      <c r="Y35" s="173">
        <v>1176.3037570699032</v>
      </c>
      <c r="Z35" s="165"/>
      <c r="AA35" s="142"/>
      <c r="AB35" s="139"/>
    </row>
    <row r="36" spans="1:28" x14ac:dyDescent="0.35">
      <c r="A36" s="144"/>
      <c r="B36" s="144"/>
      <c r="C36" s="163"/>
      <c r="D36" s="163"/>
      <c r="E36" s="163"/>
      <c r="F36" s="163"/>
      <c r="G36" s="163"/>
      <c r="H36" s="144"/>
      <c r="I36" s="144"/>
      <c r="J36" s="144"/>
      <c r="K36" s="174"/>
      <c r="L36" s="174"/>
      <c r="M36" s="174"/>
      <c r="N36" s="174"/>
      <c r="O36" s="144"/>
      <c r="P36" s="164"/>
      <c r="Q36" s="144"/>
      <c r="R36" s="159"/>
      <c r="S36" s="159"/>
      <c r="T36" s="159"/>
      <c r="U36" s="159"/>
      <c r="V36" s="159"/>
      <c r="W36" s="159"/>
      <c r="X36" s="159"/>
      <c r="Y36" s="145"/>
      <c r="Z36" s="159"/>
      <c r="AA36" s="142"/>
      <c r="AB36" s="139"/>
    </row>
    <row r="37" spans="1:28" x14ac:dyDescent="0.35">
      <c r="A37" s="175" t="s">
        <v>221</v>
      </c>
      <c r="B37" s="175" t="s">
        <v>221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6"/>
      <c r="AA37" s="158"/>
      <c r="AB37" s="139"/>
    </row>
    <row r="38" spans="1:28" x14ac:dyDescent="0.35">
      <c r="A38" s="175"/>
      <c r="B38" s="17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6"/>
      <c r="AA38" s="158"/>
      <c r="AB38" s="139"/>
    </row>
    <row r="39" spans="1:28" x14ac:dyDescent="0.35">
      <c r="A39" s="162" t="s">
        <v>222</v>
      </c>
      <c r="B39" s="162" t="s">
        <v>222</v>
      </c>
      <c r="C39" s="163"/>
      <c r="D39" s="163"/>
      <c r="E39" s="163"/>
      <c r="F39" s="163"/>
      <c r="G39" s="163"/>
      <c r="H39" s="144"/>
      <c r="I39" s="144"/>
      <c r="J39" s="144"/>
      <c r="K39" s="144"/>
      <c r="L39" s="144"/>
      <c r="M39" s="144"/>
      <c r="N39" s="144"/>
      <c r="O39" s="144"/>
      <c r="P39" s="164"/>
      <c r="Q39" s="144"/>
      <c r="R39" s="159"/>
      <c r="S39" s="159"/>
      <c r="T39" s="159"/>
      <c r="U39" s="159"/>
      <c r="V39" s="159"/>
      <c r="W39" s="159"/>
      <c r="X39" s="159"/>
      <c r="Y39" s="145"/>
      <c r="Z39" s="159"/>
      <c r="AA39" s="142"/>
      <c r="AB39" s="139"/>
    </row>
    <row r="40" spans="1:28" x14ac:dyDescent="0.35">
      <c r="A40" s="145" t="s">
        <v>223</v>
      </c>
      <c r="B40" s="145" t="s">
        <v>224</v>
      </c>
      <c r="C40" s="163">
        <v>67.81</v>
      </c>
      <c r="D40" s="163">
        <v>68.760400000000004</v>
      </c>
      <c r="E40" s="163">
        <v>65.859300000000005</v>
      </c>
      <c r="F40" s="163">
        <v>71.964600000000004</v>
      </c>
      <c r="G40" s="163"/>
      <c r="H40" s="165">
        <v>1695.25</v>
      </c>
      <c r="I40" s="165">
        <v>1678.3</v>
      </c>
      <c r="J40" s="165">
        <v>1640.57</v>
      </c>
      <c r="K40" s="165">
        <v>5231.78</v>
      </c>
      <c r="L40" s="165">
        <v>1719</v>
      </c>
      <c r="M40" s="165">
        <v>6454.28</v>
      </c>
      <c r="N40" s="165">
        <v>1727.04</v>
      </c>
      <c r="O40" s="165"/>
      <c r="P40" s="164">
        <v>20146.22</v>
      </c>
      <c r="Q40" s="144"/>
      <c r="R40" s="159">
        <v>25</v>
      </c>
      <c r="S40" s="159">
        <v>24.750036867718624</v>
      </c>
      <c r="T40" s="159">
        <v>24.193629258221499</v>
      </c>
      <c r="U40" s="159">
        <v>76.087108277438745</v>
      </c>
      <c r="V40" s="159">
        <v>24.999854567454523</v>
      </c>
      <c r="W40" s="159">
        <v>98.001041614472058</v>
      </c>
      <c r="X40" s="159">
        <v>23.998465912406932</v>
      </c>
      <c r="Y40" s="166">
        <v>24.752511374809362</v>
      </c>
      <c r="Z40" s="159">
        <v>24.752511374809362</v>
      </c>
      <c r="AA40" s="194">
        <v>297.03013649771236</v>
      </c>
      <c r="AB40" s="140"/>
    </row>
    <row r="41" spans="1:28" x14ac:dyDescent="0.35">
      <c r="A41" s="145" t="s">
        <v>225</v>
      </c>
      <c r="B41" s="145" t="s">
        <v>226</v>
      </c>
      <c r="C41" s="163">
        <v>101.41</v>
      </c>
      <c r="D41" s="163">
        <v>102.79419999999999</v>
      </c>
      <c r="E41" s="163">
        <v>98.680700000000002</v>
      </c>
      <c r="F41" s="163">
        <v>107.86030000000001</v>
      </c>
      <c r="G41" s="163"/>
      <c r="H41" s="165">
        <v>963.4</v>
      </c>
      <c r="I41" s="165">
        <v>811.28</v>
      </c>
      <c r="J41" s="165">
        <v>811.28</v>
      </c>
      <c r="K41" s="165">
        <v>2261.39</v>
      </c>
      <c r="L41" s="165">
        <v>822.31999999999994</v>
      </c>
      <c r="M41" s="165">
        <v>3725.17</v>
      </c>
      <c r="N41" s="165">
        <v>1186.4599999999998</v>
      </c>
      <c r="O41" s="165"/>
      <c r="P41" s="164">
        <v>10581.3</v>
      </c>
      <c r="Q41" s="144"/>
      <c r="R41" s="159">
        <v>9.5000493048022872</v>
      </c>
      <c r="S41" s="159">
        <v>8</v>
      </c>
      <c r="T41" s="159">
        <v>8</v>
      </c>
      <c r="U41" s="159">
        <v>21.999198398353215</v>
      </c>
      <c r="V41" s="159">
        <v>7.999673133309078</v>
      </c>
      <c r="W41" s="159">
        <v>37.749732217140739</v>
      </c>
      <c r="X41" s="159">
        <v>10.999969404869073</v>
      </c>
      <c r="Y41" s="166">
        <v>8.6873852048728661</v>
      </c>
      <c r="Z41" s="159">
        <v>8.6873852048728661</v>
      </c>
      <c r="AA41" s="194">
        <v>104.2486224584744</v>
      </c>
      <c r="AB41" s="140"/>
    </row>
    <row r="42" spans="1:28" x14ac:dyDescent="0.35">
      <c r="A42" s="145" t="s">
        <v>227</v>
      </c>
      <c r="B42" s="145" t="s">
        <v>228</v>
      </c>
      <c r="C42" s="163">
        <v>202.82</v>
      </c>
      <c r="D42" s="163">
        <v>205.58839999999998</v>
      </c>
      <c r="E42" s="163">
        <v>197.3614</v>
      </c>
      <c r="F42" s="163">
        <v>215.72060000000002</v>
      </c>
      <c r="G42" s="163">
        <v>215.72060000000002</v>
      </c>
      <c r="H42" s="165">
        <v>202.82</v>
      </c>
      <c r="I42" s="165">
        <v>0</v>
      </c>
      <c r="J42" s="165">
        <v>0</v>
      </c>
      <c r="K42" s="165"/>
      <c r="L42" s="165">
        <v>0</v>
      </c>
      <c r="M42" s="165">
        <v>0</v>
      </c>
      <c r="N42" s="165">
        <v>0</v>
      </c>
      <c r="O42" s="165"/>
      <c r="P42" s="164">
        <v>202.82</v>
      </c>
      <c r="Q42" s="144"/>
      <c r="R42" s="159">
        <v>1</v>
      </c>
      <c r="S42" s="159">
        <v>0</v>
      </c>
      <c r="T42" s="159">
        <v>0</v>
      </c>
      <c r="U42" s="159">
        <v>0</v>
      </c>
      <c r="V42" s="159">
        <v>0</v>
      </c>
      <c r="W42" s="159">
        <v>0</v>
      </c>
      <c r="X42" s="159">
        <v>0</v>
      </c>
      <c r="Y42" s="166">
        <v>8.3333333333333329E-2</v>
      </c>
      <c r="Z42" s="159">
        <v>8.3333333333333329E-2</v>
      </c>
      <c r="AA42" s="194">
        <v>1</v>
      </c>
      <c r="AB42" s="139"/>
    </row>
    <row r="43" spans="1:28" x14ac:dyDescent="0.35">
      <c r="A43" s="145" t="s">
        <v>229</v>
      </c>
      <c r="B43" s="145" t="s">
        <v>230</v>
      </c>
      <c r="C43" s="163">
        <v>134.75</v>
      </c>
      <c r="D43" s="163">
        <v>136.5249</v>
      </c>
      <c r="E43" s="163">
        <v>131.19900000000001</v>
      </c>
      <c r="F43" s="163">
        <v>143.40959999999998</v>
      </c>
      <c r="G43" s="163"/>
      <c r="H43" s="165">
        <v>1347.5</v>
      </c>
      <c r="I43" s="165">
        <v>1381.19</v>
      </c>
      <c r="J43" s="165">
        <v>1482.25</v>
      </c>
      <c r="K43" s="165">
        <v>4505.16</v>
      </c>
      <c r="L43" s="165">
        <v>1501.72</v>
      </c>
      <c r="M43" s="165">
        <v>5772.8</v>
      </c>
      <c r="N43" s="165">
        <v>1577.51</v>
      </c>
      <c r="O43" s="165"/>
      <c r="P43" s="164">
        <v>17568.129999999997</v>
      </c>
      <c r="Q43" s="144"/>
      <c r="R43" s="159">
        <v>10</v>
      </c>
      <c r="S43" s="159">
        <v>10.250018552875696</v>
      </c>
      <c r="T43" s="159">
        <v>11</v>
      </c>
      <c r="U43" s="159">
        <v>32.998815600670646</v>
      </c>
      <c r="V43" s="159">
        <v>10.999605200223549</v>
      </c>
      <c r="W43" s="159">
        <v>44.000335368409814</v>
      </c>
      <c r="X43" s="159">
        <v>11.000030681349088</v>
      </c>
      <c r="Y43" s="166">
        <v>10.854067116960735</v>
      </c>
      <c r="Z43" s="159">
        <v>10.854067116960735</v>
      </c>
      <c r="AA43" s="194">
        <v>130.24880540352882</v>
      </c>
      <c r="AB43" s="140"/>
    </row>
    <row r="44" spans="1:28" x14ac:dyDescent="0.35">
      <c r="A44" s="145" t="s">
        <v>231</v>
      </c>
      <c r="B44" s="145" t="s">
        <v>232</v>
      </c>
      <c r="C44" s="163">
        <v>189.44</v>
      </c>
      <c r="D44" s="163">
        <v>192.03550000000001</v>
      </c>
      <c r="E44" s="163">
        <v>184.2415</v>
      </c>
      <c r="F44" s="163">
        <v>201.38829999999999</v>
      </c>
      <c r="G44" s="163"/>
      <c r="H44" s="165">
        <v>189.44</v>
      </c>
      <c r="I44" s="165">
        <v>189.44</v>
      </c>
      <c r="J44" s="165">
        <v>189.44</v>
      </c>
      <c r="K44" s="165">
        <v>1056.22</v>
      </c>
      <c r="L44" s="165">
        <v>384.08</v>
      </c>
      <c r="M44" s="165">
        <v>1473.92</v>
      </c>
      <c r="N44" s="165">
        <v>402.78</v>
      </c>
      <c r="O44" s="165"/>
      <c r="P44" s="164">
        <v>3885.3199999999997</v>
      </c>
      <c r="Q44" s="144"/>
      <c r="R44" s="159">
        <v>1</v>
      </c>
      <c r="S44" s="159">
        <v>1</v>
      </c>
      <c r="T44" s="159">
        <v>1</v>
      </c>
      <c r="U44" s="159">
        <v>5.5001288824201771</v>
      </c>
      <c r="V44" s="159">
        <v>2.0000468663346096</v>
      </c>
      <c r="W44" s="159">
        <v>7.9999348680943223</v>
      </c>
      <c r="X44" s="159">
        <v>2.0000168828079885</v>
      </c>
      <c r="Y44" s="166">
        <v>1.7083439583047582</v>
      </c>
      <c r="Z44" s="159">
        <v>1.7083439583047582</v>
      </c>
      <c r="AA44" s="194">
        <v>20.500127499657097</v>
      </c>
      <c r="AB44" s="140"/>
    </row>
    <row r="45" spans="1:28" x14ac:dyDescent="0.35">
      <c r="A45" s="145" t="s">
        <v>233</v>
      </c>
      <c r="B45" s="145" t="s">
        <v>234</v>
      </c>
      <c r="C45" s="163">
        <v>378.88</v>
      </c>
      <c r="D45" s="163">
        <v>384.07100000000003</v>
      </c>
      <c r="E45" s="163">
        <v>368.483</v>
      </c>
      <c r="F45" s="163">
        <v>402.77659999999997</v>
      </c>
      <c r="G45" s="163"/>
      <c r="H45" s="165">
        <v>378.88</v>
      </c>
      <c r="I45" s="165">
        <v>378.88</v>
      </c>
      <c r="J45" s="165">
        <v>378.88</v>
      </c>
      <c r="K45" s="165">
        <v>1152.21</v>
      </c>
      <c r="L45" s="165">
        <v>384.07</v>
      </c>
      <c r="M45" s="165">
        <v>1473.92</v>
      </c>
      <c r="N45" s="165">
        <v>402.78</v>
      </c>
      <c r="O45" s="165"/>
      <c r="P45" s="164">
        <v>4549.62</v>
      </c>
      <c r="Q45" s="144"/>
      <c r="R45" s="159">
        <v>1</v>
      </c>
      <c r="S45" s="159">
        <v>1</v>
      </c>
      <c r="T45" s="159">
        <v>1</v>
      </c>
      <c r="U45" s="159">
        <v>2.9999921889442316</v>
      </c>
      <c r="V45" s="159">
        <v>0.99999739631474382</v>
      </c>
      <c r="W45" s="159">
        <v>3.9999674340471612</v>
      </c>
      <c r="X45" s="159">
        <v>1.0000084414039943</v>
      </c>
      <c r="Y45" s="166">
        <v>0.99999712172584421</v>
      </c>
      <c r="Z45" s="159">
        <v>0.99999712172584421</v>
      </c>
      <c r="AA45" s="194">
        <v>11.999965460710131</v>
      </c>
      <c r="AB45" s="139"/>
    </row>
    <row r="46" spans="1:28" x14ac:dyDescent="0.35">
      <c r="A46" s="145" t="s">
        <v>235</v>
      </c>
      <c r="B46" s="145" t="s">
        <v>236</v>
      </c>
      <c r="C46" s="163">
        <v>250.79</v>
      </c>
      <c r="D46" s="163">
        <v>254.17100000000002</v>
      </c>
      <c r="E46" s="163">
        <v>244.03880000000001</v>
      </c>
      <c r="F46" s="163">
        <v>266.72800000000001</v>
      </c>
      <c r="G46" s="163"/>
      <c r="H46" s="165">
        <v>1504.74</v>
      </c>
      <c r="I46" s="165">
        <v>1504.74</v>
      </c>
      <c r="J46" s="165">
        <v>1504.74</v>
      </c>
      <c r="K46" s="165">
        <v>3812.55</v>
      </c>
      <c r="L46" s="165">
        <v>1270.8499999999999</v>
      </c>
      <c r="M46" s="165">
        <v>5551.91</v>
      </c>
      <c r="N46" s="165">
        <v>1577.69</v>
      </c>
      <c r="O46" s="165"/>
      <c r="P46" s="164">
        <v>16727.22</v>
      </c>
      <c r="Q46" s="144"/>
      <c r="R46" s="159">
        <v>6</v>
      </c>
      <c r="S46" s="159">
        <v>6</v>
      </c>
      <c r="T46" s="159">
        <v>6</v>
      </c>
      <c r="U46" s="159">
        <v>14.999940984612721</v>
      </c>
      <c r="V46" s="159">
        <v>4.9999803282042397</v>
      </c>
      <c r="W46" s="159">
        <v>22.750111867457139</v>
      </c>
      <c r="X46" s="159">
        <v>5.9149770552772862</v>
      </c>
      <c r="Y46" s="166">
        <v>5.555417519629283</v>
      </c>
      <c r="Z46" s="159">
        <v>5.555417519629283</v>
      </c>
      <c r="AA46" s="194">
        <v>66.665010235551392</v>
      </c>
      <c r="AB46" s="140"/>
    </row>
    <row r="47" spans="1:28" x14ac:dyDescent="0.35">
      <c r="A47" s="145" t="s">
        <v>237</v>
      </c>
      <c r="B47" s="145" t="s">
        <v>238</v>
      </c>
      <c r="C47" s="163">
        <v>501.58</v>
      </c>
      <c r="D47" s="163">
        <v>508.34200000000004</v>
      </c>
      <c r="E47" s="163">
        <v>488.07760000000002</v>
      </c>
      <c r="F47" s="163">
        <v>533.45600000000002</v>
      </c>
      <c r="G47" s="163"/>
      <c r="H47" s="165">
        <v>501.58</v>
      </c>
      <c r="I47" s="165">
        <v>501.58</v>
      </c>
      <c r="J47" s="165">
        <v>501.58</v>
      </c>
      <c r="K47" s="165">
        <v>1525.02</v>
      </c>
      <c r="L47" s="165">
        <v>508.34</v>
      </c>
      <c r="M47" s="165">
        <v>1952.32</v>
      </c>
      <c r="N47" s="165">
        <v>533.46</v>
      </c>
      <c r="O47" s="165"/>
      <c r="P47" s="164">
        <v>6023.88</v>
      </c>
      <c r="Q47" s="144"/>
      <c r="R47" s="159">
        <v>1</v>
      </c>
      <c r="S47" s="159">
        <v>1</v>
      </c>
      <c r="T47" s="159">
        <v>1</v>
      </c>
      <c r="U47" s="159">
        <v>2.9999881969225441</v>
      </c>
      <c r="V47" s="159">
        <v>0.99999606564084798</v>
      </c>
      <c r="W47" s="159">
        <v>4.0000196690034535</v>
      </c>
      <c r="X47" s="159">
        <v>1.0000074982753966</v>
      </c>
      <c r="Y47" s="166">
        <v>1.0000009524868534</v>
      </c>
      <c r="Z47" s="159">
        <v>1.0000009524868534</v>
      </c>
      <c r="AA47" s="194">
        <v>12.000011429842241</v>
      </c>
      <c r="AB47" s="139"/>
    </row>
    <row r="48" spans="1:28" x14ac:dyDescent="0.35">
      <c r="A48" s="145" t="s">
        <v>239</v>
      </c>
      <c r="B48" s="145" t="s">
        <v>240</v>
      </c>
      <c r="C48" s="163">
        <v>363.33</v>
      </c>
      <c r="D48" s="163">
        <v>367.96340000000004</v>
      </c>
      <c r="E48" s="163">
        <v>354.10739999999998</v>
      </c>
      <c r="F48" s="163">
        <v>387.0154</v>
      </c>
      <c r="G48" s="163"/>
      <c r="H48" s="165">
        <v>0</v>
      </c>
      <c r="I48" s="165">
        <v>0</v>
      </c>
      <c r="J48" s="165">
        <v>0</v>
      </c>
      <c r="K48" s="165"/>
      <c r="L48" s="165">
        <v>0</v>
      </c>
      <c r="M48" s="165">
        <v>0</v>
      </c>
      <c r="N48" s="165">
        <v>0</v>
      </c>
      <c r="O48" s="165"/>
      <c r="P48" s="164">
        <v>0</v>
      </c>
      <c r="Q48" s="142"/>
      <c r="R48" s="159">
        <v>0</v>
      </c>
      <c r="S48" s="159">
        <v>0</v>
      </c>
      <c r="T48" s="159">
        <v>0</v>
      </c>
      <c r="U48" s="159">
        <v>0</v>
      </c>
      <c r="V48" s="159">
        <v>0</v>
      </c>
      <c r="W48" s="159">
        <v>0</v>
      </c>
      <c r="X48" s="159">
        <v>0</v>
      </c>
      <c r="Y48" s="166">
        <v>0</v>
      </c>
      <c r="Z48" s="159">
        <v>0</v>
      </c>
      <c r="AA48" s="194">
        <v>0</v>
      </c>
      <c r="AB48" s="140"/>
    </row>
    <row r="49" spans="1:28" x14ac:dyDescent="0.35">
      <c r="A49" s="145" t="s">
        <v>241</v>
      </c>
      <c r="B49" s="145" t="s">
        <v>242</v>
      </c>
      <c r="C49" s="163">
        <v>726.66</v>
      </c>
      <c r="D49" s="163">
        <v>735.92680000000007</v>
      </c>
      <c r="E49" s="163">
        <v>708.21479999999997</v>
      </c>
      <c r="F49" s="163">
        <v>774.0308</v>
      </c>
      <c r="G49" s="163"/>
      <c r="H49" s="165">
        <v>726.66</v>
      </c>
      <c r="I49" s="165">
        <v>726.66</v>
      </c>
      <c r="J49" s="165">
        <v>726.66</v>
      </c>
      <c r="K49" s="165">
        <v>2207.79</v>
      </c>
      <c r="L49" s="165">
        <v>735.93</v>
      </c>
      <c r="M49" s="165">
        <v>2832.84</v>
      </c>
      <c r="N49" s="165">
        <v>774.03</v>
      </c>
      <c r="O49" s="165"/>
      <c r="P49" s="164">
        <v>8730.5700000000015</v>
      </c>
      <c r="Q49" s="144"/>
      <c r="R49" s="159">
        <v>1</v>
      </c>
      <c r="S49" s="159">
        <v>1</v>
      </c>
      <c r="T49" s="159">
        <v>1</v>
      </c>
      <c r="U49" s="159">
        <v>3.0000130447756486</v>
      </c>
      <c r="V49" s="159">
        <v>1.0000043482585494</v>
      </c>
      <c r="W49" s="159">
        <v>3.9999728895809579</v>
      </c>
      <c r="X49" s="159">
        <v>0.99999896644939712</v>
      </c>
      <c r="Y49" s="166">
        <v>0.99999910408871273</v>
      </c>
      <c r="Z49" s="159">
        <v>0.99999910408871273</v>
      </c>
      <c r="AA49" s="194">
        <v>11.999989249064553</v>
      </c>
      <c r="AB49" s="139"/>
    </row>
    <row r="50" spans="1:28" x14ac:dyDescent="0.35">
      <c r="A50" s="145" t="s">
        <v>243</v>
      </c>
      <c r="B50" s="145" t="s">
        <v>244</v>
      </c>
      <c r="C50" s="163">
        <v>16.88</v>
      </c>
      <c r="D50" s="163">
        <v>17.04</v>
      </c>
      <c r="E50" s="163">
        <v>16.559999999999999</v>
      </c>
      <c r="F50" s="163">
        <v>17.363299999999999</v>
      </c>
      <c r="G50" s="163"/>
      <c r="H50" s="165">
        <v>185.67999999999998</v>
      </c>
      <c r="I50" s="165">
        <v>185.67999999999998</v>
      </c>
      <c r="J50" s="165">
        <v>185.67999999999998</v>
      </c>
      <c r="K50" s="165">
        <v>587.88</v>
      </c>
      <c r="L50" s="165">
        <v>204.48000000000002</v>
      </c>
      <c r="M50" s="165">
        <v>794.88</v>
      </c>
      <c r="N50" s="165">
        <v>208.32</v>
      </c>
      <c r="O50" s="165"/>
      <c r="P50" s="164">
        <v>2352.6000000000004</v>
      </c>
      <c r="Q50" s="144"/>
      <c r="R50" s="159">
        <v>11</v>
      </c>
      <c r="S50" s="159">
        <v>11</v>
      </c>
      <c r="T50" s="159">
        <v>11</v>
      </c>
      <c r="U50" s="159">
        <v>34.5</v>
      </c>
      <c r="V50" s="159">
        <v>12.000000000000002</v>
      </c>
      <c r="W50" s="159">
        <v>48</v>
      </c>
      <c r="X50" s="159">
        <v>11.997719327547184</v>
      </c>
      <c r="Y50" s="166">
        <v>11.624809943962264</v>
      </c>
      <c r="Z50" s="159">
        <v>11.624809943962264</v>
      </c>
      <c r="AA50" s="194">
        <v>139.49771932754717</v>
      </c>
      <c r="AB50" s="139"/>
    </row>
    <row r="51" spans="1:28" x14ac:dyDescent="0.35">
      <c r="A51" s="145" t="s">
        <v>245</v>
      </c>
      <c r="B51" s="145" t="s">
        <v>246</v>
      </c>
      <c r="C51" s="163">
        <v>32.39</v>
      </c>
      <c r="D51" s="163">
        <v>32.7348</v>
      </c>
      <c r="E51" s="163">
        <v>31.7822</v>
      </c>
      <c r="F51" s="163">
        <v>34.726599999999998</v>
      </c>
      <c r="G51" s="163"/>
      <c r="H51" s="165">
        <v>64.78</v>
      </c>
      <c r="I51" s="165">
        <v>64.78</v>
      </c>
      <c r="J51" s="165">
        <v>64.78</v>
      </c>
      <c r="K51" s="165">
        <v>147.29</v>
      </c>
      <c r="L51" s="165">
        <v>32.729999999999997</v>
      </c>
      <c r="M51" s="165">
        <v>127.12</v>
      </c>
      <c r="N51" s="165">
        <v>34.729999999999997</v>
      </c>
      <c r="O51" s="165"/>
      <c r="P51" s="164">
        <v>536.21</v>
      </c>
      <c r="Q51" s="144"/>
      <c r="R51" s="159">
        <v>2</v>
      </c>
      <c r="S51" s="159">
        <v>2</v>
      </c>
      <c r="T51" s="159">
        <v>2</v>
      </c>
      <c r="U51" s="159">
        <v>4.4994928944120627</v>
      </c>
      <c r="V51" s="159">
        <v>0.9998533670589097</v>
      </c>
      <c r="W51" s="159">
        <v>3.9997231154545627</v>
      </c>
      <c r="X51" s="159">
        <v>1.0000979076558028</v>
      </c>
      <c r="Y51" s="166">
        <v>1.3749306070484446</v>
      </c>
      <c r="Z51" s="159">
        <v>1.3749306070484446</v>
      </c>
      <c r="AA51" s="194">
        <v>16.499167284581336</v>
      </c>
      <c r="AB51" s="139"/>
    </row>
    <row r="52" spans="1:28" x14ac:dyDescent="0.35">
      <c r="A52" s="145" t="s">
        <v>247</v>
      </c>
      <c r="B52" s="145" t="s">
        <v>248</v>
      </c>
      <c r="C52" s="163">
        <v>31.65</v>
      </c>
      <c r="D52" s="163">
        <v>31.91</v>
      </c>
      <c r="E52" s="163">
        <v>31.089399999999998</v>
      </c>
      <c r="F52" s="163">
        <v>33.990499999999997</v>
      </c>
      <c r="G52" s="163"/>
      <c r="H52" s="165">
        <v>126.6</v>
      </c>
      <c r="I52" s="165">
        <v>126.6</v>
      </c>
      <c r="J52" s="165">
        <v>126.6</v>
      </c>
      <c r="K52" s="165">
        <v>319.10000000000002</v>
      </c>
      <c r="L52" s="165">
        <v>95.73</v>
      </c>
      <c r="M52" s="165">
        <v>373.08</v>
      </c>
      <c r="N52" s="165">
        <v>101.97</v>
      </c>
      <c r="O52" s="165"/>
      <c r="P52" s="164">
        <v>1269.68</v>
      </c>
      <c r="Q52" s="144"/>
      <c r="R52" s="159">
        <v>4</v>
      </c>
      <c r="S52" s="159">
        <v>4</v>
      </c>
      <c r="T52" s="159">
        <v>4</v>
      </c>
      <c r="U52" s="159">
        <v>10</v>
      </c>
      <c r="V52" s="159">
        <v>3</v>
      </c>
      <c r="W52" s="159">
        <v>12.000231590188296</v>
      </c>
      <c r="X52" s="159">
        <v>2.9999558700225064</v>
      </c>
      <c r="Y52" s="166">
        <v>3.3333489550175663</v>
      </c>
      <c r="Z52" s="159">
        <v>3.3333489550175663</v>
      </c>
      <c r="AA52" s="194">
        <v>40.000187460210796</v>
      </c>
      <c r="AB52" s="139"/>
    </row>
    <row r="53" spans="1:28" x14ac:dyDescent="0.35">
      <c r="A53" s="145" t="s">
        <v>249</v>
      </c>
      <c r="B53" s="145" t="s">
        <v>250</v>
      </c>
      <c r="C53" s="163">
        <v>38.909999999999997</v>
      </c>
      <c r="D53" s="163">
        <v>39.32</v>
      </c>
      <c r="E53" s="163">
        <v>38.147300000000001</v>
      </c>
      <c r="F53" s="163">
        <v>41.697900000000004</v>
      </c>
      <c r="G53" s="163"/>
      <c r="H53" s="165">
        <v>428.01</v>
      </c>
      <c r="I53" s="165">
        <v>428.01</v>
      </c>
      <c r="J53" s="165">
        <v>389.1</v>
      </c>
      <c r="K53" s="165">
        <v>1258.24</v>
      </c>
      <c r="L53" s="165">
        <v>471.84</v>
      </c>
      <c r="M53" s="165">
        <v>1812.13</v>
      </c>
      <c r="N53" s="165">
        <v>458.7</v>
      </c>
      <c r="O53" s="165"/>
      <c r="P53" s="164">
        <v>5246.03</v>
      </c>
      <c r="Q53" s="144"/>
      <c r="R53" s="159">
        <v>11</v>
      </c>
      <c r="S53" s="159">
        <v>11</v>
      </c>
      <c r="T53" s="159">
        <v>10.000000000000002</v>
      </c>
      <c r="U53" s="159">
        <v>32</v>
      </c>
      <c r="V53" s="159">
        <v>12</v>
      </c>
      <c r="W53" s="159">
        <v>47.503493038825816</v>
      </c>
      <c r="X53" s="159">
        <v>11.000553984733044</v>
      </c>
      <c r="Y53" s="166">
        <v>11.208670585296572</v>
      </c>
      <c r="Z53" s="159">
        <v>11.208670585296572</v>
      </c>
      <c r="AA53" s="194">
        <v>134.50404702355885</v>
      </c>
      <c r="AB53" s="139"/>
    </row>
    <row r="54" spans="1:28" x14ac:dyDescent="0.35">
      <c r="A54" s="145" t="s">
        <v>251</v>
      </c>
      <c r="B54" s="145" t="s">
        <v>252</v>
      </c>
      <c r="C54" s="163">
        <v>77.819999999999993</v>
      </c>
      <c r="D54" s="163">
        <v>78.632800000000003</v>
      </c>
      <c r="E54" s="163">
        <v>76.294600000000003</v>
      </c>
      <c r="F54" s="163">
        <v>83.395800000000008</v>
      </c>
      <c r="G54" s="163"/>
      <c r="H54" s="165">
        <v>77.819999999999993</v>
      </c>
      <c r="I54" s="165">
        <v>77.819999999999993</v>
      </c>
      <c r="J54" s="165">
        <v>77.819999999999993</v>
      </c>
      <c r="K54" s="165">
        <v>235.92</v>
      </c>
      <c r="L54" s="165">
        <v>78.64</v>
      </c>
      <c r="M54" s="165">
        <v>343.31</v>
      </c>
      <c r="N54" s="165">
        <v>166.8</v>
      </c>
      <c r="O54" s="165"/>
      <c r="P54" s="164">
        <v>1058.1299999999999</v>
      </c>
      <c r="Q54" s="144"/>
      <c r="R54" s="159">
        <v>1</v>
      </c>
      <c r="S54" s="159">
        <v>1</v>
      </c>
      <c r="T54" s="159">
        <v>1</v>
      </c>
      <c r="U54" s="159">
        <v>3.0002746945295091</v>
      </c>
      <c r="V54" s="159">
        <v>1.0000915648431696</v>
      </c>
      <c r="W54" s="159">
        <v>4.4997942187258335</v>
      </c>
      <c r="X54" s="159">
        <v>2.0001007244969169</v>
      </c>
      <c r="Y54" s="166">
        <v>1.1250217668829523</v>
      </c>
      <c r="Z54" s="159">
        <v>1.1250217668829523</v>
      </c>
      <c r="AA54" s="194">
        <v>13.500261202595429</v>
      </c>
      <c r="AB54" s="139"/>
    </row>
    <row r="55" spans="1:28" x14ac:dyDescent="0.35">
      <c r="A55" s="145" t="s">
        <v>253</v>
      </c>
      <c r="B55" s="145" t="s">
        <v>254</v>
      </c>
      <c r="C55" s="163">
        <v>10.62</v>
      </c>
      <c r="D55" s="163">
        <v>10.66</v>
      </c>
      <c r="E55" s="163">
        <v>10.55</v>
      </c>
      <c r="F55" s="163">
        <v>11.53</v>
      </c>
      <c r="G55" s="163"/>
      <c r="H55" s="165">
        <v>21.24</v>
      </c>
      <c r="I55" s="165">
        <v>0</v>
      </c>
      <c r="J55" s="165">
        <v>0</v>
      </c>
      <c r="K55" s="165"/>
      <c r="L55" s="165">
        <v>0</v>
      </c>
      <c r="M55" s="165">
        <v>31.65</v>
      </c>
      <c r="N55" s="165">
        <v>0</v>
      </c>
      <c r="O55" s="165"/>
      <c r="P55" s="164">
        <v>52.89</v>
      </c>
      <c r="Q55" s="144"/>
      <c r="R55" s="159">
        <v>2</v>
      </c>
      <c r="S55" s="159">
        <v>0</v>
      </c>
      <c r="T55" s="159">
        <v>0</v>
      </c>
      <c r="U55" s="159">
        <v>0</v>
      </c>
      <c r="V55" s="159">
        <v>0</v>
      </c>
      <c r="W55" s="159">
        <v>2.9999999999999996</v>
      </c>
      <c r="X55" s="159">
        <v>0</v>
      </c>
      <c r="Y55" s="166">
        <v>0.41666666666666669</v>
      </c>
      <c r="Z55" s="159">
        <v>0.41666666666666669</v>
      </c>
      <c r="AA55" s="194">
        <v>5</v>
      </c>
      <c r="AB55" s="139"/>
    </row>
    <row r="56" spans="1:28" x14ac:dyDescent="0.35">
      <c r="A56" s="145" t="s">
        <v>255</v>
      </c>
      <c r="B56" s="145" t="s">
        <v>256</v>
      </c>
      <c r="C56" s="163">
        <v>58.83</v>
      </c>
      <c r="D56" s="163">
        <v>59.15</v>
      </c>
      <c r="E56" s="163">
        <v>58.2</v>
      </c>
      <c r="F56" s="163">
        <v>63.61</v>
      </c>
      <c r="G56" s="163"/>
      <c r="H56" s="165">
        <v>58.83</v>
      </c>
      <c r="I56" s="165">
        <v>0</v>
      </c>
      <c r="J56" s="165">
        <v>0</v>
      </c>
      <c r="K56" s="165">
        <v>59.15</v>
      </c>
      <c r="L56" s="165">
        <v>59.15</v>
      </c>
      <c r="M56" s="165">
        <v>58.2</v>
      </c>
      <c r="N56" s="165">
        <v>0</v>
      </c>
      <c r="O56" s="165"/>
      <c r="P56" s="164">
        <v>235.32999999999998</v>
      </c>
      <c r="Q56" s="144"/>
      <c r="R56" s="159">
        <v>1</v>
      </c>
      <c r="S56" s="159">
        <v>0</v>
      </c>
      <c r="T56" s="159">
        <v>0</v>
      </c>
      <c r="U56" s="159">
        <v>1</v>
      </c>
      <c r="V56" s="159">
        <v>1</v>
      </c>
      <c r="W56" s="159">
        <v>1</v>
      </c>
      <c r="X56" s="159">
        <v>0</v>
      </c>
      <c r="Y56" s="166">
        <v>0.33333333333333331</v>
      </c>
      <c r="Z56" s="159">
        <v>0.33333333333333331</v>
      </c>
      <c r="AA56" s="194">
        <v>4</v>
      </c>
      <c r="AB56" s="140"/>
    </row>
    <row r="57" spans="1:28" x14ac:dyDescent="0.35">
      <c r="A57" s="145" t="s">
        <v>257</v>
      </c>
      <c r="B57" s="145" t="s">
        <v>258</v>
      </c>
      <c r="C57" s="163">
        <v>106.55</v>
      </c>
      <c r="D57" s="163">
        <v>107.33</v>
      </c>
      <c r="E57" s="163">
        <v>104.99</v>
      </c>
      <c r="F57" s="163">
        <v>114.75</v>
      </c>
      <c r="G57" s="163"/>
      <c r="H57" s="165">
        <v>0</v>
      </c>
      <c r="I57" s="165">
        <v>0</v>
      </c>
      <c r="J57" s="165">
        <v>0</v>
      </c>
      <c r="K57" s="165"/>
      <c r="L57" s="165">
        <v>0</v>
      </c>
      <c r="M57" s="165">
        <v>0</v>
      </c>
      <c r="N57" s="165">
        <v>0</v>
      </c>
      <c r="O57" s="165"/>
      <c r="P57" s="164">
        <v>0</v>
      </c>
      <c r="Q57" s="144"/>
      <c r="R57" s="159">
        <v>0</v>
      </c>
      <c r="S57" s="159">
        <v>0</v>
      </c>
      <c r="T57" s="159">
        <v>0</v>
      </c>
      <c r="U57" s="159">
        <v>0</v>
      </c>
      <c r="V57" s="159">
        <v>0</v>
      </c>
      <c r="W57" s="159">
        <v>0</v>
      </c>
      <c r="X57" s="159">
        <v>0</v>
      </c>
      <c r="Y57" s="166">
        <v>0</v>
      </c>
      <c r="Z57" s="159">
        <v>0</v>
      </c>
      <c r="AA57" s="194">
        <v>0</v>
      </c>
      <c r="AB57" s="140"/>
    </row>
    <row r="58" spans="1:28" x14ac:dyDescent="0.35">
      <c r="A58" s="145" t="s">
        <v>259</v>
      </c>
      <c r="B58" s="145" t="s">
        <v>260</v>
      </c>
      <c r="C58" s="163">
        <v>28.69</v>
      </c>
      <c r="D58" s="163">
        <v>29.01</v>
      </c>
      <c r="E58" s="163">
        <v>28.06</v>
      </c>
      <c r="F58" s="163">
        <v>30.67</v>
      </c>
      <c r="G58" s="163"/>
      <c r="H58" s="165">
        <v>0</v>
      </c>
      <c r="I58" s="165">
        <v>0</v>
      </c>
      <c r="J58" s="165">
        <v>0</v>
      </c>
      <c r="K58" s="165"/>
      <c r="L58" s="165">
        <v>0</v>
      </c>
      <c r="M58" s="165">
        <v>28.06</v>
      </c>
      <c r="N58" s="165">
        <v>0</v>
      </c>
      <c r="O58" s="165"/>
      <c r="P58" s="164">
        <v>28.06</v>
      </c>
      <c r="Q58" s="144"/>
      <c r="R58" s="159">
        <v>0</v>
      </c>
      <c r="S58" s="159">
        <v>0</v>
      </c>
      <c r="T58" s="159">
        <v>0</v>
      </c>
      <c r="U58" s="159">
        <v>0</v>
      </c>
      <c r="V58" s="159">
        <v>0</v>
      </c>
      <c r="W58" s="159">
        <v>1</v>
      </c>
      <c r="X58" s="159">
        <v>0</v>
      </c>
      <c r="Y58" s="166">
        <v>8.3333333333333329E-2</v>
      </c>
      <c r="Z58" s="159">
        <v>8.3333333333333329E-2</v>
      </c>
      <c r="AA58" s="194">
        <v>1</v>
      </c>
      <c r="AB58" s="140"/>
    </row>
    <row r="59" spans="1:28" x14ac:dyDescent="0.35">
      <c r="A59" s="145" t="s">
        <v>261</v>
      </c>
      <c r="B59" s="145" t="s">
        <v>262</v>
      </c>
      <c r="C59" s="163">
        <v>36.79</v>
      </c>
      <c r="D59" s="163">
        <v>37.200000000000003</v>
      </c>
      <c r="E59" s="163">
        <v>35.97</v>
      </c>
      <c r="F59" s="163">
        <v>39.31</v>
      </c>
      <c r="G59" s="163"/>
      <c r="H59" s="165">
        <v>0</v>
      </c>
      <c r="I59" s="165">
        <v>0</v>
      </c>
      <c r="J59" s="165">
        <v>0</v>
      </c>
      <c r="K59" s="165"/>
      <c r="L59" s="165">
        <v>0</v>
      </c>
      <c r="M59" s="165">
        <v>0</v>
      </c>
      <c r="N59" s="165">
        <v>0</v>
      </c>
      <c r="O59" s="165"/>
      <c r="P59" s="164">
        <v>0</v>
      </c>
      <c r="Q59" s="144"/>
      <c r="R59" s="159">
        <v>0</v>
      </c>
      <c r="S59" s="159">
        <v>0</v>
      </c>
      <c r="T59" s="159">
        <v>0</v>
      </c>
      <c r="U59" s="159">
        <v>0</v>
      </c>
      <c r="V59" s="159">
        <v>0</v>
      </c>
      <c r="W59" s="159">
        <v>0</v>
      </c>
      <c r="X59" s="159">
        <v>0</v>
      </c>
      <c r="Y59" s="166">
        <v>0</v>
      </c>
      <c r="Z59" s="159">
        <v>0</v>
      </c>
      <c r="AA59" s="194">
        <v>0</v>
      </c>
      <c r="AB59" s="140"/>
    </row>
    <row r="60" spans="1:28" x14ac:dyDescent="0.35">
      <c r="A60" s="145" t="s">
        <v>263</v>
      </c>
      <c r="B60" s="145" t="s">
        <v>264</v>
      </c>
      <c r="C60" s="163">
        <v>51.81</v>
      </c>
      <c r="D60" s="163">
        <v>52.41</v>
      </c>
      <c r="E60" s="163">
        <v>50.61</v>
      </c>
      <c r="F60" s="163">
        <v>55.31</v>
      </c>
      <c r="G60" s="163"/>
      <c r="H60" s="165">
        <v>0</v>
      </c>
      <c r="I60" s="165">
        <v>0</v>
      </c>
      <c r="J60" s="165">
        <v>51.81</v>
      </c>
      <c r="K60" s="165"/>
      <c r="L60" s="165">
        <v>0</v>
      </c>
      <c r="M60" s="165">
        <v>50.61</v>
      </c>
      <c r="N60" s="165">
        <v>0</v>
      </c>
      <c r="O60" s="165"/>
      <c r="P60" s="164">
        <v>102.42</v>
      </c>
      <c r="Q60" s="144"/>
      <c r="R60" s="159">
        <v>0</v>
      </c>
      <c r="S60" s="159">
        <v>0</v>
      </c>
      <c r="T60" s="159">
        <v>1</v>
      </c>
      <c r="U60" s="159">
        <v>0</v>
      </c>
      <c r="V60" s="159">
        <v>0</v>
      </c>
      <c r="W60" s="159">
        <v>1</v>
      </c>
      <c r="X60" s="159">
        <v>0</v>
      </c>
      <c r="Y60" s="166">
        <v>0.16666666666666666</v>
      </c>
      <c r="Z60" s="159">
        <v>0.16666666666666666</v>
      </c>
      <c r="AA60" s="194">
        <v>2</v>
      </c>
      <c r="AB60" s="140"/>
    </row>
    <row r="61" spans="1:28" x14ac:dyDescent="0.35">
      <c r="A61" s="145" t="s">
        <v>265</v>
      </c>
      <c r="B61" s="145" t="s">
        <v>266</v>
      </c>
      <c r="C61" s="163">
        <v>69.099999999999994</v>
      </c>
      <c r="D61" s="163">
        <v>69.88</v>
      </c>
      <c r="E61" s="163">
        <v>67.540000000000006</v>
      </c>
      <c r="F61" s="163">
        <v>73.819999999999993</v>
      </c>
      <c r="G61" s="163"/>
      <c r="H61" s="165">
        <v>0</v>
      </c>
      <c r="I61" s="165">
        <v>69.099999999999994</v>
      </c>
      <c r="J61" s="165">
        <v>69.099999999999994</v>
      </c>
      <c r="K61" s="165">
        <v>69.88</v>
      </c>
      <c r="L61" s="165">
        <v>0</v>
      </c>
      <c r="M61" s="165">
        <v>1283.26</v>
      </c>
      <c r="N61" s="165">
        <v>67.540000000000006</v>
      </c>
      <c r="O61" s="165"/>
      <c r="P61" s="164">
        <v>1558.8799999999999</v>
      </c>
      <c r="Q61" s="144"/>
      <c r="R61" s="159">
        <v>0</v>
      </c>
      <c r="S61" s="159">
        <v>1</v>
      </c>
      <c r="T61" s="159">
        <v>1</v>
      </c>
      <c r="U61" s="159">
        <v>1</v>
      </c>
      <c r="V61" s="159">
        <v>0</v>
      </c>
      <c r="W61" s="159">
        <v>18.999999999999996</v>
      </c>
      <c r="X61" s="159">
        <v>0.91492820373882433</v>
      </c>
      <c r="Y61" s="166">
        <v>1.9095773503115685</v>
      </c>
      <c r="Z61" s="159">
        <v>1.9095773503115685</v>
      </c>
      <c r="AA61" s="194">
        <v>22.914928203738821</v>
      </c>
      <c r="AB61" s="140"/>
    </row>
    <row r="62" spans="1:28" x14ac:dyDescent="0.35">
      <c r="A62" s="145" t="s">
        <v>267</v>
      </c>
      <c r="B62" s="145" t="s">
        <v>268</v>
      </c>
      <c r="C62" s="163">
        <v>3.93</v>
      </c>
      <c r="D62" s="163">
        <v>3.78</v>
      </c>
      <c r="E62" s="163">
        <v>3.84</v>
      </c>
      <c r="F62" s="163">
        <v>4.01</v>
      </c>
      <c r="G62" s="163"/>
      <c r="H62" s="165">
        <v>247.59</v>
      </c>
      <c r="I62" s="165">
        <v>165.06</v>
      </c>
      <c r="J62" s="165">
        <v>161.13</v>
      </c>
      <c r="K62" s="165">
        <v>563.74</v>
      </c>
      <c r="L62" s="165">
        <v>222.32</v>
      </c>
      <c r="M62" s="165">
        <v>823.32</v>
      </c>
      <c r="N62" s="165">
        <v>220.54999999999998</v>
      </c>
      <c r="O62" s="165"/>
      <c r="P62" s="164">
        <v>2403.71</v>
      </c>
      <c r="Q62" s="144"/>
      <c r="R62" s="159">
        <v>63</v>
      </c>
      <c r="S62" s="159">
        <v>42</v>
      </c>
      <c r="T62" s="159">
        <v>41</v>
      </c>
      <c r="U62" s="159">
        <v>149.13756613756615</v>
      </c>
      <c r="V62" s="159">
        <v>58.814814814814817</v>
      </c>
      <c r="W62" s="159">
        <v>214.40625000000003</v>
      </c>
      <c r="X62" s="159">
        <v>55</v>
      </c>
      <c r="Y62" s="166">
        <v>51.94655257936509</v>
      </c>
      <c r="Z62" s="159">
        <v>51.94655257936509</v>
      </c>
      <c r="AA62" s="194">
        <v>623.35863095238108</v>
      </c>
      <c r="AB62" s="139"/>
    </row>
    <row r="63" spans="1:28" x14ac:dyDescent="0.35">
      <c r="A63" s="145" t="s">
        <v>269</v>
      </c>
      <c r="B63" s="145" t="s">
        <v>270</v>
      </c>
      <c r="C63" s="163">
        <v>20.010000000000002</v>
      </c>
      <c r="D63" s="163">
        <v>20.23</v>
      </c>
      <c r="E63" s="163">
        <v>19.559999999999999</v>
      </c>
      <c r="F63" s="163">
        <v>21.38</v>
      </c>
      <c r="G63" s="163"/>
      <c r="H63" s="165">
        <v>0</v>
      </c>
      <c r="I63" s="165">
        <v>0</v>
      </c>
      <c r="J63" s="165">
        <v>0</v>
      </c>
      <c r="K63" s="165">
        <v>40.479999999999997</v>
      </c>
      <c r="L63" s="165">
        <v>40.47</v>
      </c>
      <c r="M63" s="165">
        <v>107.92</v>
      </c>
      <c r="N63" s="165">
        <v>0</v>
      </c>
      <c r="O63" s="165"/>
      <c r="P63" s="164">
        <v>188.87</v>
      </c>
      <c r="Q63" s="144"/>
      <c r="R63" s="159">
        <v>0</v>
      </c>
      <c r="S63" s="159">
        <v>0</v>
      </c>
      <c r="T63" s="159">
        <v>0</v>
      </c>
      <c r="U63" s="159">
        <v>2.000988630746416</v>
      </c>
      <c r="V63" s="159">
        <v>2.0004943153732082</v>
      </c>
      <c r="W63" s="159">
        <v>5.517382413087935</v>
      </c>
      <c r="X63" s="159">
        <v>0</v>
      </c>
      <c r="Y63" s="166">
        <v>0.7932387799339633</v>
      </c>
      <c r="Z63" s="159">
        <v>0.7932387799339633</v>
      </c>
      <c r="AA63" s="194">
        <v>9.5188653592075596</v>
      </c>
      <c r="AB63" s="140"/>
    </row>
    <row r="64" spans="1:28" x14ac:dyDescent="0.35">
      <c r="A64" s="145" t="s">
        <v>271</v>
      </c>
      <c r="B64" s="145" t="s">
        <v>272</v>
      </c>
      <c r="C64" s="163">
        <v>3.93</v>
      </c>
      <c r="D64" s="163">
        <v>3.97</v>
      </c>
      <c r="E64" s="163">
        <v>3.84</v>
      </c>
      <c r="F64" s="163">
        <v>4.2</v>
      </c>
      <c r="G64" s="163"/>
      <c r="H64" s="165">
        <v>0</v>
      </c>
      <c r="I64" s="165">
        <v>0</v>
      </c>
      <c r="J64" s="165">
        <v>3.93</v>
      </c>
      <c r="K64" s="165"/>
      <c r="L64" s="165">
        <v>0</v>
      </c>
      <c r="M64" s="165">
        <v>0</v>
      </c>
      <c r="N64" s="165">
        <v>0</v>
      </c>
      <c r="O64" s="165"/>
      <c r="P64" s="164">
        <v>3.93</v>
      </c>
      <c r="Q64" s="144"/>
      <c r="R64" s="159">
        <v>0</v>
      </c>
      <c r="S64" s="159">
        <v>0</v>
      </c>
      <c r="T64" s="159">
        <v>1</v>
      </c>
      <c r="U64" s="159">
        <v>0</v>
      </c>
      <c r="V64" s="159">
        <v>0</v>
      </c>
      <c r="W64" s="159">
        <v>0</v>
      </c>
      <c r="X64" s="159">
        <v>0</v>
      </c>
      <c r="Y64" s="192">
        <v>8.3333333333333329E-2</v>
      </c>
      <c r="Z64" s="193">
        <v>8.3333333333333329E-2</v>
      </c>
      <c r="AA64" s="194">
        <v>1</v>
      </c>
      <c r="AB64" s="139"/>
    </row>
    <row r="65" spans="1:27" x14ac:dyDescent="0.35">
      <c r="A65" s="145" t="s">
        <v>273</v>
      </c>
      <c r="B65" s="145" t="s">
        <v>274</v>
      </c>
      <c r="C65" s="163">
        <v>11.12</v>
      </c>
      <c r="D65" s="163">
        <v>11.12</v>
      </c>
      <c r="E65" s="163">
        <v>11.12</v>
      </c>
      <c r="F65" s="163">
        <v>12.15</v>
      </c>
      <c r="G65" s="163"/>
      <c r="H65" s="165">
        <v>127.88000000000001</v>
      </c>
      <c r="I65" s="165">
        <v>88.960000000000008</v>
      </c>
      <c r="J65" s="165">
        <v>88.960000000000008</v>
      </c>
      <c r="K65" s="165">
        <v>244.64</v>
      </c>
      <c r="L65" s="165">
        <v>88.960000000000008</v>
      </c>
      <c r="M65" s="165">
        <v>417.37</v>
      </c>
      <c r="N65" s="165">
        <v>133.65</v>
      </c>
      <c r="O65" s="165"/>
      <c r="P65" s="164">
        <v>1190.42</v>
      </c>
      <c r="Q65" s="144"/>
      <c r="R65" s="159"/>
      <c r="S65" s="159"/>
      <c r="T65" s="159"/>
      <c r="U65" s="159"/>
      <c r="V65" s="159"/>
      <c r="W65" s="159"/>
      <c r="X65" s="159"/>
      <c r="Y65" s="145"/>
      <c r="Z65" s="159"/>
      <c r="AA65" s="167">
        <v>0</v>
      </c>
    </row>
    <row r="66" spans="1:27" x14ac:dyDescent="0.35">
      <c r="A66" s="145" t="s">
        <v>275</v>
      </c>
      <c r="B66" s="145" t="s">
        <v>276</v>
      </c>
      <c r="C66" s="163">
        <v>22.44</v>
      </c>
      <c r="D66" s="163">
        <v>22.44</v>
      </c>
      <c r="E66" s="163">
        <v>22.44</v>
      </c>
      <c r="F66" s="163">
        <v>24.53</v>
      </c>
      <c r="G66" s="163"/>
      <c r="H66" s="165">
        <v>0</v>
      </c>
      <c r="I66" s="165">
        <v>0</v>
      </c>
      <c r="J66" s="165">
        <v>0</v>
      </c>
      <c r="K66" s="165"/>
      <c r="L66" s="165">
        <v>0</v>
      </c>
      <c r="M66" s="165">
        <v>10.199999999999999</v>
      </c>
      <c r="N66" s="165">
        <v>0</v>
      </c>
      <c r="O66" s="165"/>
      <c r="P66" s="164">
        <v>10.199999999999999</v>
      </c>
      <c r="Q66" s="144"/>
      <c r="R66" s="159"/>
      <c r="S66" s="159"/>
      <c r="T66" s="159"/>
      <c r="U66" s="159"/>
      <c r="V66" s="159"/>
      <c r="W66" s="159"/>
      <c r="X66" s="159"/>
      <c r="Y66" s="145"/>
      <c r="Z66" s="159"/>
      <c r="AA66" s="167">
        <v>0</v>
      </c>
    </row>
    <row r="67" spans="1:27" x14ac:dyDescent="0.35">
      <c r="A67" s="145" t="s">
        <v>277</v>
      </c>
      <c r="B67" s="145" t="s">
        <v>278</v>
      </c>
      <c r="C67" s="163">
        <v>9.25</v>
      </c>
      <c r="D67" s="163">
        <v>9.25</v>
      </c>
      <c r="E67" s="163">
        <v>9.25</v>
      </c>
      <c r="F67" s="163">
        <v>10.11</v>
      </c>
      <c r="G67" s="163"/>
      <c r="H67" s="165">
        <v>231.25</v>
      </c>
      <c r="I67" s="165">
        <v>228.94</v>
      </c>
      <c r="J67" s="165">
        <v>222</v>
      </c>
      <c r="K67" s="165">
        <v>676.44</v>
      </c>
      <c r="L67" s="165">
        <v>222</v>
      </c>
      <c r="M67" s="165">
        <v>888</v>
      </c>
      <c r="N67" s="165">
        <v>232.52999999999997</v>
      </c>
      <c r="O67" s="165"/>
      <c r="P67" s="164">
        <v>2701.16</v>
      </c>
      <c r="Q67" s="144"/>
      <c r="R67" s="159"/>
      <c r="S67" s="159"/>
      <c r="T67" s="159"/>
      <c r="U67" s="159"/>
      <c r="V67" s="159"/>
      <c r="W67" s="159"/>
      <c r="X67" s="159"/>
      <c r="Y67" s="145"/>
      <c r="Z67" s="159"/>
      <c r="AA67" s="167">
        <v>0</v>
      </c>
    </row>
    <row r="68" spans="1:27" x14ac:dyDescent="0.35">
      <c r="A68" s="145" t="s">
        <v>279</v>
      </c>
      <c r="B68" s="145" t="s">
        <v>280</v>
      </c>
      <c r="C68" s="163">
        <v>15.27</v>
      </c>
      <c r="D68" s="163">
        <v>15.27</v>
      </c>
      <c r="E68" s="163">
        <v>15.27</v>
      </c>
      <c r="F68" s="163">
        <v>16.690000000000001</v>
      </c>
      <c r="G68" s="163"/>
      <c r="H68" s="165">
        <v>152.69999999999999</v>
      </c>
      <c r="I68" s="165">
        <v>156.52000000000001</v>
      </c>
      <c r="J68" s="165">
        <v>167.97</v>
      </c>
      <c r="K68" s="165">
        <v>503.91</v>
      </c>
      <c r="L68" s="165">
        <v>167.97</v>
      </c>
      <c r="M68" s="165">
        <v>671.88</v>
      </c>
      <c r="N68" s="165">
        <v>183.59</v>
      </c>
      <c r="O68" s="165"/>
      <c r="P68" s="164">
        <v>2004.5400000000002</v>
      </c>
      <c r="Q68" s="144"/>
      <c r="R68" s="159"/>
      <c r="S68" s="159"/>
      <c r="T68" s="159"/>
      <c r="U68" s="159"/>
      <c r="V68" s="159"/>
      <c r="W68" s="159"/>
      <c r="X68" s="159"/>
      <c r="Y68" s="145"/>
      <c r="Z68" s="159"/>
      <c r="AA68" s="167">
        <v>0</v>
      </c>
    </row>
    <row r="69" spans="1:27" x14ac:dyDescent="0.35">
      <c r="A69" s="145" t="s">
        <v>281</v>
      </c>
      <c r="B69" s="145" t="s">
        <v>282</v>
      </c>
      <c r="C69" s="163">
        <v>30.6</v>
      </c>
      <c r="D69" s="163">
        <v>30.6</v>
      </c>
      <c r="E69" s="163">
        <v>30.6</v>
      </c>
      <c r="F69" s="163">
        <v>33.44</v>
      </c>
      <c r="G69" s="163"/>
      <c r="H69" s="165">
        <v>0</v>
      </c>
      <c r="I69" s="165">
        <v>0</v>
      </c>
      <c r="J69" s="165">
        <v>0</v>
      </c>
      <c r="K69" s="165"/>
      <c r="L69" s="165">
        <v>0</v>
      </c>
      <c r="M69" s="165">
        <v>0</v>
      </c>
      <c r="N69" s="165">
        <v>0</v>
      </c>
      <c r="O69" s="165"/>
      <c r="P69" s="164">
        <v>0</v>
      </c>
      <c r="Q69" s="144"/>
      <c r="R69" s="159"/>
      <c r="S69" s="159"/>
      <c r="T69" s="159"/>
      <c r="U69" s="159"/>
      <c r="V69" s="159"/>
      <c r="W69" s="159"/>
      <c r="X69" s="159"/>
      <c r="Y69" s="145"/>
      <c r="Z69" s="159"/>
      <c r="AA69" s="167">
        <v>0</v>
      </c>
    </row>
    <row r="70" spans="1:27" x14ac:dyDescent="0.35">
      <c r="A70" s="145" t="s">
        <v>283</v>
      </c>
      <c r="B70" s="145" t="s">
        <v>284</v>
      </c>
      <c r="C70" s="163">
        <v>18.84</v>
      </c>
      <c r="D70" s="163">
        <v>18.84</v>
      </c>
      <c r="E70" s="163">
        <v>18.84</v>
      </c>
      <c r="F70" s="163">
        <v>20.59</v>
      </c>
      <c r="G70" s="163"/>
      <c r="H70" s="165">
        <v>56.52</v>
      </c>
      <c r="I70" s="165">
        <v>56.52</v>
      </c>
      <c r="J70" s="165">
        <v>56.52</v>
      </c>
      <c r="K70" s="165">
        <v>216.66</v>
      </c>
      <c r="L70" s="165">
        <v>75.36</v>
      </c>
      <c r="M70" s="165">
        <v>301.44</v>
      </c>
      <c r="N70" s="165">
        <v>82.36</v>
      </c>
      <c r="O70" s="165"/>
      <c r="P70" s="164">
        <v>845.38</v>
      </c>
      <c r="Q70" s="144"/>
      <c r="R70" s="159"/>
      <c r="S70" s="159"/>
      <c r="T70" s="159"/>
      <c r="U70" s="159"/>
      <c r="V70" s="159"/>
      <c r="W70" s="159"/>
      <c r="X70" s="159"/>
      <c r="Y70" s="145"/>
      <c r="Z70" s="159"/>
      <c r="AA70" s="167">
        <v>0</v>
      </c>
    </row>
    <row r="71" spans="1:27" x14ac:dyDescent="0.35">
      <c r="A71" s="145" t="s">
        <v>285</v>
      </c>
      <c r="B71" s="145" t="s">
        <v>286</v>
      </c>
      <c r="C71" s="163">
        <v>36.72</v>
      </c>
      <c r="D71" s="163">
        <v>36.72</v>
      </c>
      <c r="E71" s="163">
        <v>36.72</v>
      </c>
      <c r="F71" s="163">
        <v>40.130000000000003</v>
      </c>
      <c r="G71" s="163"/>
      <c r="H71" s="165">
        <v>0</v>
      </c>
      <c r="I71" s="165">
        <v>0</v>
      </c>
      <c r="J71" s="165">
        <v>36.72</v>
      </c>
      <c r="K71" s="165">
        <v>-22.44</v>
      </c>
      <c r="L71" s="165">
        <v>0</v>
      </c>
      <c r="M71" s="165">
        <v>10.199999999999999</v>
      </c>
      <c r="N71" s="165">
        <v>0</v>
      </c>
      <c r="O71" s="165"/>
      <c r="P71" s="164">
        <v>24.479999999999997</v>
      </c>
      <c r="Q71" s="144"/>
      <c r="R71" s="159"/>
      <c r="S71" s="159"/>
      <c r="T71" s="159"/>
      <c r="U71" s="159"/>
      <c r="V71" s="159"/>
      <c r="W71" s="159"/>
      <c r="X71" s="159"/>
      <c r="Y71" s="145"/>
      <c r="Z71" s="159"/>
      <c r="AA71" s="167">
        <v>0</v>
      </c>
    </row>
    <row r="72" spans="1:27" x14ac:dyDescent="0.35">
      <c r="A72" s="145" t="s">
        <v>287</v>
      </c>
      <c r="B72" s="145" t="s">
        <v>288</v>
      </c>
      <c r="C72" s="163">
        <v>21.34</v>
      </c>
      <c r="D72" s="163">
        <v>21.34</v>
      </c>
      <c r="E72" s="163">
        <v>21.34</v>
      </c>
      <c r="F72" s="163">
        <v>23.32</v>
      </c>
      <c r="G72" s="163"/>
      <c r="H72" s="165">
        <v>170.72</v>
      </c>
      <c r="I72" s="165">
        <v>170.72</v>
      </c>
      <c r="J72" s="165">
        <v>170.72</v>
      </c>
      <c r="K72" s="165">
        <v>448.14</v>
      </c>
      <c r="L72" s="165">
        <v>149.38</v>
      </c>
      <c r="M72" s="165">
        <v>653</v>
      </c>
      <c r="N72" s="165">
        <v>184.58</v>
      </c>
      <c r="O72" s="165"/>
      <c r="P72" s="164">
        <v>1947.2599999999998</v>
      </c>
      <c r="Q72" s="142"/>
      <c r="R72" s="159"/>
      <c r="S72" s="159"/>
      <c r="T72" s="159"/>
      <c r="U72" s="159"/>
      <c r="V72" s="159"/>
      <c r="W72" s="159"/>
      <c r="X72" s="159"/>
      <c r="Y72" s="142"/>
      <c r="Z72" s="165"/>
      <c r="AA72" s="167">
        <v>0</v>
      </c>
    </row>
    <row r="73" spans="1:27" x14ac:dyDescent="0.35">
      <c r="A73" s="145" t="s">
        <v>289</v>
      </c>
      <c r="B73" s="145" t="s">
        <v>290</v>
      </c>
      <c r="C73" s="163">
        <v>40.799999999999997</v>
      </c>
      <c r="D73" s="163">
        <v>40.799999999999997</v>
      </c>
      <c r="E73" s="163">
        <v>40.799999999999997</v>
      </c>
      <c r="F73" s="163">
        <v>44.59</v>
      </c>
      <c r="G73" s="163"/>
      <c r="H73" s="165">
        <v>40.799999999999997</v>
      </c>
      <c r="I73" s="165">
        <v>0</v>
      </c>
      <c r="J73" s="165">
        <v>17.68</v>
      </c>
      <c r="K73" s="165">
        <v>10.199999999999999</v>
      </c>
      <c r="L73" s="165">
        <v>0</v>
      </c>
      <c r="M73" s="165">
        <v>393.03999999999996</v>
      </c>
      <c r="N73" s="165">
        <v>8.16</v>
      </c>
      <c r="O73" s="165"/>
      <c r="P73" s="164">
        <v>469.88</v>
      </c>
      <c r="Q73" s="144"/>
      <c r="R73" s="159"/>
      <c r="S73" s="159"/>
      <c r="T73" s="159"/>
      <c r="U73" s="159"/>
      <c r="V73" s="159"/>
      <c r="W73" s="159"/>
      <c r="X73" s="159"/>
      <c r="Y73" s="145"/>
      <c r="Z73" s="159"/>
      <c r="AA73" s="167">
        <v>0</v>
      </c>
    </row>
    <row r="74" spans="1:27" x14ac:dyDescent="0.35">
      <c r="A74" s="145" t="s">
        <v>291</v>
      </c>
      <c r="B74" s="145" t="s">
        <v>292</v>
      </c>
      <c r="C74" s="163">
        <v>28.26</v>
      </c>
      <c r="D74" s="163">
        <v>28.26</v>
      </c>
      <c r="E74" s="163">
        <v>28.26</v>
      </c>
      <c r="F74" s="163">
        <v>30.89</v>
      </c>
      <c r="G74" s="163"/>
      <c r="H74" s="165">
        <v>56.52</v>
      </c>
      <c r="I74" s="165">
        <v>56.52</v>
      </c>
      <c r="J74" s="165">
        <v>56.52</v>
      </c>
      <c r="K74" s="165">
        <v>169.56</v>
      </c>
      <c r="L74" s="165">
        <v>56.52</v>
      </c>
      <c r="M74" s="165">
        <v>226.08</v>
      </c>
      <c r="N74" s="165">
        <v>61.78</v>
      </c>
      <c r="O74" s="165"/>
      <c r="P74" s="164">
        <v>683.5</v>
      </c>
      <c r="Q74" s="144"/>
      <c r="R74" s="159"/>
      <c r="S74" s="159"/>
      <c r="T74" s="159"/>
      <c r="U74" s="159"/>
      <c r="V74" s="159"/>
      <c r="W74" s="159"/>
      <c r="X74" s="159"/>
      <c r="Y74" s="145"/>
      <c r="Z74" s="159"/>
      <c r="AA74" s="167">
        <v>0</v>
      </c>
    </row>
    <row r="75" spans="1:27" x14ac:dyDescent="0.35">
      <c r="A75" s="145" t="s">
        <v>293</v>
      </c>
      <c r="B75" s="145" t="s">
        <v>294</v>
      </c>
      <c r="C75" s="163">
        <v>47.43</v>
      </c>
      <c r="D75" s="163">
        <v>47.43</v>
      </c>
      <c r="E75" s="163"/>
      <c r="F75" s="163"/>
      <c r="G75" s="163"/>
      <c r="H75" s="165">
        <v>47.43</v>
      </c>
      <c r="I75" s="165">
        <v>0</v>
      </c>
      <c r="J75" s="165">
        <v>94.86</v>
      </c>
      <c r="K75" s="165">
        <v>47.43</v>
      </c>
      <c r="L75" s="165">
        <v>47.43</v>
      </c>
      <c r="M75" s="165">
        <v>237.15</v>
      </c>
      <c r="N75" s="165">
        <v>0</v>
      </c>
      <c r="O75" s="165"/>
      <c r="P75" s="164">
        <v>474.3</v>
      </c>
      <c r="Q75" s="144"/>
      <c r="R75" s="159"/>
      <c r="S75" s="159"/>
      <c r="T75" s="159"/>
      <c r="U75" s="159"/>
      <c r="V75" s="159"/>
      <c r="W75" s="159"/>
      <c r="X75" s="159"/>
      <c r="Y75" s="145"/>
      <c r="Z75" s="159"/>
      <c r="AA75" s="167">
        <v>0</v>
      </c>
    </row>
    <row r="76" spans="1:27" x14ac:dyDescent="0.35">
      <c r="A76" s="145" t="s">
        <v>295</v>
      </c>
      <c r="B76" s="145" t="s">
        <v>296</v>
      </c>
      <c r="C76" s="163">
        <v>3.16</v>
      </c>
      <c r="D76" s="163">
        <v>3.16</v>
      </c>
      <c r="E76" s="163">
        <v>3.1608999999999998</v>
      </c>
      <c r="F76" s="163">
        <v>3.4640000000000004</v>
      </c>
      <c r="G76" s="163"/>
      <c r="H76" s="165">
        <v>6.32</v>
      </c>
      <c r="I76" s="165">
        <v>6.32</v>
      </c>
      <c r="J76" s="165">
        <v>6.32</v>
      </c>
      <c r="K76" s="165">
        <v>18.96</v>
      </c>
      <c r="L76" s="165">
        <v>6.32</v>
      </c>
      <c r="M76" s="165">
        <v>25.28</v>
      </c>
      <c r="N76" s="165">
        <v>6.92</v>
      </c>
      <c r="O76" s="165"/>
      <c r="P76" s="164">
        <v>76.440000000000012</v>
      </c>
      <c r="Q76" s="144"/>
      <c r="R76" s="159"/>
      <c r="S76" s="159"/>
      <c r="T76" s="159"/>
      <c r="U76" s="159"/>
      <c r="V76" s="159"/>
      <c r="W76" s="159"/>
      <c r="X76" s="159"/>
      <c r="Y76" s="145"/>
      <c r="Z76" s="159"/>
      <c r="AA76" s="167">
        <v>0</v>
      </c>
    </row>
    <row r="77" spans="1:27" x14ac:dyDescent="0.35">
      <c r="A77" s="145" t="s">
        <v>297</v>
      </c>
      <c r="B77" s="145" t="s">
        <v>298</v>
      </c>
      <c r="C77" s="163">
        <v>6.06</v>
      </c>
      <c r="D77" s="163">
        <v>6.06</v>
      </c>
      <c r="E77" s="163">
        <v>6.0619999999999994</v>
      </c>
      <c r="F77" s="163">
        <v>6.6249000000000002</v>
      </c>
      <c r="G77" s="163"/>
      <c r="H77" s="165">
        <v>6.06</v>
      </c>
      <c r="I77" s="165">
        <v>6.06</v>
      </c>
      <c r="J77" s="165">
        <v>6.06</v>
      </c>
      <c r="K77" s="165">
        <v>15.15</v>
      </c>
      <c r="L77" s="165">
        <v>6.06</v>
      </c>
      <c r="M77" s="165">
        <v>24.24</v>
      </c>
      <c r="N77" s="165">
        <v>6.62</v>
      </c>
      <c r="O77" s="165"/>
      <c r="P77" s="164">
        <v>70.25</v>
      </c>
      <c r="Q77" s="144"/>
      <c r="R77" s="159"/>
      <c r="S77" s="159"/>
      <c r="T77" s="159"/>
      <c r="U77" s="159"/>
      <c r="V77" s="159"/>
      <c r="W77" s="159"/>
      <c r="X77" s="159"/>
      <c r="Y77" s="145"/>
      <c r="Z77" s="159"/>
      <c r="AA77" s="167">
        <v>0</v>
      </c>
    </row>
    <row r="78" spans="1:27" x14ac:dyDescent="0.35">
      <c r="A78" s="145" t="s">
        <v>299</v>
      </c>
      <c r="B78" s="145" t="s">
        <v>300</v>
      </c>
      <c r="C78" s="163">
        <v>12</v>
      </c>
      <c r="D78" s="163">
        <v>12</v>
      </c>
      <c r="E78" s="163">
        <v>12</v>
      </c>
      <c r="F78" s="163">
        <v>13.12</v>
      </c>
      <c r="G78" s="163"/>
      <c r="H78" s="165">
        <v>0</v>
      </c>
      <c r="I78" s="165">
        <v>0</v>
      </c>
      <c r="J78" s="165">
        <v>0</v>
      </c>
      <c r="K78" s="165"/>
      <c r="L78" s="165">
        <v>0</v>
      </c>
      <c r="M78" s="165">
        <v>0</v>
      </c>
      <c r="N78" s="165">
        <v>0</v>
      </c>
      <c r="O78" s="165"/>
      <c r="P78" s="164">
        <v>0</v>
      </c>
      <c r="Q78" s="144"/>
      <c r="R78" s="159"/>
      <c r="S78" s="159"/>
      <c r="T78" s="159"/>
      <c r="U78" s="159"/>
      <c r="V78" s="159"/>
      <c r="W78" s="159"/>
      <c r="X78" s="159"/>
      <c r="Y78" s="145"/>
      <c r="Z78" s="159"/>
      <c r="AA78" s="167">
        <v>0</v>
      </c>
    </row>
    <row r="79" spans="1:27" x14ac:dyDescent="0.35">
      <c r="A79" s="145" t="s">
        <v>301</v>
      </c>
      <c r="B79" s="145" t="s">
        <v>218</v>
      </c>
      <c r="C79" s="163"/>
      <c r="D79" s="163"/>
      <c r="E79" s="163"/>
      <c r="F79" s="163"/>
      <c r="G79" s="163"/>
      <c r="H79" s="165">
        <v>61.61</v>
      </c>
      <c r="I79" s="165">
        <v>159.86999999999998</v>
      </c>
      <c r="J79" s="165">
        <v>164.43</v>
      </c>
      <c r="K79" s="165">
        <v>311.06999999999994</v>
      </c>
      <c r="L79" s="165">
        <v>44.72</v>
      </c>
      <c r="M79" s="165">
        <v>372.72</v>
      </c>
      <c r="N79" s="165">
        <v>0</v>
      </c>
      <c r="O79" s="165"/>
      <c r="P79" s="164">
        <v>1114.42</v>
      </c>
      <c r="Q79" s="144"/>
      <c r="R79" s="159"/>
      <c r="S79" s="159"/>
      <c r="T79" s="159"/>
      <c r="U79" s="159"/>
      <c r="V79" s="159"/>
      <c r="W79" s="159"/>
      <c r="X79" s="159"/>
      <c r="Y79" s="145"/>
      <c r="Z79" s="159"/>
      <c r="AA79" s="167">
        <v>0</v>
      </c>
    </row>
    <row r="80" spans="1:27" x14ac:dyDescent="0.35">
      <c r="A80" s="145" t="s">
        <v>302</v>
      </c>
      <c r="B80" s="145" t="s">
        <v>218</v>
      </c>
      <c r="C80" s="163"/>
      <c r="D80" s="163"/>
      <c r="E80" s="163"/>
      <c r="F80" s="163"/>
      <c r="G80" s="163"/>
      <c r="H80" s="165">
        <v>0.11</v>
      </c>
      <c r="I80" s="165">
        <v>0</v>
      </c>
      <c r="J80" s="165">
        <v>0</v>
      </c>
      <c r="K80" s="165"/>
      <c r="L80" s="165">
        <v>0</v>
      </c>
      <c r="M80" s="165">
        <v>0.21</v>
      </c>
      <c r="N80" s="165">
        <v>0</v>
      </c>
      <c r="O80" s="165"/>
      <c r="P80" s="164">
        <v>0.32</v>
      </c>
      <c r="Q80" s="144"/>
      <c r="R80" s="159"/>
      <c r="S80" s="159"/>
      <c r="T80" s="159"/>
      <c r="U80" s="159"/>
      <c r="V80" s="159"/>
      <c r="W80" s="159"/>
      <c r="X80" s="159"/>
      <c r="Y80" s="145"/>
      <c r="Z80" s="159"/>
      <c r="AA80" s="167">
        <v>0</v>
      </c>
    </row>
    <row r="81" spans="1:27" ht="15" thickBot="1" x14ac:dyDescent="0.4">
      <c r="A81" s="176"/>
      <c r="B81" s="176"/>
      <c r="C81" s="163"/>
      <c r="D81" s="163"/>
      <c r="E81" s="163"/>
      <c r="F81" s="163"/>
      <c r="G81" s="163"/>
      <c r="H81" s="159"/>
      <c r="I81" s="159"/>
      <c r="J81" s="159"/>
      <c r="K81" s="159"/>
      <c r="L81" s="159"/>
      <c r="M81" s="159"/>
      <c r="N81" s="159"/>
      <c r="O81" s="159"/>
      <c r="P81" s="164"/>
      <c r="Q81" s="144"/>
      <c r="R81" s="144"/>
      <c r="S81" s="144"/>
      <c r="T81" s="144"/>
      <c r="U81" s="144"/>
      <c r="V81" s="144"/>
      <c r="W81" s="144"/>
      <c r="X81" s="144"/>
      <c r="Y81" s="145"/>
      <c r="Z81" s="159"/>
      <c r="AA81" s="167">
        <v>0</v>
      </c>
    </row>
    <row r="82" spans="1:27" ht="15" thickBot="1" x14ac:dyDescent="0.4">
      <c r="A82" s="176"/>
      <c r="B82" s="177" t="s">
        <v>303</v>
      </c>
      <c r="C82" s="163"/>
      <c r="D82" s="163"/>
      <c r="E82" s="163"/>
      <c r="F82" s="163"/>
      <c r="G82" s="163"/>
      <c r="H82" s="172">
        <v>9678.74</v>
      </c>
      <c r="I82" s="172">
        <v>9219.5500000000011</v>
      </c>
      <c r="J82" s="172">
        <v>9454.1099999999988</v>
      </c>
      <c r="K82" s="172">
        <v>27673.520000000004</v>
      </c>
      <c r="L82" s="172">
        <v>9396.389999999994</v>
      </c>
      <c r="M82" s="172">
        <v>39301.509999999995</v>
      </c>
      <c r="N82" s="172">
        <v>10340.550000000001</v>
      </c>
      <c r="O82" s="172"/>
      <c r="P82" s="172">
        <v>115064.37000000002</v>
      </c>
      <c r="Q82" s="144"/>
      <c r="R82" s="144"/>
      <c r="S82" s="144"/>
      <c r="T82" s="144"/>
      <c r="U82" s="144"/>
      <c r="V82" s="144"/>
      <c r="W82" s="144"/>
      <c r="X82" s="144"/>
      <c r="Y82" s="178">
        <v>139.04053958736353</v>
      </c>
      <c r="Z82" s="159"/>
      <c r="AA82" s="167">
        <v>0</v>
      </c>
    </row>
    <row r="83" spans="1:27" x14ac:dyDescent="0.35">
      <c r="A83" s="142"/>
      <c r="B83" s="142"/>
      <c r="C83" s="145"/>
      <c r="D83" s="145"/>
      <c r="E83" s="145"/>
      <c r="F83" s="145"/>
      <c r="G83" s="145"/>
      <c r="H83" s="145"/>
      <c r="I83" s="145"/>
      <c r="J83" s="145"/>
      <c r="K83" s="179"/>
      <c r="L83" s="179"/>
      <c r="M83" s="179"/>
      <c r="N83" s="179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6"/>
      <c r="AA83" s="167">
        <v>0</v>
      </c>
    </row>
    <row r="84" spans="1:27" x14ac:dyDescent="0.35">
      <c r="A84" s="175" t="s">
        <v>304</v>
      </c>
      <c r="B84" s="175" t="s">
        <v>304</v>
      </c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6"/>
      <c r="AA84" s="167">
        <v>0</v>
      </c>
    </row>
    <row r="85" spans="1:27" x14ac:dyDescent="0.35">
      <c r="A85" s="180"/>
      <c r="B85" s="180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6"/>
      <c r="AA85" s="167">
        <v>0</v>
      </c>
    </row>
    <row r="86" spans="1:27" x14ac:dyDescent="0.35">
      <c r="A86" s="181" t="s">
        <v>305</v>
      </c>
      <c r="B86" s="181" t="s">
        <v>305</v>
      </c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6"/>
      <c r="AA86" s="167">
        <v>0</v>
      </c>
    </row>
    <row r="87" spans="1:27" x14ac:dyDescent="0.35">
      <c r="A87" s="145" t="s">
        <v>306</v>
      </c>
      <c r="B87" s="145" t="s">
        <v>307</v>
      </c>
      <c r="C87" s="163">
        <v>245.35</v>
      </c>
      <c r="D87" s="163">
        <v>245.35</v>
      </c>
      <c r="E87" s="163">
        <v>245.35</v>
      </c>
      <c r="F87" s="163">
        <v>245.35</v>
      </c>
      <c r="G87" s="145"/>
      <c r="H87" s="165"/>
      <c r="I87" s="165">
        <v>245.35</v>
      </c>
      <c r="J87" s="165">
        <v>245.35</v>
      </c>
      <c r="K87" s="165">
        <v>736.05</v>
      </c>
      <c r="L87" s="165">
        <v>245.35</v>
      </c>
      <c r="M87" s="165">
        <v>1172.6500000000001</v>
      </c>
      <c r="N87" s="165">
        <v>245.35</v>
      </c>
      <c r="O87" s="165"/>
      <c r="P87" s="164">
        <v>2890.1</v>
      </c>
      <c r="Q87" s="182"/>
      <c r="R87" s="159">
        <v>0</v>
      </c>
      <c r="S87" s="159">
        <v>1</v>
      </c>
      <c r="T87" s="159">
        <v>1</v>
      </c>
      <c r="U87" s="159">
        <v>3</v>
      </c>
      <c r="V87" s="159">
        <v>1</v>
      </c>
      <c r="W87" s="159"/>
      <c r="X87" s="159">
        <v>1</v>
      </c>
      <c r="Y87" s="166">
        <v>0.41666666666666669</v>
      </c>
      <c r="Z87" s="146"/>
      <c r="AA87" s="167">
        <v>7</v>
      </c>
    </row>
    <row r="88" spans="1:27" x14ac:dyDescent="0.35">
      <c r="A88" s="145" t="s">
        <v>308</v>
      </c>
      <c r="B88" s="145" t="s">
        <v>309</v>
      </c>
      <c r="C88" s="163">
        <v>227.87</v>
      </c>
      <c r="D88" s="163">
        <v>227.87</v>
      </c>
      <c r="E88" s="163">
        <v>227.87</v>
      </c>
      <c r="F88" s="163">
        <v>227.87</v>
      </c>
      <c r="G88" s="145"/>
      <c r="H88" s="165">
        <v>455.74</v>
      </c>
      <c r="I88" s="165">
        <v>0</v>
      </c>
      <c r="J88" s="165">
        <v>0</v>
      </c>
      <c r="K88" s="165"/>
      <c r="L88" s="165">
        <v>0</v>
      </c>
      <c r="M88" s="165">
        <v>911.48</v>
      </c>
      <c r="N88" s="165">
        <v>455.74</v>
      </c>
      <c r="O88" s="165"/>
      <c r="P88" s="164">
        <v>1822.96</v>
      </c>
      <c r="Q88" s="145"/>
      <c r="R88" s="159">
        <v>2</v>
      </c>
      <c r="S88" s="159">
        <v>0</v>
      </c>
      <c r="T88" s="159">
        <v>0</v>
      </c>
      <c r="U88" s="159">
        <v>0</v>
      </c>
      <c r="V88" s="159">
        <v>0</v>
      </c>
      <c r="W88" s="159"/>
      <c r="X88" s="159">
        <v>2</v>
      </c>
      <c r="Y88" s="166">
        <v>0.16666666666666666</v>
      </c>
      <c r="Z88" s="146"/>
      <c r="AA88" s="167">
        <v>4</v>
      </c>
    </row>
    <row r="89" spans="1:27" x14ac:dyDescent="0.35">
      <c r="A89" s="145" t="s">
        <v>310</v>
      </c>
      <c r="B89" s="145" t="s">
        <v>311</v>
      </c>
      <c r="C89" s="163">
        <v>338.35</v>
      </c>
      <c r="D89" s="163">
        <v>338.35</v>
      </c>
      <c r="E89" s="163">
        <v>338.35</v>
      </c>
      <c r="F89" s="163">
        <v>338.35</v>
      </c>
      <c r="G89" s="145"/>
      <c r="H89" s="165">
        <v>0</v>
      </c>
      <c r="I89" s="165">
        <v>676.7</v>
      </c>
      <c r="J89" s="165">
        <v>676.7</v>
      </c>
      <c r="K89" s="165"/>
      <c r="L89" s="165">
        <v>338.35</v>
      </c>
      <c r="M89" s="165">
        <v>1691.75</v>
      </c>
      <c r="N89" s="165">
        <v>0</v>
      </c>
      <c r="O89" s="165"/>
      <c r="P89" s="164">
        <v>3383.5</v>
      </c>
      <c r="Q89" s="145"/>
      <c r="R89" s="159">
        <v>0</v>
      </c>
      <c r="S89" s="159">
        <v>2</v>
      </c>
      <c r="T89" s="159">
        <v>2</v>
      </c>
      <c r="U89" s="159">
        <v>0</v>
      </c>
      <c r="V89" s="159">
        <v>1</v>
      </c>
      <c r="W89" s="159"/>
      <c r="X89" s="159">
        <v>0</v>
      </c>
      <c r="Y89" s="166">
        <v>0.33333333333333331</v>
      </c>
      <c r="Z89" s="146"/>
      <c r="AA89" s="167">
        <v>5</v>
      </c>
    </row>
    <row r="90" spans="1:27" x14ac:dyDescent="0.35">
      <c r="A90" s="145" t="s">
        <v>312</v>
      </c>
      <c r="B90" s="145" t="s">
        <v>313</v>
      </c>
      <c r="C90" s="163">
        <v>250.65</v>
      </c>
      <c r="D90" s="163">
        <v>250.65</v>
      </c>
      <c r="E90" s="163">
        <v>250.65</v>
      </c>
      <c r="F90" s="163">
        <v>212.02</v>
      </c>
      <c r="G90" s="145"/>
      <c r="H90" s="165">
        <v>250.65</v>
      </c>
      <c r="I90" s="165">
        <v>250.65</v>
      </c>
      <c r="J90" s="165">
        <v>0</v>
      </c>
      <c r="K90" s="165">
        <v>501.3</v>
      </c>
      <c r="L90" s="165">
        <v>250.65</v>
      </c>
      <c r="M90" s="165">
        <v>501.3</v>
      </c>
      <c r="N90" s="165">
        <v>212.02</v>
      </c>
      <c r="O90" s="165"/>
      <c r="P90" s="164">
        <v>1966.57</v>
      </c>
      <c r="Q90" s="145"/>
      <c r="R90" s="159">
        <v>1</v>
      </c>
      <c r="S90" s="159">
        <v>1</v>
      </c>
      <c r="T90" s="159">
        <v>0</v>
      </c>
      <c r="U90" s="159">
        <v>2</v>
      </c>
      <c r="V90" s="159">
        <v>1</v>
      </c>
      <c r="W90" s="159"/>
      <c r="X90" s="159">
        <v>1</v>
      </c>
      <c r="Y90" s="166">
        <v>0.33333333333333331</v>
      </c>
      <c r="Z90" s="146"/>
      <c r="AA90" s="167">
        <v>6</v>
      </c>
    </row>
    <row r="91" spans="1:27" x14ac:dyDescent="0.35">
      <c r="A91" s="145" t="s">
        <v>314</v>
      </c>
      <c r="B91" s="145" t="s">
        <v>315</v>
      </c>
      <c r="C91" s="163">
        <v>96.3</v>
      </c>
      <c r="D91" s="163">
        <v>96.3</v>
      </c>
      <c r="E91" s="163">
        <v>96.3</v>
      </c>
      <c r="F91" s="163">
        <v>96.3</v>
      </c>
      <c r="G91" s="145"/>
      <c r="H91" s="165">
        <v>128.4</v>
      </c>
      <c r="I91" s="165">
        <v>-96.3</v>
      </c>
      <c r="J91" s="165">
        <v>0</v>
      </c>
      <c r="K91" s="165"/>
      <c r="L91" s="165">
        <v>54.57</v>
      </c>
      <c r="M91" s="165">
        <v>664.47</v>
      </c>
      <c r="N91" s="165">
        <v>115.56</v>
      </c>
      <c r="O91" s="165"/>
      <c r="P91" s="164">
        <v>866.7</v>
      </c>
      <c r="Q91" s="145"/>
      <c r="R91" s="159"/>
      <c r="S91" s="159"/>
      <c r="T91" s="159"/>
      <c r="U91" s="159"/>
      <c r="V91" s="159"/>
      <c r="W91" s="159"/>
      <c r="X91" s="159"/>
      <c r="Y91" s="145"/>
      <c r="Z91" s="146"/>
      <c r="AA91" s="167">
        <v>0</v>
      </c>
    </row>
    <row r="92" spans="1:27" x14ac:dyDescent="0.35">
      <c r="A92" s="145" t="s">
        <v>316</v>
      </c>
      <c r="B92" s="145" t="s">
        <v>317</v>
      </c>
      <c r="C92" s="163">
        <v>120.3</v>
      </c>
      <c r="D92" s="163">
        <v>120.3</v>
      </c>
      <c r="E92" s="163">
        <v>120.3</v>
      </c>
      <c r="F92" s="163">
        <v>120.3</v>
      </c>
      <c r="G92" s="145"/>
      <c r="H92" s="165">
        <v>0</v>
      </c>
      <c r="I92" s="165">
        <v>88.22</v>
      </c>
      <c r="J92" s="165">
        <v>52.13</v>
      </c>
      <c r="K92" s="165"/>
      <c r="L92" s="165">
        <v>0</v>
      </c>
      <c r="M92" s="165">
        <v>64.16</v>
      </c>
      <c r="N92" s="165">
        <v>0</v>
      </c>
      <c r="O92" s="165"/>
      <c r="P92" s="164">
        <v>204.51</v>
      </c>
      <c r="Q92" s="145"/>
      <c r="R92" s="159"/>
      <c r="S92" s="159"/>
      <c r="T92" s="159"/>
      <c r="U92" s="159"/>
      <c r="V92" s="159"/>
      <c r="W92" s="159"/>
      <c r="X92" s="159"/>
      <c r="Y92" s="145"/>
      <c r="Z92" s="146"/>
      <c r="AA92" s="167">
        <v>0</v>
      </c>
    </row>
    <row r="93" spans="1:27" x14ac:dyDescent="0.35">
      <c r="A93" s="145" t="s">
        <v>318</v>
      </c>
      <c r="B93" s="145" t="s">
        <v>319</v>
      </c>
      <c r="C93" s="163">
        <v>72.55</v>
      </c>
      <c r="D93" s="163">
        <v>72.55</v>
      </c>
      <c r="E93" s="163">
        <v>72.55</v>
      </c>
      <c r="F93" s="163">
        <v>72.55</v>
      </c>
      <c r="G93" s="145"/>
      <c r="H93" s="165">
        <v>0</v>
      </c>
      <c r="I93" s="165">
        <v>72.55</v>
      </c>
      <c r="J93" s="165">
        <v>0</v>
      </c>
      <c r="K93" s="165"/>
      <c r="L93" s="165">
        <v>145.1</v>
      </c>
      <c r="M93" s="165">
        <v>362.75</v>
      </c>
      <c r="N93" s="165">
        <v>145.05000000000001</v>
      </c>
      <c r="O93" s="165"/>
      <c r="P93" s="164">
        <v>725.45</v>
      </c>
      <c r="Q93" s="145"/>
      <c r="R93" s="159"/>
      <c r="S93" s="159"/>
      <c r="T93" s="159"/>
      <c r="U93" s="159"/>
      <c r="V93" s="159"/>
      <c r="W93" s="159"/>
      <c r="X93" s="159"/>
      <c r="Y93" s="145"/>
      <c r="Z93" s="146"/>
      <c r="AA93" s="167">
        <v>0</v>
      </c>
    </row>
    <row r="94" spans="1:27" x14ac:dyDescent="0.35">
      <c r="A94" s="145" t="s">
        <v>320</v>
      </c>
      <c r="B94" s="145" t="s">
        <v>321</v>
      </c>
      <c r="C94" s="163">
        <v>5.26</v>
      </c>
      <c r="D94" s="163">
        <v>5.26</v>
      </c>
      <c r="E94" s="163">
        <v>5.26</v>
      </c>
      <c r="F94" s="163">
        <v>5.26</v>
      </c>
      <c r="G94" s="145"/>
      <c r="H94" s="165">
        <v>468.14</v>
      </c>
      <c r="I94" s="165">
        <v>504.96</v>
      </c>
      <c r="J94" s="165">
        <v>389.24</v>
      </c>
      <c r="K94" s="165">
        <v>420.8</v>
      </c>
      <c r="L94" s="165">
        <v>294.56</v>
      </c>
      <c r="M94" s="165">
        <v>1604.3</v>
      </c>
      <c r="N94" s="165">
        <v>357.68</v>
      </c>
      <c r="O94" s="165"/>
      <c r="P94" s="164">
        <v>4039.68</v>
      </c>
      <c r="Q94" s="145"/>
      <c r="R94" s="159"/>
      <c r="S94" s="159"/>
      <c r="T94" s="159"/>
      <c r="U94" s="159"/>
      <c r="V94" s="159"/>
      <c r="W94" s="159"/>
      <c r="X94" s="159"/>
      <c r="Y94" s="145"/>
      <c r="Z94" s="146"/>
      <c r="AA94" s="167">
        <v>0</v>
      </c>
    </row>
    <row r="95" spans="1:27" x14ac:dyDescent="0.35">
      <c r="A95" s="145" t="s">
        <v>322</v>
      </c>
      <c r="B95" s="145" t="s">
        <v>218</v>
      </c>
      <c r="C95" s="163">
        <v>0</v>
      </c>
      <c r="D95" s="163"/>
      <c r="E95" s="163"/>
      <c r="F95" s="163"/>
      <c r="G95" s="145"/>
      <c r="H95" s="165">
        <v>23.83</v>
      </c>
      <c r="I95" s="165">
        <v>69.429999999999993</v>
      </c>
      <c r="J95" s="165">
        <v>44.1</v>
      </c>
      <c r="K95" s="165">
        <v>59.19</v>
      </c>
      <c r="L95" s="165">
        <v>17.64</v>
      </c>
      <c r="M95" s="165">
        <v>153.29</v>
      </c>
      <c r="N95" s="165">
        <v>0</v>
      </c>
      <c r="O95" s="165"/>
      <c r="P95" s="164">
        <v>367.48</v>
      </c>
      <c r="Q95" s="145"/>
      <c r="R95" s="159"/>
      <c r="S95" s="159"/>
      <c r="T95" s="159"/>
      <c r="U95" s="159"/>
      <c r="V95" s="159"/>
      <c r="W95" s="159"/>
      <c r="X95" s="159"/>
      <c r="Y95" s="145"/>
      <c r="Z95" s="146"/>
      <c r="AA95" s="167">
        <v>0</v>
      </c>
    </row>
    <row r="96" spans="1:27" ht="15" thickBot="1" x14ac:dyDescent="0.4">
      <c r="A96" s="170"/>
      <c r="B96" s="170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6"/>
      <c r="AA96" s="167">
        <v>0</v>
      </c>
    </row>
    <row r="97" spans="1:27" ht="15" thickBot="1" x14ac:dyDescent="0.4">
      <c r="A97" s="170"/>
      <c r="B97" s="183" t="s">
        <v>323</v>
      </c>
      <c r="C97" s="145"/>
      <c r="D97" s="145"/>
      <c r="E97" s="145"/>
      <c r="F97" s="145"/>
      <c r="G97" s="145"/>
      <c r="H97" s="172">
        <v>1326.7599999999998</v>
      </c>
      <c r="I97" s="172">
        <v>1811.5600000000002</v>
      </c>
      <c r="J97" s="172">
        <v>1407.52</v>
      </c>
      <c r="K97" s="172">
        <v>1717.34</v>
      </c>
      <c r="L97" s="172">
        <v>1346.22</v>
      </c>
      <c r="M97" s="172">
        <v>7126.1500000000005</v>
      </c>
      <c r="N97" s="172">
        <v>1531.4</v>
      </c>
      <c r="O97" s="172"/>
      <c r="P97" s="172">
        <v>16266.95</v>
      </c>
      <c r="Q97" s="145"/>
      <c r="R97" s="145"/>
      <c r="S97" s="145"/>
      <c r="T97" s="145"/>
      <c r="U97" s="145"/>
      <c r="V97" s="145"/>
      <c r="W97" s="145"/>
      <c r="X97" s="145"/>
      <c r="Y97" s="178">
        <v>1.25</v>
      </c>
      <c r="Z97" s="146"/>
      <c r="AA97" s="167">
        <v>0</v>
      </c>
    </row>
    <row r="98" spans="1:27" x14ac:dyDescent="0.35">
      <c r="A98" s="170"/>
      <c r="B98" s="183"/>
      <c r="C98" s="145"/>
      <c r="D98" s="145"/>
      <c r="E98" s="145"/>
      <c r="F98" s="145"/>
      <c r="G98" s="145"/>
      <c r="H98" s="184"/>
      <c r="I98" s="184"/>
      <c r="J98" s="184"/>
      <c r="K98" s="184"/>
      <c r="L98" s="184"/>
      <c r="M98" s="184"/>
      <c r="N98" s="184"/>
      <c r="O98" s="184"/>
      <c r="P98" s="184"/>
      <c r="Q98" s="145"/>
      <c r="R98" s="145"/>
      <c r="S98" s="145"/>
      <c r="T98" s="145"/>
      <c r="U98" s="145"/>
      <c r="V98" s="145"/>
      <c r="W98" s="145"/>
      <c r="X98" s="145"/>
      <c r="Y98" s="145"/>
      <c r="Z98" s="146"/>
      <c r="AA98" s="167">
        <v>0</v>
      </c>
    </row>
    <row r="99" spans="1:27" x14ac:dyDescent="0.35">
      <c r="A99" s="185" t="s">
        <v>324</v>
      </c>
      <c r="B99" s="185" t="s">
        <v>324</v>
      </c>
      <c r="C99" s="186"/>
      <c r="D99" s="186"/>
      <c r="E99" s="186"/>
      <c r="F99" s="186"/>
      <c r="G99" s="187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59"/>
      <c r="AA99" s="167">
        <v>0</v>
      </c>
    </row>
    <row r="100" spans="1:27" x14ac:dyDescent="0.35">
      <c r="A100" s="188" t="s">
        <v>325</v>
      </c>
      <c r="B100" s="188" t="s">
        <v>326</v>
      </c>
      <c r="C100" s="163"/>
      <c r="D100" s="163"/>
      <c r="E100" s="163"/>
      <c r="F100" s="163"/>
      <c r="G100" s="163"/>
      <c r="H100" s="165">
        <v>350</v>
      </c>
      <c r="I100" s="165">
        <v>175</v>
      </c>
      <c r="J100" s="165">
        <v>175</v>
      </c>
      <c r="K100" s="165">
        <v>875</v>
      </c>
      <c r="L100" s="165">
        <v>175</v>
      </c>
      <c r="M100" s="165">
        <v>1075</v>
      </c>
      <c r="N100" s="165">
        <v>175</v>
      </c>
      <c r="O100" s="165"/>
      <c r="P100" s="164">
        <v>3000</v>
      </c>
      <c r="Q100" s="144"/>
      <c r="R100" s="159">
        <v>0</v>
      </c>
      <c r="S100" s="159">
        <v>0</v>
      </c>
      <c r="T100" s="159">
        <v>0</v>
      </c>
      <c r="U100" s="159">
        <v>0</v>
      </c>
      <c r="V100" s="159"/>
      <c r="W100" s="159"/>
      <c r="X100" s="159"/>
      <c r="Y100" s="144"/>
      <c r="Z100" s="159"/>
      <c r="AA100" s="167">
        <v>0</v>
      </c>
    </row>
    <row r="101" spans="1:27" x14ac:dyDescent="0.35">
      <c r="A101" s="145"/>
      <c r="B101" s="145"/>
      <c r="C101" s="163"/>
      <c r="D101" s="163"/>
      <c r="E101" s="163"/>
      <c r="F101" s="163"/>
      <c r="G101" s="163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59"/>
      <c r="AA101" s="167">
        <v>0</v>
      </c>
    </row>
    <row r="102" spans="1:27" x14ac:dyDescent="0.35">
      <c r="A102" s="145"/>
      <c r="B102" s="171" t="s">
        <v>327</v>
      </c>
      <c r="C102" s="163"/>
      <c r="D102" s="163"/>
      <c r="E102" s="163"/>
      <c r="F102" s="163"/>
      <c r="G102" s="163"/>
      <c r="H102" s="172">
        <v>350</v>
      </c>
      <c r="I102" s="172">
        <v>175</v>
      </c>
      <c r="J102" s="172">
        <v>175</v>
      </c>
      <c r="K102" s="172">
        <v>875</v>
      </c>
      <c r="L102" s="172">
        <v>175</v>
      </c>
      <c r="M102" s="172">
        <v>1075</v>
      </c>
      <c r="N102" s="172">
        <v>175</v>
      </c>
      <c r="O102" s="172"/>
      <c r="P102" s="172">
        <v>3000</v>
      </c>
      <c r="Q102" s="144"/>
      <c r="R102" s="144"/>
      <c r="S102" s="144"/>
      <c r="T102" s="144"/>
      <c r="U102" s="144"/>
      <c r="V102" s="144"/>
      <c r="W102" s="144"/>
      <c r="X102" s="144"/>
      <c r="Y102" s="144"/>
      <c r="Z102" s="159"/>
      <c r="AA102" s="167">
        <v>0</v>
      </c>
    </row>
    <row r="103" spans="1:27" x14ac:dyDescent="0.35">
      <c r="A103" s="170"/>
      <c r="B103" s="170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6"/>
      <c r="AA103" s="167">
        <v>0</v>
      </c>
    </row>
    <row r="104" spans="1:27" x14ac:dyDescent="0.35">
      <c r="A104" s="181" t="s">
        <v>328</v>
      </c>
      <c r="B104" s="181" t="s">
        <v>328</v>
      </c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6"/>
      <c r="AA104" s="167">
        <v>0</v>
      </c>
    </row>
    <row r="105" spans="1:27" x14ac:dyDescent="0.35">
      <c r="A105" s="158" t="s">
        <v>329</v>
      </c>
      <c r="B105" s="158" t="s">
        <v>330</v>
      </c>
      <c r="C105" s="145"/>
      <c r="D105" s="145"/>
      <c r="E105" s="145"/>
      <c r="F105" s="145"/>
      <c r="G105" s="145"/>
      <c r="H105" s="165">
        <v>1825.05</v>
      </c>
      <c r="I105" s="165">
        <v>1943.5</v>
      </c>
      <c r="J105" s="165">
        <v>952.46</v>
      </c>
      <c r="K105" s="165">
        <v>2994.68</v>
      </c>
      <c r="L105" s="165">
        <v>2171.23</v>
      </c>
      <c r="M105" s="165">
        <v>7521.58</v>
      </c>
      <c r="N105" s="165">
        <v>1472.02</v>
      </c>
      <c r="O105" s="165"/>
      <c r="P105" s="164">
        <v>18880.52</v>
      </c>
      <c r="Q105" s="145"/>
      <c r="R105" s="145"/>
      <c r="S105" s="145"/>
      <c r="T105" s="145"/>
      <c r="U105" s="145"/>
      <c r="V105" s="145"/>
      <c r="W105" s="145"/>
      <c r="X105" s="145"/>
      <c r="Y105" s="145"/>
      <c r="Z105" s="146"/>
      <c r="AA105" s="167">
        <v>0</v>
      </c>
    </row>
    <row r="106" spans="1:27" x14ac:dyDescent="0.35">
      <c r="A106" s="158"/>
      <c r="B106" s="158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89"/>
      <c r="Q106" s="145"/>
      <c r="R106" s="145"/>
      <c r="S106" s="145"/>
      <c r="T106" s="145"/>
      <c r="U106" s="145"/>
      <c r="V106" s="145"/>
      <c r="W106" s="145"/>
      <c r="X106" s="145"/>
      <c r="Y106" s="145"/>
      <c r="Z106" s="146"/>
      <c r="AA106" s="167">
        <v>0</v>
      </c>
    </row>
    <row r="107" spans="1:27" x14ac:dyDescent="0.35">
      <c r="A107" s="170"/>
      <c r="B107" s="183" t="s">
        <v>331</v>
      </c>
      <c r="C107" s="145"/>
      <c r="D107" s="145"/>
      <c r="E107" s="145"/>
      <c r="F107" s="145"/>
      <c r="G107" s="145"/>
      <c r="H107" s="172">
        <v>1825.05</v>
      </c>
      <c r="I107" s="172">
        <v>1943.5</v>
      </c>
      <c r="J107" s="172">
        <v>952.46</v>
      </c>
      <c r="K107" s="172">
        <v>2994.68</v>
      </c>
      <c r="L107" s="172">
        <v>2171.23</v>
      </c>
      <c r="M107" s="172">
        <v>7521.58</v>
      </c>
      <c r="N107" s="172">
        <v>1472.02</v>
      </c>
      <c r="O107" s="172"/>
      <c r="P107" s="172">
        <v>18880.52</v>
      </c>
      <c r="Q107" s="145"/>
      <c r="R107" s="145"/>
      <c r="S107" s="145"/>
      <c r="T107" s="145"/>
      <c r="U107" s="145"/>
      <c r="V107" s="145"/>
      <c r="W107" s="145"/>
      <c r="X107" s="145"/>
      <c r="Y107" s="145"/>
      <c r="Z107" s="146"/>
      <c r="AA107" s="167">
        <v>0</v>
      </c>
    </row>
    <row r="108" spans="1:27" x14ac:dyDescent="0.35">
      <c r="A108" s="170"/>
      <c r="B108" s="183"/>
      <c r="C108" s="145"/>
      <c r="D108" s="145"/>
      <c r="E108" s="145"/>
      <c r="F108" s="145"/>
      <c r="G108" s="145"/>
      <c r="H108" s="184"/>
      <c r="I108" s="184"/>
      <c r="J108" s="184"/>
      <c r="K108" s="184">
        <v>59.190000000000509</v>
      </c>
      <c r="L108" s="184"/>
      <c r="M108" s="184"/>
      <c r="N108" s="184"/>
      <c r="O108" s="184"/>
      <c r="P108" s="18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6"/>
      <c r="AA108" s="167">
        <v>0</v>
      </c>
    </row>
    <row r="109" spans="1:27" x14ac:dyDescent="0.35">
      <c r="A109" s="190" t="s">
        <v>332</v>
      </c>
      <c r="B109" s="190" t="s">
        <v>332</v>
      </c>
      <c r="C109" s="163"/>
      <c r="D109" s="163"/>
      <c r="E109" s="163"/>
      <c r="F109" s="163"/>
      <c r="G109" s="163"/>
      <c r="H109" s="144"/>
      <c r="I109" s="144"/>
      <c r="J109" s="144"/>
      <c r="K109" s="144"/>
      <c r="L109" s="144"/>
      <c r="M109" s="144"/>
      <c r="N109" s="144"/>
      <c r="O109" s="144"/>
      <c r="P109" s="164"/>
      <c r="Q109" s="144"/>
      <c r="R109" s="159"/>
      <c r="S109" s="159"/>
      <c r="T109" s="159"/>
      <c r="U109" s="159"/>
      <c r="V109" s="159"/>
      <c r="W109" s="159"/>
      <c r="X109" s="159"/>
      <c r="Y109" s="145"/>
      <c r="Z109" s="159"/>
      <c r="AA109" s="167">
        <v>0</v>
      </c>
    </row>
    <row r="110" spans="1:27" x14ac:dyDescent="0.35">
      <c r="A110" s="145" t="s">
        <v>333</v>
      </c>
      <c r="B110" s="145" t="s">
        <v>334</v>
      </c>
      <c r="C110" s="163"/>
      <c r="D110" s="163"/>
      <c r="E110" s="163"/>
      <c r="F110" s="163"/>
      <c r="G110" s="163"/>
      <c r="H110" s="165">
        <v>49.92</v>
      </c>
      <c r="I110" s="165">
        <v>75.36</v>
      </c>
      <c r="J110" s="165">
        <v>54.72</v>
      </c>
      <c r="K110" s="165">
        <v>195.4</v>
      </c>
      <c r="L110" s="165">
        <v>47.290000000000006</v>
      </c>
      <c r="M110" s="165">
        <v>278.46000000000004</v>
      </c>
      <c r="N110" s="165">
        <v>61.61</v>
      </c>
      <c r="O110" s="165"/>
      <c r="P110" s="164">
        <v>762.7600000000001</v>
      </c>
      <c r="Q110" s="144"/>
      <c r="R110" s="159"/>
      <c r="S110" s="159"/>
      <c r="T110" s="159"/>
      <c r="U110" s="159"/>
      <c r="V110" s="159"/>
      <c r="W110" s="159"/>
      <c r="X110" s="159"/>
      <c r="Y110" s="145"/>
      <c r="Z110" s="159"/>
      <c r="AA110" s="167">
        <v>0</v>
      </c>
    </row>
    <row r="111" spans="1:27" x14ac:dyDescent="0.35">
      <c r="A111" s="145" t="s">
        <v>335</v>
      </c>
      <c r="B111" s="145" t="s">
        <v>336</v>
      </c>
      <c r="C111" s="163"/>
      <c r="D111" s="163"/>
      <c r="E111" s="163"/>
      <c r="F111" s="163"/>
      <c r="G111" s="163"/>
      <c r="H111" s="165">
        <v>16.5</v>
      </c>
      <c r="I111" s="165">
        <v>0</v>
      </c>
      <c r="J111" s="165">
        <v>0</v>
      </c>
      <c r="K111" s="165"/>
      <c r="L111" s="165">
        <v>0</v>
      </c>
      <c r="M111" s="165">
        <v>16.5</v>
      </c>
      <c r="N111" s="165">
        <v>0</v>
      </c>
      <c r="O111" s="165"/>
      <c r="P111" s="164">
        <v>33</v>
      </c>
      <c r="Q111" s="144"/>
      <c r="R111" s="159"/>
      <c r="S111" s="159"/>
      <c r="T111" s="159"/>
      <c r="U111" s="159"/>
      <c r="V111" s="159"/>
      <c r="W111" s="159"/>
      <c r="X111" s="159"/>
      <c r="Y111" s="145"/>
      <c r="Z111" s="159"/>
      <c r="AA111" s="167">
        <v>0</v>
      </c>
    </row>
    <row r="112" spans="1:27" x14ac:dyDescent="0.35">
      <c r="A112" s="169"/>
      <c r="B112" s="169"/>
      <c r="C112" s="163"/>
      <c r="D112" s="163"/>
      <c r="E112" s="163"/>
      <c r="F112" s="163"/>
      <c r="G112" s="163"/>
      <c r="H112" s="144"/>
      <c r="I112" s="144"/>
      <c r="J112" s="144"/>
      <c r="K112" s="144"/>
      <c r="L112" s="144"/>
      <c r="M112" s="144"/>
      <c r="N112" s="144"/>
      <c r="O112" s="144"/>
      <c r="P112" s="164"/>
      <c r="Q112" s="144"/>
      <c r="R112" s="159"/>
      <c r="S112" s="159"/>
      <c r="T112" s="159"/>
      <c r="U112" s="159"/>
      <c r="V112" s="159"/>
      <c r="W112" s="159"/>
      <c r="X112" s="159"/>
      <c r="Y112" s="145"/>
      <c r="Z112" s="159"/>
      <c r="AA112" s="167">
        <v>0</v>
      </c>
    </row>
    <row r="113" spans="1:27" x14ac:dyDescent="0.35">
      <c r="A113" s="191"/>
      <c r="B113" s="171" t="s">
        <v>337</v>
      </c>
      <c r="C113" s="163"/>
      <c r="D113" s="163"/>
      <c r="E113" s="163"/>
      <c r="F113" s="163"/>
      <c r="G113" s="163"/>
      <c r="H113" s="172">
        <v>66.42</v>
      </c>
      <c r="I113" s="172">
        <v>75.36</v>
      </c>
      <c r="J113" s="172">
        <v>54.72</v>
      </c>
      <c r="K113" s="172">
        <v>195.4</v>
      </c>
      <c r="L113" s="172">
        <v>47.290000000000006</v>
      </c>
      <c r="M113" s="172">
        <v>294.96000000000004</v>
      </c>
      <c r="N113" s="172">
        <v>61.61</v>
      </c>
      <c r="O113" s="172"/>
      <c r="P113" s="172">
        <v>795.7600000000001</v>
      </c>
      <c r="Q113" s="144"/>
      <c r="R113" s="159"/>
      <c r="S113" s="159"/>
      <c r="T113" s="159"/>
      <c r="U113" s="159"/>
      <c r="V113" s="159"/>
      <c r="W113" s="159"/>
      <c r="X113" s="159"/>
      <c r="Y113" s="145"/>
      <c r="Z113" s="159"/>
      <c r="AA113" s="167">
        <v>0</v>
      </c>
    </row>
    <row r="114" spans="1:27" x14ac:dyDescent="0.35">
      <c r="A114" s="170"/>
      <c r="B114" s="183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6"/>
      <c r="AA114" s="167">
        <v>0</v>
      </c>
    </row>
    <row r="115" spans="1:27" x14ac:dyDescent="0.35">
      <c r="A115" s="147"/>
      <c r="B115" s="177" t="s">
        <v>338</v>
      </c>
      <c r="C115" s="145"/>
      <c r="D115" s="145"/>
      <c r="E115" s="145"/>
      <c r="F115" s="145"/>
      <c r="G115" s="145"/>
      <c r="H115" s="172">
        <v>26371.929999999993</v>
      </c>
      <c r="I115" s="172">
        <v>51827</v>
      </c>
      <c r="J115" s="172">
        <v>25292.319999999996</v>
      </c>
      <c r="K115" s="172">
        <v>123632.50000000001</v>
      </c>
      <c r="L115" s="172">
        <v>26464.249999999996</v>
      </c>
      <c r="M115" s="172">
        <v>157452.70999999996</v>
      </c>
      <c r="N115" s="172">
        <v>53221.950000000004</v>
      </c>
      <c r="O115" s="172"/>
      <c r="P115" s="172">
        <v>464262.66</v>
      </c>
      <c r="Q115" s="145"/>
      <c r="R115" s="145"/>
      <c r="S115" s="145"/>
      <c r="T115" s="145"/>
      <c r="U115" s="145"/>
      <c r="V115" s="145"/>
      <c r="W115" s="145"/>
      <c r="X115" s="145"/>
      <c r="Y115" s="145"/>
      <c r="Z115" s="146"/>
      <c r="AA115" s="167">
        <v>0</v>
      </c>
    </row>
    <row r="116" spans="1:27" x14ac:dyDescent="0.35">
      <c r="A116" s="139"/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67">
        <v>0</v>
      </c>
    </row>
    <row r="117" spans="1:27" x14ac:dyDescent="0.35">
      <c r="A117" s="139"/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67">
        <v>0</v>
      </c>
    </row>
  </sheetData>
  <mergeCells count="1">
    <mergeCell ref="B1:F1"/>
  </mergeCells>
  <pageMargins left="0.2" right="0.22" top="0.31" bottom="0.34" header="0.3" footer="0.3"/>
  <pageSetup scale="43" fitToHeight="2" orientation="landscape" r:id="rId1"/>
  <headerFooter>
    <oddHeader>&amp;C&amp;"-,Bold"Empire Disposal Inc&amp;"-,Regular"
Company Provided Priceout</oddHeader>
    <oddFooter>&amp;L&amp;F - &amp;A&amp;C&amp;D&amp;R&amp;P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47E219B6D8924E8EDF9BBA501BEEA1" ma:contentTypeVersion="119" ma:contentTypeDescription="" ma:contentTypeScope="" ma:versionID="9b29a919c273037789cbd90f41b9d48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152154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F4BAD3-B0B2-4E82-8915-5641A53B68A9}"/>
</file>

<file path=customXml/itemProps2.xml><?xml version="1.0" encoding="utf-8"?>
<ds:datastoreItem xmlns:ds="http://schemas.openxmlformats.org/officeDocument/2006/customXml" ds:itemID="{00804B6F-1684-47C8-A0F4-E58949D7A34F}"/>
</file>

<file path=customXml/itemProps3.xml><?xml version="1.0" encoding="utf-8"?>
<ds:datastoreItem xmlns:ds="http://schemas.openxmlformats.org/officeDocument/2006/customXml" ds:itemID="{10C86CCA-3A32-425D-AFC5-B96CF7B69A70}"/>
</file>

<file path=customXml/itemProps4.xml><?xml version="1.0" encoding="utf-8"?>
<ds:datastoreItem xmlns:ds="http://schemas.openxmlformats.org/officeDocument/2006/customXml" ds:itemID="{398C3C6A-6203-4E36-BD6C-908B46B778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References</vt:lpstr>
      <vt:lpstr>Spokane DF Calc </vt:lpstr>
      <vt:lpstr>Rate Schedule</vt:lpstr>
      <vt:lpstr>Co Provided Price Out</vt:lpstr>
      <vt:lpstr>'Spokane DF Calc '!Print_Area</vt:lpstr>
      <vt:lpstr>'Co Provided Price Out'!Print_Titles</vt:lpstr>
      <vt:lpstr>'Rate Schedule'!Print_Titles</vt:lpstr>
      <vt:lpstr>'Spokane DF Calc '!Print_Titles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Lisa Wyse</cp:lastModifiedBy>
  <cp:lastPrinted>2015-11-10T23:49:22Z</cp:lastPrinted>
  <dcterms:created xsi:type="dcterms:W3CDTF">2013-10-29T22:33:54Z</dcterms:created>
  <dcterms:modified xsi:type="dcterms:W3CDTF">2015-11-12T21:22:38Z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0x0101006E56B4D1795A2E4DB2F0B01679ED314A009947E219B6D8924E8EDF9BBA501BEEA1</vt:lpwstr>
  </property>
  <property fmtid="{D5CDD505-2E9C-101B-9397-08002B2CF9AE}" pid="3" name="_docset_NoMedatataSyncRequired">
    <vt:lpwstr>False</vt:lpwstr>
  </property>
</Properties>
</file>