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wyse\Documents\"/>
    </mc:Choice>
  </mc:AlternateContent>
  <bookViews>
    <workbookView xWindow="200" yWindow="120" windowWidth="13380" windowHeight="7410" activeTab="2"/>
  </bookViews>
  <sheets>
    <sheet name="References" sheetId="4" r:id="rId1"/>
    <sheet name="Staff Calcs " sheetId="7" r:id="rId2"/>
    <sheet name="Proposed Rates" sheetId="12" r:id="rId3"/>
    <sheet name="Co Provided Price Out" sheetId="11" r:id="rId4"/>
  </sheets>
  <definedNames>
    <definedName name="_xlnm.Print_Area" localSheetId="2">'Proposed Rates'!$A$1:$G$110</definedName>
  </definedNames>
  <calcPr calcId="152511"/>
</workbook>
</file>

<file path=xl/calcChain.xml><?xml version="1.0" encoding="utf-8"?>
<calcChain xmlns="http://schemas.openxmlformats.org/spreadsheetml/2006/main">
  <c r="M97" i="7" l="1"/>
  <c r="M96" i="7" l="1"/>
  <c r="M98" i="7"/>
  <c r="M95" i="7"/>
  <c r="M93" i="7"/>
  <c r="M92" i="7"/>
  <c r="M86" i="7"/>
  <c r="M85" i="7"/>
  <c r="M84" i="7"/>
  <c r="F76" i="7"/>
  <c r="M75" i="7"/>
  <c r="M76" i="7" s="1"/>
  <c r="M74" i="7"/>
  <c r="M72" i="7"/>
  <c r="M73" i="7" s="1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39" i="7"/>
  <c r="M36" i="7"/>
  <c r="M48" i="7" s="1"/>
  <c r="M35" i="7"/>
  <c r="M53" i="7" s="1"/>
  <c r="M33" i="7"/>
  <c r="M46" i="7" s="1"/>
  <c r="M29" i="7"/>
  <c r="M52" i="7" s="1"/>
  <c r="M26" i="7"/>
  <c r="M28" i="7" s="1"/>
  <c r="M24" i="7"/>
  <c r="M40" i="7" s="1"/>
  <c r="M22" i="7"/>
  <c r="M21" i="7"/>
  <c r="M20" i="7"/>
  <c r="M19" i="7"/>
  <c r="M18" i="7"/>
  <c r="M16" i="7"/>
  <c r="M14" i="7"/>
  <c r="M13" i="7"/>
  <c r="M11" i="7"/>
  <c r="M9" i="7"/>
  <c r="M8" i="7"/>
  <c r="M6" i="7"/>
  <c r="M7" i="7"/>
  <c r="M5" i="7"/>
  <c r="M4" i="7"/>
  <c r="M101" i="7"/>
  <c r="M100" i="7"/>
  <c r="M99" i="7"/>
  <c r="M94" i="7"/>
  <c r="M91" i="7"/>
  <c r="M90" i="7"/>
  <c r="M89" i="7"/>
  <c r="M88" i="7"/>
  <c r="M87" i="7"/>
  <c r="M83" i="7"/>
  <c r="M82" i="7"/>
  <c r="G88" i="7"/>
  <c r="F87" i="7"/>
  <c r="F88" i="7"/>
  <c r="F89" i="7"/>
  <c r="F90" i="7"/>
  <c r="G87" i="7"/>
  <c r="H87" i="7" s="1"/>
  <c r="M54" i="7" l="1"/>
  <c r="M34" i="7"/>
  <c r="M51" i="7"/>
  <c r="M27" i="7"/>
  <c r="M30" i="7"/>
  <c r="M31" i="7" s="1"/>
  <c r="M32" i="7" s="1"/>
  <c r="M44" i="7"/>
  <c r="M43" i="7"/>
  <c r="H88" i="7"/>
  <c r="M50" i="7"/>
  <c r="M42" i="7"/>
  <c r="M47" i="7"/>
  <c r="M25" i="7"/>
  <c r="M37" i="7"/>
  <c r="M38" i="7" s="1"/>
  <c r="M41" i="7"/>
  <c r="M45" i="7"/>
  <c r="M49" i="7"/>
  <c r="G71" i="7"/>
  <c r="G98" i="7"/>
  <c r="G97" i="7"/>
  <c r="G96" i="7"/>
  <c r="G95" i="7"/>
  <c r="G94" i="7"/>
  <c r="G93" i="7"/>
  <c r="G92" i="7"/>
  <c r="G91" i="7"/>
  <c r="G90" i="7"/>
  <c r="H90" i="7" s="1"/>
  <c r="G89" i="7"/>
  <c r="F91" i="7"/>
  <c r="F92" i="7"/>
  <c r="H92" i="7" s="1"/>
  <c r="F93" i="7"/>
  <c r="F94" i="7"/>
  <c r="F95" i="7"/>
  <c r="F96" i="7"/>
  <c r="F97" i="7"/>
  <c r="F98" i="7"/>
  <c r="H98" i="7" s="1"/>
  <c r="F99" i="7"/>
  <c r="F100" i="7"/>
  <c r="F101" i="7"/>
  <c r="F73" i="7"/>
  <c r="P73" i="7" s="1"/>
  <c r="G76" i="7"/>
  <c r="G73" i="7"/>
  <c r="P72" i="7"/>
  <c r="P74" i="7"/>
  <c r="P75" i="7"/>
  <c r="M17" i="7"/>
  <c r="M15" i="7"/>
  <c r="M12" i="7"/>
  <c r="M10" i="7"/>
  <c r="G17" i="7"/>
  <c r="G18" i="7"/>
  <c r="G15" i="7"/>
  <c r="G12" i="7"/>
  <c r="G10" i="7"/>
  <c r="G8" i="7"/>
  <c r="H97" i="7" l="1"/>
  <c r="H96" i="7"/>
  <c r="H93" i="7"/>
  <c r="H95" i="7"/>
  <c r="H91" i="7"/>
  <c r="H94" i="7"/>
  <c r="P76" i="7"/>
  <c r="G99" i="7"/>
  <c r="H99" i="7" s="1"/>
  <c r="G100" i="7"/>
  <c r="H100" i="7" s="1"/>
  <c r="G86" i="7"/>
  <c r="H86" i="7" s="1"/>
  <c r="G85" i="7"/>
  <c r="H85" i="7" s="1"/>
  <c r="G84" i="7"/>
  <c r="D23" i="7"/>
  <c r="D77" i="7"/>
  <c r="H71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24" i="7"/>
  <c r="P21" i="7"/>
  <c r="P22" i="7"/>
  <c r="P20" i="7"/>
  <c r="G75" i="7"/>
  <c r="H75" i="7" s="1"/>
  <c r="G72" i="7"/>
  <c r="G70" i="7"/>
  <c r="H70" i="7" s="1"/>
  <c r="G69" i="7"/>
  <c r="H69" i="7" s="1"/>
  <c r="G68" i="7"/>
  <c r="H68" i="7" s="1"/>
  <c r="G67" i="7"/>
  <c r="H67" i="7" s="1"/>
  <c r="G66" i="7"/>
  <c r="H66" i="7" s="1"/>
  <c r="G65" i="7"/>
  <c r="H65" i="7" s="1"/>
  <c r="G64" i="7"/>
  <c r="H64" i="7" s="1"/>
  <c r="G63" i="7"/>
  <c r="H63" i="7" s="1"/>
  <c r="G62" i="7"/>
  <c r="H62" i="7" s="1"/>
  <c r="G61" i="7"/>
  <c r="H61" i="7" s="1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G45" i="7"/>
  <c r="H45" i="7" s="1"/>
  <c r="G44" i="7"/>
  <c r="G43" i="7"/>
  <c r="G42" i="7"/>
  <c r="G41" i="7"/>
  <c r="G40" i="7"/>
  <c r="G39" i="7"/>
  <c r="G37" i="7"/>
  <c r="G38" i="7"/>
  <c r="G36" i="7"/>
  <c r="G35" i="7"/>
  <c r="G34" i="7"/>
  <c r="G33" i="7"/>
  <c r="G30" i="7"/>
  <c r="G31" i="7"/>
  <c r="G32" i="7"/>
  <c r="G29" i="7"/>
  <c r="G27" i="7"/>
  <c r="G28" i="7"/>
  <c r="G26" i="7"/>
  <c r="G25" i="7"/>
  <c r="G24" i="7"/>
  <c r="H73" i="7"/>
  <c r="H74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G22" i="7"/>
  <c r="H22" i="7" s="1"/>
  <c r="G21" i="7"/>
  <c r="H21" i="7" s="1"/>
  <c r="G20" i="7"/>
  <c r="H20" i="7" s="1"/>
  <c r="G19" i="7"/>
  <c r="G16" i="7"/>
  <c r="G14" i="7"/>
  <c r="G11" i="7"/>
  <c r="G4" i="7"/>
  <c r="B61" i="4"/>
  <c r="P77" i="7" l="1"/>
  <c r="H76" i="7"/>
  <c r="H72" i="7"/>
  <c r="F77" i="7"/>
  <c r="G9" i="7"/>
  <c r="G101" i="7" l="1"/>
  <c r="H101" i="7" s="1"/>
  <c r="G83" i="7"/>
  <c r="G82" i="7"/>
  <c r="G7" i="7"/>
  <c r="G6" i="7"/>
  <c r="G5" i="7"/>
  <c r="H89" i="7" l="1"/>
  <c r="P5" i="7"/>
  <c r="H29" i="7"/>
  <c r="H30" i="7"/>
  <c r="H40" i="7"/>
  <c r="H41" i="7"/>
  <c r="H42" i="7"/>
  <c r="H43" i="7"/>
  <c r="H44" i="7"/>
  <c r="B6" i="4" l="1"/>
  <c r="B7" i="4"/>
  <c r="B8" i="4"/>
  <c r="B9" i="4"/>
  <c r="E10" i="7" s="1"/>
  <c r="H25" i="7" l="1"/>
  <c r="H28" i="7"/>
  <c r="D8" i="4"/>
  <c r="C7" i="4"/>
  <c r="E7" i="4"/>
  <c r="G7" i="4"/>
  <c r="F8" i="4"/>
  <c r="C8" i="4"/>
  <c r="D7" i="4"/>
  <c r="F7" i="4"/>
  <c r="H7" i="4"/>
  <c r="C9" i="4"/>
  <c r="H9" i="4"/>
  <c r="E8" i="4"/>
  <c r="G8" i="4"/>
  <c r="H8" i="4"/>
  <c r="C6" i="4"/>
  <c r="D6" i="4"/>
  <c r="E6" i="4"/>
  <c r="F6" i="4"/>
  <c r="G6" i="4"/>
  <c r="H6" i="4"/>
  <c r="G9" i="4" l="1"/>
  <c r="F9" i="4"/>
  <c r="E9" i="4"/>
  <c r="D9" i="4"/>
  <c r="D108" i="7" l="1"/>
  <c r="D78" i="7"/>
  <c r="P4" i="7"/>
  <c r="P23" i="7" s="1"/>
  <c r="G54" i="4" l="1"/>
  <c r="G55" i="4"/>
  <c r="B56" i="4"/>
  <c r="D56" i="4" s="1"/>
  <c r="C55" i="4"/>
  <c r="C54" i="4"/>
  <c r="B12" i="4"/>
  <c r="B11" i="4"/>
  <c r="B10" i="4"/>
  <c r="E9" i="7" s="1"/>
  <c r="F9" i="7" s="1"/>
  <c r="H9" i="7" s="1"/>
  <c r="C56" i="4" l="1"/>
  <c r="O7" i="11" s="1"/>
  <c r="O12" i="11" s="1"/>
  <c r="O22" i="11"/>
  <c r="O25" i="11"/>
  <c r="O17" i="11"/>
  <c r="O13" i="11"/>
  <c r="O58" i="11"/>
  <c r="O74" i="11"/>
  <c r="O90" i="11"/>
  <c r="O16" i="11"/>
  <c r="O55" i="11"/>
  <c r="O71" i="11"/>
  <c r="O87" i="11"/>
  <c r="O20" i="11"/>
  <c r="O47" i="11"/>
  <c r="O95" i="11"/>
  <c r="O52" i="11"/>
  <c r="O49" i="11"/>
  <c r="O97" i="11"/>
  <c r="O86" i="11"/>
  <c r="O83" i="11"/>
  <c r="O18" i="11"/>
  <c r="O53" i="11"/>
  <c r="O10" i="11"/>
  <c r="O60" i="11"/>
  <c r="O76" i="11"/>
  <c r="O92" i="11"/>
  <c r="O11" i="11"/>
  <c r="O57" i="11"/>
  <c r="O73" i="11"/>
  <c r="O89" i="11"/>
  <c r="O15" i="11"/>
  <c r="O66" i="11"/>
  <c r="O63" i="11"/>
  <c r="O26" i="11"/>
  <c r="O70" i="11"/>
  <c r="O67" i="11"/>
  <c r="O56" i="11"/>
  <c r="O69" i="11"/>
  <c r="O46" i="11"/>
  <c r="O62" i="11"/>
  <c r="O78" i="11"/>
  <c r="O94" i="11"/>
  <c r="O14" i="11"/>
  <c r="O59" i="11"/>
  <c r="O75" i="11"/>
  <c r="O91" i="11"/>
  <c r="P91" i="11" s="1"/>
  <c r="R91" i="11" s="1"/>
  <c r="S91" i="11" s="1"/>
  <c r="O50" i="11"/>
  <c r="O98" i="11"/>
  <c r="O79" i="11"/>
  <c r="O68" i="11"/>
  <c r="O65" i="11"/>
  <c r="O54" i="11"/>
  <c r="O51" i="11"/>
  <c r="O72" i="11"/>
  <c r="P72" i="11" s="1"/>
  <c r="R72" i="11" s="1"/>
  <c r="S72" i="11" s="1"/>
  <c r="O88" i="11"/>
  <c r="O85" i="11"/>
  <c r="O48" i="11"/>
  <c r="O64" i="11"/>
  <c r="O80" i="11"/>
  <c r="O96" i="11"/>
  <c r="O9" i="11"/>
  <c r="O61" i="11"/>
  <c r="P61" i="11" s="1"/>
  <c r="R61" i="11" s="1"/>
  <c r="O77" i="11"/>
  <c r="O93" i="11"/>
  <c r="O82" i="11"/>
  <c r="O84" i="11"/>
  <c r="O81" i="11"/>
  <c r="O21" i="11"/>
  <c r="O24" i="11"/>
  <c r="O8" i="11"/>
  <c r="P8" i="11" s="1"/>
  <c r="O19" i="11"/>
  <c r="O23" i="11"/>
  <c r="E13" i="7"/>
  <c r="F13" i="7" s="1"/>
  <c r="H13" i="7" s="1"/>
  <c r="E85" i="7"/>
  <c r="E11" i="7"/>
  <c r="F11" i="7" s="1"/>
  <c r="H11" i="7" s="1"/>
  <c r="E14" i="7"/>
  <c r="F14" i="7" s="1"/>
  <c r="H14" i="7" s="1"/>
  <c r="E18" i="7"/>
  <c r="F18" i="7" s="1"/>
  <c r="H18" i="7" s="1"/>
  <c r="E86" i="7"/>
  <c r="E19" i="7"/>
  <c r="F19" i="7" s="1"/>
  <c r="H19" i="7" s="1"/>
  <c r="E16" i="7"/>
  <c r="F16" i="7" s="1"/>
  <c r="H16" i="7" s="1"/>
  <c r="B59" i="4"/>
  <c r="R88" i="7" s="1"/>
  <c r="C46" i="12"/>
  <c r="D46" i="12" s="1"/>
  <c r="E84" i="7"/>
  <c r="F84" i="7" s="1"/>
  <c r="H84" i="7" s="1"/>
  <c r="E82" i="7"/>
  <c r="F82" i="7" s="1"/>
  <c r="H82" i="7" s="1"/>
  <c r="H27" i="7"/>
  <c r="E8" i="7"/>
  <c r="F8" i="7" s="1"/>
  <c r="H8" i="7" s="1"/>
  <c r="E6" i="7"/>
  <c r="F6" i="7" s="1"/>
  <c r="H6" i="7" s="1"/>
  <c r="E83" i="7"/>
  <c r="F83" i="7" s="1"/>
  <c r="H83" i="7" s="1"/>
  <c r="H26" i="7"/>
  <c r="E7" i="7"/>
  <c r="F7" i="7" s="1"/>
  <c r="H7" i="7" s="1"/>
  <c r="F10" i="7"/>
  <c r="H10" i="7" s="1"/>
  <c r="E4" i="7"/>
  <c r="F4" i="7" s="1"/>
  <c r="E5" i="7"/>
  <c r="F5" i="7" s="1"/>
  <c r="H5" i="7" s="1"/>
  <c r="H11" i="4"/>
  <c r="G11" i="4"/>
  <c r="F11" i="4"/>
  <c r="E11" i="4"/>
  <c r="D11" i="4"/>
  <c r="C11" i="4"/>
  <c r="H10" i="4"/>
  <c r="C10" i="4"/>
  <c r="G10" i="4"/>
  <c r="F10" i="4"/>
  <c r="E10" i="4"/>
  <c r="D10" i="4"/>
  <c r="H12" i="4"/>
  <c r="G12" i="4"/>
  <c r="F12" i="4"/>
  <c r="E12" i="4"/>
  <c r="D12" i="4"/>
  <c r="C12" i="4"/>
  <c r="E17" i="7" s="1"/>
  <c r="F17" i="7" s="1"/>
  <c r="H17" i="7" s="1"/>
  <c r="G57" i="4"/>
  <c r="G59" i="4" s="1"/>
  <c r="P7" i="11" s="1"/>
  <c r="P21" i="11" l="1"/>
  <c r="Q21" i="11" s="1"/>
  <c r="S21" i="11" s="1"/>
  <c r="P96" i="11"/>
  <c r="R96" i="11" s="1"/>
  <c r="P54" i="11"/>
  <c r="R54" i="11" s="1"/>
  <c r="S54" i="11" s="1"/>
  <c r="P59" i="11"/>
  <c r="R59" i="11" s="1"/>
  <c r="S59" i="11" s="1"/>
  <c r="P67" i="11"/>
  <c r="R67" i="11" s="1"/>
  <c r="S67" i="11" s="1"/>
  <c r="P57" i="11"/>
  <c r="R57" i="11" s="1"/>
  <c r="P19" i="11"/>
  <c r="Q19" i="11" s="1"/>
  <c r="S19" i="11" s="1"/>
  <c r="P77" i="11"/>
  <c r="R77" i="11" s="1"/>
  <c r="S77" i="11" s="1"/>
  <c r="P88" i="11"/>
  <c r="R88" i="11" s="1"/>
  <c r="S88" i="11" s="1"/>
  <c r="P50" i="11"/>
  <c r="R50" i="11" s="1"/>
  <c r="S50" i="11" s="1"/>
  <c r="P46" i="11"/>
  <c r="P15" i="11"/>
  <c r="Q15" i="11" s="1"/>
  <c r="P10" i="11"/>
  <c r="Q10" i="11" s="1"/>
  <c r="P95" i="11"/>
  <c r="R95" i="11" s="1"/>
  <c r="S95" i="11" s="1"/>
  <c r="P74" i="11"/>
  <c r="R74" i="11" s="1"/>
  <c r="S74" i="11" s="1"/>
  <c r="P69" i="11"/>
  <c r="R69" i="11" s="1"/>
  <c r="S69" i="11" s="1"/>
  <c r="P89" i="11"/>
  <c r="R89" i="11" s="1"/>
  <c r="S89" i="11" s="1"/>
  <c r="P53" i="11"/>
  <c r="R53" i="11" s="1"/>
  <c r="S53" i="11" s="1"/>
  <c r="P47" i="11"/>
  <c r="R47" i="11" s="1"/>
  <c r="S47" i="11" s="1"/>
  <c r="P58" i="11"/>
  <c r="R58" i="11" s="1"/>
  <c r="S58" i="11" s="1"/>
  <c r="P24" i="11"/>
  <c r="R24" i="11" s="1"/>
  <c r="P9" i="11"/>
  <c r="Q9" i="11" s="1"/>
  <c r="S9" i="11" s="1"/>
  <c r="P51" i="11"/>
  <c r="R51" i="11" s="1"/>
  <c r="P75" i="11"/>
  <c r="R75" i="11" s="1"/>
  <c r="S75" i="11" s="1"/>
  <c r="P56" i="11"/>
  <c r="R56" i="11" s="1"/>
  <c r="S56" i="11" s="1"/>
  <c r="P73" i="11"/>
  <c r="R73" i="11" s="1"/>
  <c r="S73" i="11" s="1"/>
  <c r="P18" i="11"/>
  <c r="Q18" i="11" s="1"/>
  <c r="P20" i="11"/>
  <c r="Q20" i="11" s="1"/>
  <c r="S20" i="11" s="1"/>
  <c r="P13" i="11"/>
  <c r="Q13" i="11" s="1"/>
  <c r="P23" i="11"/>
  <c r="Q23" i="11" s="1"/>
  <c r="P93" i="11"/>
  <c r="R93" i="11" s="1"/>
  <c r="S93" i="11" s="1"/>
  <c r="P85" i="11"/>
  <c r="R85" i="11" s="1"/>
  <c r="S85" i="11" s="1"/>
  <c r="P98" i="11"/>
  <c r="P62" i="11"/>
  <c r="R62" i="11" s="1"/>
  <c r="S62" i="11" s="1"/>
  <c r="P66" i="11"/>
  <c r="R66" i="11" s="1"/>
  <c r="S66" i="11" s="1"/>
  <c r="P60" i="11"/>
  <c r="R60" i="11" s="1"/>
  <c r="P52" i="11"/>
  <c r="R52" i="11" s="1"/>
  <c r="S52" i="11" s="1"/>
  <c r="P90" i="11"/>
  <c r="R90" i="11" s="1"/>
  <c r="S90" i="11" s="1"/>
  <c r="S15" i="11"/>
  <c r="S18" i="11"/>
  <c r="P87" i="11"/>
  <c r="R87" i="11" s="1"/>
  <c r="S87" i="11" s="1"/>
  <c r="E15" i="7"/>
  <c r="F15" i="7" s="1"/>
  <c r="H15" i="7" s="1"/>
  <c r="E12" i="7"/>
  <c r="F12" i="7" s="1"/>
  <c r="H12" i="7" s="1"/>
  <c r="P81" i="11"/>
  <c r="R81" i="11" s="1"/>
  <c r="S81" i="11" s="1"/>
  <c r="P80" i="11"/>
  <c r="R80" i="11" s="1"/>
  <c r="S80" i="11" s="1"/>
  <c r="P65" i="11"/>
  <c r="R65" i="11" s="1"/>
  <c r="S65" i="11" s="1"/>
  <c r="P14" i="11"/>
  <c r="Q14" i="11" s="1"/>
  <c r="S14" i="11" s="1"/>
  <c r="P70" i="11"/>
  <c r="R70" i="11" s="1"/>
  <c r="S70" i="11" s="1"/>
  <c r="P11" i="11"/>
  <c r="Q11" i="11" s="1"/>
  <c r="P86" i="11"/>
  <c r="R86" i="11" s="1"/>
  <c r="S86" i="11" s="1"/>
  <c r="P71" i="11"/>
  <c r="R71" i="11" s="1"/>
  <c r="S71" i="11" s="1"/>
  <c r="P25" i="11"/>
  <c r="R25" i="11" s="1"/>
  <c r="S10" i="11"/>
  <c r="S61" i="11"/>
  <c r="S13" i="11"/>
  <c r="Q96" i="11"/>
  <c r="S57" i="11"/>
  <c r="P83" i="11"/>
  <c r="R83" i="11" s="1"/>
  <c r="S83" i="11" s="1"/>
  <c r="P64" i="11"/>
  <c r="R64" i="11" s="1"/>
  <c r="S64" i="11" s="1"/>
  <c r="P68" i="11"/>
  <c r="R68" i="11" s="1"/>
  <c r="S68" i="11" s="1"/>
  <c r="P26" i="11"/>
  <c r="R26" i="11" s="1"/>
  <c r="P92" i="11"/>
  <c r="R92" i="11" s="1"/>
  <c r="S92" i="11" s="1"/>
  <c r="P97" i="11"/>
  <c r="P55" i="11"/>
  <c r="R55" i="11" s="1"/>
  <c r="P22" i="11"/>
  <c r="Q22" i="11" s="1"/>
  <c r="R46" i="11"/>
  <c r="Q95" i="11"/>
  <c r="Q8" i="11"/>
  <c r="S24" i="11"/>
  <c r="C35" i="12"/>
  <c r="D35" i="12" s="1"/>
  <c r="O20" i="7" s="1"/>
  <c r="Q20" i="7" s="1"/>
  <c r="R20" i="7" s="1"/>
  <c r="S51" i="11"/>
  <c r="P17" i="11"/>
  <c r="Q17" i="11" s="1"/>
  <c r="P84" i="11"/>
  <c r="R84" i="11" s="1"/>
  <c r="S84" i="11" s="1"/>
  <c r="P94" i="11"/>
  <c r="P82" i="11"/>
  <c r="R82" i="11" s="1"/>
  <c r="S82" i="11" s="1"/>
  <c r="P48" i="11"/>
  <c r="R48" i="11" s="1"/>
  <c r="P79" i="11"/>
  <c r="R79" i="11" s="1"/>
  <c r="S79" i="11" s="1"/>
  <c r="P78" i="11"/>
  <c r="R78" i="11" s="1"/>
  <c r="S78" i="11" s="1"/>
  <c r="P63" i="11"/>
  <c r="R63" i="11" s="1"/>
  <c r="S63" i="11" s="1"/>
  <c r="P76" i="11"/>
  <c r="R76" i="11" s="1"/>
  <c r="S76" i="11" s="1"/>
  <c r="P49" i="11"/>
  <c r="R49" i="11" s="1"/>
  <c r="S49" i="11" s="1"/>
  <c r="P16" i="11"/>
  <c r="Q16" i="11" s="1"/>
  <c r="S16" i="11" s="1"/>
  <c r="P12" i="11"/>
  <c r="Q12" i="11" s="1"/>
  <c r="H4" i="7"/>
  <c r="H23" i="7" s="1"/>
  <c r="H35" i="7"/>
  <c r="H32" i="7"/>
  <c r="H24" i="7"/>
  <c r="H31" i="7"/>
  <c r="H37" i="7"/>
  <c r="H34" i="7"/>
  <c r="B60" i="4"/>
  <c r="B62" i="4" s="1"/>
  <c r="F23" i="7" l="1"/>
  <c r="S17" i="11"/>
  <c r="S11" i="11"/>
  <c r="Q94" i="11"/>
  <c r="R94" i="11"/>
  <c r="S55" i="11"/>
  <c r="P126" i="11"/>
  <c r="R98" i="11"/>
  <c r="S98" i="11" s="1"/>
  <c r="Q98" i="11"/>
  <c r="S12" i="11"/>
  <c r="S22" i="11"/>
  <c r="S8" i="11"/>
  <c r="Q97" i="11"/>
  <c r="R97" i="11"/>
  <c r="S96" i="11"/>
  <c r="S25" i="11"/>
  <c r="S23" i="11"/>
  <c r="S46" i="11"/>
  <c r="S48" i="11"/>
  <c r="P43" i="11"/>
  <c r="S26" i="11"/>
  <c r="S60" i="11"/>
  <c r="H33" i="7"/>
  <c r="H36" i="7"/>
  <c r="H39" i="7"/>
  <c r="H38" i="7"/>
  <c r="F78" i="7"/>
  <c r="S97" i="11" l="1"/>
  <c r="P128" i="11"/>
  <c r="S43" i="11"/>
  <c r="S94" i="11"/>
  <c r="H77" i="7"/>
  <c r="H78" i="7" s="1"/>
  <c r="D110" i="7" s="1"/>
  <c r="P78" i="7"/>
  <c r="D109" i="7"/>
  <c r="S126" i="11" l="1"/>
  <c r="S128" i="11" s="1"/>
  <c r="I87" i="7"/>
  <c r="J87" i="7" s="1"/>
  <c r="K87" i="7" s="1"/>
  <c r="N87" i="7" s="1"/>
  <c r="I88" i="7"/>
  <c r="J88" i="7" s="1"/>
  <c r="K88" i="7" s="1"/>
  <c r="I84" i="7"/>
  <c r="J84" i="7" s="1"/>
  <c r="K84" i="7" s="1"/>
  <c r="N84" i="7" s="1"/>
  <c r="I86" i="7"/>
  <c r="J86" i="7" s="1"/>
  <c r="K86" i="7" s="1"/>
  <c r="I90" i="7"/>
  <c r="J90" i="7" s="1"/>
  <c r="K90" i="7" s="1"/>
  <c r="I92" i="7"/>
  <c r="J92" i="7" s="1"/>
  <c r="K92" i="7" s="1"/>
  <c r="N92" i="7" s="1"/>
  <c r="I94" i="7"/>
  <c r="J94" i="7" s="1"/>
  <c r="K94" i="7" s="1"/>
  <c r="N94" i="7" s="1"/>
  <c r="I96" i="7"/>
  <c r="J96" i="7" s="1"/>
  <c r="K96" i="7" s="1"/>
  <c r="I98" i="7"/>
  <c r="J98" i="7" s="1"/>
  <c r="K98" i="7" s="1"/>
  <c r="I100" i="7"/>
  <c r="J100" i="7" s="1"/>
  <c r="K100" i="7" s="1"/>
  <c r="N100" i="7" s="1"/>
  <c r="I85" i="7"/>
  <c r="J85" i="7" s="1"/>
  <c r="K85" i="7" s="1"/>
  <c r="I89" i="7"/>
  <c r="J89" i="7" s="1"/>
  <c r="K89" i="7" s="1"/>
  <c r="I91" i="7"/>
  <c r="J91" i="7" s="1"/>
  <c r="K91" i="7" s="1"/>
  <c r="I93" i="7"/>
  <c r="J93" i="7" s="1"/>
  <c r="K93" i="7" s="1"/>
  <c r="I95" i="7"/>
  <c r="J95" i="7" s="1"/>
  <c r="K95" i="7" s="1"/>
  <c r="I97" i="7"/>
  <c r="J97" i="7" s="1"/>
  <c r="K97" i="7" s="1"/>
  <c r="N97" i="7" s="1"/>
  <c r="I99" i="7"/>
  <c r="J99" i="7" s="1"/>
  <c r="K99" i="7" s="1"/>
  <c r="N99" i="7" s="1"/>
  <c r="I101" i="7"/>
  <c r="J101" i="7" s="1"/>
  <c r="K101" i="7" s="1"/>
  <c r="I4" i="7"/>
  <c r="J4" i="7" s="1"/>
  <c r="I60" i="7"/>
  <c r="J60" i="7" s="1"/>
  <c r="K60" i="7" s="1"/>
  <c r="L60" i="7" s="1"/>
  <c r="I61" i="7"/>
  <c r="J61" i="7" s="1"/>
  <c r="K61" i="7" s="1"/>
  <c r="L61" i="7" s="1"/>
  <c r="I62" i="7"/>
  <c r="J62" i="7" s="1"/>
  <c r="K62" i="7" s="1"/>
  <c r="L62" i="7" s="1"/>
  <c r="I63" i="7"/>
  <c r="J63" i="7" s="1"/>
  <c r="K63" i="7" s="1"/>
  <c r="L63" i="7" s="1"/>
  <c r="I64" i="7"/>
  <c r="J64" i="7" s="1"/>
  <c r="K64" i="7" s="1"/>
  <c r="L64" i="7" s="1"/>
  <c r="I65" i="7"/>
  <c r="J65" i="7" s="1"/>
  <c r="K65" i="7" s="1"/>
  <c r="L65" i="7" s="1"/>
  <c r="I66" i="7"/>
  <c r="J66" i="7" s="1"/>
  <c r="K66" i="7" s="1"/>
  <c r="L66" i="7" s="1"/>
  <c r="I67" i="7"/>
  <c r="J67" i="7" s="1"/>
  <c r="K67" i="7" s="1"/>
  <c r="L67" i="7" s="1"/>
  <c r="I68" i="7"/>
  <c r="J68" i="7" s="1"/>
  <c r="K68" i="7" s="1"/>
  <c r="L68" i="7" s="1"/>
  <c r="I69" i="7"/>
  <c r="J69" i="7" s="1"/>
  <c r="K69" i="7" s="1"/>
  <c r="L69" i="7" s="1"/>
  <c r="I70" i="7"/>
  <c r="J70" i="7" s="1"/>
  <c r="K70" i="7" s="1"/>
  <c r="L70" i="7" s="1"/>
  <c r="I71" i="7"/>
  <c r="J71" i="7" s="1"/>
  <c r="K71" i="7" s="1"/>
  <c r="L71" i="7" s="1"/>
  <c r="C109" i="12" s="1"/>
  <c r="I72" i="7"/>
  <c r="J72" i="7" s="1"/>
  <c r="K72" i="7" s="1"/>
  <c r="L72" i="7" s="1"/>
  <c r="I73" i="7"/>
  <c r="J73" i="7" s="1"/>
  <c r="K73" i="7" s="1"/>
  <c r="L73" i="7" s="1"/>
  <c r="I74" i="7"/>
  <c r="J74" i="7" s="1"/>
  <c r="K74" i="7" s="1"/>
  <c r="L74" i="7" s="1"/>
  <c r="I75" i="7"/>
  <c r="J75" i="7" s="1"/>
  <c r="K75" i="7" s="1"/>
  <c r="L75" i="7" s="1"/>
  <c r="I76" i="7"/>
  <c r="J76" i="7" s="1"/>
  <c r="K76" i="7" s="1"/>
  <c r="L76" i="7" s="1"/>
  <c r="I59" i="7"/>
  <c r="J59" i="7" s="1"/>
  <c r="K59" i="7" s="1"/>
  <c r="L59" i="7" s="1"/>
  <c r="I57" i="7"/>
  <c r="J57" i="7" s="1"/>
  <c r="K57" i="7" s="1"/>
  <c r="L57" i="7" s="1"/>
  <c r="I55" i="7"/>
  <c r="J55" i="7" s="1"/>
  <c r="K55" i="7" s="1"/>
  <c r="L55" i="7" s="1"/>
  <c r="I53" i="7"/>
  <c r="J53" i="7" s="1"/>
  <c r="K53" i="7" s="1"/>
  <c r="L53" i="7" s="1"/>
  <c r="N53" i="7" s="1"/>
  <c r="I51" i="7"/>
  <c r="J51" i="7" s="1"/>
  <c r="K51" i="7" s="1"/>
  <c r="L51" i="7" s="1"/>
  <c r="N51" i="7" s="1"/>
  <c r="I49" i="7"/>
  <c r="J49" i="7" s="1"/>
  <c r="K49" i="7" s="1"/>
  <c r="L49" i="7" s="1"/>
  <c r="N49" i="7" s="1"/>
  <c r="I47" i="7"/>
  <c r="J47" i="7" s="1"/>
  <c r="K47" i="7" s="1"/>
  <c r="L47" i="7" s="1"/>
  <c r="N47" i="7" s="1"/>
  <c r="I45" i="7"/>
  <c r="J45" i="7" s="1"/>
  <c r="K45" i="7" s="1"/>
  <c r="L45" i="7" s="1"/>
  <c r="N45" i="7" s="1"/>
  <c r="I58" i="7"/>
  <c r="J58" i="7" s="1"/>
  <c r="K58" i="7" s="1"/>
  <c r="L58" i="7" s="1"/>
  <c r="I56" i="7"/>
  <c r="J56" i="7" s="1"/>
  <c r="K56" i="7" s="1"/>
  <c r="L56" i="7" s="1"/>
  <c r="I54" i="7"/>
  <c r="J54" i="7" s="1"/>
  <c r="K54" i="7" s="1"/>
  <c r="L54" i="7" s="1"/>
  <c r="N54" i="7" s="1"/>
  <c r="I52" i="7"/>
  <c r="J52" i="7" s="1"/>
  <c r="K52" i="7" s="1"/>
  <c r="L52" i="7" s="1"/>
  <c r="N52" i="7" s="1"/>
  <c r="I50" i="7"/>
  <c r="J50" i="7" s="1"/>
  <c r="K50" i="7" s="1"/>
  <c r="L50" i="7" s="1"/>
  <c r="N50" i="7" s="1"/>
  <c r="I48" i="7"/>
  <c r="J48" i="7" s="1"/>
  <c r="K48" i="7" s="1"/>
  <c r="L48" i="7" s="1"/>
  <c r="N48" i="7" s="1"/>
  <c r="I46" i="7"/>
  <c r="J46" i="7" s="1"/>
  <c r="K46" i="7" s="1"/>
  <c r="L46" i="7" s="1"/>
  <c r="N46" i="7" s="1"/>
  <c r="I6" i="7"/>
  <c r="J6" i="7" s="1"/>
  <c r="K6" i="7" s="1"/>
  <c r="L6" i="7" s="1"/>
  <c r="I8" i="7"/>
  <c r="J8" i="7" s="1"/>
  <c r="K8" i="7" s="1"/>
  <c r="L8" i="7" s="1"/>
  <c r="I10" i="7"/>
  <c r="J10" i="7" s="1"/>
  <c r="K10" i="7" s="1"/>
  <c r="L10" i="7" s="1"/>
  <c r="N10" i="7" s="1"/>
  <c r="I12" i="7"/>
  <c r="J12" i="7" s="1"/>
  <c r="K12" i="7" s="1"/>
  <c r="L12" i="7" s="1"/>
  <c r="N12" i="7" s="1"/>
  <c r="I14" i="7"/>
  <c r="J14" i="7" s="1"/>
  <c r="K14" i="7" s="1"/>
  <c r="L14" i="7" s="1"/>
  <c r="I16" i="7"/>
  <c r="J16" i="7" s="1"/>
  <c r="K16" i="7" s="1"/>
  <c r="L16" i="7" s="1"/>
  <c r="I18" i="7"/>
  <c r="J18" i="7" s="1"/>
  <c r="K18" i="7" s="1"/>
  <c r="L18" i="7" s="1"/>
  <c r="I20" i="7"/>
  <c r="J20" i="7" s="1"/>
  <c r="K20" i="7" s="1"/>
  <c r="I22" i="7"/>
  <c r="J22" i="7" s="1"/>
  <c r="K22" i="7" s="1"/>
  <c r="I5" i="7"/>
  <c r="J5" i="7" s="1"/>
  <c r="K5" i="7" s="1"/>
  <c r="L5" i="7" s="1"/>
  <c r="I7" i="7"/>
  <c r="J7" i="7" s="1"/>
  <c r="K7" i="7" s="1"/>
  <c r="L7" i="7" s="1"/>
  <c r="I9" i="7"/>
  <c r="J9" i="7" s="1"/>
  <c r="K9" i="7" s="1"/>
  <c r="L9" i="7" s="1"/>
  <c r="I11" i="7"/>
  <c r="J11" i="7" s="1"/>
  <c r="K11" i="7" s="1"/>
  <c r="L11" i="7" s="1"/>
  <c r="I13" i="7"/>
  <c r="J13" i="7" s="1"/>
  <c r="K13" i="7" s="1"/>
  <c r="L13" i="7" s="1"/>
  <c r="I15" i="7"/>
  <c r="J15" i="7" s="1"/>
  <c r="K15" i="7" s="1"/>
  <c r="L15" i="7" s="1"/>
  <c r="N15" i="7" s="1"/>
  <c r="I17" i="7"/>
  <c r="J17" i="7" s="1"/>
  <c r="K17" i="7" s="1"/>
  <c r="L17" i="7" s="1"/>
  <c r="N17" i="7" s="1"/>
  <c r="I19" i="7"/>
  <c r="J19" i="7" s="1"/>
  <c r="K19" i="7" s="1"/>
  <c r="L19" i="7" s="1"/>
  <c r="I21" i="7"/>
  <c r="J21" i="7" s="1"/>
  <c r="K21" i="7" s="1"/>
  <c r="I83" i="7"/>
  <c r="J83" i="7" s="1"/>
  <c r="I82" i="7"/>
  <c r="J82" i="7" s="1"/>
  <c r="I24" i="7"/>
  <c r="I25" i="7"/>
  <c r="J25" i="7" s="1"/>
  <c r="I44" i="7"/>
  <c r="J44" i="7" s="1"/>
  <c r="I29" i="7"/>
  <c r="J29" i="7" s="1"/>
  <c r="I28" i="7"/>
  <c r="J28" i="7" s="1"/>
  <c r="I37" i="7"/>
  <c r="J37" i="7" s="1"/>
  <c r="I36" i="7"/>
  <c r="J36" i="7" s="1"/>
  <c r="I42" i="7"/>
  <c r="J42" i="7" s="1"/>
  <c r="I41" i="7"/>
  <c r="J41" i="7" s="1"/>
  <c r="I33" i="7"/>
  <c r="J33" i="7" s="1"/>
  <c r="I40" i="7"/>
  <c r="J40" i="7" s="1"/>
  <c r="I32" i="7"/>
  <c r="J32" i="7" s="1"/>
  <c r="I43" i="7"/>
  <c r="J43" i="7" s="1"/>
  <c r="I39" i="7"/>
  <c r="J39" i="7" s="1"/>
  <c r="I35" i="7"/>
  <c r="J35" i="7" s="1"/>
  <c r="I27" i="7"/>
  <c r="J27" i="7" s="1"/>
  <c r="I31" i="7"/>
  <c r="J31" i="7" s="1"/>
  <c r="I38" i="7"/>
  <c r="J38" i="7" s="1"/>
  <c r="I34" i="7"/>
  <c r="J34" i="7" s="1"/>
  <c r="I30" i="7"/>
  <c r="J30" i="7" s="1"/>
  <c r="I26" i="7"/>
  <c r="J26" i="7" s="1"/>
  <c r="N13" i="7" l="1"/>
  <c r="C22" i="12"/>
  <c r="D22" i="12" s="1"/>
  <c r="O13" i="7" s="1"/>
  <c r="Q13" i="7" s="1"/>
  <c r="R13" i="7" s="1"/>
  <c r="N5" i="7"/>
  <c r="C13" i="12"/>
  <c r="D13" i="12" s="1"/>
  <c r="O5" i="7" s="1"/>
  <c r="Q5" i="7" s="1"/>
  <c r="R5" i="7" s="1"/>
  <c r="N16" i="7"/>
  <c r="C25" i="12"/>
  <c r="D25" i="12" s="1"/>
  <c r="O16" i="7" s="1"/>
  <c r="N8" i="7"/>
  <c r="C18" i="12"/>
  <c r="D18" i="12" s="1"/>
  <c r="O8" i="7" s="1"/>
  <c r="Q8" i="7" s="1"/>
  <c r="R8" i="7" s="1"/>
  <c r="N9" i="7"/>
  <c r="C19" i="12"/>
  <c r="D19" i="12" s="1"/>
  <c r="O9" i="7" s="1"/>
  <c r="C85" i="12"/>
  <c r="D85" i="12" s="1"/>
  <c r="C76" i="12"/>
  <c r="N7" i="7"/>
  <c r="C15" i="12"/>
  <c r="D15" i="12" s="1"/>
  <c r="O7" i="7" s="1"/>
  <c r="Q7" i="7" s="1"/>
  <c r="R7" i="7" s="1"/>
  <c r="N18" i="7"/>
  <c r="C26" i="12"/>
  <c r="D26" i="12" s="1"/>
  <c r="O18" i="7" s="1"/>
  <c r="Q18" i="7" s="1"/>
  <c r="R18" i="7" s="1"/>
  <c r="C73" i="12"/>
  <c r="C84" i="12"/>
  <c r="D84" i="12" s="1"/>
  <c r="N19" i="7"/>
  <c r="C27" i="12"/>
  <c r="D27" i="12" s="1"/>
  <c r="O19" i="7" s="1"/>
  <c r="Q19" i="7" s="1"/>
  <c r="R19" i="7" s="1"/>
  <c r="N11" i="7"/>
  <c r="C21" i="12"/>
  <c r="D21" i="12" s="1"/>
  <c r="O11" i="7" s="1"/>
  <c r="N14" i="7"/>
  <c r="C23" i="12"/>
  <c r="D23" i="12" s="1"/>
  <c r="O14" i="7" s="1"/>
  <c r="N6" i="7"/>
  <c r="C14" i="12"/>
  <c r="D14" i="12" s="1"/>
  <c r="O6" i="7" s="1"/>
  <c r="Q6" i="7" s="1"/>
  <c r="R6" i="7" s="1"/>
  <c r="C82" i="12"/>
  <c r="D82" i="12" s="1"/>
  <c r="C106" i="12"/>
  <c r="D106" i="12" s="1"/>
  <c r="C89" i="12"/>
  <c r="L98" i="7"/>
  <c r="N98" i="7"/>
  <c r="L97" i="7"/>
  <c r="D109" i="12"/>
  <c r="N101" i="7"/>
  <c r="L93" i="7"/>
  <c r="N93" i="7"/>
  <c r="L96" i="7"/>
  <c r="N96" i="7"/>
  <c r="L95" i="7"/>
  <c r="N95" i="7"/>
  <c r="L86" i="7"/>
  <c r="N86" i="7"/>
  <c r="C28" i="12" s="1"/>
  <c r="L85" i="7"/>
  <c r="N85" i="7"/>
  <c r="C24" i="12" s="1"/>
  <c r="L92" i="7"/>
  <c r="C79" i="12"/>
  <c r="C86" i="12" s="1"/>
  <c r="L84" i="7"/>
  <c r="C20" i="12"/>
  <c r="N88" i="7"/>
  <c r="L88" i="7"/>
  <c r="L87" i="7"/>
  <c r="L101" i="7"/>
  <c r="N89" i="7"/>
  <c r="L89" i="7"/>
  <c r="L100" i="7"/>
  <c r="L99" i="7"/>
  <c r="N91" i="7"/>
  <c r="L91" i="7"/>
  <c r="L94" i="7"/>
  <c r="N90" i="7"/>
  <c r="L90" i="7"/>
  <c r="J24" i="7"/>
  <c r="K24" i="7" s="1"/>
  <c r="L24" i="7" s="1"/>
  <c r="I77" i="7"/>
  <c r="I23" i="7"/>
  <c r="L21" i="7"/>
  <c r="L20" i="7"/>
  <c r="N20" i="7" s="1"/>
  <c r="L22" i="7"/>
  <c r="S46" i="7"/>
  <c r="S50" i="7"/>
  <c r="S54" i="7"/>
  <c r="N58" i="7"/>
  <c r="S58" i="7" s="1"/>
  <c r="S47" i="7"/>
  <c r="S51" i="7"/>
  <c r="N55" i="7"/>
  <c r="S55" i="7" s="1"/>
  <c r="N59" i="7"/>
  <c r="S59" i="7" s="1"/>
  <c r="N75" i="7"/>
  <c r="S75" i="7" s="1"/>
  <c r="N73" i="7"/>
  <c r="S73" i="7" s="1"/>
  <c r="N71" i="7"/>
  <c r="S71" i="7" s="1"/>
  <c r="N69" i="7"/>
  <c r="S69" i="7" s="1"/>
  <c r="N67" i="7"/>
  <c r="S67" i="7" s="1"/>
  <c r="N65" i="7"/>
  <c r="S65" i="7" s="1"/>
  <c r="N63" i="7"/>
  <c r="S63" i="7" s="1"/>
  <c r="N61" i="7"/>
  <c r="S61" i="7" s="1"/>
  <c r="S48" i="7"/>
  <c r="S52" i="7"/>
  <c r="N56" i="7"/>
  <c r="S56" i="7" s="1"/>
  <c r="S45" i="7"/>
  <c r="S49" i="7"/>
  <c r="S53" i="7"/>
  <c r="N57" i="7"/>
  <c r="S57" i="7" s="1"/>
  <c r="N76" i="7"/>
  <c r="S76" i="7" s="1"/>
  <c r="N74" i="7"/>
  <c r="S74" i="7" s="1"/>
  <c r="N72" i="7"/>
  <c r="S72" i="7" s="1"/>
  <c r="N70" i="7"/>
  <c r="S70" i="7" s="1"/>
  <c r="N68" i="7"/>
  <c r="S68" i="7" s="1"/>
  <c r="N66" i="7"/>
  <c r="S66" i="7" s="1"/>
  <c r="N64" i="7"/>
  <c r="S64" i="7" s="1"/>
  <c r="N62" i="7"/>
  <c r="S62" i="7" s="1"/>
  <c r="N60" i="7"/>
  <c r="S60" i="7" s="1"/>
  <c r="S17" i="7"/>
  <c r="U17" i="7"/>
  <c r="S13" i="7"/>
  <c r="U13" i="7"/>
  <c r="S9" i="7"/>
  <c r="U9" i="7"/>
  <c r="S16" i="7"/>
  <c r="U16" i="7"/>
  <c r="S12" i="7"/>
  <c r="U12" i="7"/>
  <c r="S8" i="7"/>
  <c r="U8" i="7"/>
  <c r="S19" i="7"/>
  <c r="U19" i="7"/>
  <c r="S15" i="7"/>
  <c r="U15" i="7"/>
  <c r="S11" i="7"/>
  <c r="U11" i="7"/>
  <c r="S7" i="7"/>
  <c r="U7" i="7"/>
  <c r="S18" i="7"/>
  <c r="U18" i="7"/>
  <c r="S14" i="7"/>
  <c r="U14" i="7"/>
  <c r="S10" i="7"/>
  <c r="U10" i="7"/>
  <c r="S6" i="7"/>
  <c r="U6" i="7"/>
  <c r="K82" i="7"/>
  <c r="C16" i="12" s="1"/>
  <c r="D16" i="12" s="1"/>
  <c r="O82" i="7" s="1"/>
  <c r="K83" i="7"/>
  <c r="C17" i="12" s="1"/>
  <c r="D17" i="12" s="1"/>
  <c r="O83" i="7" s="1"/>
  <c r="K4" i="7"/>
  <c r="L4" i="7" s="1"/>
  <c r="K30" i="7"/>
  <c r="L30" i="7" s="1"/>
  <c r="N30" i="7" s="1"/>
  <c r="K38" i="7"/>
  <c r="L38" i="7" s="1"/>
  <c r="N38" i="7" s="1"/>
  <c r="K27" i="7"/>
  <c r="L27" i="7" s="1"/>
  <c r="N27" i="7" s="1"/>
  <c r="K39" i="7"/>
  <c r="L39" i="7" s="1"/>
  <c r="K32" i="7"/>
  <c r="L32" i="7" s="1"/>
  <c r="N32" i="7" s="1"/>
  <c r="K33" i="7"/>
  <c r="L33" i="7" s="1"/>
  <c r="K42" i="7"/>
  <c r="L42" i="7" s="1"/>
  <c r="N42" i="7" s="1"/>
  <c r="K37" i="7"/>
  <c r="L37" i="7" s="1"/>
  <c r="N37" i="7" s="1"/>
  <c r="K29" i="7"/>
  <c r="L29" i="7" s="1"/>
  <c r="K25" i="7"/>
  <c r="L25" i="7" s="1"/>
  <c r="N25" i="7" s="1"/>
  <c r="K26" i="7"/>
  <c r="L26" i="7" s="1"/>
  <c r="K34" i="7"/>
  <c r="L34" i="7" s="1"/>
  <c r="N34" i="7" s="1"/>
  <c r="K31" i="7"/>
  <c r="L31" i="7" s="1"/>
  <c r="N31" i="7" s="1"/>
  <c r="K35" i="7"/>
  <c r="L35" i="7" s="1"/>
  <c r="K43" i="7"/>
  <c r="L43" i="7" s="1"/>
  <c r="N43" i="7" s="1"/>
  <c r="K40" i="7"/>
  <c r="L40" i="7" s="1"/>
  <c r="N40" i="7" s="1"/>
  <c r="K41" i="7"/>
  <c r="L41" i="7" s="1"/>
  <c r="N41" i="7" s="1"/>
  <c r="K36" i="7"/>
  <c r="L36" i="7" s="1"/>
  <c r="K28" i="7"/>
  <c r="L28" i="7" s="1"/>
  <c r="N28" i="7" s="1"/>
  <c r="K44" i="7"/>
  <c r="L44" i="7" s="1"/>
  <c r="N44" i="7" s="1"/>
  <c r="N29" i="7" l="1"/>
  <c r="U29" i="7" s="1"/>
  <c r="C51" i="12"/>
  <c r="Q14" i="7"/>
  <c r="R14" i="7" s="1"/>
  <c r="O15" i="7"/>
  <c r="Q15" i="7" s="1"/>
  <c r="R15" i="7" s="1"/>
  <c r="D76" i="12"/>
  <c r="O75" i="7" s="1"/>
  <c r="C77" i="12"/>
  <c r="D77" i="12" s="1"/>
  <c r="N39" i="7"/>
  <c r="C55" i="12"/>
  <c r="N4" i="7"/>
  <c r="S4" i="7" s="1"/>
  <c r="C12" i="12"/>
  <c r="D12" i="12" s="1"/>
  <c r="O4" i="7" s="1"/>
  <c r="Q4" i="7" s="1"/>
  <c r="T6" i="7"/>
  <c r="T14" i="7"/>
  <c r="T7" i="7"/>
  <c r="T8" i="7"/>
  <c r="T16" i="7"/>
  <c r="T13" i="7"/>
  <c r="N24" i="7"/>
  <c r="C49" i="12"/>
  <c r="N26" i="7"/>
  <c r="C50" i="12"/>
  <c r="Q11" i="7"/>
  <c r="R11" i="7" s="1"/>
  <c r="O12" i="7"/>
  <c r="Q12" i="7" s="1"/>
  <c r="R12" i="7" s="1"/>
  <c r="O10" i="7"/>
  <c r="Q10" i="7" s="1"/>
  <c r="R10" i="7" s="1"/>
  <c r="Q9" i="7"/>
  <c r="R9" i="7" s="1"/>
  <c r="Q16" i="7"/>
  <c r="R16" i="7" s="1"/>
  <c r="O17" i="7"/>
  <c r="Q17" i="7" s="1"/>
  <c r="R17" i="7" s="1"/>
  <c r="N22" i="7"/>
  <c r="S22" i="7" s="1"/>
  <c r="C9" i="12"/>
  <c r="D9" i="12" s="1"/>
  <c r="O22" i="7" s="1"/>
  <c r="Q22" i="7" s="1"/>
  <c r="R22" i="7" s="1"/>
  <c r="N21" i="7"/>
  <c r="C31" i="12"/>
  <c r="N36" i="7"/>
  <c r="C54" i="12"/>
  <c r="N35" i="7"/>
  <c r="C53" i="12"/>
  <c r="N33" i="7"/>
  <c r="S33" i="7" s="1"/>
  <c r="C52" i="12"/>
  <c r="T18" i="7"/>
  <c r="T11" i="7"/>
  <c r="T19" i="7"/>
  <c r="T12" i="7"/>
  <c r="T17" i="7"/>
  <c r="C90" i="12"/>
  <c r="D90" i="12" s="1"/>
  <c r="O94" i="7" s="1"/>
  <c r="D89" i="12"/>
  <c r="C104" i="12"/>
  <c r="D104" i="12" s="1"/>
  <c r="D73" i="12"/>
  <c r="O74" i="7" s="1"/>
  <c r="Q74" i="7" s="1"/>
  <c r="R74" i="7" s="1"/>
  <c r="C74" i="12"/>
  <c r="D74" i="12" s="1"/>
  <c r="O90" i="7" s="1"/>
  <c r="O71" i="7"/>
  <c r="Q71" i="7" s="1"/>
  <c r="R71" i="7" s="1"/>
  <c r="O100" i="7"/>
  <c r="O91" i="7"/>
  <c r="C110" i="12"/>
  <c r="D28" i="12"/>
  <c r="O86" i="7" s="1"/>
  <c r="D20" i="12"/>
  <c r="O84" i="7" s="1"/>
  <c r="D24" i="12"/>
  <c r="O85" i="7" s="1"/>
  <c r="D86" i="12"/>
  <c r="C80" i="12"/>
  <c r="D80" i="12" s="1"/>
  <c r="O93" i="7" s="1"/>
  <c r="D79" i="12"/>
  <c r="O92" i="7" s="1"/>
  <c r="V10" i="7"/>
  <c r="W10" i="7" s="1"/>
  <c r="X10" i="7" s="1"/>
  <c r="Y10" i="7"/>
  <c r="V18" i="7"/>
  <c r="W18" i="7" s="1"/>
  <c r="X18" i="7" s="1"/>
  <c r="Y18" i="7"/>
  <c r="V11" i="7"/>
  <c r="W11" i="7" s="1"/>
  <c r="X11" i="7" s="1"/>
  <c r="Y11" i="7"/>
  <c r="V19" i="7"/>
  <c r="W19" i="7" s="1"/>
  <c r="X19" i="7" s="1"/>
  <c r="Y19" i="7"/>
  <c r="V12" i="7"/>
  <c r="W12" i="7" s="1"/>
  <c r="X12" i="7" s="1"/>
  <c r="Y12" i="7"/>
  <c r="V9" i="7"/>
  <c r="W9" i="7" s="1"/>
  <c r="Y9" i="7"/>
  <c r="V17" i="7"/>
  <c r="W17" i="7" s="1"/>
  <c r="X17" i="7" s="1"/>
  <c r="Y17" i="7"/>
  <c r="V6" i="7"/>
  <c r="W6" i="7" s="1"/>
  <c r="X6" i="7" s="1"/>
  <c r="Y6" i="7"/>
  <c r="V14" i="7"/>
  <c r="W14" i="7" s="1"/>
  <c r="X14" i="7" s="1"/>
  <c r="Y14" i="7"/>
  <c r="V7" i="7"/>
  <c r="W7" i="7" s="1"/>
  <c r="X7" i="7" s="1"/>
  <c r="Y7" i="7"/>
  <c r="V15" i="7"/>
  <c r="W15" i="7" s="1"/>
  <c r="X15" i="7" s="1"/>
  <c r="Y15" i="7"/>
  <c r="V8" i="7"/>
  <c r="W8" i="7" s="1"/>
  <c r="X8" i="7" s="1"/>
  <c r="Y8" i="7"/>
  <c r="V16" i="7"/>
  <c r="W16" i="7" s="1"/>
  <c r="X16" i="7" s="1"/>
  <c r="Y16" i="7"/>
  <c r="V13" i="7"/>
  <c r="W13" i="7" s="1"/>
  <c r="X13" i="7" s="1"/>
  <c r="Y13" i="7"/>
  <c r="N83" i="7"/>
  <c r="L83" i="7"/>
  <c r="N82" i="7"/>
  <c r="L82" i="7"/>
  <c r="U22" i="7"/>
  <c r="S20" i="7"/>
  <c r="T20" i="7" s="1"/>
  <c r="U20" i="7"/>
  <c r="S21" i="7"/>
  <c r="U21" i="7"/>
  <c r="S32" i="7"/>
  <c r="U60" i="7"/>
  <c r="U64" i="7"/>
  <c r="U68" i="7"/>
  <c r="U72" i="7"/>
  <c r="U76" i="7"/>
  <c r="U53" i="7"/>
  <c r="U45" i="7"/>
  <c r="U52" i="7"/>
  <c r="U61" i="7"/>
  <c r="U65" i="7"/>
  <c r="U69" i="7"/>
  <c r="U73" i="7"/>
  <c r="U59" i="7"/>
  <c r="U51" i="7"/>
  <c r="U58" i="7"/>
  <c r="U50" i="7"/>
  <c r="S41" i="7"/>
  <c r="S43" i="7"/>
  <c r="S30" i="7"/>
  <c r="U62" i="7"/>
  <c r="U66" i="7"/>
  <c r="U70" i="7"/>
  <c r="U74" i="7"/>
  <c r="U57" i="7"/>
  <c r="U49" i="7"/>
  <c r="U56" i="7"/>
  <c r="U48" i="7"/>
  <c r="U63" i="7"/>
  <c r="U67" i="7"/>
  <c r="U71" i="7"/>
  <c r="Y71" i="7" s="1"/>
  <c r="T71" i="7"/>
  <c r="U75" i="7"/>
  <c r="U55" i="7"/>
  <c r="U47" i="7"/>
  <c r="U54" i="7"/>
  <c r="U46" i="7"/>
  <c r="S40" i="7"/>
  <c r="S34" i="7"/>
  <c r="S38" i="7"/>
  <c r="U4" i="7"/>
  <c r="S24" i="7"/>
  <c r="S28" i="7"/>
  <c r="S26" i="7"/>
  <c r="S25" i="7"/>
  <c r="I78" i="7"/>
  <c r="U5" i="7"/>
  <c r="S5" i="7"/>
  <c r="T5" i="7" s="1"/>
  <c r="U44" i="7"/>
  <c r="U43" i="7"/>
  <c r="U33" i="7"/>
  <c r="C66" i="12" l="1"/>
  <c r="D66" i="12" s="1"/>
  <c r="C58" i="12"/>
  <c r="D58" i="12" s="1"/>
  <c r="D50" i="12"/>
  <c r="T22" i="7"/>
  <c r="D55" i="12"/>
  <c r="C63" i="12"/>
  <c r="D63" i="12" s="1"/>
  <c r="O89" i="7" s="1"/>
  <c r="T74" i="7"/>
  <c r="T9" i="7"/>
  <c r="C69" i="12"/>
  <c r="D69" i="12" s="1"/>
  <c r="C99" i="12"/>
  <c r="D99" i="12" s="1"/>
  <c r="D53" i="12"/>
  <c r="C94" i="12"/>
  <c r="D94" i="12" s="1"/>
  <c r="O97" i="7" s="1"/>
  <c r="C61" i="12"/>
  <c r="D61" i="12" s="1"/>
  <c r="C32" i="12"/>
  <c r="D32" i="12" s="1"/>
  <c r="C33" i="12"/>
  <c r="D33" i="12" s="1"/>
  <c r="D31" i="12"/>
  <c r="O21" i="7" s="1"/>
  <c r="Q21" i="7" s="1"/>
  <c r="R21" i="7" s="1"/>
  <c r="C34" i="12"/>
  <c r="D34" i="12" s="1"/>
  <c r="C38" i="12"/>
  <c r="C65" i="12"/>
  <c r="D65" i="12" s="1"/>
  <c r="C57" i="12"/>
  <c r="D57" i="12" s="1"/>
  <c r="D49" i="12"/>
  <c r="C43" i="12"/>
  <c r="Y70" i="7"/>
  <c r="C68" i="12"/>
  <c r="D68" i="12" s="1"/>
  <c r="C98" i="12"/>
  <c r="D98" i="12" s="1"/>
  <c r="C93" i="12"/>
  <c r="D93" i="12" s="1"/>
  <c r="O96" i="7" s="1"/>
  <c r="D52" i="12"/>
  <c r="C60" i="12"/>
  <c r="D60" i="12" s="1"/>
  <c r="O67" i="7" s="1"/>
  <c r="Q67" i="7" s="1"/>
  <c r="C100" i="12"/>
  <c r="D100" i="12" s="1"/>
  <c r="C62" i="12"/>
  <c r="D62" i="12" s="1"/>
  <c r="O70" i="7" s="1"/>
  <c r="Q70" i="7" s="1"/>
  <c r="D54" i="12"/>
  <c r="C95" i="12"/>
  <c r="D95" i="12" s="1"/>
  <c r="O98" i="7" s="1"/>
  <c r="Q75" i="7"/>
  <c r="O76" i="7"/>
  <c r="Q76" i="7" s="1"/>
  <c r="Y21" i="7"/>
  <c r="X9" i="7"/>
  <c r="O73" i="7"/>
  <c r="Q73" i="7" s="1"/>
  <c r="O72" i="7"/>
  <c r="Q72" i="7" s="1"/>
  <c r="T10" i="7"/>
  <c r="T15" i="7"/>
  <c r="R4" i="7"/>
  <c r="R23" i="7" s="1"/>
  <c r="R82" i="7" s="1"/>
  <c r="Q23" i="7"/>
  <c r="C67" i="12"/>
  <c r="D67" i="12" s="1"/>
  <c r="D51" i="12"/>
  <c r="C92" i="12"/>
  <c r="D92" i="12" s="1"/>
  <c r="O95" i="7" s="1"/>
  <c r="C59" i="12"/>
  <c r="D59" i="12" s="1"/>
  <c r="C97" i="12"/>
  <c r="D97" i="12" s="1"/>
  <c r="D110" i="12"/>
  <c r="V5" i="7"/>
  <c r="W5" i="7" s="1"/>
  <c r="X5" i="7" s="1"/>
  <c r="Y5" i="7"/>
  <c r="V29" i="7"/>
  <c r="W29" i="7" s="1"/>
  <c r="V75" i="7"/>
  <c r="W75" i="7" s="1"/>
  <c r="Y75" i="7"/>
  <c r="V74" i="7"/>
  <c r="W74" i="7" s="1"/>
  <c r="X74" i="7" s="1"/>
  <c r="Y74" i="7"/>
  <c r="V73" i="7"/>
  <c r="W73" i="7" s="1"/>
  <c r="Y73" i="7"/>
  <c r="V72" i="7"/>
  <c r="W72" i="7" s="1"/>
  <c r="V22" i="7"/>
  <c r="W22" i="7" s="1"/>
  <c r="X22" i="7" s="1"/>
  <c r="Y22" i="7"/>
  <c r="V43" i="7"/>
  <c r="W43" i="7" s="1"/>
  <c r="V76" i="7"/>
  <c r="W76" i="7" s="1"/>
  <c r="Y76" i="7"/>
  <c r="V20" i="7"/>
  <c r="W20" i="7" s="1"/>
  <c r="X20" i="7" s="1"/>
  <c r="Y20" i="7"/>
  <c r="V4" i="7"/>
  <c r="W4" i="7" s="1"/>
  <c r="X4" i="7" s="1"/>
  <c r="Y4" i="7"/>
  <c r="V33" i="7"/>
  <c r="W33" i="7" s="1"/>
  <c r="V44" i="7"/>
  <c r="T4" i="7"/>
  <c r="S23" i="7"/>
  <c r="V21" i="7"/>
  <c r="W21" i="7" s="1"/>
  <c r="X21" i="7" s="1"/>
  <c r="S44" i="7"/>
  <c r="V46" i="7"/>
  <c r="W46" i="7" s="1"/>
  <c r="V54" i="7"/>
  <c r="W54" i="7" s="1"/>
  <c r="V47" i="7"/>
  <c r="W47" i="7" s="1"/>
  <c r="V55" i="7"/>
  <c r="W55" i="7" s="1"/>
  <c r="V71" i="7"/>
  <c r="W71" i="7" s="1"/>
  <c r="X71" i="7" s="1"/>
  <c r="V67" i="7"/>
  <c r="W67" i="7" s="1"/>
  <c r="V63" i="7"/>
  <c r="W63" i="7" s="1"/>
  <c r="V48" i="7"/>
  <c r="W48" i="7" s="1"/>
  <c r="V56" i="7"/>
  <c r="W56" i="7" s="1"/>
  <c r="V49" i="7"/>
  <c r="W49" i="7" s="1"/>
  <c r="V57" i="7"/>
  <c r="W57" i="7" s="1"/>
  <c r="V70" i="7"/>
  <c r="W70" i="7" s="1"/>
  <c r="V66" i="7"/>
  <c r="W66" i="7" s="1"/>
  <c r="V62" i="7"/>
  <c r="W62" i="7" s="1"/>
  <c r="S29" i="7"/>
  <c r="S27" i="7"/>
  <c r="S39" i="7"/>
  <c r="U37" i="7"/>
  <c r="S37" i="7"/>
  <c r="S35" i="7"/>
  <c r="U36" i="7"/>
  <c r="S36" i="7"/>
  <c r="S31" i="7"/>
  <c r="V50" i="7"/>
  <c r="W50" i="7" s="1"/>
  <c r="V58" i="7"/>
  <c r="W58" i="7" s="1"/>
  <c r="V51" i="7"/>
  <c r="W51" i="7" s="1"/>
  <c r="V59" i="7"/>
  <c r="W59" i="7" s="1"/>
  <c r="V69" i="7"/>
  <c r="W69" i="7" s="1"/>
  <c r="V65" i="7"/>
  <c r="W65" i="7" s="1"/>
  <c r="V61" i="7"/>
  <c r="W61" i="7" s="1"/>
  <c r="V52" i="7"/>
  <c r="W52" i="7" s="1"/>
  <c r="V45" i="7"/>
  <c r="W45" i="7" s="1"/>
  <c r="V53" i="7"/>
  <c r="W53" i="7" s="1"/>
  <c r="V68" i="7"/>
  <c r="W68" i="7" s="1"/>
  <c r="V64" i="7"/>
  <c r="W64" i="7" s="1"/>
  <c r="V60" i="7"/>
  <c r="W60" i="7" s="1"/>
  <c r="S42" i="7"/>
  <c r="U42" i="7"/>
  <c r="U40" i="7"/>
  <c r="U41" i="7"/>
  <c r="U25" i="7"/>
  <c r="U28" i="7"/>
  <c r="U24" i="7"/>
  <c r="W44" i="7"/>
  <c r="U34" i="7"/>
  <c r="U30" i="7"/>
  <c r="U26" i="7"/>
  <c r="U38" i="7"/>
  <c r="U39" i="7"/>
  <c r="U35" i="7"/>
  <c r="U27" i="7"/>
  <c r="U32" i="7"/>
  <c r="U31" i="7"/>
  <c r="T35" i="7" l="1"/>
  <c r="R67" i="7"/>
  <c r="T67" i="7"/>
  <c r="D43" i="12"/>
  <c r="C102" i="12"/>
  <c r="D102" i="12" s="1"/>
  <c r="O99" i="7" s="1"/>
  <c r="O60" i="7"/>
  <c r="O59" i="7"/>
  <c r="O63" i="7"/>
  <c r="O64" i="7"/>
  <c r="O46" i="7"/>
  <c r="O33" i="7"/>
  <c r="O34" i="7"/>
  <c r="Q34" i="7" s="1"/>
  <c r="O39" i="7"/>
  <c r="Q39" i="7" s="1"/>
  <c r="R39" i="7" s="1"/>
  <c r="O88" i="7"/>
  <c r="O61" i="7"/>
  <c r="O62" i="7"/>
  <c r="Y24" i="7"/>
  <c r="X67" i="7"/>
  <c r="Y72" i="7"/>
  <c r="R73" i="7"/>
  <c r="X73" i="7" s="1"/>
  <c r="T73" i="7"/>
  <c r="R76" i="7"/>
  <c r="T76" i="7"/>
  <c r="R70" i="7"/>
  <c r="X70" i="7" s="1"/>
  <c r="T70" i="7"/>
  <c r="O55" i="7"/>
  <c r="O56" i="7"/>
  <c r="O66" i="7"/>
  <c r="O65" i="7"/>
  <c r="C39" i="12"/>
  <c r="D39" i="12" s="1"/>
  <c r="D38" i="12"/>
  <c r="O87" i="7" s="1"/>
  <c r="C40" i="12"/>
  <c r="D40" i="12" s="1"/>
  <c r="X76" i="7"/>
  <c r="R72" i="7"/>
  <c r="T72" i="7"/>
  <c r="O37" i="7"/>
  <c r="Q37" i="7" s="1"/>
  <c r="R37" i="7" s="1"/>
  <c r="O48" i="7"/>
  <c r="O36" i="7"/>
  <c r="Q36" i="7" s="1"/>
  <c r="R36" i="7" s="1"/>
  <c r="O38" i="7"/>
  <c r="Q38" i="7" s="1"/>
  <c r="O54" i="7"/>
  <c r="O24" i="7"/>
  <c r="Q24" i="7" s="1"/>
  <c r="O25" i="7"/>
  <c r="Q25" i="7" s="1"/>
  <c r="O40" i="7"/>
  <c r="Q40" i="7" s="1"/>
  <c r="O50" i="7"/>
  <c r="O41" i="7"/>
  <c r="Q41" i="7" s="1"/>
  <c r="O49" i="7"/>
  <c r="O69" i="7"/>
  <c r="O68" i="7"/>
  <c r="Y67" i="7"/>
  <c r="Y25" i="7"/>
  <c r="T42" i="7"/>
  <c r="T39" i="7"/>
  <c r="X72" i="7"/>
  <c r="O51" i="7"/>
  <c r="O52" i="7"/>
  <c r="O31" i="7"/>
  <c r="Q31" i="7" s="1"/>
  <c r="R31" i="7" s="1"/>
  <c r="O45" i="7"/>
  <c r="O44" i="7"/>
  <c r="O29" i="7"/>
  <c r="O32" i="7"/>
  <c r="Q32" i="7" s="1"/>
  <c r="O30" i="7"/>
  <c r="Q30" i="7" s="1"/>
  <c r="R75" i="7"/>
  <c r="X75" i="7" s="1"/>
  <c r="T75" i="7"/>
  <c r="O58" i="7"/>
  <c r="O57" i="7"/>
  <c r="O47" i="7"/>
  <c r="O35" i="7"/>
  <c r="Q35" i="7" s="1"/>
  <c r="R35" i="7" s="1"/>
  <c r="O53" i="7"/>
  <c r="T21" i="7"/>
  <c r="T23" i="7" s="1"/>
  <c r="O26" i="7"/>
  <c r="Q26" i="7" s="1"/>
  <c r="O42" i="7"/>
  <c r="Q42" i="7" s="1"/>
  <c r="R42" i="7" s="1"/>
  <c r="O27" i="7"/>
  <c r="Q27" i="7" s="1"/>
  <c r="R27" i="7" s="1"/>
  <c r="O28" i="7"/>
  <c r="Q28" i="7" s="1"/>
  <c r="O43" i="7"/>
  <c r="O101" i="7"/>
  <c r="V30" i="7"/>
  <c r="W30" i="7" s="1"/>
  <c r="V27" i="7"/>
  <c r="W27" i="7" s="1"/>
  <c r="X27" i="7" s="1"/>
  <c r="Y27" i="7"/>
  <c r="V40" i="7"/>
  <c r="W40" i="7" s="1"/>
  <c r="V37" i="7"/>
  <c r="W37" i="7" s="1"/>
  <c r="Y37" i="7"/>
  <c r="V32" i="7"/>
  <c r="W32" i="7" s="1"/>
  <c r="V41" i="7"/>
  <c r="W41" i="7" s="1"/>
  <c r="Y41" i="7"/>
  <c r="V31" i="7"/>
  <c r="W31" i="7" s="1"/>
  <c r="V39" i="7"/>
  <c r="W39" i="7" s="1"/>
  <c r="X39" i="7" s="1"/>
  <c r="Y39" i="7"/>
  <c r="V35" i="7"/>
  <c r="W35" i="7" s="1"/>
  <c r="X35" i="7" s="1"/>
  <c r="Y35" i="7"/>
  <c r="V38" i="7"/>
  <c r="Y38" i="7"/>
  <c r="V26" i="7"/>
  <c r="W26" i="7" s="1"/>
  <c r="Y26" i="7"/>
  <c r="V34" i="7"/>
  <c r="W34" i="7" s="1"/>
  <c r="Y34" i="7"/>
  <c r="V42" i="7"/>
  <c r="W42" i="7" s="1"/>
  <c r="X42" i="7" s="1"/>
  <c r="Y42" i="7"/>
  <c r="V36" i="7"/>
  <c r="W36" i="7" s="1"/>
  <c r="X36" i="7" s="1"/>
  <c r="Y36" i="7"/>
  <c r="V23" i="7"/>
  <c r="W23" i="7"/>
  <c r="S77" i="7"/>
  <c r="V24" i="7"/>
  <c r="V28" i="7"/>
  <c r="W28" i="7" s="1"/>
  <c r="V25" i="7"/>
  <c r="W25" i="7" s="1"/>
  <c r="R30" i="7" l="1"/>
  <c r="T30" i="7"/>
  <c r="Q68" i="7"/>
  <c r="Y68" i="7"/>
  <c r="Q50" i="7"/>
  <c r="Y50" i="7"/>
  <c r="Q54" i="7"/>
  <c r="Y54" i="7"/>
  <c r="Q46" i="7"/>
  <c r="Y46" i="7"/>
  <c r="X37" i="7"/>
  <c r="R32" i="7"/>
  <c r="T32" i="7"/>
  <c r="R40" i="7"/>
  <c r="T40" i="7"/>
  <c r="T27" i="7"/>
  <c r="Y31" i="7"/>
  <c r="Y32" i="7"/>
  <c r="Y40" i="7"/>
  <c r="Y30" i="7"/>
  <c r="Q29" i="7"/>
  <c r="Y29" i="7"/>
  <c r="Q52" i="7"/>
  <c r="Y52" i="7"/>
  <c r="Q49" i="7"/>
  <c r="Y49" i="7"/>
  <c r="R25" i="7"/>
  <c r="X25" i="7" s="1"/>
  <c r="T25" i="7"/>
  <c r="Q66" i="7"/>
  <c r="Y66" i="7"/>
  <c r="Q55" i="7"/>
  <c r="Y55" i="7"/>
  <c r="T36" i="7"/>
  <c r="Q62" i="7"/>
  <c r="Y62" i="7"/>
  <c r="R34" i="7"/>
  <c r="T34" i="7"/>
  <c r="Q63" i="7"/>
  <c r="Y63" i="7"/>
  <c r="T37" i="7"/>
  <c r="Q60" i="7"/>
  <c r="Y60" i="7"/>
  <c r="R28" i="7"/>
  <c r="X28" i="7" s="1"/>
  <c r="T28" i="7"/>
  <c r="Q57" i="7"/>
  <c r="Y57" i="7"/>
  <c r="Q45" i="7"/>
  <c r="Y45" i="7"/>
  <c r="Y28" i="7"/>
  <c r="X34" i="7"/>
  <c r="Q53" i="7"/>
  <c r="Y53" i="7"/>
  <c r="Q58" i="7"/>
  <c r="Y58" i="7"/>
  <c r="Q69" i="7"/>
  <c r="Y69" i="7"/>
  <c r="R38" i="7"/>
  <c r="T38" i="7"/>
  <c r="Q65" i="7"/>
  <c r="Y65" i="7"/>
  <c r="Q56" i="7"/>
  <c r="Y56" i="7"/>
  <c r="Q64" i="7"/>
  <c r="Y64" i="7"/>
  <c r="Q59" i="7"/>
  <c r="Y59" i="7"/>
  <c r="X26" i="7"/>
  <c r="X31" i="7"/>
  <c r="X32" i="7"/>
  <c r="X40" i="7"/>
  <c r="X30" i="7"/>
  <c r="Q43" i="7"/>
  <c r="Y43" i="7"/>
  <c r="R26" i="7"/>
  <c r="T26" i="7"/>
  <c r="Q47" i="7"/>
  <c r="Y47" i="7"/>
  <c r="Q44" i="7"/>
  <c r="Y44" i="7"/>
  <c r="Q51" i="7"/>
  <c r="Y51" i="7"/>
  <c r="R41" i="7"/>
  <c r="X41" i="7" s="1"/>
  <c r="T41" i="7"/>
  <c r="R24" i="7"/>
  <c r="Q77" i="7"/>
  <c r="Q78" i="7" s="1"/>
  <c r="T24" i="7"/>
  <c r="Q48" i="7"/>
  <c r="Y48" i="7"/>
  <c r="T31" i="7"/>
  <c r="Q61" i="7"/>
  <c r="Y61" i="7"/>
  <c r="Q33" i="7"/>
  <c r="Y33" i="7"/>
  <c r="W82" i="7"/>
  <c r="X23" i="7"/>
  <c r="W24" i="7"/>
  <c r="X24" i="7" s="1"/>
  <c r="V77" i="7"/>
  <c r="S78" i="7"/>
  <c r="W38" i="7"/>
  <c r="X38" i="7" s="1"/>
  <c r="R59" i="7" l="1"/>
  <c r="X59" i="7" s="1"/>
  <c r="T59" i="7"/>
  <c r="R33" i="7"/>
  <c r="X33" i="7" s="1"/>
  <c r="T33" i="7"/>
  <c r="R51" i="7"/>
  <c r="X51" i="7" s="1"/>
  <c r="T51" i="7"/>
  <c r="R62" i="7"/>
  <c r="X62" i="7" s="1"/>
  <c r="T62" i="7"/>
  <c r="R54" i="7"/>
  <c r="X54" i="7" s="1"/>
  <c r="T54" i="7"/>
  <c r="R48" i="7"/>
  <c r="X48" i="7" s="1"/>
  <c r="T48" i="7"/>
  <c r="R64" i="7"/>
  <c r="X64" i="7" s="1"/>
  <c r="T64" i="7"/>
  <c r="R65" i="7"/>
  <c r="X65" i="7" s="1"/>
  <c r="T65" i="7"/>
  <c r="R69" i="7"/>
  <c r="X69" i="7" s="1"/>
  <c r="T69" i="7"/>
  <c r="R53" i="7"/>
  <c r="X53" i="7" s="1"/>
  <c r="T53" i="7"/>
  <c r="R57" i="7"/>
  <c r="X57" i="7" s="1"/>
  <c r="T57" i="7"/>
  <c r="R60" i="7"/>
  <c r="X60" i="7" s="1"/>
  <c r="T60" i="7"/>
  <c r="R66" i="7"/>
  <c r="X66" i="7" s="1"/>
  <c r="T66" i="7"/>
  <c r="R49" i="7"/>
  <c r="X49" i="7" s="1"/>
  <c r="T49" i="7"/>
  <c r="R29" i="7"/>
  <c r="X29" i="7" s="1"/>
  <c r="T29" i="7"/>
  <c r="R56" i="7"/>
  <c r="X56" i="7" s="1"/>
  <c r="T56" i="7"/>
  <c r="R58" i="7"/>
  <c r="X58" i="7" s="1"/>
  <c r="T58" i="7"/>
  <c r="R45" i="7"/>
  <c r="X45" i="7" s="1"/>
  <c r="T45" i="7"/>
  <c r="R55" i="7"/>
  <c r="X55" i="7" s="1"/>
  <c r="T55" i="7"/>
  <c r="R52" i="7"/>
  <c r="X52" i="7" s="1"/>
  <c r="T52" i="7"/>
  <c r="R47" i="7"/>
  <c r="X47" i="7" s="1"/>
  <c r="T47" i="7"/>
  <c r="R43" i="7"/>
  <c r="X43" i="7" s="1"/>
  <c r="T43" i="7"/>
  <c r="R63" i="7"/>
  <c r="X63" i="7" s="1"/>
  <c r="T63" i="7"/>
  <c r="R68" i="7"/>
  <c r="X68" i="7" s="1"/>
  <c r="T68" i="7"/>
  <c r="R61" i="7"/>
  <c r="X61" i="7" s="1"/>
  <c r="T61" i="7"/>
  <c r="T77" i="7"/>
  <c r="T78" i="7" s="1"/>
  <c r="R44" i="7"/>
  <c r="X44" i="7" s="1"/>
  <c r="T44" i="7"/>
  <c r="R46" i="7"/>
  <c r="X46" i="7" s="1"/>
  <c r="T46" i="7"/>
  <c r="R50" i="7"/>
  <c r="X50" i="7" s="1"/>
  <c r="T50" i="7"/>
  <c r="W77" i="7"/>
  <c r="V78" i="7"/>
  <c r="R77" i="7" l="1"/>
  <c r="W78" i="7"/>
  <c r="W83" i="7"/>
  <c r="W84" i="7" s="1"/>
  <c r="R78" i="7" l="1"/>
  <c r="B67" i="4" s="1"/>
  <c r="B68" i="4" s="1"/>
  <c r="R83" i="7"/>
  <c r="R84" i="7" s="1"/>
  <c r="X77" i="7"/>
  <c r="B71" i="4"/>
  <c r="B72" i="4" s="1"/>
  <c r="X78" i="7"/>
</calcChain>
</file>

<file path=xl/comments1.xml><?xml version="1.0" encoding="utf-8"?>
<comments xmlns="http://schemas.openxmlformats.org/spreadsheetml/2006/main">
  <authors>
    <author>Ann LaRue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freq and use single can weight.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freq and use single can weight.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freq and use single can weight.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Company used 250 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Company used 250
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Company used 1680</t>
        </r>
      </text>
    </comment>
    <comment ref="O71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On company price out, current tariff rate is 140.07 and increase is 15.55, but the new tariff rate is listed as 162.71.</t>
        </r>
      </text>
    </comment>
    <comment ref="F73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tripled annual pick ups and use single can weight.</t>
        </r>
      </text>
    </comment>
    <comment ref="F76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annual pick ups and use single can weight.</t>
        </r>
      </text>
    </comment>
  </commentList>
</comments>
</file>

<file path=xl/sharedStrings.xml><?xml version="1.0" encoding="utf-8"?>
<sst xmlns="http://schemas.openxmlformats.org/spreadsheetml/2006/main" count="697" uniqueCount="514">
  <si>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</si>
  <si>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</si>
  <si>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</si>
  <si>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</si>
  <si>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</si>
  <si>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</si>
  <si>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</si>
  <si>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</si>
  <si>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</si>
  <si>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</si>
  <si>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</si>
  <si>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</si>
  <si>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</si>
  <si>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</si>
  <si>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</si>
  <si>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</si>
  <si>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</si>
  <si>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</si>
  <si>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</si>
  <si>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</si>
  <si>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</si>
  <si>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</si>
  <si>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</si>
  <si>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</si>
  <si>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</si>
  <si>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</si>
  <si>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</si>
  <si>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</si>
  <si>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</si>
  <si>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</si>
  <si>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</si>
  <si>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</si>
  <si>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</si>
  <si>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</si>
  <si>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</si>
  <si>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</si>
  <si>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</si>
  <si>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</si>
  <si>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</si>
  <si>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</si>
  <si>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</si>
  <si>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</si>
  <si>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</si>
  <si>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</si>
  <si>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 xml:space="preserve"> Company Over/(Under) collecting</t>
  </si>
  <si>
    <t>Tariff Rate Increase</t>
  </si>
  <si>
    <t>Company Increased Revenue</t>
  </si>
  <si>
    <t>Revised Tariff Rate</t>
  </si>
  <si>
    <t>Revised Revenue Increase</t>
  </si>
  <si>
    <t>Revised Revenue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</si>
  <si>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</si>
  <si>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</si>
  <si>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</si>
  <si>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</si>
  <si>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</si>
  <si>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</si>
  <si>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</si>
  <si>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</si>
  <si>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</si>
  <si>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</si>
  <si>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</si>
  <si>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</si>
  <si>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</si>
  <si>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</si>
  <si>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</si>
  <si>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</si>
  <si>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</si>
  <si>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</si>
  <si>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</si>
  <si>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</si>
  <si>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</si>
  <si>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</si>
  <si>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</si>
  <si>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</si>
  <si>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</si>
  <si>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</si>
  <si>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</si>
  <si>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</si>
  <si>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</si>
  <si>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</si>
  <si>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</si>
  <si>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</si>
  <si>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</si>
  <si>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</si>
  <si>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</si>
  <si>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</si>
  <si>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</si>
  <si>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</si>
  <si>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</si>
  <si>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</si>
  <si>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</si>
  <si>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</si>
  <si>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Annual</t>
  </si>
  <si>
    <t>Revenue</t>
  </si>
  <si>
    <t>Customers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</si>
  <si>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</si>
  <si>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</si>
  <si>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</si>
  <si>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</si>
  <si>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</si>
  <si>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</si>
  <si>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</si>
  <si>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</si>
  <si>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</si>
  <si>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</si>
  <si>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4 Can</t>
  </si>
  <si>
    <t>5 Can</t>
  </si>
  <si>
    <t>Average</t>
  </si>
  <si>
    <t>Unit</t>
  </si>
  <si>
    <t>Service Code</t>
  </si>
  <si>
    <t>Service Code Description</t>
  </si>
  <si>
    <t>Cust Count</t>
  </si>
  <si>
    <t>Count</t>
  </si>
  <si>
    <t>Cust</t>
  </si>
  <si>
    <t>* not on meeks - calculated by staff</t>
  </si>
  <si>
    <t>6 yd container (2)</t>
  </si>
  <si>
    <t>4 yd container (2)</t>
  </si>
  <si>
    <t>3 yd container (2)</t>
  </si>
  <si>
    <t>1.5 yd container (2)</t>
  </si>
  <si>
    <t>Transfer Station</t>
  </si>
  <si>
    <t>1-20 GAL CAN WEEKLY SVC</t>
  </si>
  <si>
    <t>1-32 GAL CAN-WEEKLY SVC</t>
  </si>
  <si>
    <t>2-32 GAL CANS-WEEKLY SVC</t>
  </si>
  <si>
    <t>3-32 GAL CANS-WEEKLY SVC</t>
  </si>
  <si>
    <t>1-35 GAL CART WEEKLY SVC</t>
  </si>
  <si>
    <t>1-60 GAL CART WEEKLY SVC</t>
  </si>
  <si>
    <t>2-60 GAL CARTS WEEKLY SVC</t>
  </si>
  <si>
    <t>1-32 GAL CAN-EOW SVC</t>
  </si>
  <si>
    <t>2-32 GAL CAN-EOW SVC</t>
  </si>
  <si>
    <t>1-35 GAL CART EOW SVC</t>
  </si>
  <si>
    <t>1-60GAL CART EOW SVC</t>
  </si>
  <si>
    <t>2-60 GAL CARTS EOW SVC</t>
  </si>
  <si>
    <t>1-32 GAL CAN-MONTHLY SVC</t>
  </si>
  <si>
    <t>2-32 GAL CANS MONTHLY SVC</t>
  </si>
  <si>
    <t>1-35 GAL CART MONTHLY SVC</t>
  </si>
  <si>
    <t>1-60 GAL CART MONTHLY SVC</t>
  </si>
  <si>
    <t>1-32 GAL CAN-ON CALL SVC</t>
  </si>
  <si>
    <t>EXTRA CAN/BAGS</t>
  </si>
  <si>
    <t>OVERFILL/OVERWEIGHT CHG</t>
  </si>
  <si>
    <t>22A</t>
  </si>
  <si>
    <t>16A</t>
  </si>
  <si>
    <t>1YD CONT 1X WEEKLY</t>
  </si>
  <si>
    <t>1YD CONT 1xWEEKLY SVC</t>
  </si>
  <si>
    <t>1.5YD CONT 1X WEEKLY</t>
  </si>
  <si>
    <t>1.5YD CONT 1xWEEKLY SVC</t>
  </si>
  <si>
    <t>1.5YD CONT 2X WEEKLY</t>
  </si>
  <si>
    <t>2YD CONT 1X WEEKLY</t>
  </si>
  <si>
    <t>2YD CONT 1xWEEKLY SVC</t>
  </si>
  <si>
    <t>2YD CONT 2X WEEKLY</t>
  </si>
  <si>
    <t>2YD CONT 2xWEEKLY SVC</t>
  </si>
  <si>
    <t>3YD CONT 1X WEEKLY SVC</t>
  </si>
  <si>
    <t>3YD CONT 1XWEEKLY SVC</t>
  </si>
  <si>
    <t>4YD CONT 1X WEEKLY SVC</t>
  </si>
  <si>
    <t>6YD CONT 1XWEEKLY SVC</t>
  </si>
  <si>
    <t>6YD CONT 1X WEEKLY SVC</t>
  </si>
  <si>
    <t>8YD CONT 1X WEEKLY</t>
  </si>
  <si>
    <t>1YD CONT EOW SVC</t>
  </si>
  <si>
    <t>1YD CONT EVERY OTHER WK</t>
  </si>
  <si>
    <t>1.5YD CONT EOW SVC</t>
  </si>
  <si>
    <t>1.5YD CONT EVERY OTHER WK</t>
  </si>
  <si>
    <t>2YD CONT EOW SVC</t>
  </si>
  <si>
    <t>2YD CONT EVERY OTHER WK</t>
  </si>
  <si>
    <t>3YD CONT EOW SVC</t>
  </si>
  <si>
    <t>4YD CONT EOW SVC</t>
  </si>
  <si>
    <t>6YD CONT EVERY OTHER WK</t>
  </si>
  <si>
    <t>1YD CONT 1X MONTH SVC</t>
  </si>
  <si>
    <t>1YD CONTAINER 1X A MONTH</t>
  </si>
  <si>
    <t>2YD CONT 1X MONTH SVC</t>
  </si>
  <si>
    <t>4YD CONT 1X MONTH SVC</t>
  </si>
  <si>
    <t>6YD CONT 1X MONTH SVC</t>
  </si>
  <si>
    <t>1YD CONT EXTRA P/U</t>
  </si>
  <si>
    <t>1YD CONTAINER EXTRA PU</t>
  </si>
  <si>
    <t>1YD TEMP CONT PU</t>
  </si>
  <si>
    <t>1.5YD CONT EXTRA P/U</t>
  </si>
  <si>
    <t>1.5YD CONTAINER EXTRA PU</t>
  </si>
  <si>
    <t>1.5YD TEMP CONT PU</t>
  </si>
  <si>
    <t>1.5YD TEMP CONTAINER PU</t>
  </si>
  <si>
    <t>2YD CONT EXTRA P/U</t>
  </si>
  <si>
    <t>2YD CONTAINER EXTRA PU</t>
  </si>
  <si>
    <t>2YD TEMP CONT PU</t>
  </si>
  <si>
    <t>2YD TEMP CONTAINER PU</t>
  </si>
  <si>
    <t>3YD CONTAINER EXTRA PU</t>
  </si>
  <si>
    <t>4YD CONTAINER EXTRA PU</t>
  </si>
  <si>
    <t>6YD CONTAINER EXTRA PU</t>
  </si>
  <si>
    <t>4 YD COMPACTOR 1X WK</t>
  </si>
  <si>
    <t>1-32 GAL CAN WEEKLY SVC</t>
  </si>
  <si>
    <t>3-32 GAL CANS WKLY SVC</t>
  </si>
  <si>
    <t>1-35 GAL CAN WEEKLY SVC</t>
  </si>
  <si>
    <t>1-60 GAL CART CMML WKLY</t>
  </si>
  <si>
    <t>2-60 GAL CAN WEEKLY SVC</t>
  </si>
  <si>
    <t>35A</t>
  </si>
  <si>
    <t>36A</t>
  </si>
  <si>
    <t>35 5A</t>
  </si>
  <si>
    <t>Olympic Disposal</t>
  </si>
  <si>
    <t>Test Period October 1,2012 - September 30, 2013</t>
  </si>
  <si>
    <t>USOA Standard Can Weights:</t>
  </si>
  <si>
    <t xml:space="preserve">Gross-Up </t>
  </si>
  <si>
    <t>1/1/12 - 1/1/13</t>
  </si>
  <si>
    <t>1/1/13 - Current</t>
  </si>
  <si>
    <t>Oct 12 - Dec 12</t>
  </si>
  <si>
    <t>Jan 13 - Sept 13</t>
  </si>
  <si>
    <t xml:space="preserve">Total </t>
  </si>
  <si>
    <t xml:space="preserve">Annual </t>
  </si>
  <si>
    <t>Monthly</t>
  </si>
  <si>
    <t>Meeks</t>
  </si>
  <si>
    <t>Projected</t>
  </si>
  <si>
    <t>Actual</t>
  </si>
  <si>
    <t>Increase per Lb</t>
  </si>
  <si>
    <t>for Taxes</t>
  </si>
  <si>
    <t>Tariff Rate</t>
  </si>
  <si>
    <t>Frequency</t>
  </si>
  <si>
    <t>Pick-Ups</t>
  </si>
  <si>
    <t>Can Weight</t>
  </si>
  <si>
    <t>Lbs</t>
  </si>
  <si>
    <t>per Month</t>
  </si>
  <si>
    <t>per Pick-Up</t>
  </si>
  <si>
    <t>Check</t>
  </si>
  <si>
    <t>1 Can</t>
  </si>
  <si>
    <t>20RW1</t>
  </si>
  <si>
    <t>2 Cans</t>
  </si>
  <si>
    <t>32RW1</t>
  </si>
  <si>
    <t>3 Cans</t>
  </si>
  <si>
    <t>32RW2</t>
  </si>
  <si>
    <t>4 Cans</t>
  </si>
  <si>
    <t>32RW3</t>
  </si>
  <si>
    <t>60 Gal</t>
  </si>
  <si>
    <t>35RW1</t>
  </si>
  <si>
    <t>90 Gal</t>
  </si>
  <si>
    <t>60RW1</t>
  </si>
  <si>
    <t>60RW2</t>
  </si>
  <si>
    <t>32RE1</t>
  </si>
  <si>
    <t>Commerical</t>
  </si>
  <si>
    <t>32RE2</t>
  </si>
  <si>
    <t>35RE1</t>
  </si>
  <si>
    <t>1 Yd</t>
  </si>
  <si>
    <t>60RE1</t>
  </si>
  <si>
    <t>1.5 Yd</t>
  </si>
  <si>
    <t>60RE2</t>
  </si>
  <si>
    <t>2 Yd</t>
  </si>
  <si>
    <t>32RM1</t>
  </si>
  <si>
    <t>3 Yd</t>
  </si>
  <si>
    <t>32RM2</t>
  </si>
  <si>
    <t>4 Yd</t>
  </si>
  <si>
    <t>35RM1</t>
  </si>
  <si>
    <t>6 Yd</t>
  </si>
  <si>
    <t>60RM1</t>
  </si>
  <si>
    <t>8 Yd</t>
  </si>
  <si>
    <t>32ROCPU</t>
  </si>
  <si>
    <t>EXTRAR</t>
  </si>
  <si>
    <t>OFOWR</t>
  </si>
  <si>
    <t>ADJOTHR</t>
  </si>
  <si>
    <t>ADJUSTMENT</t>
  </si>
  <si>
    <t>CARRYRE</t>
  </si>
  <si>
    <t>CARRYOUT PER CAN-EOW</t>
  </si>
  <si>
    <t>CARRYRW</t>
  </si>
  <si>
    <t>CARRYOUT PER CAN-WKLY</t>
  </si>
  <si>
    <t>Number of Pick-Ups:</t>
  </si>
  <si>
    <t>Months</t>
  </si>
  <si>
    <t>DRVNRW2</t>
  </si>
  <si>
    <t>DRIVE IN OVER 250'</t>
  </si>
  <si>
    <t>4 pick-ups per month</t>
  </si>
  <si>
    <t>DRVNRE2</t>
  </si>
  <si>
    <t>DRIVE IN OVER 250'-EOW</t>
  </si>
  <si>
    <t>5 pick-ups per month</t>
  </si>
  <si>
    <t>DRVNRM2</t>
  </si>
  <si>
    <t>DRIVE IN OVER 250'-MTHLY</t>
  </si>
  <si>
    <t>DRVNRW1</t>
  </si>
  <si>
    <t>DRIVE IN UP TO 250'</t>
  </si>
  <si>
    <t>DRVNRE1</t>
  </si>
  <si>
    <t>DRIVE IN UP TO 250'-EOW</t>
  </si>
  <si>
    <t>Weekly pick-up use---</t>
  </si>
  <si>
    <t>RDELCART</t>
  </si>
  <si>
    <t>RE-DELIVERY FEE-CART</t>
  </si>
  <si>
    <t>Every-other-week use---</t>
  </si>
  <si>
    <t>RCARRYOUT OVER 25</t>
  </si>
  <si>
    <t>RESI CARRYOUT FEE 25+ FT</t>
  </si>
  <si>
    <t>Once-a-month</t>
  </si>
  <si>
    <t>RCARRYOUT 5-25</t>
  </si>
  <si>
    <t>RESI CARRYOUT FEE 5-25 FT</t>
  </si>
  <si>
    <t>Extra units</t>
  </si>
  <si>
    <t>DRVNRW3</t>
  </si>
  <si>
    <t>RESI DRIVE IN OVER 250'</t>
  </si>
  <si>
    <t>DRVNR 1-10</t>
  </si>
  <si>
    <t>RESI DRIVEIN ADDTL .10 MI</t>
  </si>
  <si>
    <t>Twice a week</t>
  </si>
  <si>
    <t>TRIPRCARTS</t>
  </si>
  <si>
    <t>RESI TRIP CHARGE - CARTS</t>
  </si>
  <si>
    <t>Three times a week</t>
  </si>
  <si>
    <t>TRIPRCANS</t>
  </si>
  <si>
    <t>RETURN TRIP CHARGE - CANS</t>
  </si>
  <si>
    <t>Four times a week</t>
  </si>
  <si>
    <t>RESTART</t>
  </si>
  <si>
    <t>SERVICE RESTART FEE</t>
  </si>
  <si>
    <t>Five times a week</t>
  </si>
  <si>
    <t>(Monthly Container Rates)</t>
  </si>
  <si>
    <t>F1YD1W</t>
  </si>
  <si>
    <t>R1YD1W</t>
  </si>
  <si>
    <t>F1.5YD1W</t>
  </si>
  <si>
    <t>R1.5YD1W</t>
  </si>
  <si>
    <t>F1.5YD2W</t>
  </si>
  <si>
    <t>F2YD1W</t>
  </si>
  <si>
    <t>R2YD1W</t>
  </si>
  <si>
    <t>F2YD2W</t>
  </si>
  <si>
    <t>R2YD2W</t>
  </si>
  <si>
    <t>F3YD1W</t>
  </si>
  <si>
    <t>R3YD1W</t>
  </si>
  <si>
    <t>F4YD1W</t>
  </si>
  <si>
    <t>R6YD1W</t>
  </si>
  <si>
    <t>F6YD1W</t>
  </si>
  <si>
    <t>F8YD1W</t>
  </si>
  <si>
    <t>R1YDEOW</t>
  </si>
  <si>
    <t>F1YDEOW</t>
  </si>
  <si>
    <t>R1.5YDEOW</t>
  </si>
  <si>
    <t>F1.5YDEOW</t>
  </si>
  <si>
    <t>R2YDEOW</t>
  </si>
  <si>
    <t>F2YDEOW</t>
  </si>
  <si>
    <t>F3YDEOW</t>
  </si>
  <si>
    <t>F4YDEOW</t>
  </si>
  <si>
    <t>F6YDEOW</t>
  </si>
  <si>
    <t>F1YD1M</t>
  </si>
  <si>
    <t>R1YD1M</t>
  </si>
  <si>
    <t>F2YD1M</t>
  </si>
  <si>
    <t>R2YD1M</t>
  </si>
  <si>
    <t>F4YD1M</t>
  </si>
  <si>
    <t>F6YD1M</t>
  </si>
  <si>
    <t>F1YDEX</t>
  </si>
  <si>
    <t>R1YDEX</t>
  </si>
  <si>
    <t>R1YDTPU</t>
  </si>
  <si>
    <t>F1YDTPU</t>
  </si>
  <si>
    <t>F1.5YDEX</t>
  </si>
  <si>
    <t>R1.5YDEX</t>
  </si>
  <si>
    <t>F1.5YDTPU</t>
  </si>
  <si>
    <t>R1.5YDTPU</t>
  </si>
  <si>
    <t>F2YDEX</t>
  </si>
  <si>
    <t>R2YDEX</t>
  </si>
  <si>
    <t>F2YDTPU</t>
  </si>
  <si>
    <t>R2YDTPU</t>
  </si>
  <si>
    <t>F3YDEX</t>
  </si>
  <si>
    <t>F4YDEX</t>
  </si>
  <si>
    <t>R4YDEX</t>
  </si>
  <si>
    <t>F6YDEX</t>
  </si>
  <si>
    <t>FCP4YD1W</t>
  </si>
  <si>
    <t>32CW1</t>
  </si>
  <si>
    <t>32CW3</t>
  </si>
  <si>
    <t>35CW1</t>
  </si>
  <si>
    <t>60CW1</t>
  </si>
  <si>
    <t>60CW2</t>
  </si>
  <si>
    <t>ADJOTHC</t>
  </si>
  <si>
    <t>CEXYD</t>
  </si>
  <si>
    <t>CMML EXTRA YARDAGE</t>
  </si>
  <si>
    <t>F1YDRENTT</t>
  </si>
  <si>
    <t>1 YD RENTAL FEE</t>
  </si>
  <si>
    <t>R1YDRENTM</t>
  </si>
  <si>
    <t>1YD CONTAINER RENT-MTHLY</t>
  </si>
  <si>
    <t>R1YDRENTT</t>
  </si>
  <si>
    <t>1YD TEMP CONT RENT</t>
  </si>
  <si>
    <t>R1YDRENTTD</t>
  </si>
  <si>
    <t>1YD TEMP CONT RENT DAILY</t>
  </si>
  <si>
    <t>F2YDRENTT</t>
  </si>
  <si>
    <t>2 YD RENTAL FEE</t>
  </si>
  <si>
    <t>F1.5YDRENTT</t>
  </si>
  <si>
    <t>1.5 YD RENTAL FEE</t>
  </si>
  <si>
    <t>R1.5YDRENTTD</t>
  </si>
  <si>
    <t>1.5 YD TEMP CONT RENT DAILY</t>
  </si>
  <si>
    <t>R1.5YDRENTT</t>
  </si>
  <si>
    <t>1.5YD TEMP CONTAINER RENT</t>
  </si>
  <si>
    <t>R2YDRENTTD</t>
  </si>
  <si>
    <t>2 YD TEMP CONT RENT DAILY</t>
  </si>
  <si>
    <t>R2YDRENTT</t>
  </si>
  <si>
    <t>2YD TEMP CONTAINER RENT</t>
  </si>
  <si>
    <t>R2YDRENTM</t>
  </si>
  <si>
    <t>2YD CONTAINER RENT-MTHLY</t>
  </si>
  <si>
    <t>F6YDRNTL</t>
  </si>
  <si>
    <t>6 YD RENTAL MONTHLY</t>
  </si>
  <si>
    <t>CCARRYOUT OVER 25</t>
  </si>
  <si>
    <t>COMM CARRYOUT FEE 25+ FT</t>
  </si>
  <si>
    <t>CCARRYOUT 5-25</t>
  </si>
  <si>
    <t>COMM CARRYOUT FEE 5-25 FT</t>
  </si>
  <si>
    <t>DRVNCW2</t>
  </si>
  <si>
    <t>COMM DRIVE IN OVER 125'</t>
  </si>
  <si>
    <t>CTIME</t>
  </si>
  <si>
    <t>COMMERCIAL TIME CHARGE</t>
  </si>
  <si>
    <t>F4YDRNTL</t>
  </si>
  <si>
    <t>FRONTLOAD 4YD RENTAL</t>
  </si>
  <si>
    <t>CGATE</t>
  </si>
  <si>
    <t>GATE CHARGE</t>
  </si>
  <si>
    <t>CLOCKEOW</t>
  </si>
  <si>
    <t>LOCK CHARGE - CONT EOW</t>
  </si>
  <si>
    <t>CLOCKWKLY</t>
  </si>
  <si>
    <t>LOCK CHARGE-CONTAINER WKL</t>
  </si>
  <si>
    <t>RDELOVER8</t>
  </si>
  <si>
    <t>REDELIVERY FEE OVER 8YDS</t>
  </si>
  <si>
    <t>RDELTO8</t>
  </si>
  <si>
    <t>REDELIVERY FEE UP TO 8YDS</t>
  </si>
  <si>
    <t>CTRIPCAN</t>
  </si>
  <si>
    <t>RETURN TRIP CHG - CANS</t>
  </si>
  <si>
    <t>RORELOCATE</t>
  </si>
  <si>
    <t>ROLL OFF RELOCATE</t>
  </si>
  <si>
    <t>CTDEL</t>
  </si>
  <si>
    <t>TEMP CONTAINER DELIV</t>
  </si>
  <si>
    <t>Lbs per DF Schedule</t>
  </si>
  <si>
    <t xml:space="preserve">Cart/Toter 96 NEW </t>
  </si>
  <si>
    <t>Cart 96 gal EOW NEW</t>
  </si>
  <si>
    <t>Cart 96 gal MG NEW</t>
  </si>
  <si>
    <t>Overweight</t>
  </si>
  <si>
    <t>35A &amp; 36A</t>
  </si>
  <si>
    <t>4 Yard Compactor Special PU</t>
  </si>
  <si>
    <t>Comments</t>
  </si>
  <si>
    <t>Not on Meeks</t>
  </si>
  <si>
    <t>Differ from Company</t>
  </si>
  <si>
    <t>Murrey's Disposal Co. Inc. G-09</t>
  </si>
  <si>
    <t>d/b/a Olympic Disposal</t>
  </si>
  <si>
    <t>DF Increase</t>
  </si>
  <si>
    <t>Item 55, Pg. 16A</t>
  </si>
  <si>
    <t>Oversized Container</t>
  </si>
  <si>
    <t>Item 100, Pg. 22</t>
  </si>
  <si>
    <t>Mini Can</t>
  </si>
  <si>
    <t>1 Can Weekly</t>
  </si>
  <si>
    <t>2 Can Weekly</t>
  </si>
  <si>
    <t>3 Can Weekly</t>
  </si>
  <si>
    <t>4 Can Weekly</t>
  </si>
  <si>
    <t>5 Can Weekly</t>
  </si>
  <si>
    <t>35 Gal Weekly</t>
  </si>
  <si>
    <t>60 Gal Weekly</t>
  </si>
  <si>
    <t>96 Gal Weekly</t>
  </si>
  <si>
    <t>1 Can EOW</t>
  </si>
  <si>
    <t>35 Gal EOW</t>
  </si>
  <si>
    <t>60 Gal EOW</t>
  </si>
  <si>
    <t>96 Gal EOW</t>
  </si>
  <si>
    <t>1 Can Monthly</t>
  </si>
  <si>
    <t>35 Gal Monthly</t>
  </si>
  <si>
    <t>60 Gal Monthly</t>
  </si>
  <si>
    <t>96 Gal Monthly</t>
  </si>
  <si>
    <t>Item 100, Pg. 22A</t>
  </si>
  <si>
    <t>32 Gal Extra</t>
  </si>
  <si>
    <t>Mini-Can Extra</t>
  </si>
  <si>
    <t>35 Gal Extra</t>
  </si>
  <si>
    <t>60 Gal Extra</t>
  </si>
  <si>
    <t>On-Call</t>
  </si>
  <si>
    <t>Item 150, Pg. 28A</t>
  </si>
  <si>
    <t>Loose Material 1-4yd</t>
  </si>
  <si>
    <t>Loose Material per Yard</t>
  </si>
  <si>
    <t>Loose Material Min Charge</t>
  </si>
  <si>
    <t>Item 207, Pg. 32A</t>
  </si>
  <si>
    <t>Overfilled Container</t>
  </si>
  <si>
    <t>Item 230, Pg. 34</t>
  </si>
  <si>
    <t>City of Port Angeles</t>
  </si>
  <si>
    <t>Item 240, Pg. 35A</t>
  </si>
  <si>
    <t>1 Yard</t>
  </si>
  <si>
    <t>1.5 Yard</t>
  </si>
  <si>
    <t>2 Yard</t>
  </si>
  <si>
    <t>3 Yard</t>
  </si>
  <si>
    <t>4 Yard</t>
  </si>
  <si>
    <t>6 Yard</t>
  </si>
  <si>
    <t>8 Yard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</si>
  <si>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</si>
  <si>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</si>
  <si>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</si>
  <si>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</si>
  <si>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</si>
  <si>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</si>
  <si>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</si>
  <si>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</si>
  <si>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</si>
  <si>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</si>
  <si>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Item 240, Pg 35.5A</t>
  </si>
  <si>
    <t>35 Gal</t>
  </si>
  <si>
    <t>35 Gal - Temp</t>
  </si>
  <si>
    <t>60 Gal - Temp</t>
  </si>
  <si>
    <t>96 Gal</t>
  </si>
  <si>
    <t>96 Gal - Temp</t>
  </si>
  <si>
    <t>35 Gal - Minimum</t>
  </si>
  <si>
    <t>60 Gal - Minimum</t>
  </si>
  <si>
    <t>96 Gal - Minimum</t>
  </si>
  <si>
    <t>Item 245, Pg. 36A</t>
  </si>
  <si>
    <t>32 Gal</t>
  </si>
  <si>
    <t>32 Gal - Temp</t>
  </si>
  <si>
    <t>6  Yard</t>
  </si>
  <si>
    <t>Over-filled Container</t>
  </si>
  <si>
    <t>Extra Unit</t>
  </si>
  <si>
    <t>32 Gal - Minimum</t>
  </si>
  <si>
    <t>Item 255, Pg. 38 (4:1 Compaction Ratio)</t>
  </si>
  <si>
    <t>35 gallon Can</t>
  </si>
  <si>
    <t>provided by wcon</t>
  </si>
  <si>
    <t>8 YD Cont Extra PU</t>
  </si>
  <si>
    <t>60 gal Temp</t>
  </si>
  <si>
    <t>35 gal Temp</t>
  </si>
  <si>
    <t>32 gal Temp</t>
  </si>
  <si>
    <t>96 gal NEW</t>
  </si>
  <si>
    <t>96 gal Temp NEW</t>
  </si>
  <si>
    <t>2 Yard NEW</t>
  </si>
  <si>
    <t>3 Yard NEW</t>
  </si>
  <si>
    <t>4 Yard NEW</t>
  </si>
  <si>
    <t>6  Yard NEW</t>
  </si>
  <si>
    <t>Loose Yard</t>
  </si>
  <si>
    <t>32A</t>
  </si>
  <si>
    <t>28A</t>
  </si>
  <si>
    <t>Staff Correct.</t>
  </si>
  <si>
    <t>We used regular 4 yard increase times 4 for compaction.</t>
  </si>
  <si>
    <t>Clallam County</t>
  </si>
  <si>
    <t>6  Yard - Special</t>
  </si>
  <si>
    <t>NOTE from Heather Garland:  As instructed by the auditor in TG-132227 we used the revenue, customer counts and disposal tonnage from the last general rate filing.  The information shaded gray was taken directly from the final audited file in TG-132227 as there has not been another general rate filing since Clallam's DF increased on 2-1-2014.  Columns O-S were updated to reflect the increase as  a result of the new DF increase amount.</t>
  </si>
  <si>
    <t>Note from Heather Garland:  The entire schedule below was taken from the audit in TG-132227.  Only the cells highlighted in green were updated for the change in the DF effective 1-1-2015.</t>
  </si>
  <si>
    <t>Note from Heather Garland:  The schedule below was prepared by the auditor in TG-132227.  All comments/notations are from that audit.  The only change that was made was the linking of column M to the "Proposed Rates" tab so the proper starting tariff rate would flow through into this schedule.</t>
  </si>
  <si>
    <t>Each Additional Unit</t>
  </si>
  <si>
    <t>Roll-Off Tons</t>
  </si>
  <si>
    <t>For tonnage information see -</t>
  </si>
  <si>
    <t xml:space="preserve"> TG-132227    2-1-2014</t>
  </si>
  <si>
    <t>Clallam DF Increase Effective 1/1/2016</t>
  </si>
  <si>
    <t>Rate Effective 1/1/2016</t>
  </si>
  <si>
    <t>Clallam County DF Increase 1-1-2016</t>
  </si>
  <si>
    <t xml:space="preserve"> Current Rate Effective 1/1/2015</t>
  </si>
  <si>
    <t>3 Yard - Temp</t>
  </si>
  <si>
    <t>4 Yard - 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</si>
</sst>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_(&quot;$&quot;* #,##0.00000_);_(&quot;$&quot;* \(#,##0.00000\);_(&quot;$&quot;* &quot;-&quot;??_);_(@_)"/>
    <numFmt numFmtId="173" formatCode="0.000%"/>
    <numFmt numFmtId="174" formatCode="0.00000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0"/>
      <color indexed="8"/>
      <name val="Cambria"/>
      <family val="1"/>
      <scheme val="major"/>
    </font>
    <font>
      <b/>
      <sz val="10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Cambria"/>
      <family val="1"/>
      <scheme val="major"/>
    </font>
    <font>
      <b/>
      <sz val="11"/>
      <color rgb="FFFF0000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name val="Cambria"/>
      <family val="1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0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6" fillId="0" borderId="0" applyNumberFormat="0" applyFont="0" applyFill="0" applyBorder="0">
      <alignment horizontal="left" indent="4"/>
      <protection locked="0"/>
    </xf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2">
      <alignment horizontal="center"/>
    </xf>
    <xf numFmtId="3" fontId="7" fillId="0" borderId="0" applyFont="0" applyFill="0" applyBorder="0" applyAlignment="0" applyProtection="0"/>
    <xf numFmtId="0" fontId="7" fillId="3" borderId="0" applyNumberFormat="0" applyFont="0" applyBorder="0" applyAlignment="0" applyProtection="0"/>
    <xf numFmtId="166" fontId="5" fillId="4" borderId="0" applyFont="0" applyFill="0" applyBorder="0" applyAlignment="0" applyProtection="0">
      <alignment wrapText="1"/>
    </xf>
    <xf numFmtId="0" fontId="14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8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41" fontId="3" fillId="0" borderId="0"/>
    <xf numFmtId="41" fontId="3" fillId="0" borderId="0"/>
    <xf numFmtId="41" fontId="3" fillId="0" borderId="0"/>
    <xf numFmtId="41" fontId="3" fillId="0" borderId="0"/>
    <xf numFmtId="0" fontId="16" fillId="23" borderId="0" applyNumberFormat="0" applyBorder="0" applyAlignment="0" applyProtection="0"/>
    <xf numFmtId="0" fontId="16" fillId="14" borderId="0" applyNumberFormat="0" applyBorder="0" applyAlignment="0" applyProtection="0"/>
    <xf numFmtId="3" fontId="3" fillId="0" borderId="0"/>
    <xf numFmtId="3" fontId="3" fillId="0" borderId="0"/>
    <xf numFmtId="3" fontId="3" fillId="0" borderId="0"/>
    <xf numFmtId="3" fontId="3" fillId="0" borderId="0"/>
    <xf numFmtId="0" fontId="17" fillId="24" borderId="4" applyNumberFormat="0" applyAlignment="0" applyProtection="0"/>
    <xf numFmtId="0" fontId="33" fillId="24" borderId="4" applyNumberFormat="0" applyAlignment="0" applyProtection="0"/>
    <xf numFmtId="0" fontId="18" fillId="25" borderId="5" applyNumberFormat="0" applyAlignment="0" applyProtection="0"/>
    <xf numFmtId="0" fontId="18" fillId="26" borderId="6" applyNumberFormat="0" applyAlignment="0" applyProtection="0"/>
    <xf numFmtId="0" fontId="3" fillId="27" borderId="0">
      <alignment horizontal="center"/>
    </xf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9" fillId="0" borderId="0"/>
    <xf numFmtId="0" fontId="34" fillId="0" borderId="0"/>
    <xf numFmtId="0" fontId="34" fillId="0" borderId="0"/>
    <xf numFmtId="0" fontId="35" fillId="28" borderId="1" applyAlignment="0">
      <alignment horizontal="right"/>
      <protection locked="0"/>
    </xf>
    <xf numFmtId="44" fontId="1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29" borderId="0">
      <alignment horizontal="right"/>
      <protection locked="0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" fontId="36" fillId="29" borderId="0">
      <alignment horizontal="right"/>
      <protection locked="0"/>
    </xf>
    <xf numFmtId="0" fontId="22" fillId="11" borderId="0" applyNumberFormat="0" applyBorder="0" applyAlignment="0" applyProtection="0"/>
    <xf numFmtId="0" fontId="22" fillId="30" borderId="0" applyNumberFormat="0" applyBorder="0" applyAlignment="0" applyProtection="0"/>
    <xf numFmtId="0" fontId="23" fillId="0" borderId="7" applyNumberFormat="0" applyFill="0" applyAlignment="0" applyProtection="0"/>
    <xf numFmtId="0" fontId="37" fillId="0" borderId="8" applyNumberFormat="0" applyFill="0" applyAlignment="0" applyProtection="0"/>
    <xf numFmtId="0" fontId="24" fillId="0" borderId="9" applyNumberFormat="0" applyFill="0" applyAlignment="0" applyProtection="0"/>
    <xf numFmtId="0" fontId="38" fillId="0" borderId="10" applyNumberFormat="0" applyFill="0" applyAlignment="0" applyProtection="0"/>
    <xf numFmtId="0" fontId="25" fillId="0" borderId="11" applyNumberFormat="0" applyFill="0" applyAlignment="0" applyProtection="0"/>
    <xf numFmtId="0" fontId="39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26" fillId="13" borderId="4" applyNumberFormat="0" applyAlignment="0" applyProtection="0"/>
    <xf numFmtId="0" fontId="42" fillId="13" borderId="4" applyNumberFormat="0" applyAlignment="0" applyProtection="0"/>
    <xf numFmtId="3" fontId="11" fillId="31" borderId="0">
      <protection locked="0"/>
    </xf>
    <xf numFmtId="4" fontId="11" fillId="31" borderId="0">
      <protection locked="0"/>
    </xf>
    <xf numFmtId="0" fontId="27" fillId="0" borderId="13" applyNumberFormat="0" applyFill="0" applyAlignment="0" applyProtection="0"/>
    <xf numFmtId="0" fontId="43" fillId="0" borderId="14" applyNumberFormat="0" applyFill="0" applyAlignment="0" applyProtection="0"/>
    <xf numFmtId="0" fontId="28" fillId="13" borderId="0" applyNumberFormat="0" applyBorder="0" applyAlignment="0" applyProtection="0"/>
    <xf numFmtId="0" fontId="44" fillId="13" borderId="0" applyNumberFormat="0" applyBorder="0" applyAlignment="0" applyProtection="0"/>
    <xf numFmtId="43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19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3" fillId="0" borderId="0"/>
    <xf numFmtId="0" fontId="29" fillId="10" borderId="15" applyNumberFormat="0" applyFont="0" applyAlignment="0" applyProtection="0"/>
    <xf numFmtId="0" fontId="19" fillId="10" borderId="15" applyNumberFormat="0" applyFont="0" applyAlignment="0" applyProtection="0"/>
    <xf numFmtId="171" fontId="45" fillId="0" borderId="0" applyNumberFormat="0"/>
    <xf numFmtId="0" fontId="30" fillId="24" borderId="16" applyNumberFormat="0" applyAlignment="0" applyProtection="0"/>
    <xf numFmtId="0" fontId="25" fillId="24" borderId="17" applyNumberFormat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 applyNumberFormat="0" applyBorder="0" applyAlignment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8" applyNumberFormat="0" applyFill="0" applyAlignment="0" applyProtection="0"/>
    <xf numFmtId="0" fontId="32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47" fillId="0" borderId="0"/>
    <xf numFmtId="43" fontId="2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9" fillId="0" borderId="0"/>
  </cellStyleXfs>
  <cellXfs count="290">
    <xf numFmtId="0" fontId="0" fillId="0" borderId="0" xfId="0"/>
    <xf numFmtId="43" fontId="0" fillId="0" borderId="0" xfId="1" applyFont="1"/>
    <xf numFmtId="0" fontId="4" fillId="0" borderId="0" xfId="0" applyFont="1"/>
    <xf numFmtId="0" fontId="0" fillId="0" borderId="0" xfId="0" applyFont="1"/>
    <xf numFmtId="44" fontId="4" fillId="0" borderId="0" xfId="0" applyNumberFormat="1" applyFont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6" fontId="0" fillId="0" borderId="0" xfId="1" applyNumberFormat="1" applyFont="1"/>
    <xf numFmtId="166" fontId="0" fillId="0" borderId="1" xfId="1" applyNumberFormat="1" applyFont="1" applyBorder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4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44" fontId="0" fillId="0" borderId="3" xfId="2" applyFont="1" applyBorder="1"/>
    <xf numFmtId="0" fontId="0" fillId="0" borderId="0" xfId="0" applyFill="1"/>
    <xf numFmtId="166" fontId="3" fillId="0" borderId="0" xfId="18" applyNumberFormat="1" applyFill="1"/>
    <xf numFmtId="166" fontId="50" fillId="0" borderId="0" xfId="279" applyNumberFormat="1" applyFont="1" applyFill="1"/>
    <xf numFmtId="0" fontId="3" fillId="0" borderId="0" xfId="279"/>
    <xf numFmtId="166" fontId="3" fillId="0" borderId="0" xfId="18" applyNumberFormat="1"/>
    <xf numFmtId="0" fontId="49" fillId="0" borderId="0" xfId="280" applyFont="1" applyFill="1"/>
    <xf numFmtId="0" fontId="49" fillId="0" borderId="0" xfId="280" applyFont="1"/>
    <xf numFmtId="0" fontId="50" fillId="0" borderId="0" xfId="279" applyFont="1"/>
    <xf numFmtId="166" fontId="50" fillId="0" borderId="0" xfId="103" applyNumberFormat="1" applyFont="1"/>
    <xf numFmtId="17" fontId="51" fillId="33" borderId="0" xfId="280" applyNumberFormat="1" applyFont="1" applyFill="1" applyAlignment="1">
      <alignment horizontal="center"/>
    </xf>
    <xf numFmtId="166" fontId="51" fillId="33" borderId="0" xfId="103" applyNumberFormat="1" applyFont="1" applyFill="1" applyAlignment="1">
      <alignment horizontal="center"/>
    </xf>
    <xf numFmtId="0" fontId="51" fillId="33" borderId="0" xfId="280" applyFont="1" applyFill="1" applyAlignment="1">
      <alignment horizontal="center" wrapText="1"/>
    </xf>
    <xf numFmtId="166" fontId="51" fillId="33" borderId="0" xfId="103" applyNumberFormat="1" applyFont="1" applyFill="1" applyAlignment="1">
      <alignment horizontal="center" wrapText="1"/>
    </xf>
    <xf numFmtId="0" fontId="50" fillId="0" borderId="0" xfId="279" applyFont="1" applyFill="1"/>
    <xf numFmtId="166" fontId="49" fillId="0" borderId="0" xfId="103" applyNumberFormat="1" applyFont="1"/>
    <xf numFmtId="43" fontId="49" fillId="0" borderId="0" xfId="280" applyNumberFormat="1" applyFont="1"/>
    <xf numFmtId="166" fontId="49" fillId="0" borderId="0" xfId="103" applyNumberFormat="1" applyFont="1" applyFill="1"/>
    <xf numFmtId="166" fontId="50" fillId="0" borderId="0" xfId="279" applyNumberFormat="1" applyFont="1"/>
    <xf numFmtId="166" fontId="49" fillId="0" borderId="0" xfId="280" applyNumberFormat="1" applyFont="1"/>
    <xf numFmtId="166" fontId="51" fillId="0" borderId="20" xfId="280" applyNumberFormat="1" applyFont="1" applyFill="1" applyBorder="1"/>
    <xf numFmtId="166" fontId="48" fillId="0" borderId="20" xfId="279" applyNumberFormat="1" applyFont="1" applyBorder="1"/>
    <xf numFmtId="43" fontId="50" fillId="0" borderId="0" xfId="103" applyFont="1"/>
    <xf numFmtId="43" fontId="49" fillId="0" borderId="0" xfId="103" applyFont="1"/>
    <xf numFmtId="166" fontId="49" fillId="0" borderId="0" xfId="280" applyNumberFormat="1" applyFont="1" applyFill="1"/>
    <xf numFmtId="166" fontId="10" fillId="0" borderId="0" xfId="1" applyNumberFormat="1" applyFont="1" applyFill="1" applyBorder="1"/>
    <xf numFmtId="3" fontId="0" fillId="0" borderId="0" xfId="0" applyNumberFormat="1" applyFont="1" applyBorder="1"/>
    <xf numFmtId="44" fontId="0" fillId="34" borderId="0" xfId="2" applyFont="1" applyFill="1" applyBorder="1"/>
    <xf numFmtId="0" fontId="0" fillId="0" borderId="0" xfId="0"/>
    <xf numFmtId="0" fontId="0" fillId="0" borderId="0" xfId="0"/>
    <xf numFmtId="0" fontId="53" fillId="0" borderId="0" xfId="0" applyFont="1" applyBorder="1"/>
    <xf numFmtId="43" fontId="53" fillId="0" borderId="0" xfId="0" applyNumberFormat="1" applyFont="1" applyBorder="1"/>
    <xf numFmtId="43" fontId="52" fillId="0" borderId="0" xfId="0" applyNumberFormat="1" applyFont="1" applyBorder="1"/>
    <xf numFmtId="43" fontId="52" fillId="0" borderId="21" xfId="0" applyNumberFormat="1" applyFont="1" applyBorder="1"/>
    <xf numFmtId="0" fontId="54" fillId="0" borderId="0" xfId="0" applyFont="1" applyBorder="1"/>
    <xf numFmtId="43" fontId="53" fillId="0" borderId="0" xfId="1" applyFont="1" applyBorder="1"/>
    <xf numFmtId="0" fontId="53" fillId="0" borderId="22" xfId="0" applyFont="1" applyBorder="1"/>
    <xf numFmtId="0" fontId="54" fillId="0" borderId="23" xfId="0" applyFont="1" applyBorder="1"/>
    <xf numFmtId="0" fontId="53" fillId="0" borderId="23" xfId="0" applyFont="1" applyBorder="1"/>
    <xf numFmtId="0" fontId="53" fillId="0" borderId="24" xfId="0" applyFont="1" applyBorder="1"/>
    <xf numFmtId="0" fontId="53" fillId="0" borderId="25" xfId="0" applyFont="1" applyBorder="1"/>
    <xf numFmtId="0" fontId="53" fillId="0" borderId="26" xfId="0" applyFont="1" applyBorder="1"/>
    <xf numFmtId="166" fontId="53" fillId="0" borderId="25" xfId="0" applyNumberFormat="1" applyFont="1" applyBorder="1"/>
    <xf numFmtId="0" fontId="53" fillId="0" borderId="0" xfId="0" applyFont="1" applyBorder="1" applyAlignment="1">
      <alignment horizontal="right"/>
    </xf>
    <xf numFmtId="0" fontId="53" fillId="0" borderId="2" xfId="0" applyFont="1" applyBorder="1"/>
    <xf numFmtId="0" fontId="53" fillId="0" borderId="28" xfId="0" applyFont="1" applyBorder="1"/>
    <xf numFmtId="0" fontId="56" fillId="0" borderId="0" xfId="280" applyFont="1"/>
    <xf numFmtId="0" fontId="56" fillId="0" borderId="0" xfId="280" applyFont="1" applyFill="1"/>
    <xf numFmtId="0" fontId="57" fillId="0" borderId="22" xfId="0" applyFont="1" applyBorder="1"/>
    <xf numFmtId="0" fontId="57" fillId="0" borderId="23" xfId="0" applyFont="1" applyBorder="1" applyAlignment="1">
      <alignment horizontal="center"/>
    </xf>
    <xf numFmtId="4" fontId="53" fillId="0" borderId="0" xfId="0" applyNumberFormat="1" applyFont="1" applyBorder="1"/>
    <xf numFmtId="0" fontId="57" fillId="0" borderId="0" xfId="0" applyFont="1" applyBorder="1"/>
    <xf numFmtId="4" fontId="57" fillId="0" borderId="0" xfId="0" applyNumberFormat="1" applyFont="1" applyBorder="1"/>
    <xf numFmtId="4" fontId="52" fillId="0" borderId="0" xfId="0" applyNumberFormat="1" applyFont="1" applyBorder="1"/>
    <xf numFmtId="0" fontId="53" fillId="0" borderId="27" xfId="0" applyFont="1" applyBorder="1"/>
    <xf numFmtId="166" fontId="53" fillId="0" borderId="0" xfId="0" applyNumberFormat="1" applyFont="1" applyBorder="1"/>
    <xf numFmtId="172" fontId="53" fillId="0" borderId="0" xfId="0" applyNumberFormat="1" applyFont="1" applyBorder="1"/>
    <xf numFmtId="43" fontId="0" fillId="34" borderId="0" xfId="1" applyNumberFormat="1" applyFont="1" applyFill="1" applyBorder="1"/>
    <xf numFmtId="0" fontId="0" fillId="0" borderId="0" xfId="0"/>
    <xf numFmtId="43" fontId="53" fillId="0" borderId="0" xfId="1" applyFont="1" applyBorder="1"/>
    <xf numFmtId="0" fontId="53" fillId="0" borderId="0" xfId="0" applyFont="1"/>
    <xf numFmtId="43" fontId="53" fillId="0" borderId="0" xfId="0" applyNumberFormat="1" applyFont="1"/>
    <xf numFmtId="3" fontId="0" fillId="34" borderId="0" xfId="0" applyNumberFormat="1" applyFont="1" applyFill="1" applyBorder="1"/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4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166" fontId="0" fillId="0" borderId="1" xfId="1" applyNumberFormat="1" applyFont="1" applyBorder="1"/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2" fillId="0" borderId="0" xfId="4" applyFont="1" applyFill="1" applyBorder="1" applyAlignment="1">
      <alignment horizontal="left"/>
    </xf>
    <xf numFmtId="166" fontId="12" fillId="0" borderId="0" xfId="1" applyNumberFormat="1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center" vertical="center"/>
    </xf>
    <xf numFmtId="0" fontId="13" fillId="6" borderId="1" xfId="4" applyFont="1" applyFill="1" applyBorder="1" applyAlignment="1">
      <alignment horizontal="left"/>
    </xf>
    <xf numFmtId="3" fontId="4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4" fillId="6" borderId="1" xfId="0" applyNumberFormat="1" applyFont="1" applyFill="1" applyBorder="1"/>
    <xf numFmtId="43" fontId="0" fillId="6" borderId="1" xfId="0" applyNumberFormat="1" applyFont="1" applyFill="1" applyBorder="1"/>
    <xf numFmtId="166" fontId="4" fillId="6" borderId="1" xfId="1" applyNumberFormat="1" applyFont="1" applyFill="1" applyBorder="1"/>
    <xf numFmtId="166" fontId="4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166" fontId="0" fillId="0" borderId="3" xfId="1" applyNumberFormat="1" applyFont="1" applyBorder="1" applyAlignment="1">
      <alignment horizontal="right"/>
    </xf>
    <xf numFmtId="0" fontId="13" fillId="0" borderId="0" xfId="4" applyFont="1" applyFill="1" applyBorder="1" applyAlignment="1">
      <alignment horizontal="left"/>
    </xf>
    <xf numFmtId="166" fontId="4" fillId="0" borderId="0" xfId="1" applyNumberFormat="1" applyFont="1" applyBorder="1" applyAlignment="1">
      <alignment horizontal="right"/>
    </xf>
    <xf numFmtId="0" fontId="10" fillId="0" borderId="0" xfId="274" applyFont="1" applyBorder="1" applyAlignment="1">
      <alignment horizontal="left"/>
    </xf>
    <xf numFmtId="166" fontId="0" fillId="5" borderId="0" xfId="1" applyNumberFormat="1" applyFont="1" applyFill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166" fontId="0" fillId="0" borderId="3" xfId="1" applyNumberFormat="1" applyFont="1" applyFill="1" applyBorder="1"/>
    <xf numFmtId="43" fontId="0" fillId="0" borderId="3" xfId="1" applyNumberFormat="1" applyFont="1" applyFill="1" applyBorder="1"/>
    <xf numFmtId="44" fontId="0" fillId="2" borderId="0" xfId="2" applyFont="1" applyFill="1" applyBorder="1"/>
    <xf numFmtId="44" fontId="0" fillId="0" borderId="3" xfId="2" applyFont="1" applyFill="1" applyBorder="1"/>
    <xf numFmtId="44" fontId="0" fillId="2" borderId="3" xfId="2" applyFont="1" applyFill="1" applyBorder="1"/>
    <xf numFmtId="44" fontId="4" fillId="6" borderId="1" xfId="2" applyFont="1" applyFill="1" applyBorder="1"/>
    <xf numFmtId="44" fontId="0" fillId="6" borderId="1" xfId="2" applyFont="1" applyFill="1" applyBorder="1"/>
    <xf numFmtId="44" fontId="4" fillId="0" borderId="0" xfId="2" applyFont="1" applyBorder="1" applyAlignment="1">
      <alignment horizontal="right"/>
    </xf>
    <xf numFmtId="0" fontId="0" fillId="32" borderId="0" xfId="0" applyFont="1" applyFill="1" applyBorder="1"/>
    <xf numFmtId="0" fontId="0" fillId="32" borderId="0" xfId="0" applyFont="1" applyFill="1" applyBorder="1" applyAlignment="1">
      <alignment horizontal="center"/>
    </xf>
    <xf numFmtId="0" fontId="0" fillId="32" borderId="0" xfId="0" applyFont="1" applyFill="1" applyBorder="1" applyAlignment="1">
      <alignment horizontal="right"/>
    </xf>
    <xf numFmtId="166" fontId="0" fillId="32" borderId="0" xfId="1" applyNumberFormat="1" applyFont="1" applyFill="1" applyBorder="1"/>
    <xf numFmtId="44" fontId="0" fillId="32" borderId="0" xfId="1" applyNumberFormat="1" applyFont="1" applyFill="1" applyBorder="1"/>
    <xf numFmtId="0" fontId="4" fillId="32" borderId="0" xfId="0" applyFont="1" applyFill="1" applyBorder="1"/>
    <xf numFmtId="43" fontId="0" fillId="0" borderId="1" xfId="1" applyFont="1" applyBorder="1" applyAlignment="1">
      <alignment horizontal="right"/>
    </xf>
    <xf numFmtId="43" fontId="0" fillId="0" borderId="1" xfId="1" applyFont="1" applyFill="1" applyBorder="1"/>
    <xf numFmtId="166" fontId="0" fillId="0" borderId="1" xfId="1" applyNumberFormat="1" applyFont="1" applyFill="1" applyBorder="1"/>
    <xf numFmtId="0" fontId="4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3" fontId="4" fillId="6" borderId="1" xfId="0" applyNumberFormat="1" applyFont="1" applyFill="1" applyBorder="1"/>
    <xf numFmtId="0" fontId="0" fillId="0" borderId="0" xfId="0" applyFont="1" applyFill="1" applyBorder="1" applyAlignment="1"/>
    <xf numFmtId="0" fontId="12" fillId="0" borderId="1" xfId="274" applyFont="1" applyBorder="1" applyAlignment="1">
      <alignment horizontal="left"/>
    </xf>
    <xf numFmtId="0" fontId="12" fillId="0" borderId="0" xfId="274" applyFont="1" applyBorder="1" applyAlignment="1">
      <alignment horizontal="left"/>
    </xf>
    <xf numFmtId="0" fontId="12" fillId="0" borderId="0" xfId="278" applyFont="1" applyBorder="1"/>
    <xf numFmtId="166" fontId="0" fillId="5" borderId="0" xfId="1" applyNumberFormat="1" applyFont="1" applyFill="1" applyBorder="1"/>
    <xf numFmtId="0" fontId="4" fillId="6" borderId="0" xfId="0" applyFont="1" applyFill="1" applyBorder="1" applyAlignment="1">
      <alignment wrapText="1"/>
    </xf>
    <xf numFmtId="0" fontId="0" fillId="5" borderId="0" xfId="0" applyFont="1" applyFill="1" applyBorder="1" applyAlignment="1">
      <alignment horizontal="left"/>
    </xf>
    <xf numFmtId="166" fontId="0" fillId="34" borderId="0" xfId="1" applyNumberFormat="1" applyFont="1" applyFill="1" applyBorder="1"/>
    <xf numFmtId="0" fontId="10" fillId="0" borderId="0" xfId="4" applyFont="1" applyFill="1" applyBorder="1" applyAlignment="1">
      <alignment horizontal="left"/>
    </xf>
    <xf numFmtId="0" fontId="0" fillId="34" borderId="0" xfId="0" applyFont="1" applyFill="1" applyBorder="1" applyAlignment="1">
      <alignment horizontal="left"/>
    </xf>
    <xf numFmtId="166" fontId="4" fillId="6" borderId="0" xfId="1" applyNumberFormat="1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0" fontId="4" fillId="6" borderId="0" xfId="0" applyFont="1" applyFill="1" applyBorder="1"/>
    <xf numFmtId="0" fontId="12" fillId="0" borderId="0" xfId="271" applyFont="1" applyBorder="1"/>
    <xf numFmtId="0" fontId="12" fillId="0" borderId="1" xfId="278" applyFont="1" applyBorder="1"/>
    <xf numFmtId="43" fontId="0" fillId="0" borderId="1" xfId="1" applyFont="1" applyBorder="1"/>
    <xf numFmtId="44" fontId="0" fillId="0" borderId="1" xfId="2" applyFont="1" applyFill="1" applyBorder="1"/>
    <xf numFmtId="44" fontId="0" fillId="0" borderId="0" xfId="2" applyFont="1" applyBorder="1"/>
    <xf numFmtId="44" fontId="0" fillId="0" borderId="1" xfId="2" applyFont="1" applyBorder="1"/>
    <xf numFmtId="0" fontId="12" fillId="0" borderId="0" xfId="278" applyFont="1" applyFill="1" applyBorder="1"/>
    <xf numFmtId="0" fontId="12" fillId="0" borderId="0" xfId="271" applyFont="1" applyFill="1" applyBorder="1"/>
    <xf numFmtId="0" fontId="4" fillId="0" borderId="22" xfId="0" applyFont="1" applyBorder="1"/>
    <xf numFmtId="0" fontId="0" fillId="6" borderId="29" xfId="0" applyFont="1" applyFill="1" applyBorder="1" applyAlignment="1">
      <alignment horizontal="center"/>
    </xf>
    <xf numFmtId="0" fontId="0" fillId="0" borderId="25" xfId="0" applyFont="1" applyBorder="1"/>
    <xf numFmtId="44" fontId="0" fillId="0" borderId="26" xfId="2" applyFont="1" applyBorder="1"/>
    <xf numFmtId="0" fontId="0" fillId="0" borderId="26" xfId="0" applyFont="1" applyBorder="1"/>
    <xf numFmtId="0" fontId="4" fillId="0" borderId="25" xfId="0" applyFont="1" applyBorder="1"/>
    <xf numFmtId="0" fontId="0" fillId="6" borderId="30" xfId="0" applyFont="1" applyFill="1" applyBorder="1" applyAlignment="1">
      <alignment horizontal="center"/>
    </xf>
    <xf numFmtId="44" fontId="2" fillId="0" borderId="26" xfId="2" applyFont="1" applyBorder="1"/>
    <xf numFmtId="0" fontId="0" fillId="0" borderId="27" xfId="0" applyFont="1" applyBorder="1" applyAlignment="1">
      <alignment horizontal="left"/>
    </xf>
    <xf numFmtId="44" fontId="0" fillId="0" borderId="28" xfId="2" applyFont="1" applyBorder="1"/>
    <xf numFmtId="166" fontId="12" fillId="34" borderId="0" xfId="1" applyNumberFormat="1" applyFont="1" applyFill="1" applyBorder="1"/>
    <xf numFmtId="44" fontId="0" fillId="0" borderId="0" xfId="0" applyNumberFormat="1" applyFont="1" applyFill="1" applyBorder="1"/>
    <xf numFmtId="44" fontId="0" fillId="5" borderId="0" xfId="0" applyNumberFormat="1" applyFont="1" applyFill="1" applyBorder="1"/>
    <xf numFmtId="0" fontId="0" fillId="0" borderId="0" xfId="0" applyFill="1" applyBorder="1"/>
    <xf numFmtId="0" fontId="52" fillId="2" borderId="0" xfId="0" applyFont="1" applyFill="1" applyBorder="1"/>
    <xf numFmtId="0" fontId="0" fillId="2" borderId="0" xfId="0" applyFill="1"/>
    <xf numFmtId="0" fontId="52" fillId="2" borderId="0" xfId="0" applyFont="1" applyFill="1" applyBorder="1" applyAlignment="1">
      <alignment horizontal="center"/>
    </xf>
    <xf numFmtId="0" fontId="54" fillId="2" borderId="0" xfId="0" applyFont="1" applyFill="1" applyBorder="1"/>
    <xf numFmtId="0" fontId="53" fillId="2" borderId="0" xfId="0" applyFont="1" applyFill="1" applyBorder="1"/>
    <xf numFmtId="43" fontId="53" fillId="2" borderId="0" xfId="1" applyFont="1" applyFill="1" applyBorder="1"/>
    <xf numFmtId="43" fontId="53" fillId="2" borderId="0" xfId="0" applyNumberFormat="1" applyFont="1" applyFill="1" applyBorder="1"/>
    <xf numFmtId="166" fontId="53" fillId="2" borderId="0" xfId="1" applyNumberFormat="1" applyFont="1" applyFill="1" applyBorder="1"/>
    <xf numFmtId="4" fontId="53" fillId="2" borderId="0" xfId="0" applyNumberFormat="1" applyFont="1" applyFill="1" applyBorder="1"/>
    <xf numFmtId="3" fontId="53" fillId="2" borderId="0" xfId="0" applyNumberFormat="1" applyFont="1" applyFill="1" applyBorder="1"/>
    <xf numFmtId="166" fontId="53" fillId="2" borderId="0" xfId="0" applyNumberFormat="1" applyFont="1" applyFill="1" applyBorder="1"/>
    <xf numFmtId="43" fontId="52" fillId="2" borderId="21" xfId="0" applyNumberFormat="1" applyFont="1" applyFill="1" applyBorder="1"/>
    <xf numFmtId="0" fontId="50" fillId="2" borderId="0" xfId="279" applyFont="1" applyFill="1"/>
    <xf numFmtId="43" fontId="49" fillId="2" borderId="0" xfId="103" applyFont="1" applyFill="1" applyAlignment="1">
      <alignment horizontal="center"/>
    </xf>
    <xf numFmtId="166" fontId="49" fillId="2" borderId="0" xfId="103" applyNumberFormat="1" applyFont="1" applyFill="1"/>
    <xf numFmtId="43" fontId="52" fillId="2" borderId="0" xfId="0" applyNumberFormat="1" applyFont="1" applyFill="1" applyBorder="1"/>
    <xf numFmtId="0" fontId="52" fillId="2" borderId="0" xfId="0" applyFont="1" applyFill="1" applyBorder="1" applyAlignment="1">
      <alignment horizontal="right"/>
    </xf>
    <xf numFmtId="0" fontId="53" fillId="2" borderId="0" xfId="0" applyFont="1" applyFill="1" applyBorder="1" applyAlignment="1">
      <alignment horizontal="right"/>
    </xf>
    <xf numFmtId="10" fontId="53" fillId="2" borderId="0" xfId="3" applyNumberFormat="1" applyFont="1" applyFill="1" applyBorder="1"/>
    <xf numFmtId="43" fontId="53" fillId="0" borderId="0" xfId="1" applyFont="1" applyFill="1" applyBorder="1"/>
    <xf numFmtId="0" fontId="53" fillId="0" borderId="0" xfId="0" applyFont="1" applyFill="1" applyBorder="1"/>
    <xf numFmtId="166" fontId="53" fillId="0" borderId="27" xfId="0" applyNumberFormat="1" applyFont="1" applyFill="1" applyBorder="1"/>
    <xf numFmtId="0" fontId="53" fillId="0" borderId="2" xfId="0" applyFont="1" applyFill="1" applyBorder="1"/>
    <xf numFmtId="0" fontId="53" fillId="0" borderId="28" xfId="0" applyFont="1" applyFill="1" applyBorder="1"/>
    <xf numFmtId="44" fontId="0" fillId="35" borderId="0" xfId="2" applyFont="1" applyFill="1"/>
    <xf numFmtId="165" fontId="0" fillId="35" borderId="0" xfId="2" applyNumberFormat="1" applyFont="1" applyFill="1"/>
    <xf numFmtId="44" fontId="0" fillId="35" borderId="1" xfId="2" applyFont="1" applyFill="1" applyBorder="1"/>
    <xf numFmtId="165" fontId="0" fillId="35" borderId="1" xfId="2" applyNumberFormat="1" applyFont="1" applyFill="1" applyBorder="1"/>
    <xf numFmtId="169" fontId="0" fillId="35" borderId="0" xfId="2" applyNumberFormat="1" applyFont="1" applyFill="1"/>
    <xf numFmtId="0" fontId="61" fillId="6" borderId="0" xfId="0" applyFont="1" applyFill="1" applyBorder="1" applyAlignment="1">
      <alignment horizontal="center" wrapText="1"/>
    </xf>
    <xf numFmtId="0" fontId="60" fillId="0" borderId="0" xfId="0" applyFont="1" applyFill="1" applyBorder="1"/>
    <xf numFmtId="14" fontId="60" fillId="0" borderId="0" xfId="0" applyNumberFormat="1" applyFont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10" fillId="0" borderId="0" xfId="0" applyFont="1"/>
    <xf numFmtId="172" fontId="60" fillId="0" borderId="0" xfId="2" applyNumberFormat="1" applyFont="1" applyBorder="1" applyAlignment="1">
      <alignment horizontal="center"/>
    </xf>
    <xf numFmtId="3" fontId="0" fillId="0" borderId="0" xfId="0" applyNumberFormat="1" applyFont="1" applyFill="1" applyBorder="1"/>
    <xf numFmtId="42" fontId="0" fillId="0" borderId="0" xfId="0" applyNumberFormat="1" applyFont="1" applyBorder="1"/>
    <xf numFmtId="42" fontId="4" fillId="0" borderId="0" xfId="0" applyNumberFormat="1" applyFont="1" applyBorder="1"/>
    <xf numFmtId="164" fontId="0" fillId="5" borderId="0" xfId="0" applyNumberFormat="1" applyFont="1" applyFill="1" applyBorder="1"/>
    <xf numFmtId="0" fontId="0" fillId="5" borderId="0" xfId="0" applyFont="1" applyFill="1" applyBorder="1"/>
    <xf numFmtId="173" fontId="0" fillId="0" borderId="0" xfId="0" applyNumberFormat="1" applyFont="1"/>
    <xf numFmtId="0" fontId="4" fillId="0" borderId="0" xfId="0" applyFont="1" applyFill="1" applyBorder="1"/>
    <xf numFmtId="0" fontId="1" fillId="0" borderId="31" xfId="0" applyFont="1" applyBorder="1"/>
    <xf numFmtId="43" fontId="63" fillId="0" borderId="31" xfId="1" applyFont="1" applyBorder="1" applyAlignment="1">
      <alignment horizontal="center"/>
    </xf>
    <xf numFmtId="0" fontId="63" fillId="0" borderId="31" xfId="0" applyFont="1" applyBorder="1" applyAlignment="1">
      <alignment horizontal="center"/>
    </xf>
    <xf numFmtId="43" fontId="63" fillId="0" borderId="31" xfId="1" applyFont="1" applyBorder="1" applyAlignment="1">
      <alignment horizontal="center" wrapText="1"/>
    </xf>
    <xf numFmtId="0" fontId="63" fillId="0" borderId="31" xfId="0" applyFont="1" applyBorder="1" applyAlignment="1">
      <alignment horizontal="center" wrapText="1"/>
    </xf>
    <xf numFmtId="43" fontId="62" fillId="0" borderId="31" xfId="0" applyNumberFormat="1" applyFont="1" applyBorder="1"/>
    <xf numFmtId="43" fontId="62" fillId="5" borderId="31" xfId="0" applyNumberFormat="1" applyFont="1" applyFill="1" applyBorder="1"/>
    <xf numFmtId="43" fontId="62" fillId="0" borderId="31" xfId="1" applyFont="1" applyBorder="1"/>
    <xf numFmtId="43" fontId="64" fillId="5" borderId="31" xfId="0" applyNumberFormat="1" applyFont="1" applyFill="1" applyBorder="1"/>
    <xf numFmtId="43" fontId="1" fillId="5" borderId="31" xfId="0" applyNumberFormat="1" applyFont="1" applyFill="1" applyBorder="1"/>
    <xf numFmtId="43" fontId="62" fillId="0" borderId="31" xfId="0" applyNumberFormat="1" applyFont="1" applyFill="1" applyBorder="1"/>
    <xf numFmtId="43" fontId="1" fillId="0" borderId="31" xfId="0" applyNumberFormat="1" applyFont="1" applyFill="1" applyBorder="1"/>
    <xf numFmtId="0" fontId="63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63" fillId="0" borderId="35" xfId="0" applyFont="1" applyBorder="1"/>
    <xf numFmtId="0" fontId="1" fillId="0" borderId="36" xfId="0" applyFont="1" applyBorder="1"/>
    <xf numFmtId="0" fontId="4" fillId="5" borderId="35" xfId="0" applyFont="1" applyFill="1" applyBorder="1"/>
    <xf numFmtId="0" fontId="63" fillId="0" borderId="36" xfId="0" applyFont="1" applyBorder="1" applyAlignment="1">
      <alignment horizontal="center"/>
    </xf>
    <xf numFmtId="0" fontId="1" fillId="0" borderId="35" xfId="0" applyFont="1" applyBorder="1"/>
    <xf numFmtId="0" fontId="63" fillId="0" borderId="36" xfId="0" applyFont="1" applyBorder="1" applyAlignment="1">
      <alignment horizontal="center" wrapText="1"/>
    </xf>
    <xf numFmtId="0" fontId="62" fillId="0" borderId="35" xfId="0" applyFont="1" applyBorder="1"/>
    <xf numFmtId="43" fontId="62" fillId="0" borderId="36" xfId="0" applyNumberFormat="1" applyFont="1" applyBorder="1"/>
    <xf numFmtId="0" fontId="62" fillId="5" borderId="35" xfId="0" applyFont="1" applyFill="1" applyBorder="1"/>
    <xf numFmtId="43" fontId="62" fillId="5" borderId="36" xfId="0" applyNumberFormat="1" applyFont="1" applyFill="1" applyBorder="1"/>
    <xf numFmtId="0" fontId="62" fillId="0" borderId="35" xfId="0" applyFont="1" applyFill="1" applyBorder="1"/>
    <xf numFmtId="43" fontId="62" fillId="0" borderId="36" xfId="0" applyNumberFormat="1" applyFont="1" applyFill="1" applyBorder="1"/>
    <xf numFmtId="0" fontId="62" fillId="5" borderId="37" xfId="0" applyFont="1" applyFill="1" applyBorder="1"/>
    <xf numFmtId="43" fontId="62" fillId="5" borderId="38" xfId="0" applyNumberFormat="1" applyFont="1" applyFill="1" applyBorder="1"/>
    <xf numFmtId="43" fontId="62" fillId="5" borderId="39" xfId="0" applyNumberFormat="1" applyFont="1" applyFill="1" applyBorder="1"/>
    <xf numFmtId="174" fontId="0" fillId="0" borderId="0" xfId="0" applyNumberFormat="1" applyFill="1"/>
    <xf numFmtId="43" fontId="52" fillId="0" borderId="0" xfId="1" applyFont="1" applyFill="1" applyBorder="1" applyAlignment="1">
      <alignment horizontal="center"/>
    </xf>
    <xf numFmtId="43" fontId="52" fillId="0" borderId="0" xfId="1" applyFont="1" applyFill="1" applyBorder="1" applyAlignment="1">
      <alignment horizontal="center" wrapText="1"/>
    </xf>
    <xf numFmtId="2" fontId="0" fillId="0" borderId="0" xfId="0" applyNumberFormat="1" applyFill="1"/>
    <xf numFmtId="43" fontId="0" fillId="0" borderId="0" xfId="0" applyNumberFormat="1" applyFill="1"/>
    <xf numFmtId="2" fontId="53" fillId="0" borderId="0" xfId="1" applyNumberFormat="1" applyFont="1" applyFill="1" applyBorder="1"/>
    <xf numFmtId="0" fontId="0" fillId="6" borderId="0" xfId="0" applyFont="1" applyFill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61" fillId="0" borderId="0" xfId="0" applyFont="1" applyAlignment="1">
      <alignment horizontal="left" wrapText="1"/>
    </xf>
    <xf numFmtId="0" fontId="61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center" vertical="center" textRotation="90"/>
    </xf>
    <xf numFmtId="0" fontId="0" fillId="6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1" xfId="0" applyFont="1" applyFill="1" applyBorder="1" applyAlignment="1">
      <alignment horizontal="center" vertical="center" textRotation="90"/>
    </xf>
    <xf numFmtId="0" fontId="54" fillId="2" borderId="0" xfId="0" applyFont="1" applyFill="1" applyBorder="1" applyAlignment="1">
      <alignment horizontal="center"/>
    </xf>
    <xf numFmtId="0" fontId="60" fillId="0" borderId="0" xfId="0" applyFont="1" applyFill="1" applyBorder="1" applyAlignment="1">
      <alignment horizontal="left" wrapText="1"/>
    </xf>
  </cellXfs>
  <cellStyles count="301">
    <cellStyle name="20% - Accent1 2" xfId="40"/>
    <cellStyle name="20% - Accent1 3" xfId="39"/>
    <cellStyle name="20% - Accent2 2" xfId="42"/>
    <cellStyle name="20% - Accent2 3" xfId="41"/>
    <cellStyle name="20% - Accent3 2" xfId="44"/>
    <cellStyle name="20% - Accent3 3" xfId="43"/>
    <cellStyle name="20% - Accent4 2" xfId="46"/>
    <cellStyle name="20% - Accent4 3" xfId="45"/>
    <cellStyle name="20% - Accent5 2" xfId="48"/>
    <cellStyle name="20% - Accent5 3" xfId="47"/>
    <cellStyle name="20% - Accent6 2" xfId="50"/>
    <cellStyle name="20% - Accent6 3" xfId="49"/>
    <cellStyle name="40% - Accent1 2" xfId="52"/>
    <cellStyle name="40% - Accent1 3" xfId="51"/>
    <cellStyle name="40% - Accent2 2" xfId="54"/>
    <cellStyle name="40% - Accent2 3" xfId="53"/>
    <cellStyle name="40% - Accent3 2" xfId="56"/>
    <cellStyle name="40% - Accent3 3" xfId="55"/>
    <cellStyle name="40% - Accent4 2" xfId="58"/>
    <cellStyle name="40% - Accent4 3" xfId="57"/>
    <cellStyle name="40% - Accent5 2" xfId="60"/>
    <cellStyle name="40% - Accent5 3" xfId="59"/>
    <cellStyle name="40% - Accent6 2" xfId="62"/>
    <cellStyle name="40% - Accent6 3" xfId="61"/>
    <cellStyle name="60% - Accent1 2" xfId="64"/>
    <cellStyle name="60% - Accent1 3" xfId="63"/>
    <cellStyle name="60% - Accent2 2" xfId="66"/>
    <cellStyle name="60% - Accent2 3" xfId="65"/>
    <cellStyle name="60% - Accent3 2" xfId="68"/>
    <cellStyle name="60% - Accent3 3" xfId="67"/>
    <cellStyle name="60% - Accent4 2" xfId="70"/>
    <cellStyle name="60% - Accent4 3" xfId="69"/>
    <cellStyle name="60% - Accent5 2" xfId="72"/>
    <cellStyle name="60% - Accent5 3" xfId="71"/>
    <cellStyle name="60% - Accent6 2" xfId="74"/>
    <cellStyle name="60% - Accent6 3" xfId="73"/>
    <cellStyle name="Accent1 2" xfId="76"/>
    <cellStyle name="Accent1 3" xfId="75"/>
    <cellStyle name="Accent2 2" xfId="78"/>
    <cellStyle name="Accent2 3" xfId="77"/>
    <cellStyle name="Accent3 2" xfId="80"/>
    <cellStyle name="Accent3 3" xfId="79"/>
    <cellStyle name="Accent4 2" xfId="82"/>
    <cellStyle name="Accent4 3" xfId="81"/>
    <cellStyle name="Accent5 2" xfId="84"/>
    <cellStyle name="Accent5 3" xfId="83"/>
    <cellStyle name="Accent6 2" xfId="86"/>
    <cellStyle name="Accent6 3" xfId="85"/>
    <cellStyle name="Accounting" xfId="87"/>
    <cellStyle name="Accounting 2" xfId="88"/>
    <cellStyle name="Accounting 3" xfId="89"/>
    <cellStyle name="Accounting_2011-11" xfId="90"/>
    <cellStyle name="Bad 2" xfId="92"/>
    <cellStyle name="Bad 3" xfId="91"/>
    <cellStyle name="Budget" xfId="93"/>
    <cellStyle name="Budget 2" xfId="94"/>
    <cellStyle name="Budget 3" xfId="95"/>
    <cellStyle name="Budget_2011-11" xfId="96"/>
    <cellStyle name="Calculation 2" xfId="98"/>
    <cellStyle name="Calculation 3" xfId="97"/>
    <cellStyle name="Check Cell 2" xfId="100"/>
    <cellStyle name="Check Cell 3" xfId="99"/>
    <cellStyle name="combo" xfId="101"/>
    <cellStyle name="Comma" xfId="1" builtinId="3"/>
    <cellStyle name="Comma 10" xfId="103"/>
    <cellStyle name="Comma 11" xfId="104"/>
    <cellStyle name="Comma 12" xfId="102"/>
    <cellStyle name="Comma 12 2" xfId="277"/>
    <cellStyle name="Comma 12 3" xfId="283"/>
    <cellStyle name="Comma 13" xfId="284"/>
    <cellStyle name="Comma 14" xfId="285"/>
    <cellStyle name="Comma 15" xfId="286"/>
    <cellStyle name="Comma 16" xfId="287"/>
    <cellStyle name="Comma 2" xfId="5"/>
    <cellStyle name="Comma 2 2" xfId="6"/>
    <cellStyle name="Comma 2 3" xfId="105"/>
    <cellStyle name="Comma 2 6" xfId="7"/>
    <cellStyle name="Comma 2 6 2" xfId="8"/>
    <cellStyle name="Comma 3" xfId="9"/>
    <cellStyle name="Comma 3 2" xfId="106"/>
    <cellStyle name="Comma 3 2 2" xfId="107"/>
    <cellStyle name="Comma 3 3" xfId="288"/>
    <cellStyle name="Comma 4" xfId="108"/>
    <cellStyle name="Comma 4 2" xfId="109"/>
    <cellStyle name="Comma 4 2 2" xfId="289"/>
    <cellStyle name="Comma 4 3" xfId="110"/>
    <cellStyle name="Comma 4 3 2" xfId="290"/>
    <cellStyle name="Comma 4 4" xfId="291"/>
    <cellStyle name="Comma 4 5" xfId="111"/>
    <cellStyle name="Comma 4 6" xfId="281"/>
    <cellStyle name="Comma 5" xfId="112"/>
    <cellStyle name="Comma 6" xfId="113"/>
    <cellStyle name="Comma 7" xfId="114"/>
    <cellStyle name="Comma 8" xfId="115"/>
    <cellStyle name="Comma 9" xfId="116"/>
    <cellStyle name="Comma(2)" xfId="117"/>
    <cellStyle name="Comma0 - Style2" xfId="118"/>
    <cellStyle name="Comma1 - Style1" xfId="119"/>
    <cellStyle name="Comments" xfId="120"/>
    <cellStyle name="Currency" xfId="2" builtinId="4"/>
    <cellStyle name="Currency 2" xfId="10"/>
    <cellStyle name="Currency 2 2" xfId="11"/>
    <cellStyle name="Currency 2 2 2" xfId="123"/>
    <cellStyle name="Currency 2 3" xfId="122"/>
    <cellStyle name="Currency 2 6" xfId="12"/>
    <cellStyle name="Currency 2 6 2" xfId="13"/>
    <cellStyle name="Currency 3" xfId="14"/>
    <cellStyle name="Currency 3 2" xfId="125"/>
    <cellStyle name="Currency 3 3" xfId="124"/>
    <cellStyle name="Currency 3 4" xfId="292"/>
    <cellStyle name="Currency 4" xfId="15"/>
    <cellStyle name="Currency 4 2" xfId="16"/>
    <cellStyle name="Currency 5" xfId="121"/>
    <cellStyle name="Currency 5 2" xfId="276"/>
    <cellStyle name="Currency 5 3" xfId="293"/>
    <cellStyle name="Currency 6" xfId="294"/>
    <cellStyle name="Currency 7" xfId="295"/>
    <cellStyle name="Data Enter" xfId="126"/>
    <cellStyle name="Explanatory Text 2" xfId="128"/>
    <cellStyle name="Explanatory Text 3" xfId="127"/>
    <cellStyle name="FactSheet" xfId="129"/>
    <cellStyle name="Good 2" xfId="131"/>
    <cellStyle name="Good 3" xfId="130"/>
    <cellStyle name="Heading 1 2" xfId="133"/>
    <cellStyle name="Heading 1 3" xfId="132"/>
    <cellStyle name="Heading 2 2" xfId="135"/>
    <cellStyle name="Heading 2 3" xfId="134"/>
    <cellStyle name="Heading 3 2" xfId="137"/>
    <cellStyle name="Heading 3 3" xfId="136"/>
    <cellStyle name="Heading 4 2" xfId="139"/>
    <cellStyle name="Heading 4 3" xfId="138"/>
    <cellStyle name="Hyperlink 2" xfId="140"/>
    <cellStyle name="Hyperlink 3" xfId="141"/>
    <cellStyle name="Hyperlink 3 2" xfId="296"/>
    <cellStyle name="Input 2" xfId="143"/>
    <cellStyle name="Input 3" xfId="142"/>
    <cellStyle name="input(0)" xfId="144"/>
    <cellStyle name="Input(2)" xfId="145"/>
    <cellStyle name="Linked Cell 2" xfId="147"/>
    <cellStyle name="Linked Cell 3" xfId="146"/>
    <cellStyle name="Neutral 2" xfId="149"/>
    <cellStyle name="Neutral 3" xfId="148"/>
    <cellStyle name="New_normal" xfId="150"/>
    <cellStyle name="Normal" xfId="0" builtinId="0"/>
    <cellStyle name="Normal - Style1" xfId="151"/>
    <cellStyle name="Normal - Style2" xfId="152"/>
    <cellStyle name="Normal - Style3" xfId="153"/>
    <cellStyle name="Normal - Style4" xfId="154"/>
    <cellStyle name="Normal - Style5" xfId="155"/>
    <cellStyle name="Normal 10" xfId="156"/>
    <cellStyle name="Normal 10 2" xfId="17"/>
    <cellStyle name="Normal 11" xfId="157"/>
    <cellStyle name="Normal 12" xfId="158"/>
    <cellStyle name="Normal 13" xfId="159"/>
    <cellStyle name="Normal 14" xfId="160"/>
    <cellStyle name="Normal 15" xfId="161"/>
    <cellStyle name="Normal 16" xfId="162"/>
    <cellStyle name="Normal 17" xfId="163"/>
    <cellStyle name="Normal 18" xfId="164"/>
    <cellStyle name="Normal 19" xfId="165"/>
    <cellStyle name="Normal 2" xfId="18"/>
    <cellStyle name="Normal 2 2" xfId="19"/>
    <cellStyle name="Normal 2 2 2" xfId="167"/>
    <cellStyle name="Normal 2 2 3" xfId="166"/>
    <cellStyle name="Normal 2 2_Actual_Fuel" xfId="168"/>
    <cellStyle name="Normal 2 3" xfId="169"/>
    <cellStyle name="Normal 2 3 2" xfId="170"/>
    <cellStyle name="Normal 2 3 3" xfId="297"/>
    <cellStyle name="Normal 2 4" xfId="298"/>
    <cellStyle name="Normal 2 5" xfId="299"/>
    <cellStyle name="Normal 2_2012-10" xfId="171"/>
    <cellStyle name="Normal 20" xfId="172"/>
    <cellStyle name="Normal 21" xfId="173"/>
    <cellStyle name="Normal 22" xfId="174"/>
    <cellStyle name="Normal 23" xfId="175"/>
    <cellStyle name="Normal 24" xfId="176"/>
    <cellStyle name="Normal 25" xfId="177"/>
    <cellStyle name="Normal 26" xfId="178"/>
    <cellStyle name="Normal 27" xfId="179"/>
    <cellStyle name="Normal 28" xfId="180"/>
    <cellStyle name="Normal 29" xfId="181"/>
    <cellStyle name="Normal 3" xfId="20"/>
    <cellStyle name="Normal 3 2" xfId="183"/>
    <cellStyle name="Normal 3 3" xfId="182"/>
    <cellStyle name="Normal 3 4" xfId="282"/>
    <cellStyle name="Normal 3_2012 PR" xfId="184"/>
    <cellStyle name="Normal 30" xfId="185"/>
    <cellStyle name="Normal 31" xfId="186"/>
    <cellStyle name="Normal 32" xfId="187"/>
    <cellStyle name="Normal 33" xfId="188"/>
    <cellStyle name="Normal 34" xfId="189"/>
    <cellStyle name="Normal 35" xfId="190"/>
    <cellStyle name="Normal 36" xfId="191"/>
    <cellStyle name="Normal 37" xfId="192"/>
    <cellStyle name="Normal 38" xfId="193"/>
    <cellStyle name="Normal 39" xfId="194"/>
    <cellStyle name="Normal 4" xfId="21"/>
    <cellStyle name="Normal 4 2" xfId="195"/>
    <cellStyle name="Normal 40" xfId="196"/>
    <cellStyle name="Normal 41" xfId="197"/>
    <cellStyle name="Normal 42" xfId="198"/>
    <cellStyle name="Normal 43" xfId="199"/>
    <cellStyle name="Normal 44" xfId="200"/>
    <cellStyle name="Normal 45" xfId="201"/>
    <cellStyle name="Normal 46" xfId="202"/>
    <cellStyle name="Normal 47" xfId="203"/>
    <cellStyle name="Normal 48" xfId="204"/>
    <cellStyle name="Normal 49" xfId="205"/>
    <cellStyle name="Normal 5" xfId="22"/>
    <cellStyle name="Normal 5 2" xfId="206"/>
    <cellStyle name="Normal 5_2183 UTC Depreciation 3 31 2012 Heather 6-6-2012" xfId="300"/>
    <cellStyle name="Normal 50" xfId="207"/>
    <cellStyle name="Normal 51" xfId="208"/>
    <cellStyle name="Normal 52" xfId="209"/>
    <cellStyle name="Normal 53" xfId="210"/>
    <cellStyle name="Normal 54" xfId="211"/>
    <cellStyle name="Normal 55" xfId="212"/>
    <cellStyle name="Normal 56" xfId="213"/>
    <cellStyle name="Normal 57" xfId="214"/>
    <cellStyle name="Normal 58" xfId="215"/>
    <cellStyle name="Normal 59" xfId="216"/>
    <cellStyle name="Normal 6" xfId="23"/>
    <cellStyle name="Normal 6 2" xfId="217"/>
    <cellStyle name="Normal 60" xfId="218"/>
    <cellStyle name="Normal 61" xfId="219"/>
    <cellStyle name="Normal 62" xfId="220"/>
    <cellStyle name="Normal 63" xfId="221"/>
    <cellStyle name="Normal 64" xfId="222"/>
    <cellStyle name="Normal 65" xfId="223"/>
    <cellStyle name="Normal 66" xfId="224"/>
    <cellStyle name="Normal 67" xfId="225"/>
    <cellStyle name="Normal 68" xfId="226"/>
    <cellStyle name="Normal 69" xfId="227"/>
    <cellStyle name="Normal 7" xfId="228"/>
    <cellStyle name="Normal 70" xfId="229"/>
    <cellStyle name="Normal 71" xfId="230"/>
    <cellStyle name="Normal 72" xfId="231"/>
    <cellStyle name="Normal 73" xfId="232"/>
    <cellStyle name="Normal 74" xfId="233"/>
    <cellStyle name="Normal 75" xfId="234"/>
    <cellStyle name="Normal 76" xfId="235"/>
    <cellStyle name="Normal 77" xfId="236"/>
    <cellStyle name="Normal 78" xfId="237"/>
    <cellStyle name="Normal 79" xfId="238"/>
    <cellStyle name="Normal 8" xfId="239"/>
    <cellStyle name="Normal 80" xfId="240"/>
    <cellStyle name="Normal 81" xfId="241"/>
    <cellStyle name="Normal 82" xfId="242"/>
    <cellStyle name="Normal 83" xfId="243"/>
    <cellStyle name="Normal 84" xfId="38"/>
    <cellStyle name="Normal 84 2" xfId="278"/>
    <cellStyle name="Normal 85" xfId="252"/>
    <cellStyle name="Normal 86" xfId="270"/>
    <cellStyle name="Normal 87" xfId="271"/>
    <cellStyle name="Normal 88" xfId="272"/>
    <cellStyle name="Normal 89" xfId="273"/>
    <cellStyle name="Normal 9" xfId="244"/>
    <cellStyle name="Normal 90" xfId="274"/>
    <cellStyle name="Normal 91" xfId="279"/>
    <cellStyle name="Normal_Price out" xfId="4"/>
    <cellStyle name="Normal_Regulated Price Out 9-6-2011 Final HL" xfId="280"/>
    <cellStyle name="Note 2" xfId="246"/>
    <cellStyle name="Note 3" xfId="245"/>
    <cellStyle name="Notes" xfId="247"/>
    <cellStyle name="Output 2" xfId="249"/>
    <cellStyle name="Output 3" xfId="248"/>
    <cellStyle name="Percent" xfId="3" builtinId="5"/>
    <cellStyle name="Percent 2" xfId="24"/>
    <cellStyle name="Percent 2 2" xfId="25"/>
    <cellStyle name="Percent 2 2 2" xfId="251"/>
    <cellStyle name="Percent 2 6" xfId="26"/>
    <cellStyle name="Percent 3" xfId="27"/>
    <cellStyle name="Percent 3 2" xfId="28"/>
    <cellStyle name="Percent 4" xfId="29"/>
    <cellStyle name="Percent 5" xfId="253"/>
    <cellStyle name="Percent 6" xfId="254"/>
    <cellStyle name="Percent 7" xfId="250"/>
    <cellStyle name="Percent 7 2" xfId="275"/>
    <cellStyle name="Percent(1)" xfId="255"/>
    <cellStyle name="Percent(2)" xfId="256"/>
    <cellStyle name="PRM" xfId="257"/>
    <cellStyle name="PRM 2" xfId="258"/>
    <cellStyle name="PRM 3" xfId="259"/>
    <cellStyle name="PRM_2011-11" xfId="260"/>
    <cellStyle name="PS_Comma" xfId="30"/>
    <cellStyle name="PSChar" xfId="31"/>
    <cellStyle name="PSDate" xfId="32"/>
    <cellStyle name="PSDec" xfId="33"/>
    <cellStyle name="PSHeading" xfId="34"/>
    <cellStyle name="PSInt" xfId="35"/>
    <cellStyle name="PSSpacer" xfId="36"/>
    <cellStyle name="Style 1" xfId="261"/>
    <cellStyle name="Style 1 2" xfId="262"/>
    <cellStyle name="STYLE1" xfId="263"/>
    <cellStyle name="Title 2" xfId="265"/>
    <cellStyle name="Title 3" xfId="264"/>
    <cellStyle name="Total 2" xfId="267"/>
    <cellStyle name="Total 3" xfId="266"/>
    <cellStyle name="Warning Text 2" xfId="269"/>
    <cellStyle name="Warning Text 3" xfId="268"/>
    <cellStyle name="WM_STANDARD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workbookViewId="0">
      <selection activeCell="D58" sqref="D58"/>
    </sheetView>
  </sheetViews>
  <sheetFormatPr defaultColWidth="9.1796875" defaultRowHeight="14.5" x14ac:dyDescent="0.35"/>
  <cols>
    <col min="1" max="1" width="36.26953125" style="3" bestFit="1" customWidth="1"/>
    <col min="2" max="2" width="19" style="3" bestFit="1" customWidth="1"/>
    <col min="3" max="3" width="16" style="3" bestFit="1" customWidth="1"/>
    <col min="4" max="4" width="10.54296875" style="3" bestFit="1" customWidth="1"/>
    <col min="5" max="5" width="7" style="3" bestFit="1" customWidth="1"/>
    <col min="6" max="6" width="11.453125" style="3" bestFit="1" customWidth="1"/>
    <col min="7" max="7" width="10" style="3" bestFit="1" customWidth="1"/>
    <col min="8" max="8" width="8" style="3" bestFit="1" customWidth="1"/>
    <col min="9" max="9" width="15.81640625" style="3" bestFit="1" customWidth="1"/>
    <col min="10" max="10" width="12" style="3" bestFit="1" customWidth="1"/>
    <col min="11" max="16384" width="9.1796875" style="3"/>
  </cols>
  <sheetData>
    <row r="1" spans="1:8" s="24" customFormat="1" x14ac:dyDescent="0.35"/>
    <row r="2" spans="1:8" s="24" customFormat="1" ht="30.75" customHeight="1" x14ac:dyDescent="0.35">
      <c r="A2" s="282" t="s">
        <v>502</v>
      </c>
      <c r="B2" s="282"/>
      <c r="C2" s="282"/>
      <c r="D2" s="282"/>
      <c r="E2" s="282"/>
      <c r="F2" s="282"/>
      <c r="G2" s="282"/>
      <c r="H2" s="282"/>
    </row>
    <row r="3" spans="1:8" s="24" customFormat="1" x14ac:dyDescent="0.35"/>
    <row r="4" spans="1:8" x14ac:dyDescent="0.35">
      <c r="A4" s="279" t="s">
        <v>19</v>
      </c>
      <c r="B4" s="279"/>
      <c r="C4" s="279"/>
      <c r="D4" s="279"/>
      <c r="E4" s="279"/>
      <c r="F4" s="279"/>
      <c r="G4" s="279"/>
      <c r="H4" s="279"/>
    </row>
    <row r="5" spans="1:8" x14ac:dyDescent="0.35">
      <c r="A5" s="3" t="s">
        <v>64</v>
      </c>
      <c r="B5" s="12" t="s">
        <v>50</v>
      </c>
      <c r="C5" s="12" t="s">
        <v>51</v>
      </c>
      <c r="D5" s="12" t="s">
        <v>52</v>
      </c>
      <c r="E5" s="13" t="s">
        <v>55</v>
      </c>
      <c r="F5" s="13" t="s">
        <v>56</v>
      </c>
      <c r="G5" s="13" t="s">
        <v>57</v>
      </c>
      <c r="H5" s="12" t="s">
        <v>60</v>
      </c>
    </row>
    <row r="6" spans="1:8" x14ac:dyDescent="0.35">
      <c r="A6" s="3" t="s">
        <v>61</v>
      </c>
      <c r="B6" s="1">
        <f>52*5/12</f>
        <v>21.666666666666668</v>
      </c>
      <c r="C6" s="14">
        <f>$B$6*2</f>
        <v>43.333333333333336</v>
      </c>
      <c r="D6" s="14">
        <f>$B$6*3</f>
        <v>65</v>
      </c>
      <c r="E6" s="14">
        <f>$B$6*4</f>
        <v>86.666666666666671</v>
      </c>
      <c r="F6" s="14">
        <f>$B$6*5</f>
        <v>108.33333333333334</v>
      </c>
      <c r="G6" s="14">
        <f>$B$6*6</f>
        <v>130</v>
      </c>
      <c r="H6" s="14">
        <f>$B$6*7</f>
        <v>151.66666666666669</v>
      </c>
    </row>
    <row r="7" spans="1:8" x14ac:dyDescent="0.35">
      <c r="A7" s="3" t="s">
        <v>100</v>
      </c>
      <c r="B7" s="1">
        <f>52*4/12</f>
        <v>17.333333333333332</v>
      </c>
      <c r="C7" s="14">
        <f>$B$7*2</f>
        <v>34.666666666666664</v>
      </c>
      <c r="D7" s="14">
        <f>$B$7*3</f>
        <v>52</v>
      </c>
      <c r="E7" s="14">
        <f>$B$7*4</f>
        <v>69.333333333333329</v>
      </c>
      <c r="F7" s="14">
        <f>$B$7*5</f>
        <v>86.666666666666657</v>
      </c>
      <c r="G7" s="14">
        <f>$B$7*6</f>
        <v>104</v>
      </c>
      <c r="H7" s="14">
        <f>$B$7*7</f>
        <v>121.33333333333333</v>
      </c>
    </row>
    <row r="8" spans="1:8" x14ac:dyDescent="0.35">
      <c r="A8" s="3" t="s">
        <v>62</v>
      </c>
      <c r="B8" s="1">
        <f>52*3/12</f>
        <v>13</v>
      </c>
      <c r="C8" s="14">
        <f>$B$8*2</f>
        <v>26</v>
      </c>
      <c r="D8" s="14">
        <f>$B$8*3</f>
        <v>39</v>
      </c>
      <c r="E8" s="14">
        <f>$B$8*4</f>
        <v>52</v>
      </c>
      <c r="F8" s="14">
        <f>$B$8*5</f>
        <v>65</v>
      </c>
      <c r="G8" s="14">
        <f>$B$8*6</f>
        <v>78</v>
      </c>
      <c r="H8" s="14">
        <f>$B$8*7</f>
        <v>91</v>
      </c>
    </row>
    <row r="9" spans="1:8" x14ac:dyDescent="0.35">
      <c r="A9" s="3" t="s">
        <v>63</v>
      </c>
      <c r="B9" s="1">
        <f>52*2/12</f>
        <v>8.6666666666666661</v>
      </c>
      <c r="C9" s="15">
        <f>$B$9*2</f>
        <v>17.333333333333332</v>
      </c>
      <c r="D9" s="15">
        <f>$B$9*3</f>
        <v>26</v>
      </c>
      <c r="E9" s="15">
        <f>$B$9*4</f>
        <v>34.666666666666664</v>
      </c>
      <c r="F9" s="15">
        <f>$B$9*5</f>
        <v>43.333333333333329</v>
      </c>
      <c r="G9" s="15">
        <f>$B$9*6</f>
        <v>52</v>
      </c>
      <c r="H9" s="15">
        <f>$B$9*7</f>
        <v>60.666666666666664</v>
      </c>
    </row>
    <row r="10" spans="1:8" x14ac:dyDescent="0.35">
      <c r="A10" s="3" t="s">
        <v>22</v>
      </c>
      <c r="B10" s="1">
        <f>52/12</f>
        <v>4.333333333333333</v>
      </c>
      <c r="C10" s="15">
        <f>$B$10*2</f>
        <v>8.6666666666666661</v>
      </c>
      <c r="D10" s="15">
        <f>$B$10*3</f>
        <v>13</v>
      </c>
      <c r="E10" s="15">
        <f>$B$10*4</f>
        <v>17.333333333333332</v>
      </c>
      <c r="F10" s="15">
        <f>$B$10*5</f>
        <v>21.666666666666664</v>
      </c>
      <c r="G10" s="15">
        <f>$B$10*6</f>
        <v>26</v>
      </c>
      <c r="H10" s="15">
        <f>$B$10*7</f>
        <v>30.333333333333332</v>
      </c>
    </row>
    <row r="11" spans="1:8" x14ac:dyDescent="0.35">
      <c r="A11" s="3" t="s">
        <v>24</v>
      </c>
      <c r="B11" s="1">
        <f>26/12</f>
        <v>2.1666666666666665</v>
      </c>
      <c r="C11" s="15">
        <f>$B$11*2</f>
        <v>4.333333333333333</v>
      </c>
      <c r="D11" s="15">
        <f>$B$11*3</f>
        <v>6.5</v>
      </c>
      <c r="E11" s="15">
        <f>$B$11*4</f>
        <v>8.6666666666666661</v>
      </c>
      <c r="F11" s="15">
        <f>$B$11*5</f>
        <v>10.833333333333332</v>
      </c>
      <c r="G11" s="15">
        <f>$B$11*6</f>
        <v>13</v>
      </c>
      <c r="H11" s="15">
        <f>$B$11*7</f>
        <v>15.166666666666666</v>
      </c>
    </row>
    <row r="12" spans="1:8" x14ac:dyDescent="0.35">
      <c r="A12" s="3" t="s">
        <v>23</v>
      </c>
      <c r="B12" s="1">
        <f>12/12</f>
        <v>1</v>
      </c>
      <c r="C12" s="15">
        <f>$B$12*2</f>
        <v>2</v>
      </c>
      <c r="D12" s="15">
        <f>$B$12*3</f>
        <v>3</v>
      </c>
      <c r="E12" s="15">
        <f>$B$12*4</f>
        <v>4</v>
      </c>
      <c r="F12" s="15">
        <f>$B$12*5</f>
        <v>5</v>
      </c>
      <c r="G12" s="15">
        <f>$B$12*6</f>
        <v>6</v>
      </c>
      <c r="H12" s="15">
        <f>$B$12*7</f>
        <v>7</v>
      </c>
    </row>
    <row r="13" spans="1:8" x14ac:dyDescent="0.35">
      <c r="B13" s="1"/>
      <c r="C13" s="15"/>
      <c r="D13" s="15"/>
      <c r="E13" s="15"/>
      <c r="F13" s="15"/>
      <c r="G13" s="15"/>
      <c r="H13" s="15"/>
    </row>
    <row r="14" spans="1:8" x14ac:dyDescent="0.35">
      <c r="A14" s="279" t="s">
        <v>11</v>
      </c>
      <c r="B14" s="279"/>
      <c r="C14" s="28"/>
      <c r="D14" s="15"/>
      <c r="E14" s="15"/>
      <c r="F14" s="15"/>
      <c r="G14" s="15"/>
      <c r="H14" s="15"/>
    </row>
    <row r="15" spans="1:8" x14ac:dyDescent="0.35">
      <c r="A15" s="26" t="s">
        <v>59</v>
      </c>
      <c r="B15" s="30" t="s">
        <v>89</v>
      </c>
      <c r="C15" s="28"/>
      <c r="D15" s="15"/>
      <c r="E15" s="15"/>
      <c r="F15" s="15"/>
      <c r="G15" s="15"/>
      <c r="H15" s="15"/>
    </row>
    <row r="16" spans="1:8" x14ac:dyDescent="0.35">
      <c r="A16" s="29" t="s">
        <v>90</v>
      </c>
      <c r="B16" s="27">
        <v>20</v>
      </c>
      <c r="C16" s="28"/>
      <c r="D16" s="15"/>
      <c r="E16" s="15"/>
      <c r="F16" s="15"/>
      <c r="G16" s="15"/>
      <c r="H16" s="15"/>
    </row>
    <row r="17" spans="1:8" x14ac:dyDescent="0.35">
      <c r="A17" s="29" t="s">
        <v>65</v>
      </c>
      <c r="B17" s="27">
        <v>34</v>
      </c>
      <c r="C17" s="28"/>
      <c r="D17" s="15"/>
      <c r="E17" s="15"/>
      <c r="F17" s="15"/>
      <c r="G17" s="15"/>
      <c r="H17" s="15"/>
    </row>
    <row r="18" spans="1:8" x14ac:dyDescent="0.35">
      <c r="A18" s="29" t="s">
        <v>66</v>
      </c>
      <c r="B18" s="27">
        <v>51</v>
      </c>
      <c r="C18" s="28"/>
      <c r="D18" s="15"/>
      <c r="E18" s="15"/>
      <c r="F18" s="15"/>
      <c r="G18" s="15"/>
      <c r="H18" s="15"/>
    </row>
    <row r="19" spans="1:8" x14ac:dyDescent="0.35">
      <c r="A19" s="29" t="s">
        <v>67</v>
      </c>
      <c r="B19" s="27">
        <v>77</v>
      </c>
      <c r="C19" s="28"/>
      <c r="D19" s="15"/>
      <c r="E19" s="15"/>
      <c r="F19" s="3" t="s">
        <v>20</v>
      </c>
      <c r="G19" s="8">
        <v>2000</v>
      </c>
      <c r="H19" s="15"/>
    </row>
    <row r="20" spans="1:8" x14ac:dyDescent="0.35">
      <c r="A20" s="29" t="s">
        <v>68</v>
      </c>
      <c r="B20" s="27">
        <v>97</v>
      </c>
      <c r="C20" s="28"/>
      <c r="D20" s="15"/>
      <c r="E20" s="15"/>
      <c r="F20" s="3" t="s">
        <v>21</v>
      </c>
      <c r="G20" s="17" t="s">
        <v>53</v>
      </c>
      <c r="H20" s="15"/>
    </row>
    <row r="21" spans="1:8" x14ac:dyDescent="0.35">
      <c r="A21" s="29" t="s">
        <v>69</v>
      </c>
      <c r="B21" s="27">
        <v>117</v>
      </c>
      <c r="C21" s="28"/>
      <c r="D21" s="15"/>
      <c r="E21" s="15"/>
      <c r="H21" s="15"/>
    </row>
    <row r="22" spans="1:8" x14ac:dyDescent="0.35">
      <c r="A22" s="29" t="s">
        <v>70</v>
      </c>
      <c r="B22" s="27">
        <v>157</v>
      </c>
      <c r="C22" s="28"/>
      <c r="D22" s="15"/>
      <c r="E22" s="15"/>
      <c r="F22" s="10"/>
      <c r="G22" s="11"/>
      <c r="H22" s="15"/>
    </row>
    <row r="23" spans="1:8" s="24" customFormat="1" x14ac:dyDescent="0.35">
      <c r="A23" s="115" t="s">
        <v>482</v>
      </c>
      <c r="B23" s="102">
        <v>37</v>
      </c>
      <c r="C23" s="114" t="s">
        <v>483</v>
      </c>
      <c r="D23" s="28"/>
      <c r="E23" s="28"/>
      <c r="F23" s="10"/>
      <c r="G23" s="11"/>
      <c r="H23" s="28"/>
    </row>
    <row r="24" spans="1:8" x14ac:dyDescent="0.35">
      <c r="A24" s="29" t="s">
        <v>71</v>
      </c>
      <c r="B24" s="27">
        <v>47</v>
      </c>
      <c r="C24" s="28"/>
      <c r="D24" s="15"/>
      <c r="E24" s="15"/>
      <c r="F24" s="15"/>
      <c r="G24" s="15"/>
      <c r="H24" s="15"/>
    </row>
    <row r="25" spans="1:8" x14ac:dyDescent="0.35">
      <c r="A25" s="29" t="s">
        <v>72</v>
      </c>
      <c r="B25" s="27">
        <v>68</v>
      </c>
      <c r="C25" s="28"/>
      <c r="D25" s="15"/>
      <c r="E25" s="15"/>
      <c r="F25" s="15"/>
      <c r="G25" s="15"/>
      <c r="H25" s="15"/>
    </row>
    <row r="26" spans="1:8" x14ac:dyDescent="0.35">
      <c r="A26" s="29" t="s">
        <v>73</v>
      </c>
      <c r="B26" s="27">
        <v>34</v>
      </c>
      <c r="C26" s="28"/>
      <c r="D26" s="15"/>
      <c r="E26" s="15"/>
      <c r="F26" s="15"/>
      <c r="G26" s="15"/>
      <c r="H26" s="15"/>
    </row>
    <row r="27" spans="1:8" x14ac:dyDescent="0.35">
      <c r="A27" s="29" t="s">
        <v>32</v>
      </c>
      <c r="B27" s="27">
        <v>34</v>
      </c>
      <c r="C27" s="28"/>
      <c r="D27" s="15"/>
      <c r="E27" s="15"/>
      <c r="F27" s="15"/>
      <c r="G27" s="15"/>
      <c r="H27" s="15"/>
    </row>
    <row r="28" spans="1:8" x14ac:dyDescent="0.35">
      <c r="A28" s="26" t="s">
        <v>74</v>
      </c>
      <c r="B28" s="27"/>
      <c r="C28" s="28"/>
      <c r="D28" s="15"/>
      <c r="E28" s="15"/>
      <c r="F28" s="15"/>
      <c r="G28" s="15"/>
      <c r="H28" s="15"/>
    </row>
    <row r="29" spans="1:8" x14ac:dyDescent="0.35">
      <c r="A29" s="29" t="s">
        <v>75</v>
      </c>
      <c r="B29" s="27">
        <v>29</v>
      </c>
      <c r="C29" s="28"/>
      <c r="D29" s="15"/>
      <c r="E29" s="15"/>
      <c r="F29" s="15"/>
      <c r="G29" s="15"/>
      <c r="H29" s="15"/>
    </row>
    <row r="30" spans="1:8" x14ac:dyDescent="0.35">
      <c r="A30" s="29" t="s">
        <v>76</v>
      </c>
      <c r="B30" s="27">
        <v>175</v>
      </c>
      <c r="C30" s="28"/>
      <c r="D30" s="15"/>
      <c r="E30" s="15"/>
      <c r="F30" s="15"/>
      <c r="G30" s="15"/>
      <c r="H30" s="15"/>
    </row>
    <row r="31" spans="1:8" x14ac:dyDescent="0.35">
      <c r="A31" s="29" t="s">
        <v>77</v>
      </c>
      <c r="B31" s="27">
        <v>250</v>
      </c>
      <c r="C31" s="28"/>
      <c r="D31" s="15"/>
      <c r="E31" s="15"/>
      <c r="F31" s="15"/>
      <c r="G31" s="15"/>
      <c r="H31" s="15"/>
    </row>
    <row r="32" spans="1:8" s="24" customFormat="1" x14ac:dyDescent="0.35">
      <c r="A32" s="29" t="s">
        <v>118</v>
      </c>
      <c r="B32" s="27">
        <v>375</v>
      </c>
      <c r="C32" s="28" t="s">
        <v>91</v>
      </c>
      <c r="D32" s="28"/>
      <c r="E32" s="28"/>
      <c r="F32" s="28"/>
      <c r="G32" s="28"/>
      <c r="H32" s="28"/>
    </row>
    <row r="33" spans="1:8" x14ac:dyDescent="0.35">
      <c r="A33" s="29" t="s">
        <v>78</v>
      </c>
      <c r="B33" s="27">
        <v>324</v>
      </c>
      <c r="C33" s="28"/>
      <c r="D33" s="15"/>
      <c r="E33" s="15"/>
      <c r="F33" s="15"/>
      <c r="G33" s="15"/>
      <c r="H33" s="15"/>
    </row>
    <row r="34" spans="1:8" x14ac:dyDescent="0.35">
      <c r="A34" s="29" t="s">
        <v>79</v>
      </c>
      <c r="B34" s="27">
        <v>473</v>
      </c>
      <c r="C34" s="28"/>
      <c r="D34" s="15"/>
      <c r="E34" s="15"/>
      <c r="F34" s="15"/>
      <c r="G34" s="15"/>
      <c r="H34" s="15"/>
    </row>
    <row r="35" spans="1:8" s="24" customFormat="1" x14ac:dyDescent="0.35">
      <c r="A35" s="29" t="s">
        <v>117</v>
      </c>
      <c r="B35" s="27">
        <v>710</v>
      </c>
      <c r="C35" s="28" t="s">
        <v>91</v>
      </c>
      <c r="D35" s="28"/>
      <c r="E35" s="28"/>
      <c r="F35" s="28"/>
      <c r="G35" s="28"/>
      <c r="H35" s="28"/>
    </row>
    <row r="36" spans="1:8" x14ac:dyDescent="0.35">
      <c r="A36" s="29" t="s">
        <v>80</v>
      </c>
      <c r="B36" s="27">
        <v>613</v>
      </c>
      <c r="C36" s="28"/>
      <c r="D36" s="15"/>
      <c r="E36" s="15"/>
      <c r="F36" s="15"/>
      <c r="G36" s="15"/>
      <c r="H36" s="15"/>
    </row>
    <row r="37" spans="1:8" s="24" customFormat="1" x14ac:dyDescent="0.35">
      <c r="A37" s="29" t="s">
        <v>116</v>
      </c>
      <c r="B37" s="27">
        <v>920</v>
      </c>
      <c r="C37" s="28" t="s">
        <v>91</v>
      </c>
      <c r="D37" s="28"/>
      <c r="E37" s="28"/>
      <c r="F37" s="28"/>
      <c r="G37" s="28"/>
      <c r="H37" s="28"/>
    </row>
    <row r="38" spans="1:8" x14ac:dyDescent="0.35">
      <c r="A38" s="29" t="s">
        <v>81</v>
      </c>
      <c r="B38" s="27">
        <v>840</v>
      </c>
      <c r="C38" s="28"/>
      <c r="D38" s="15"/>
      <c r="E38" s="15"/>
      <c r="F38" s="15"/>
      <c r="G38" s="15"/>
      <c r="H38" s="15"/>
    </row>
    <row r="39" spans="1:8" s="24" customFormat="1" x14ac:dyDescent="0.35">
      <c r="A39" s="29" t="s">
        <v>115</v>
      </c>
      <c r="B39" s="27">
        <v>1260</v>
      </c>
      <c r="C39" s="28" t="s">
        <v>91</v>
      </c>
      <c r="D39" s="28"/>
      <c r="E39" s="28"/>
      <c r="F39" s="28"/>
      <c r="G39" s="28"/>
      <c r="H39" s="28"/>
    </row>
    <row r="40" spans="1:8" x14ac:dyDescent="0.35">
      <c r="A40" s="29" t="s">
        <v>82</v>
      </c>
      <c r="B40" s="27">
        <v>980</v>
      </c>
      <c r="C40" s="28"/>
      <c r="D40" s="15"/>
      <c r="E40" s="15"/>
      <c r="F40" s="15"/>
      <c r="G40" s="15"/>
      <c r="H40" s="15"/>
    </row>
    <row r="41" spans="1:8" x14ac:dyDescent="0.35">
      <c r="A41" s="29" t="s">
        <v>101</v>
      </c>
      <c r="B41" s="27">
        <v>482</v>
      </c>
      <c r="C41" s="28" t="s">
        <v>91</v>
      </c>
      <c r="D41" s="15"/>
      <c r="E41" s="15"/>
      <c r="F41" s="15"/>
      <c r="G41" s="15"/>
      <c r="H41" s="15"/>
    </row>
    <row r="42" spans="1:8" x14ac:dyDescent="0.35">
      <c r="A42" s="29" t="s">
        <v>102</v>
      </c>
      <c r="B42" s="27">
        <v>689</v>
      </c>
      <c r="C42" s="28" t="s">
        <v>91</v>
      </c>
      <c r="D42" s="15"/>
      <c r="E42" s="114"/>
      <c r="F42" s="15"/>
      <c r="G42" s="15"/>
      <c r="H42" s="15"/>
    </row>
    <row r="43" spans="1:8" s="24" customFormat="1" x14ac:dyDescent="0.35">
      <c r="A43" s="29" t="s">
        <v>84</v>
      </c>
      <c r="B43" s="27">
        <v>892</v>
      </c>
      <c r="C43" s="28" t="s">
        <v>91</v>
      </c>
      <c r="D43" s="25"/>
      <c r="E43" s="114"/>
      <c r="F43" s="25"/>
      <c r="G43" s="25"/>
      <c r="H43" s="25"/>
    </row>
    <row r="44" spans="1:8" s="24" customFormat="1" x14ac:dyDescent="0.35">
      <c r="A44" s="29" t="s">
        <v>83</v>
      </c>
      <c r="B44" s="27">
        <v>1301</v>
      </c>
      <c r="C44" s="28"/>
      <c r="D44" s="25"/>
      <c r="E44" s="114"/>
      <c r="F44" s="25"/>
      <c r="G44" s="25"/>
      <c r="H44" s="25"/>
    </row>
    <row r="45" spans="1:8" s="24" customFormat="1" x14ac:dyDescent="0.35">
      <c r="A45" s="29" t="s">
        <v>85</v>
      </c>
      <c r="B45" s="27">
        <v>1686</v>
      </c>
      <c r="C45" s="28"/>
      <c r="D45" s="25"/>
      <c r="E45" s="114"/>
      <c r="F45" s="25"/>
      <c r="G45" s="25"/>
      <c r="H45" s="25"/>
    </row>
    <row r="46" spans="1:8" s="24" customFormat="1" x14ac:dyDescent="0.35">
      <c r="A46" s="29" t="s">
        <v>86</v>
      </c>
      <c r="B46" s="27">
        <v>2046</v>
      </c>
      <c r="C46" s="28"/>
      <c r="D46" s="25"/>
      <c r="E46" s="114"/>
      <c r="F46" s="25"/>
      <c r="G46" s="25"/>
      <c r="H46" s="25"/>
    </row>
    <row r="47" spans="1:8" s="24" customFormat="1" x14ac:dyDescent="0.35">
      <c r="A47" s="29" t="s">
        <v>87</v>
      </c>
      <c r="B47" s="27">
        <v>2310</v>
      </c>
      <c r="C47" s="28"/>
      <c r="D47" s="25"/>
      <c r="E47" s="114"/>
      <c r="F47" s="25"/>
      <c r="G47" s="25"/>
      <c r="H47" s="25"/>
    </row>
    <row r="48" spans="1:8" s="24" customFormat="1" x14ac:dyDescent="0.35">
      <c r="A48" s="29" t="s">
        <v>103</v>
      </c>
      <c r="B48" s="27">
        <v>2800</v>
      </c>
      <c r="C48" s="28" t="s">
        <v>91</v>
      </c>
      <c r="D48" s="25"/>
      <c r="E48" s="114"/>
      <c r="F48" s="25"/>
      <c r="G48" s="25"/>
      <c r="H48" s="25"/>
    </row>
    <row r="49" spans="1:8" s="24" customFormat="1" x14ac:dyDescent="0.35">
      <c r="A49" s="29" t="s">
        <v>88</v>
      </c>
      <c r="B49" s="27">
        <v>125</v>
      </c>
      <c r="C49" s="28"/>
      <c r="D49" s="25"/>
      <c r="E49" s="25"/>
      <c r="F49" s="25"/>
      <c r="G49" s="25"/>
      <c r="H49" s="25"/>
    </row>
    <row r="50" spans="1:8" x14ac:dyDescent="0.35">
      <c r="B50" s="281" t="s">
        <v>114</v>
      </c>
      <c r="C50" s="281"/>
    </row>
    <row r="53" spans="1:8" x14ac:dyDescent="0.35">
      <c r="A53" s="119" t="s">
        <v>499</v>
      </c>
      <c r="B53" s="22" t="s">
        <v>6</v>
      </c>
      <c r="C53" s="22" t="s">
        <v>7</v>
      </c>
      <c r="F53" s="280" t="s">
        <v>27</v>
      </c>
      <c r="G53" s="280"/>
    </row>
    <row r="54" spans="1:8" x14ac:dyDescent="0.35">
      <c r="A54" s="18" t="s">
        <v>8</v>
      </c>
      <c r="B54" s="225">
        <v>147.31</v>
      </c>
      <c r="C54" s="226">
        <f>B54/2000</f>
        <v>7.3654999999999998E-2</v>
      </c>
      <c r="F54" s="3" t="s">
        <v>28</v>
      </c>
      <c r="G54" s="5">
        <f>0.015</f>
        <v>1.4999999999999999E-2</v>
      </c>
    </row>
    <row r="55" spans="1:8" x14ac:dyDescent="0.35">
      <c r="A55" s="18" t="s">
        <v>9</v>
      </c>
      <c r="B55" s="227">
        <v>155.82</v>
      </c>
      <c r="C55" s="228">
        <f>B55/2000</f>
        <v>7.7909999999999993E-2</v>
      </c>
      <c r="F55" s="3" t="s">
        <v>29</v>
      </c>
      <c r="G55" s="6">
        <f>0.004275</f>
        <v>4.2750000000000002E-3</v>
      </c>
    </row>
    <row r="56" spans="1:8" x14ac:dyDescent="0.35">
      <c r="A56" s="16" t="s">
        <v>10</v>
      </c>
      <c r="B56" s="225">
        <f>B55-B54</f>
        <v>8.5099999999999909</v>
      </c>
      <c r="C56" s="229">
        <f>C55-C54</f>
        <v>4.2549999999999949E-3</v>
      </c>
      <c r="D56" s="241">
        <f>B56/B54</f>
        <v>5.7769329984386608E-2</v>
      </c>
      <c r="F56" s="3" t="s">
        <v>58</v>
      </c>
      <c r="G56" s="7"/>
    </row>
    <row r="57" spans="1:8" x14ac:dyDescent="0.35">
      <c r="F57" s="3" t="s">
        <v>17</v>
      </c>
      <c r="G57" s="19">
        <f>SUM(G54:G56)</f>
        <v>1.9275E-2</v>
      </c>
    </row>
    <row r="58" spans="1:8" x14ac:dyDescent="0.35">
      <c r="B58" s="23" t="s">
        <v>119</v>
      </c>
      <c r="D58" s="20"/>
    </row>
    <row r="59" spans="1:8" x14ac:dyDescent="0.35">
      <c r="A59" s="3" t="s">
        <v>4</v>
      </c>
      <c r="B59" s="20">
        <f>B56</f>
        <v>8.5099999999999909</v>
      </c>
      <c r="F59" s="3" t="s">
        <v>30</v>
      </c>
      <c r="G59" s="21">
        <f>1-G57</f>
        <v>0.98072499999999996</v>
      </c>
    </row>
    <row r="60" spans="1:8" x14ac:dyDescent="0.35">
      <c r="A60" s="3" t="s">
        <v>26</v>
      </c>
      <c r="B60" s="20">
        <f>B59/$G$59</f>
        <v>8.677254072242464</v>
      </c>
    </row>
    <row r="61" spans="1:8" x14ac:dyDescent="0.35">
      <c r="A61" s="3" t="s">
        <v>25</v>
      </c>
      <c r="B61" s="9">
        <f>'Staff Calcs '!D107</f>
        <v>8873.5300000000007</v>
      </c>
    </row>
    <row r="62" spans="1:8" x14ac:dyDescent="0.35">
      <c r="A62" s="2" t="s">
        <v>31</v>
      </c>
      <c r="B62" s="4">
        <f>B60*B61</f>
        <v>76997.874327665675</v>
      </c>
    </row>
    <row r="65" spans="1:4" ht="15" thickBot="1" x14ac:dyDescent="0.4"/>
    <row r="66" spans="1:4" x14ac:dyDescent="0.35">
      <c r="A66" s="187" t="s">
        <v>97</v>
      </c>
      <c r="B66" s="188" t="s">
        <v>95</v>
      </c>
      <c r="D66" s="20"/>
    </row>
    <row r="67" spans="1:4" x14ac:dyDescent="0.35">
      <c r="A67" s="189" t="s">
        <v>96</v>
      </c>
      <c r="B67" s="190">
        <f>'Staff Calcs '!R78</f>
        <v>77033.954804135428</v>
      </c>
    </row>
    <row r="68" spans="1:4" x14ac:dyDescent="0.35">
      <c r="A68" s="189" t="s">
        <v>13</v>
      </c>
      <c r="B68" s="190">
        <f>B67-B62</f>
        <v>36.080476469753194</v>
      </c>
    </row>
    <row r="69" spans="1:4" x14ac:dyDescent="0.35">
      <c r="A69" s="189"/>
      <c r="B69" s="191"/>
    </row>
    <row r="70" spans="1:4" x14ac:dyDescent="0.35">
      <c r="A70" s="192" t="s">
        <v>98</v>
      </c>
      <c r="B70" s="193" t="s">
        <v>95</v>
      </c>
    </row>
    <row r="71" spans="1:4" x14ac:dyDescent="0.35">
      <c r="A71" s="189" t="s">
        <v>54</v>
      </c>
      <c r="B71" s="194">
        <f>'Staff Calcs '!W78</f>
        <v>76997.874327665661</v>
      </c>
    </row>
    <row r="72" spans="1:4" ht="15" thickBot="1" x14ac:dyDescent="0.4">
      <c r="A72" s="195" t="s">
        <v>13</v>
      </c>
      <c r="B72" s="196">
        <f>B71-B62</f>
        <v>0</v>
      </c>
    </row>
  </sheetData>
  <mergeCells count="5">
    <mergeCell ref="A4:H4"/>
    <mergeCell ref="F53:G53"/>
    <mergeCell ref="A14:B14"/>
    <mergeCell ref="B50:C50"/>
    <mergeCell ref="A2:H2"/>
  </mergeCells>
  <pageMargins left="0.28000000000000003" right="0.52" top="0.75" bottom="0.75" header="0.3" footer="0.3"/>
  <pageSetup scale="64" orientation="portrait" r:id="rId1"/>
  <headerFooter>
    <oddHeader>&amp;C&amp;"-,Bold"&amp;12Murrey's Disposal Co, Inc
dba Olympic Disposal&amp;"-,Regular"
Disposal Fee Reference</oddHeader>
    <oddFooter>&amp;L&amp;F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18"/>
  <sheetViews>
    <sheetView zoomScale="80" zoomScaleNormal="80" workbookViewId="0">
      <pane xSplit="3" ySplit="3" topLeftCell="H61" activePane="bottomRight" state="frozen"/>
      <selection pane="topRight" activeCell="D1" sqref="D1"/>
      <selection pane="bottomLeft" activeCell="A6" sqref="A6"/>
      <selection pane="bottomRight" activeCell="L71" sqref="L71"/>
    </sheetView>
  </sheetViews>
  <sheetFormatPr defaultColWidth="8.81640625" defaultRowHeight="14.5" x14ac:dyDescent="0.35"/>
  <cols>
    <col min="1" max="1" width="4.54296875" style="131" customWidth="1"/>
    <col min="2" max="2" width="10.81640625" style="135" bestFit="1" customWidth="1"/>
    <col min="3" max="3" width="29.26953125" style="131" bestFit="1" customWidth="1"/>
    <col min="4" max="4" width="12.26953125" style="132" bestFit="1" customWidth="1"/>
    <col min="5" max="5" width="10.26953125" style="131" bestFit="1" customWidth="1"/>
    <col min="6" max="6" width="11.7265625" style="131" bestFit="1" customWidth="1"/>
    <col min="7" max="7" width="15.1796875" style="131" bestFit="1" customWidth="1"/>
    <col min="8" max="8" width="17.26953125" style="131" bestFit="1" customWidth="1"/>
    <col min="9" max="9" width="16.26953125" style="130" bestFit="1" customWidth="1"/>
    <col min="10" max="11" width="12.26953125" style="131" bestFit="1" customWidth="1"/>
    <col min="12" max="12" width="10.7265625" style="131" bestFit="1" customWidth="1"/>
    <col min="13" max="13" width="16.54296875" style="131" bestFit="1" customWidth="1"/>
    <col min="14" max="14" width="20.1796875" style="131" bestFit="1" customWidth="1"/>
    <col min="15" max="15" width="18.1796875" style="131" bestFit="1" customWidth="1"/>
    <col min="16" max="16" width="16.54296875" style="131" bestFit="1" customWidth="1"/>
    <col min="17" max="17" width="18.453125" style="131" bestFit="1" customWidth="1"/>
    <col min="18" max="18" width="18.7265625" style="131" bestFit="1" customWidth="1"/>
    <col min="19" max="19" width="15.26953125" style="131" bestFit="1" customWidth="1"/>
    <col min="20" max="20" width="22.81640625" style="131" bestFit="1" customWidth="1"/>
    <col min="21" max="21" width="13.54296875" style="131" bestFit="1" customWidth="1"/>
    <col min="22" max="23" width="16.54296875" style="131" bestFit="1" customWidth="1"/>
    <col min="24" max="16384" width="8.81640625" style="131"/>
  </cols>
  <sheetData>
    <row r="1" spans="1:26" ht="39.75" customHeight="1" x14ac:dyDescent="0.35">
      <c r="B1" s="283" t="s">
        <v>503</v>
      </c>
      <c r="C1" s="283"/>
      <c r="D1" s="283"/>
      <c r="E1" s="283"/>
      <c r="F1" s="283"/>
      <c r="G1" s="283"/>
      <c r="H1" s="283"/>
      <c r="I1" s="283"/>
      <c r="J1" s="283"/>
      <c r="M1" s="183"/>
    </row>
    <row r="3" spans="1:26" ht="29" x14ac:dyDescent="0.35">
      <c r="A3" s="119"/>
      <c r="B3" s="162" t="s">
        <v>16</v>
      </c>
      <c r="C3" s="163" t="s">
        <v>18</v>
      </c>
      <c r="D3" s="162" t="s">
        <v>43</v>
      </c>
      <c r="E3" s="162" t="s">
        <v>0</v>
      </c>
      <c r="F3" s="178" t="s">
        <v>1</v>
      </c>
      <c r="G3" s="162" t="s">
        <v>11</v>
      </c>
      <c r="H3" s="177" t="s">
        <v>35</v>
      </c>
      <c r="I3" s="176" t="s">
        <v>36</v>
      </c>
      <c r="J3" s="171" t="s">
        <v>10</v>
      </c>
      <c r="K3" s="177" t="s">
        <v>2</v>
      </c>
      <c r="L3" s="177" t="s">
        <v>45</v>
      </c>
      <c r="M3" s="230" t="s">
        <v>40</v>
      </c>
      <c r="N3" s="177" t="s">
        <v>37</v>
      </c>
      <c r="O3" s="177" t="s">
        <v>38</v>
      </c>
      <c r="P3" s="162" t="s">
        <v>41</v>
      </c>
      <c r="Q3" s="162" t="s">
        <v>39</v>
      </c>
      <c r="R3" s="162" t="s">
        <v>46</v>
      </c>
      <c r="S3" s="162" t="s">
        <v>42</v>
      </c>
      <c r="T3" s="162" t="s">
        <v>44</v>
      </c>
      <c r="U3" s="162" t="s">
        <v>47</v>
      </c>
      <c r="V3" s="162" t="s">
        <v>49</v>
      </c>
      <c r="W3" s="162" t="s">
        <v>48</v>
      </c>
    </row>
    <row r="4" spans="1:26" s="133" customFormat="1" ht="15" customHeight="1" x14ac:dyDescent="0.35">
      <c r="A4" s="286" t="s">
        <v>14</v>
      </c>
      <c r="B4" s="121">
        <v>22</v>
      </c>
      <c r="C4" s="131" t="s">
        <v>120</v>
      </c>
      <c r="D4" s="137">
        <v>7.5919999999999996</v>
      </c>
      <c r="E4" s="146">
        <f>References!B10</f>
        <v>4.333333333333333</v>
      </c>
      <c r="F4" s="143">
        <f>D4*E4*12</f>
        <v>394.78399999999999</v>
      </c>
      <c r="G4" s="145">
        <f>References!B16</f>
        <v>20</v>
      </c>
      <c r="H4" s="143">
        <f>F4*G4</f>
        <v>7895.68</v>
      </c>
      <c r="I4" s="116">
        <f t="shared" ref="I4:I22" si="0">$D$110*H4</f>
        <v>6203.9705846203269</v>
      </c>
      <c r="J4" s="142">
        <f>(References!$C$56*I4)</f>
        <v>26.397894837559459</v>
      </c>
      <c r="K4" s="142">
        <f>J4/References!$G$59</f>
        <v>26.916714509734593</v>
      </c>
      <c r="L4" s="142">
        <f>K4/F4*E4</f>
        <v>0.29545041391963683</v>
      </c>
      <c r="M4" s="97">
        <f>'Proposed Rates'!B12</f>
        <v>16.84</v>
      </c>
      <c r="N4" s="142">
        <f>L4+M4</f>
        <v>17.135450413919635</v>
      </c>
      <c r="O4" s="142">
        <f>'Proposed Rates'!D12</f>
        <v>17.135450413919635</v>
      </c>
      <c r="P4" s="148">
        <f>D4*M4*12</f>
        <v>1534.1913599999998</v>
      </c>
      <c r="Q4" s="148">
        <f>D4*O4*12</f>
        <v>1561.1080745097345</v>
      </c>
      <c r="R4" s="148">
        <f>Q4-P4</f>
        <v>26.916714509734675</v>
      </c>
      <c r="S4" s="148">
        <f>D4*N4*12</f>
        <v>1561.1080745097345</v>
      </c>
      <c r="T4" s="148">
        <f t="shared" ref="T4:T5" si="1">Q4-S4</f>
        <v>0</v>
      </c>
      <c r="U4" s="149">
        <f t="shared" ref="U4:U5" si="2">N4</f>
        <v>17.135450413919635</v>
      </c>
      <c r="V4" s="149">
        <f>D4*U4*12</f>
        <v>1561.1080745097345</v>
      </c>
      <c r="W4" s="149">
        <f>V4-P4</f>
        <v>26.916714509734675</v>
      </c>
      <c r="X4" s="236">
        <f>R4-W4</f>
        <v>0</v>
      </c>
      <c r="Y4" s="198">
        <f>O4-U4</f>
        <v>0</v>
      </c>
    </row>
    <row r="5" spans="1:26" s="133" customFormat="1" ht="15" customHeight="1" x14ac:dyDescent="0.35">
      <c r="A5" s="284"/>
      <c r="B5" s="117">
        <v>22</v>
      </c>
      <c r="C5" s="131" t="s">
        <v>121</v>
      </c>
      <c r="D5" s="101">
        <v>819.16700000000003</v>
      </c>
      <c r="E5" s="144">
        <f>References!B10</f>
        <v>4.333333333333333</v>
      </c>
      <c r="F5" s="143">
        <f t="shared" ref="F5:F19" si="3">D5*E5*12</f>
        <v>42596.684000000001</v>
      </c>
      <c r="G5" s="143">
        <f>References!B17</f>
        <v>34</v>
      </c>
      <c r="H5" s="143">
        <f t="shared" ref="H5:H22" si="4">F5*G5</f>
        <v>1448287.2560000001</v>
      </c>
      <c r="I5" s="116">
        <f t="shared" si="0"/>
        <v>1137980.7102497176</v>
      </c>
      <c r="J5" s="142">
        <f>(References!$C$56*I5)</f>
        <v>4842.1079221125428</v>
      </c>
      <c r="K5" s="142">
        <f>J5/References!$G$59</f>
        <v>4937.2738760738666</v>
      </c>
      <c r="L5" s="142">
        <f t="shared" ref="L5:L19" si="5">K5/F5*E5</f>
        <v>0.50226570366338263</v>
      </c>
      <c r="M5" s="97">
        <f>'Proposed Rates'!B13</f>
        <v>22.01</v>
      </c>
      <c r="N5" s="142">
        <f t="shared" ref="N5:N54" si="6">L5+M5</f>
        <v>22.512265703663385</v>
      </c>
      <c r="O5" s="142">
        <f>'Proposed Rates'!D13</f>
        <v>22.512265703663385</v>
      </c>
      <c r="P5" s="142">
        <f t="shared" ref="P5" si="7">D5*M5*12</f>
        <v>216358.38804000005</v>
      </c>
      <c r="Q5" s="142">
        <f t="shared" ref="Q5" si="8">D5*O5*12</f>
        <v>221295.66191607391</v>
      </c>
      <c r="R5" s="142">
        <f>Q5-P5</f>
        <v>4937.2738760738575</v>
      </c>
      <c r="S5" s="142">
        <f t="shared" ref="S5" si="9">D5*N5*12</f>
        <v>221295.66191607391</v>
      </c>
      <c r="T5" s="142">
        <f t="shared" si="1"/>
        <v>0</v>
      </c>
      <c r="U5" s="147">
        <f t="shared" si="2"/>
        <v>22.512265703663385</v>
      </c>
      <c r="V5" s="147">
        <f>D5*U5*12</f>
        <v>221295.66191607391</v>
      </c>
      <c r="W5" s="147">
        <f>V5-P5</f>
        <v>4937.2738760738575</v>
      </c>
      <c r="X5" s="236">
        <f t="shared" ref="X5:X68" si="10">R5-W5</f>
        <v>0</v>
      </c>
      <c r="Y5" s="198">
        <f t="shared" ref="Y5:Y68" si="11">O5-U5</f>
        <v>0</v>
      </c>
    </row>
    <row r="6" spans="1:26" s="133" customFormat="1" x14ac:dyDescent="0.35">
      <c r="A6" s="284"/>
      <c r="B6" s="117">
        <v>22</v>
      </c>
      <c r="C6" s="131" t="s">
        <v>122</v>
      </c>
      <c r="D6" s="101">
        <v>93.537000000000006</v>
      </c>
      <c r="E6" s="144">
        <f>References!B10</f>
        <v>4.333333333333333</v>
      </c>
      <c r="F6" s="143">
        <f t="shared" si="3"/>
        <v>4863.924</v>
      </c>
      <c r="G6" s="143">
        <f>References!B18</f>
        <v>51</v>
      </c>
      <c r="H6" s="143">
        <f t="shared" si="4"/>
        <v>248060.12400000001</v>
      </c>
      <c r="I6" s="116">
        <f t="shared" si="0"/>
        <v>194911.35817475771</v>
      </c>
      <c r="J6" s="142">
        <f>(References!$C$56*I6)</f>
        <v>829.34782903359303</v>
      </c>
      <c r="K6" s="142">
        <f>J6/References!$G$59</f>
        <v>845.64768822411281</v>
      </c>
      <c r="L6" s="142">
        <f t="shared" si="5"/>
        <v>0.75339855549507395</v>
      </c>
      <c r="M6" s="97">
        <f>'Proposed Rates'!B14</f>
        <v>33.69</v>
      </c>
      <c r="N6" s="142">
        <f t="shared" si="6"/>
        <v>34.443398555495072</v>
      </c>
      <c r="O6" s="142">
        <f>'Proposed Rates'!D14</f>
        <v>34.443398555495072</v>
      </c>
      <c r="P6" s="142">
        <f t="shared" ref="P6:P19" si="12">D6*M6*12</f>
        <v>37815.138360000004</v>
      </c>
      <c r="Q6" s="142">
        <f t="shared" ref="Q6:Q19" si="13">D6*O6*12</f>
        <v>38660.786048224109</v>
      </c>
      <c r="R6" s="142">
        <f t="shared" ref="R6:R22" si="14">Q6-P6</f>
        <v>845.64768822410406</v>
      </c>
      <c r="S6" s="142">
        <f t="shared" ref="S6:S19" si="15">D6*N6*12</f>
        <v>38660.786048224109</v>
      </c>
      <c r="T6" s="142">
        <f t="shared" ref="T6:T22" si="16">Q6-S6</f>
        <v>0</v>
      </c>
      <c r="U6" s="147">
        <f t="shared" ref="U6:U22" si="17">N6</f>
        <v>34.443398555495072</v>
      </c>
      <c r="V6" s="147">
        <f t="shared" ref="V6:V19" si="18">D6*U6*12</f>
        <v>38660.786048224109</v>
      </c>
      <c r="W6" s="147">
        <f t="shared" ref="W6:W22" si="19">V6-P6</f>
        <v>845.64768822410406</v>
      </c>
      <c r="X6" s="236">
        <f t="shared" si="10"/>
        <v>0</v>
      </c>
      <c r="Y6" s="198">
        <f t="shared" si="11"/>
        <v>0</v>
      </c>
    </row>
    <row r="7" spans="1:26" s="133" customFormat="1" x14ac:dyDescent="0.35">
      <c r="A7" s="284"/>
      <c r="B7" s="117">
        <v>22</v>
      </c>
      <c r="C7" s="131" t="s">
        <v>123</v>
      </c>
      <c r="D7" s="101">
        <v>6.3849999999999998</v>
      </c>
      <c r="E7" s="144">
        <f>References!B10</f>
        <v>4.333333333333333</v>
      </c>
      <c r="F7" s="143">
        <f t="shared" si="3"/>
        <v>332.02</v>
      </c>
      <c r="G7" s="143">
        <f>References!B19</f>
        <v>77</v>
      </c>
      <c r="H7" s="143">
        <f t="shared" si="4"/>
        <v>25565.539999999997</v>
      </c>
      <c r="I7" s="116">
        <f t="shared" si="0"/>
        <v>20087.928859823896</v>
      </c>
      <c r="J7" s="142">
        <f>(References!$C$56*I7)</f>
        <v>85.474137298550573</v>
      </c>
      <c r="K7" s="142">
        <f>J7/References!$G$59</f>
        <v>87.154031250911899</v>
      </c>
      <c r="L7" s="142">
        <f t="shared" si="5"/>
        <v>1.1374840935906017</v>
      </c>
      <c r="M7" s="97">
        <f>'Proposed Rates'!B15</f>
        <v>46.35</v>
      </c>
      <c r="N7" s="142">
        <f t="shared" si="6"/>
        <v>47.487484093590602</v>
      </c>
      <c r="O7" s="142">
        <f>'Proposed Rates'!D15</f>
        <v>47.487484093590602</v>
      </c>
      <c r="P7" s="142">
        <f t="shared" si="12"/>
        <v>3551.337</v>
      </c>
      <c r="Q7" s="142">
        <f t="shared" si="13"/>
        <v>3638.4910312509119</v>
      </c>
      <c r="R7" s="142">
        <f t="shared" si="14"/>
        <v>87.154031250911885</v>
      </c>
      <c r="S7" s="142">
        <f t="shared" si="15"/>
        <v>3638.4910312509119</v>
      </c>
      <c r="T7" s="142">
        <f t="shared" si="16"/>
        <v>0</v>
      </c>
      <c r="U7" s="147">
        <f t="shared" si="17"/>
        <v>47.487484093590602</v>
      </c>
      <c r="V7" s="147">
        <f t="shared" si="18"/>
        <v>3638.4910312509119</v>
      </c>
      <c r="W7" s="147">
        <f t="shared" si="19"/>
        <v>87.154031250911885</v>
      </c>
      <c r="X7" s="236">
        <f t="shared" si="10"/>
        <v>0</v>
      </c>
      <c r="Y7" s="198">
        <f t="shared" si="11"/>
        <v>0</v>
      </c>
    </row>
    <row r="8" spans="1:26" s="133" customFormat="1" x14ac:dyDescent="0.35">
      <c r="A8" s="284"/>
      <c r="B8" s="117">
        <v>22</v>
      </c>
      <c r="C8" s="131" t="s">
        <v>124</v>
      </c>
      <c r="D8" s="101">
        <v>945.32600000000002</v>
      </c>
      <c r="E8" s="144">
        <f>References!B10</f>
        <v>4.333333333333333</v>
      </c>
      <c r="F8" s="143">
        <f t="shared" si="3"/>
        <v>49156.95199999999</v>
      </c>
      <c r="G8" s="170">
        <f>References!B23</f>
        <v>37</v>
      </c>
      <c r="H8" s="143">
        <f t="shared" si="4"/>
        <v>1818807.2239999997</v>
      </c>
      <c r="I8" s="116">
        <f t="shared" si="0"/>
        <v>1429113.9606456889</v>
      </c>
      <c r="J8" s="142">
        <f>(References!$C$56*I8)</f>
        <v>6080.8799025473991</v>
      </c>
      <c r="K8" s="142">
        <f>J8/References!$G$59</f>
        <v>6200.3924673556803</v>
      </c>
      <c r="L8" s="142">
        <f t="shared" si="5"/>
        <v>0.54658326575132821</v>
      </c>
      <c r="M8" s="97">
        <f>'Proposed Rates'!B18</f>
        <v>24.42</v>
      </c>
      <c r="N8" s="142">
        <f t="shared" si="6"/>
        <v>24.966583265751328</v>
      </c>
      <c r="O8" s="142">
        <f>'Proposed Rates'!D18</f>
        <v>24.966583265751328</v>
      </c>
      <c r="P8" s="142">
        <f t="shared" si="12"/>
        <v>277018.33104000002</v>
      </c>
      <c r="Q8" s="142">
        <f t="shared" si="13"/>
        <v>283218.72350735572</v>
      </c>
      <c r="R8" s="142">
        <f t="shared" si="14"/>
        <v>6200.3924673557049</v>
      </c>
      <c r="S8" s="142">
        <f t="shared" si="15"/>
        <v>283218.72350735572</v>
      </c>
      <c r="T8" s="142">
        <f t="shared" si="16"/>
        <v>0</v>
      </c>
      <c r="U8" s="147">
        <f t="shared" si="17"/>
        <v>24.966583265751328</v>
      </c>
      <c r="V8" s="147">
        <f t="shared" si="18"/>
        <v>283218.72350735572</v>
      </c>
      <c r="W8" s="147">
        <f t="shared" si="19"/>
        <v>6200.3924673557049</v>
      </c>
      <c r="X8" s="236">
        <f t="shared" si="10"/>
        <v>0</v>
      </c>
      <c r="Y8" s="198">
        <f t="shared" si="11"/>
        <v>0</v>
      </c>
    </row>
    <row r="9" spans="1:26" s="133" customFormat="1" x14ac:dyDescent="0.35">
      <c r="A9" s="284"/>
      <c r="B9" s="117">
        <v>22</v>
      </c>
      <c r="C9" s="131" t="s">
        <v>125</v>
      </c>
      <c r="D9" s="101">
        <v>2955.2570000000001</v>
      </c>
      <c r="E9" s="144">
        <f>References!B10</f>
        <v>4.333333333333333</v>
      </c>
      <c r="F9" s="143">
        <f t="shared" si="3"/>
        <v>153673.364</v>
      </c>
      <c r="G9" s="143">
        <f>References!B24</f>
        <v>47</v>
      </c>
      <c r="H9" s="143">
        <f t="shared" si="4"/>
        <v>7222648.108</v>
      </c>
      <c r="I9" s="116">
        <f t="shared" si="0"/>
        <v>5675140.8878140524</v>
      </c>
      <c r="J9" s="142">
        <f>(References!$C$56*I9)</f>
        <v>24147.724477648764</v>
      </c>
      <c r="K9" s="142">
        <f>J9/References!$G$59</f>
        <v>24622.3196896671</v>
      </c>
      <c r="L9" s="142">
        <f t="shared" si="5"/>
        <v>0.69430847271114648</v>
      </c>
      <c r="M9" s="97">
        <f>'Proposed Rates'!B19</f>
        <v>31.85</v>
      </c>
      <c r="N9" s="142">
        <f t="shared" si="6"/>
        <v>32.544308472711151</v>
      </c>
      <c r="O9" s="142">
        <f>'Proposed Rates'!D19</f>
        <v>32.544308472711151</v>
      </c>
      <c r="P9" s="142">
        <f t="shared" si="12"/>
        <v>1129499.2254000001</v>
      </c>
      <c r="Q9" s="142">
        <f t="shared" si="13"/>
        <v>1154121.5450896672</v>
      </c>
      <c r="R9" s="142">
        <f t="shared" si="14"/>
        <v>24622.319689667085</v>
      </c>
      <c r="S9" s="142">
        <f t="shared" si="15"/>
        <v>1154121.5450896672</v>
      </c>
      <c r="T9" s="142">
        <f t="shared" si="16"/>
        <v>0</v>
      </c>
      <c r="U9" s="147">
        <f t="shared" si="17"/>
        <v>32.544308472711151</v>
      </c>
      <c r="V9" s="147">
        <f t="shared" si="18"/>
        <v>1154121.5450896672</v>
      </c>
      <c r="W9" s="147">
        <f t="shared" si="19"/>
        <v>24622.319689667085</v>
      </c>
      <c r="X9" s="236">
        <f t="shared" si="10"/>
        <v>0</v>
      </c>
      <c r="Y9" s="198">
        <f t="shared" si="11"/>
        <v>0</v>
      </c>
    </row>
    <row r="10" spans="1:26" s="133" customFormat="1" x14ac:dyDescent="0.35">
      <c r="A10" s="284"/>
      <c r="B10" s="117"/>
      <c r="C10" s="131" t="s">
        <v>126</v>
      </c>
      <c r="D10" s="101">
        <v>37.89</v>
      </c>
      <c r="E10" s="88">
        <f>References!B9</f>
        <v>8.6666666666666661</v>
      </c>
      <c r="F10" s="143">
        <f t="shared" si="3"/>
        <v>3940.56</v>
      </c>
      <c r="G10" s="197">
        <f>References!B24</f>
        <v>47</v>
      </c>
      <c r="H10" s="143">
        <f t="shared" si="4"/>
        <v>185206.32</v>
      </c>
      <c r="I10" s="116">
        <f t="shared" si="0"/>
        <v>145524.45911761615</v>
      </c>
      <c r="J10" s="142">
        <f>(References!$C$56*I10)</f>
        <v>619.20657354545597</v>
      </c>
      <c r="K10" s="142">
        <f>J10/References!$G$59</f>
        <v>631.37635274460831</v>
      </c>
      <c r="L10" s="142">
        <f t="shared" si="5"/>
        <v>1.3886169454222932</v>
      </c>
      <c r="M10" s="97">
        <f>M9*2</f>
        <v>63.7</v>
      </c>
      <c r="N10" s="142">
        <f t="shared" si="6"/>
        <v>65.088616945422302</v>
      </c>
      <c r="O10" s="142">
        <f>O9*2</f>
        <v>65.088616945422302</v>
      </c>
      <c r="P10" s="142">
        <f t="shared" si="12"/>
        <v>28963.116000000002</v>
      </c>
      <c r="Q10" s="142">
        <f t="shared" si="13"/>
        <v>29594.492352744615</v>
      </c>
      <c r="R10" s="142">
        <f t="shared" si="14"/>
        <v>631.37635274461354</v>
      </c>
      <c r="S10" s="142">
        <f t="shared" si="15"/>
        <v>29594.492352744615</v>
      </c>
      <c r="T10" s="142">
        <f t="shared" si="16"/>
        <v>0</v>
      </c>
      <c r="U10" s="147">
        <f t="shared" si="17"/>
        <v>65.088616945422302</v>
      </c>
      <c r="V10" s="147">
        <f t="shared" si="18"/>
        <v>29594.492352744615</v>
      </c>
      <c r="W10" s="147">
        <f t="shared" si="19"/>
        <v>631.37635274461354</v>
      </c>
      <c r="X10" s="236">
        <f t="shared" si="10"/>
        <v>0</v>
      </c>
      <c r="Y10" s="198">
        <f t="shared" si="11"/>
        <v>0</v>
      </c>
    </row>
    <row r="11" spans="1:26" s="133" customFormat="1" x14ac:dyDescent="0.35">
      <c r="A11" s="284"/>
      <c r="B11" s="117">
        <v>22</v>
      </c>
      <c r="C11" s="131" t="s">
        <v>127</v>
      </c>
      <c r="D11" s="101">
        <v>426.88799999999998</v>
      </c>
      <c r="E11" s="144">
        <f>References!B11</f>
        <v>2.1666666666666665</v>
      </c>
      <c r="F11" s="143">
        <f t="shared" si="3"/>
        <v>11099.087999999998</v>
      </c>
      <c r="G11" s="143">
        <f>References!B17</f>
        <v>34</v>
      </c>
      <c r="H11" s="143">
        <f t="shared" si="4"/>
        <v>377368.99199999991</v>
      </c>
      <c r="I11" s="116">
        <f t="shared" si="0"/>
        <v>296514.81897896354</v>
      </c>
      <c r="J11" s="142">
        <f>(References!$C$56*I11)</f>
        <v>1261.6705547554884</v>
      </c>
      <c r="K11" s="142">
        <f>J11/References!$G$59</f>
        <v>1286.4672102327243</v>
      </c>
      <c r="L11" s="142">
        <f t="shared" si="5"/>
        <v>0.25113285183169132</v>
      </c>
      <c r="M11" s="97">
        <f>'Proposed Rates'!B21</f>
        <v>12.7</v>
      </c>
      <c r="N11" s="142">
        <f t="shared" si="6"/>
        <v>12.951132851831691</v>
      </c>
      <c r="O11" s="142">
        <f>'Proposed Rates'!D21</f>
        <v>12.951132851831691</v>
      </c>
      <c r="P11" s="142">
        <f t="shared" si="12"/>
        <v>65057.731199999995</v>
      </c>
      <c r="Q11" s="142">
        <f t="shared" si="13"/>
        <v>66344.198410232711</v>
      </c>
      <c r="R11" s="142">
        <f t="shared" si="14"/>
        <v>1286.4672102327168</v>
      </c>
      <c r="S11" s="142">
        <f t="shared" si="15"/>
        <v>66344.198410232711</v>
      </c>
      <c r="T11" s="142">
        <f t="shared" si="16"/>
        <v>0</v>
      </c>
      <c r="U11" s="147">
        <f t="shared" si="17"/>
        <v>12.951132851831691</v>
      </c>
      <c r="V11" s="147">
        <f t="shared" si="18"/>
        <v>66344.198410232711</v>
      </c>
      <c r="W11" s="147">
        <f t="shared" si="19"/>
        <v>1286.4672102327168</v>
      </c>
      <c r="X11" s="236">
        <f t="shared" si="10"/>
        <v>0</v>
      </c>
      <c r="Y11" s="198">
        <f t="shared" si="11"/>
        <v>0</v>
      </c>
    </row>
    <row r="12" spans="1:26" s="133" customFormat="1" x14ac:dyDescent="0.35">
      <c r="A12" s="284"/>
      <c r="B12" s="117"/>
      <c r="C12" s="131" t="s">
        <v>128</v>
      </c>
      <c r="D12" s="101">
        <v>2.2949999999999999</v>
      </c>
      <c r="E12" s="88">
        <f>References!C11</f>
        <v>4.333333333333333</v>
      </c>
      <c r="F12" s="143">
        <f>D12*E12*12</f>
        <v>119.33999999999997</v>
      </c>
      <c r="G12" s="173">
        <f>References!B17</f>
        <v>34</v>
      </c>
      <c r="H12" s="56">
        <f>F12*G12</f>
        <v>4057.559999999999</v>
      </c>
      <c r="I12" s="116">
        <f t="shared" si="0"/>
        <v>3188.1969488799</v>
      </c>
      <c r="J12" s="142">
        <f>(References!$C$56*I12)</f>
        <v>13.565778017483959</v>
      </c>
      <c r="K12" s="142">
        <f>J12/References!$G$59</f>
        <v>13.832397478889556</v>
      </c>
      <c r="L12" s="142">
        <f t="shared" si="5"/>
        <v>0.50226570366338263</v>
      </c>
      <c r="M12" s="97">
        <f>M11*2</f>
        <v>25.4</v>
      </c>
      <c r="N12" s="142">
        <f t="shared" si="6"/>
        <v>25.902265703663382</v>
      </c>
      <c r="O12" s="142">
        <f>O11*2</f>
        <v>25.902265703663382</v>
      </c>
      <c r="P12" s="142">
        <f t="shared" si="12"/>
        <v>699.51599999999985</v>
      </c>
      <c r="Q12" s="142">
        <f t="shared" si="13"/>
        <v>713.34839747888952</v>
      </c>
      <c r="R12" s="142">
        <f t="shared" si="14"/>
        <v>13.832397478889675</v>
      </c>
      <c r="S12" s="142">
        <f t="shared" si="15"/>
        <v>713.34839747888952</v>
      </c>
      <c r="T12" s="142">
        <f t="shared" si="16"/>
        <v>0</v>
      </c>
      <c r="U12" s="147">
        <f t="shared" si="17"/>
        <v>25.902265703663382</v>
      </c>
      <c r="V12" s="147">
        <f t="shared" si="18"/>
        <v>713.34839747888952</v>
      </c>
      <c r="W12" s="147">
        <f t="shared" si="19"/>
        <v>13.832397478889675</v>
      </c>
      <c r="X12" s="236">
        <f t="shared" si="10"/>
        <v>0</v>
      </c>
      <c r="Y12" s="198">
        <f t="shared" si="11"/>
        <v>0</v>
      </c>
    </row>
    <row r="13" spans="1:26" s="133" customFormat="1" ht="14.5" customHeight="1" x14ac:dyDescent="0.35">
      <c r="A13" s="284"/>
      <c r="B13" s="117">
        <v>22</v>
      </c>
      <c r="C13" s="131" t="s">
        <v>129</v>
      </c>
      <c r="D13" s="130">
        <v>548.04700000000003</v>
      </c>
      <c r="E13" s="144">
        <f>References!B11</f>
        <v>2.1666666666666665</v>
      </c>
      <c r="F13" s="143">
        <f t="shared" si="3"/>
        <v>14249.222</v>
      </c>
      <c r="G13" s="170">
        <v>37</v>
      </c>
      <c r="H13" s="143">
        <f t="shared" si="4"/>
        <v>527221.21400000004</v>
      </c>
      <c r="I13" s="116">
        <f t="shared" si="0"/>
        <v>414260.06414188759</v>
      </c>
      <c r="J13" s="142">
        <f>(References!$C$56*I13)</f>
        <v>1762.6765729237295</v>
      </c>
      <c r="K13" s="142">
        <f>J13/References!$G$59</f>
        <v>1797.319914271309</v>
      </c>
      <c r="L13" s="142">
        <f t="shared" si="5"/>
        <v>0.27329163287566405</v>
      </c>
      <c r="M13" s="97">
        <f>'Proposed Rates'!B22</f>
        <v>14.09</v>
      </c>
      <c r="N13" s="142">
        <f t="shared" si="6"/>
        <v>14.363291632875663</v>
      </c>
      <c r="O13" s="142">
        <f>'Proposed Rates'!D22</f>
        <v>14.363291632875663</v>
      </c>
      <c r="P13" s="142">
        <f t="shared" si="12"/>
        <v>92663.786760000003</v>
      </c>
      <c r="Q13" s="142">
        <f t="shared" si="13"/>
        <v>94461.106674271316</v>
      </c>
      <c r="R13" s="142">
        <f t="shared" si="14"/>
        <v>1797.3199142713129</v>
      </c>
      <c r="S13" s="142">
        <f t="shared" si="15"/>
        <v>94461.106674271316</v>
      </c>
      <c r="T13" s="142">
        <f t="shared" si="16"/>
        <v>0</v>
      </c>
      <c r="U13" s="147">
        <f t="shared" si="17"/>
        <v>14.363291632875663</v>
      </c>
      <c r="V13" s="147">
        <f t="shared" si="18"/>
        <v>94461.106674271316</v>
      </c>
      <c r="W13" s="147">
        <f t="shared" si="19"/>
        <v>1797.3199142713129</v>
      </c>
      <c r="X13" s="236">
        <f t="shared" si="10"/>
        <v>0</v>
      </c>
      <c r="Y13" s="199">
        <f t="shared" si="11"/>
        <v>0</v>
      </c>
      <c r="Z13" s="200" t="s">
        <v>497</v>
      </c>
    </row>
    <row r="14" spans="1:26" s="133" customFormat="1" x14ac:dyDescent="0.35">
      <c r="A14" s="284"/>
      <c r="B14" s="117">
        <v>22</v>
      </c>
      <c r="C14" s="131" t="s">
        <v>130</v>
      </c>
      <c r="D14" s="130">
        <v>1695.5630000000001</v>
      </c>
      <c r="E14" s="144">
        <f>References!B11</f>
        <v>2.1666666666666665</v>
      </c>
      <c r="F14" s="143">
        <f t="shared" si="3"/>
        <v>44084.637999999999</v>
      </c>
      <c r="G14" s="143">
        <f>References!B24</f>
        <v>47</v>
      </c>
      <c r="H14" s="143">
        <f t="shared" si="4"/>
        <v>2071977.986</v>
      </c>
      <c r="I14" s="116">
        <f t="shared" si="0"/>
        <v>1628040.9638086737</v>
      </c>
      <c r="J14" s="142">
        <f>(References!$C$56*I14)</f>
        <v>6927.3143010058984</v>
      </c>
      <c r="K14" s="142">
        <f>J14/References!$G$59</f>
        <v>7063.4625414931797</v>
      </c>
      <c r="L14" s="142">
        <f t="shared" si="5"/>
        <v>0.3471542363555733</v>
      </c>
      <c r="M14" s="97">
        <f>'Proposed Rates'!B23</f>
        <v>18.239999999999998</v>
      </c>
      <c r="N14" s="142">
        <f t="shared" si="6"/>
        <v>18.587154236355573</v>
      </c>
      <c r="O14" s="142">
        <f>'Proposed Rates'!D23</f>
        <v>18.587154236355573</v>
      </c>
      <c r="P14" s="142">
        <f t="shared" si="12"/>
        <v>371124.82944</v>
      </c>
      <c r="Q14" s="142">
        <f t="shared" si="13"/>
        <v>378188.29198149318</v>
      </c>
      <c r="R14" s="142">
        <f t="shared" si="14"/>
        <v>7063.4625414931797</v>
      </c>
      <c r="S14" s="142">
        <f t="shared" si="15"/>
        <v>378188.29198149318</v>
      </c>
      <c r="T14" s="142">
        <f t="shared" si="16"/>
        <v>0</v>
      </c>
      <c r="U14" s="147">
        <f t="shared" si="17"/>
        <v>18.587154236355573</v>
      </c>
      <c r="V14" s="147">
        <f t="shared" si="18"/>
        <v>378188.29198149318</v>
      </c>
      <c r="W14" s="147">
        <f t="shared" si="19"/>
        <v>7063.4625414931797</v>
      </c>
      <c r="X14" s="236">
        <f t="shared" si="10"/>
        <v>0</v>
      </c>
      <c r="Y14" s="198">
        <f t="shared" si="11"/>
        <v>0</v>
      </c>
    </row>
    <row r="15" spans="1:26" s="133" customFormat="1" x14ac:dyDescent="0.35">
      <c r="A15" s="284"/>
      <c r="B15" s="117"/>
      <c r="C15" s="131" t="s">
        <v>131</v>
      </c>
      <c r="D15" s="130">
        <v>2.2949999999999999</v>
      </c>
      <c r="E15" s="144">
        <f>References!C11</f>
        <v>4.333333333333333</v>
      </c>
      <c r="F15" s="143">
        <f t="shared" si="3"/>
        <v>119.33999999999997</v>
      </c>
      <c r="G15" s="143">
        <f>References!B24</f>
        <v>47</v>
      </c>
      <c r="H15" s="143">
        <f t="shared" si="4"/>
        <v>5608.9799999999987</v>
      </c>
      <c r="I15" s="116">
        <f t="shared" si="0"/>
        <v>4407.2134293339795</v>
      </c>
      <c r="J15" s="142">
        <f>(References!$C$56*I15)</f>
        <v>18.75269314181606</v>
      </c>
      <c r="K15" s="142">
        <f>J15/References!$G$59</f>
        <v>19.121255338464973</v>
      </c>
      <c r="L15" s="142">
        <f t="shared" si="5"/>
        <v>0.69430847271114648</v>
      </c>
      <c r="M15" s="97">
        <f>M14*2</f>
        <v>36.479999999999997</v>
      </c>
      <c r="N15" s="142">
        <f t="shared" si="6"/>
        <v>37.174308472711147</v>
      </c>
      <c r="O15" s="142">
        <f>O14*2</f>
        <v>37.174308472711147</v>
      </c>
      <c r="P15" s="142">
        <f t="shared" si="12"/>
        <v>1004.6591999999999</v>
      </c>
      <c r="Q15" s="142">
        <f t="shared" si="13"/>
        <v>1023.7804553384649</v>
      </c>
      <c r="R15" s="142">
        <f t="shared" si="14"/>
        <v>19.121255338464948</v>
      </c>
      <c r="S15" s="142">
        <f t="shared" si="15"/>
        <v>1023.7804553384649</v>
      </c>
      <c r="T15" s="142">
        <f t="shared" si="16"/>
        <v>0</v>
      </c>
      <c r="U15" s="147">
        <f t="shared" si="17"/>
        <v>37.174308472711147</v>
      </c>
      <c r="V15" s="147">
        <f t="shared" si="18"/>
        <v>1023.7804553384649</v>
      </c>
      <c r="W15" s="147">
        <f t="shared" si="19"/>
        <v>19.121255338464948</v>
      </c>
      <c r="X15" s="236">
        <f t="shared" si="10"/>
        <v>0</v>
      </c>
      <c r="Y15" s="198">
        <f t="shared" si="11"/>
        <v>0</v>
      </c>
    </row>
    <row r="16" spans="1:26" s="133" customFormat="1" x14ac:dyDescent="0.35">
      <c r="A16" s="284"/>
      <c r="B16" s="117">
        <v>22</v>
      </c>
      <c r="C16" s="131" t="s">
        <v>132</v>
      </c>
      <c r="D16" s="130">
        <v>83.825000000000003</v>
      </c>
      <c r="E16" s="144">
        <f>References!$B$12</f>
        <v>1</v>
      </c>
      <c r="F16" s="143">
        <f t="shared" si="3"/>
        <v>1005.9000000000001</v>
      </c>
      <c r="G16" s="143">
        <f>References!B17</f>
        <v>34</v>
      </c>
      <c r="H16" s="143">
        <f t="shared" si="4"/>
        <v>34200.600000000006</v>
      </c>
      <c r="I16" s="116">
        <f t="shared" si="0"/>
        <v>26872.861663133004</v>
      </c>
      <c r="J16" s="142">
        <f>(References!$C$56*I16)</f>
        <v>114.34402637663079</v>
      </c>
      <c r="K16" s="142">
        <f>J16/References!$G$59</f>
        <v>116.59132414961462</v>
      </c>
      <c r="L16" s="142">
        <f t="shared" si="5"/>
        <v>0.11590747007616524</v>
      </c>
      <c r="M16" s="97">
        <f>'Proposed Rates'!B25</f>
        <v>7.51</v>
      </c>
      <c r="N16" s="142">
        <f t="shared" si="6"/>
        <v>7.6259074700761653</v>
      </c>
      <c r="O16" s="142">
        <f>'Proposed Rates'!D25</f>
        <v>7.6259074700761653</v>
      </c>
      <c r="P16" s="142">
        <f t="shared" si="12"/>
        <v>7554.3090000000002</v>
      </c>
      <c r="Q16" s="142">
        <f t="shared" si="13"/>
        <v>7670.9003241496139</v>
      </c>
      <c r="R16" s="142">
        <f t="shared" si="14"/>
        <v>116.59132414961368</v>
      </c>
      <c r="S16" s="142">
        <f t="shared" si="15"/>
        <v>7670.9003241496139</v>
      </c>
      <c r="T16" s="142">
        <f t="shared" si="16"/>
        <v>0</v>
      </c>
      <c r="U16" s="147">
        <f t="shared" si="17"/>
        <v>7.6259074700761653</v>
      </c>
      <c r="V16" s="147">
        <f t="shared" si="18"/>
        <v>7670.9003241496139</v>
      </c>
      <c r="W16" s="147">
        <f t="shared" si="19"/>
        <v>116.59132414961368</v>
      </c>
      <c r="X16" s="236">
        <f t="shared" si="10"/>
        <v>0</v>
      </c>
      <c r="Y16" s="198">
        <f t="shared" si="11"/>
        <v>0</v>
      </c>
    </row>
    <row r="17" spans="1:25" s="133" customFormat="1" x14ac:dyDescent="0.35">
      <c r="A17" s="284"/>
      <c r="B17" s="117"/>
      <c r="C17" s="131" t="s">
        <v>133</v>
      </c>
      <c r="D17" s="130">
        <v>3.0030000000000001</v>
      </c>
      <c r="E17" s="88">
        <f>References!C12</f>
        <v>2</v>
      </c>
      <c r="F17" s="143">
        <f t="shared" si="3"/>
        <v>72.072000000000003</v>
      </c>
      <c r="G17" s="173">
        <f>References!B17</f>
        <v>34</v>
      </c>
      <c r="H17" s="56">
        <f t="shared" si="4"/>
        <v>2450.4480000000003</v>
      </c>
      <c r="I17" s="116">
        <f t="shared" si="0"/>
        <v>1925.4209024608031</v>
      </c>
      <c r="J17" s="142">
        <f>(References!$C$56*I17)</f>
        <v>8.1926659399707074</v>
      </c>
      <c r="K17" s="142">
        <f>J17/References!$G$59</f>
        <v>8.3536831833293821</v>
      </c>
      <c r="L17" s="142">
        <f t="shared" si="5"/>
        <v>0.23181494015233051</v>
      </c>
      <c r="M17" s="97">
        <f>M16*2</f>
        <v>15.02</v>
      </c>
      <c r="N17" s="142">
        <f t="shared" si="6"/>
        <v>15.251814940152331</v>
      </c>
      <c r="O17" s="142">
        <f>O16*2</f>
        <v>15.251814940152331</v>
      </c>
      <c r="P17" s="142">
        <f t="shared" si="12"/>
        <v>541.26071999999999</v>
      </c>
      <c r="Q17" s="142">
        <f t="shared" si="13"/>
        <v>549.61440318332939</v>
      </c>
      <c r="R17" s="142">
        <f t="shared" si="14"/>
        <v>8.3536831833293945</v>
      </c>
      <c r="S17" s="142">
        <f t="shared" si="15"/>
        <v>549.61440318332939</v>
      </c>
      <c r="T17" s="142">
        <f t="shared" si="16"/>
        <v>0</v>
      </c>
      <c r="U17" s="147">
        <f t="shared" si="17"/>
        <v>15.251814940152331</v>
      </c>
      <c r="V17" s="147">
        <f t="shared" si="18"/>
        <v>549.61440318332939</v>
      </c>
      <c r="W17" s="147">
        <f t="shared" si="19"/>
        <v>8.3536831833293945</v>
      </c>
      <c r="X17" s="236">
        <f t="shared" si="10"/>
        <v>0</v>
      </c>
      <c r="Y17" s="198">
        <f t="shared" si="11"/>
        <v>0</v>
      </c>
    </row>
    <row r="18" spans="1:25" s="133" customFormat="1" x14ac:dyDescent="0.35">
      <c r="A18" s="284"/>
      <c r="B18" s="117">
        <v>22</v>
      </c>
      <c r="C18" s="131" t="s">
        <v>134</v>
      </c>
      <c r="D18" s="130">
        <v>81.870999999999995</v>
      </c>
      <c r="E18" s="144">
        <f>References!$B$12</f>
        <v>1</v>
      </c>
      <c r="F18" s="143">
        <f t="shared" si="3"/>
        <v>982.452</v>
      </c>
      <c r="G18" s="170">
        <f>References!B23</f>
        <v>37</v>
      </c>
      <c r="H18" s="143">
        <f t="shared" si="4"/>
        <v>36350.724000000002</v>
      </c>
      <c r="I18" s="116">
        <f t="shared" si="0"/>
        <v>28562.305263847087</v>
      </c>
      <c r="J18" s="142">
        <f>(References!$C$56*I18)</f>
        <v>121.53260889766921</v>
      </c>
      <c r="K18" s="142">
        <f>J18/References!$G$59</f>
        <v>123.92118983167474</v>
      </c>
      <c r="L18" s="142">
        <f t="shared" si="5"/>
        <v>0.12613459978876804</v>
      </c>
      <c r="M18" s="97">
        <f>'Proposed Rates'!B26</f>
        <v>8.61</v>
      </c>
      <c r="N18" s="142">
        <f t="shared" si="6"/>
        <v>8.7361345997887678</v>
      </c>
      <c r="O18" s="142">
        <f>'Proposed Rates'!D26</f>
        <v>8.7361345997887678</v>
      </c>
      <c r="P18" s="142">
        <f t="shared" si="12"/>
        <v>8458.9117199999982</v>
      </c>
      <c r="Q18" s="142">
        <f t="shared" si="13"/>
        <v>8582.8329098316735</v>
      </c>
      <c r="R18" s="142">
        <f t="shared" si="14"/>
        <v>123.92118983167529</v>
      </c>
      <c r="S18" s="142">
        <f t="shared" si="15"/>
        <v>8582.8329098316735</v>
      </c>
      <c r="T18" s="142">
        <f t="shared" si="16"/>
        <v>0</v>
      </c>
      <c r="U18" s="147">
        <f t="shared" si="17"/>
        <v>8.7361345997887678</v>
      </c>
      <c r="V18" s="147">
        <f t="shared" si="18"/>
        <v>8582.8329098316735</v>
      </c>
      <c r="W18" s="147">
        <f t="shared" si="19"/>
        <v>123.92118983167529</v>
      </c>
      <c r="X18" s="236">
        <f t="shared" si="10"/>
        <v>0</v>
      </c>
      <c r="Y18" s="198">
        <f t="shared" si="11"/>
        <v>0</v>
      </c>
    </row>
    <row r="19" spans="1:25" s="133" customFormat="1" x14ac:dyDescent="0.35">
      <c r="A19" s="284"/>
      <c r="B19" s="117">
        <v>22</v>
      </c>
      <c r="C19" s="131" t="s">
        <v>135</v>
      </c>
      <c r="D19" s="130">
        <v>160.21799999999999</v>
      </c>
      <c r="E19" s="144">
        <f>References!$B$12</f>
        <v>1</v>
      </c>
      <c r="F19" s="143">
        <f t="shared" si="3"/>
        <v>1922.616</v>
      </c>
      <c r="G19" s="143">
        <f>References!B24</f>
        <v>47</v>
      </c>
      <c r="H19" s="143">
        <f t="shared" si="4"/>
        <v>90362.952000000005</v>
      </c>
      <c r="I19" s="116">
        <f t="shared" si="0"/>
        <v>71002.003139369699</v>
      </c>
      <c r="J19" s="142">
        <f>(References!$C$56*I19)</f>
        <v>302.11352335801769</v>
      </c>
      <c r="K19" s="142">
        <f>J19/References!$G$59</f>
        <v>308.05121043923396</v>
      </c>
      <c r="L19" s="142">
        <f t="shared" si="5"/>
        <v>0.16022503216411074</v>
      </c>
      <c r="M19" s="97">
        <f>'Proposed Rates'!B27</f>
        <v>12.34</v>
      </c>
      <c r="N19" s="142">
        <f t="shared" si="6"/>
        <v>12.50022503216411</v>
      </c>
      <c r="O19" s="142">
        <f>'Proposed Rates'!D27</f>
        <v>12.50022503216411</v>
      </c>
      <c r="P19" s="142">
        <f t="shared" si="12"/>
        <v>23725.081439999998</v>
      </c>
      <c r="Q19" s="142">
        <f t="shared" si="13"/>
        <v>24033.132650439231</v>
      </c>
      <c r="R19" s="142">
        <f t="shared" si="14"/>
        <v>308.05121043923282</v>
      </c>
      <c r="S19" s="142">
        <f t="shared" si="15"/>
        <v>24033.132650439231</v>
      </c>
      <c r="T19" s="142">
        <f t="shared" si="16"/>
        <v>0</v>
      </c>
      <c r="U19" s="147">
        <f t="shared" si="17"/>
        <v>12.50022503216411</v>
      </c>
      <c r="V19" s="147">
        <f t="shared" si="18"/>
        <v>24033.132650439231</v>
      </c>
      <c r="W19" s="147">
        <f t="shared" si="19"/>
        <v>308.05121043923282</v>
      </c>
      <c r="X19" s="236">
        <f t="shared" si="10"/>
        <v>0</v>
      </c>
      <c r="Y19" s="198">
        <f t="shared" si="11"/>
        <v>0</v>
      </c>
    </row>
    <row r="20" spans="1:25" s="133" customFormat="1" x14ac:dyDescent="0.35">
      <c r="A20" s="284"/>
      <c r="B20" s="117" t="s">
        <v>139</v>
      </c>
      <c r="C20" s="131" t="s">
        <v>136</v>
      </c>
      <c r="D20" s="130">
        <v>4.5819999999999999</v>
      </c>
      <c r="E20" s="144"/>
      <c r="F20" s="143">
        <v>55</v>
      </c>
      <c r="G20" s="143">
        <f>References!B17</f>
        <v>34</v>
      </c>
      <c r="H20" s="143">
        <f t="shared" si="4"/>
        <v>1870</v>
      </c>
      <c r="I20" s="116">
        <f t="shared" si="0"/>
        <v>1469.3382955286957</v>
      </c>
      <c r="J20" s="142">
        <f>(References!$C$56*I20)</f>
        <v>6.2520344474745926</v>
      </c>
      <c r="K20" s="142">
        <f>J20/References!$G$59</f>
        <v>6.3749108541890873</v>
      </c>
      <c r="L20" s="142">
        <f>K20/F20</f>
        <v>0.11590747007616523</v>
      </c>
      <c r="M20" s="97">
        <f>'Proposed Rates'!B35</f>
        <v>8.51</v>
      </c>
      <c r="N20" s="142">
        <f t="shared" si="6"/>
        <v>8.6259074700761644</v>
      </c>
      <c r="O20" s="142">
        <f>'Proposed Rates'!D35</f>
        <v>8.6259839833069343</v>
      </c>
      <c r="P20" s="142">
        <f>F20*M20</f>
        <v>468.05</v>
      </c>
      <c r="Q20" s="142">
        <f>F20*O20</f>
        <v>474.42911908188137</v>
      </c>
      <c r="R20" s="142">
        <f t="shared" si="14"/>
        <v>6.3791190818813561</v>
      </c>
      <c r="S20" s="142">
        <f>F20*N20</f>
        <v>474.42491085418902</v>
      </c>
      <c r="T20" s="142">
        <f t="shared" si="16"/>
        <v>4.20822769234519E-3</v>
      </c>
      <c r="U20" s="147">
        <f t="shared" si="17"/>
        <v>8.6259074700761644</v>
      </c>
      <c r="V20" s="147">
        <f>F20*U20</f>
        <v>474.42491085418902</v>
      </c>
      <c r="W20" s="147">
        <f t="shared" si="19"/>
        <v>6.3749108541890109</v>
      </c>
      <c r="X20" s="236">
        <f t="shared" si="10"/>
        <v>4.20822769234519E-3</v>
      </c>
      <c r="Y20" s="198">
        <f t="shared" si="11"/>
        <v>7.6513230769847951E-5</v>
      </c>
    </row>
    <row r="21" spans="1:25" s="133" customFormat="1" x14ac:dyDescent="0.35">
      <c r="A21" s="284"/>
      <c r="B21" s="117" t="s">
        <v>139</v>
      </c>
      <c r="C21" s="131" t="s">
        <v>137</v>
      </c>
      <c r="D21" s="130">
        <v>217.03100000000001</v>
      </c>
      <c r="E21" s="144"/>
      <c r="F21" s="143">
        <v>2604</v>
      </c>
      <c r="G21" s="143">
        <f>References!B27</f>
        <v>34</v>
      </c>
      <c r="H21" s="143">
        <f t="shared" si="4"/>
        <v>88536</v>
      </c>
      <c r="I21" s="116">
        <f t="shared" si="0"/>
        <v>69566.489482849516</v>
      </c>
      <c r="J21" s="142">
        <f>(References!$C$56*I21)</f>
        <v>296.00541274952434</v>
      </c>
      <c r="K21" s="142">
        <f>J21/References!$G$59</f>
        <v>301.82305207833423</v>
      </c>
      <c r="L21" s="142">
        <f t="shared" ref="L21:L22" si="20">K21/F21</f>
        <v>0.11590747007616521</v>
      </c>
      <c r="M21" s="97">
        <f>'Proposed Rates'!B31</f>
        <v>6.97</v>
      </c>
      <c r="N21" s="142">
        <f t="shared" si="6"/>
        <v>7.0859074700761653</v>
      </c>
      <c r="O21" s="142">
        <f>'Proposed Rates'!D31</f>
        <v>7.0859074700761653</v>
      </c>
      <c r="P21" s="142">
        <f t="shared" ref="P21:P22" si="21">F21*M21</f>
        <v>18149.88</v>
      </c>
      <c r="Q21" s="142">
        <f t="shared" ref="Q21:Q22" si="22">F21*O21</f>
        <v>18451.703052078334</v>
      </c>
      <c r="R21" s="142">
        <f t="shared" si="14"/>
        <v>301.82305207833269</v>
      </c>
      <c r="S21" s="142">
        <f t="shared" ref="S21:S22" si="23">F21*N21</f>
        <v>18451.703052078334</v>
      </c>
      <c r="T21" s="142">
        <f t="shared" si="16"/>
        <v>0</v>
      </c>
      <c r="U21" s="147">
        <f t="shared" si="17"/>
        <v>7.0859074700761653</v>
      </c>
      <c r="V21" s="147">
        <f t="shared" ref="V21:V22" si="24">F21*U21</f>
        <v>18451.703052078334</v>
      </c>
      <c r="W21" s="147">
        <f t="shared" si="19"/>
        <v>301.82305207833269</v>
      </c>
      <c r="X21" s="236">
        <f t="shared" si="10"/>
        <v>0</v>
      </c>
      <c r="Y21" s="198">
        <f t="shared" si="11"/>
        <v>0</v>
      </c>
    </row>
    <row r="22" spans="1:25" s="133" customFormat="1" x14ac:dyDescent="0.35">
      <c r="A22" s="284"/>
      <c r="B22" s="117" t="s">
        <v>140</v>
      </c>
      <c r="C22" s="131" t="s">
        <v>138</v>
      </c>
      <c r="D22" s="130">
        <v>24.661000000000001</v>
      </c>
      <c r="E22" s="144"/>
      <c r="F22" s="143">
        <v>296</v>
      </c>
      <c r="G22" s="143">
        <f>References!B27</f>
        <v>34</v>
      </c>
      <c r="H22" s="143">
        <f t="shared" si="4"/>
        <v>10064</v>
      </c>
      <c r="I22" s="116">
        <f t="shared" si="0"/>
        <v>7907.711554118071</v>
      </c>
      <c r="J22" s="142">
        <f>(References!$C$56*I22)</f>
        <v>33.64731266277235</v>
      </c>
      <c r="K22" s="142">
        <f>J22/References!$G$59</f>
        <v>34.308611142544905</v>
      </c>
      <c r="L22" s="142">
        <f t="shared" si="20"/>
        <v>0.11590747007616523</v>
      </c>
      <c r="M22" s="97">
        <f>'Proposed Rates'!B9</f>
        <v>6.5453654663935872</v>
      </c>
      <c r="N22" s="142">
        <f t="shared" si="6"/>
        <v>6.6612729364697527</v>
      </c>
      <c r="O22" s="142">
        <f>'Proposed Rates'!D9</f>
        <v>6.6612729364697527</v>
      </c>
      <c r="P22" s="142">
        <f t="shared" si="21"/>
        <v>1937.4281780525018</v>
      </c>
      <c r="Q22" s="142">
        <f t="shared" si="22"/>
        <v>1971.7367891950469</v>
      </c>
      <c r="R22" s="142">
        <f t="shared" si="14"/>
        <v>34.308611142545033</v>
      </c>
      <c r="S22" s="142">
        <f t="shared" si="23"/>
        <v>1971.7367891950469</v>
      </c>
      <c r="T22" s="142">
        <f t="shared" si="16"/>
        <v>0</v>
      </c>
      <c r="U22" s="147">
        <f t="shared" si="17"/>
        <v>6.6612729364697527</v>
      </c>
      <c r="V22" s="147">
        <f t="shared" si="24"/>
        <v>1971.7367891950469</v>
      </c>
      <c r="W22" s="147">
        <f t="shared" si="19"/>
        <v>34.308611142545033</v>
      </c>
      <c r="X22" s="236">
        <f t="shared" si="10"/>
        <v>0</v>
      </c>
      <c r="Y22" s="198">
        <f t="shared" si="11"/>
        <v>0</v>
      </c>
    </row>
    <row r="23" spans="1:25" s="133" customFormat="1" x14ac:dyDescent="0.35">
      <c r="A23" s="120"/>
      <c r="B23" s="164"/>
      <c r="C23" s="122" t="s">
        <v>17</v>
      </c>
      <c r="D23" s="123">
        <f>SUM(D4:D22)</f>
        <v>8115.433</v>
      </c>
      <c r="E23" s="124"/>
      <c r="F23" s="125">
        <f>SUM(F4:F22)</f>
        <v>331567.95600000001</v>
      </c>
      <c r="G23" s="126"/>
      <c r="H23" s="165">
        <f>SUM(H4:H22)</f>
        <v>14206539.708000001</v>
      </c>
      <c r="I23" s="127">
        <f>SUM(I4:I22)</f>
        <v>11162680.663055321</v>
      </c>
      <c r="J23" s="151"/>
      <c r="K23" s="151"/>
      <c r="L23" s="151"/>
      <c r="M23" s="151"/>
      <c r="N23" s="151"/>
      <c r="O23" s="151"/>
      <c r="P23" s="150">
        <f>SUM(P4:P22)</f>
        <v>2286125.1708580526</v>
      </c>
      <c r="Q23" s="150">
        <f>SUM(Q4:Q22)</f>
        <v>2334555.8831865992</v>
      </c>
      <c r="R23" s="150">
        <f>SUM(R4:R22)</f>
        <v>48430.71232854719</v>
      </c>
      <c r="S23" s="150">
        <f>SUM(S4:S22)</f>
        <v>2334555.8789783716</v>
      </c>
      <c r="T23" s="150">
        <f>SUM(T4:T22)</f>
        <v>4.20822769234519E-3</v>
      </c>
      <c r="U23" s="150"/>
      <c r="V23" s="150">
        <f>SUM(V4:V22)</f>
        <v>2334555.8789783716</v>
      </c>
      <c r="W23" s="150">
        <f>SUM(W4:W22)</f>
        <v>48430.708120319498</v>
      </c>
      <c r="X23" s="236">
        <f t="shared" si="10"/>
        <v>4.2082276922883466E-3</v>
      </c>
    </row>
    <row r="24" spans="1:25" s="133" customFormat="1" ht="14.5" customHeight="1" x14ac:dyDescent="0.35">
      <c r="A24" s="284" t="s">
        <v>15</v>
      </c>
      <c r="B24" s="117" t="s">
        <v>190</v>
      </c>
      <c r="C24" s="131" t="s">
        <v>141</v>
      </c>
      <c r="D24" s="130"/>
      <c r="E24" s="144"/>
      <c r="F24" s="57">
        <v>6596.7680295036625</v>
      </c>
      <c r="G24" s="143">
        <f>References!B30</f>
        <v>175</v>
      </c>
      <c r="H24" s="143">
        <f>F24*G24</f>
        <v>1154434.405163141</v>
      </c>
      <c r="I24" s="116">
        <f t="shared" ref="I24:I55" si="25">$D$110*H24</f>
        <v>907088.0648032584</v>
      </c>
      <c r="J24" s="142">
        <f>(References!$C$56*I24)</f>
        <v>3859.6597157378596</v>
      </c>
      <c r="K24" s="142">
        <f>J24/References!$G$59</f>
        <v>3935.5168020983047</v>
      </c>
      <c r="L24" s="142">
        <f>K24/F24</f>
        <v>0.59658256656849751</v>
      </c>
      <c r="M24" s="142">
        <f>'Proposed Rates'!B49</f>
        <v>21.79</v>
      </c>
      <c r="N24" s="142">
        <f t="shared" si="6"/>
        <v>22.386582566568496</v>
      </c>
      <c r="O24" s="142">
        <f>'Proposed Rates'!D49</f>
        <v>22.386582566568496</v>
      </c>
      <c r="P24" s="142">
        <f>F24*M24</f>
        <v>143743.57536288479</v>
      </c>
      <c r="Q24" s="142">
        <f>F24*O24</f>
        <v>147679.0921649831</v>
      </c>
      <c r="R24" s="142">
        <f t="shared" ref="R24" si="26">Q24-P24</f>
        <v>3935.516802098311</v>
      </c>
      <c r="S24" s="142">
        <f>F24*N24</f>
        <v>147679.0921649831</v>
      </c>
      <c r="T24" s="142">
        <f t="shared" ref="T24" si="27">Q24-S24</f>
        <v>0</v>
      </c>
      <c r="U24" s="147">
        <f>N24</f>
        <v>22.386582566568496</v>
      </c>
      <c r="V24" s="147">
        <f>F24*U24</f>
        <v>147679.0921649831</v>
      </c>
      <c r="W24" s="147">
        <f t="shared" ref="W24" si="28">V24-P24</f>
        <v>3935.516802098311</v>
      </c>
      <c r="X24" s="236">
        <f t="shared" si="10"/>
        <v>0</v>
      </c>
      <c r="Y24" s="198">
        <f t="shared" si="11"/>
        <v>0</v>
      </c>
    </row>
    <row r="25" spans="1:25" s="133" customFormat="1" ht="14.5" customHeight="1" x14ac:dyDescent="0.35">
      <c r="A25" s="284"/>
      <c r="B25" s="117" t="s">
        <v>190</v>
      </c>
      <c r="C25" s="131" t="s">
        <v>142</v>
      </c>
      <c r="D25" s="130"/>
      <c r="E25" s="144"/>
      <c r="F25" s="57">
        <v>482.79524856063847</v>
      </c>
      <c r="G25" s="143">
        <f>References!B30</f>
        <v>175</v>
      </c>
      <c r="H25" s="143">
        <f t="shared" ref="H25:H44" si="29">F25*G25</f>
        <v>84489.168498111729</v>
      </c>
      <c r="I25" s="116">
        <f t="shared" si="25"/>
        <v>66386.722369867523</v>
      </c>
      <c r="J25" s="142">
        <f>(References!$C$56*I25)</f>
        <v>282.47550368378597</v>
      </c>
      <c r="K25" s="142">
        <f>J25/References!$G$59</f>
        <v>288.02722851338143</v>
      </c>
      <c r="L25" s="142">
        <f t="shared" ref="L25:L76" si="30">K25/F25</f>
        <v>0.59658256656849762</v>
      </c>
      <c r="M25" s="142">
        <f>M24</f>
        <v>21.79</v>
      </c>
      <c r="N25" s="142">
        <f t="shared" si="6"/>
        <v>22.386582566568496</v>
      </c>
      <c r="O25" s="142">
        <f>'Proposed Rates'!D49</f>
        <v>22.386582566568496</v>
      </c>
      <c r="P25" s="142">
        <f t="shared" ref="P25:P76" si="31">F25*M25</f>
        <v>10520.108466136311</v>
      </c>
      <c r="Q25" s="142">
        <f t="shared" ref="Q25:Q76" si="32">F25*O25</f>
        <v>10808.135694649693</v>
      </c>
      <c r="R25" s="142">
        <f t="shared" ref="R25" si="33">Q25-P25</f>
        <v>288.02722851338149</v>
      </c>
      <c r="S25" s="142">
        <f t="shared" ref="S25:S76" si="34">F25*N25</f>
        <v>10808.135694649693</v>
      </c>
      <c r="T25" s="142">
        <f t="shared" ref="T25" si="35">Q25-S25</f>
        <v>0</v>
      </c>
      <c r="U25" s="147">
        <f>N25</f>
        <v>22.386582566568496</v>
      </c>
      <c r="V25" s="147">
        <f t="shared" ref="V25:V76" si="36">F25*U25</f>
        <v>10808.135694649693</v>
      </c>
      <c r="W25" s="147">
        <f t="shared" ref="W25" si="37">V25-P25</f>
        <v>288.02722851338149</v>
      </c>
      <c r="X25" s="236">
        <f t="shared" si="10"/>
        <v>0</v>
      </c>
      <c r="Y25" s="198">
        <f t="shared" si="11"/>
        <v>0</v>
      </c>
    </row>
    <row r="26" spans="1:25" s="133" customFormat="1" ht="14.5" customHeight="1" x14ac:dyDescent="0.35">
      <c r="A26" s="284"/>
      <c r="B26" s="117" t="s">
        <v>190</v>
      </c>
      <c r="C26" s="131" t="s">
        <v>143</v>
      </c>
      <c r="D26" s="130"/>
      <c r="E26" s="144"/>
      <c r="F26" s="57">
        <v>2231.0739149076517</v>
      </c>
      <c r="G26" s="143">
        <f>References!$B$31</f>
        <v>250</v>
      </c>
      <c r="H26" s="143">
        <f t="shared" si="29"/>
        <v>557768.47872691287</v>
      </c>
      <c r="I26" s="116">
        <f t="shared" si="25"/>
        <v>438262.34536483191</v>
      </c>
      <c r="J26" s="142">
        <f>(References!$C$56*I26)</f>
        <v>1864.8062795273574</v>
      </c>
      <c r="K26" s="142">
        <f>J26/References!$G$59</f>
        <v>1901.4568605137601</v>
      </c>
      <c r="L26" s="142">
        <f t="shared" si="30"/>
        <v>0.85226080938356763</v>
      </c>
      <c r="M26" s="142">
        <f>'Proposed Rates'!B50</f>
        <v>31.14</v>
      </c>
      <c r="N26" s="142">
        <f t="shared" si="6"/>
        <v>31.99226080938357</v>
      </c>
      <c r="O26" s="142">
        <f>'Proposed Rates'!D50</f>
        <v>31.99226080938357</v>
      </c>
      <c r="P26" s="142">
        <f t="shared" si="31"/>
        <v>69475.64171022427</v>
      </c>
      <c r="Q26" s="142">
        <f t="shared" si="32"/>
        <v>71377.098570738031</v>
      </c>
      <c r="R26" s="142">
        <f t="shared" ref="R26:R44" si="38">Q26-P26</f>
        <v>1901.4568605137611</v>
      </c>
      <c r="S26" s="142">
        <f t="shared" si="34"/>
        <v>71377.098570738031</v>
      </c>
      <c r="T26" s="142">
        <f t="shared" ref="T26:T44" si="39">Q26-S26</f>
        <v>0</v>
      </c>
      <c r="U26" s="147">
        <f t="shared" ref="U26:U44" si="40">N26</f>
        <v>31.99226080938357</v>
      </c>
      <c r="V26" s="147">
        <f t="shared" si="36"/>
        <v>71377.098570738031</v>
      </c>
      <c r="W26" s="147">
        <f t="shared" ref="W26:W44" si="41">V26-P26</f>
        <v>1901.4568605137611</v>
      </c>
      <c r="X26" s="236">
        <f t="shared" si="10"/>
        <v>0</v>
      </c>
      <c r="Y26" s="198">
        <f t="shared" si="11"/>
        <v>0</v>
      </c>
    </row>
    <row r="27" spans="1:25" s="133" customFormat="1" ht="14.5" customHeight="1" x14ac:dyDescent="0.35">
      <c r="A27" s="284"/>
      <c r="B27" s="117" t="s">
        <v>190</v>
      </c>
      <c r="C27" s="131" t="s">
        <v>144</v>
      </c>
      <c r="D27" s="130"/>
      <c r="E27" s="144"/>
      <c r="F27" s="57">
        <v>53.042499999999997</v>
      </c>
      <c r="G27" s="143">
        <f>References!$B$31</f>
        <v>250</v>
      </c>
      <c r="H27" s="143">
        <f t="shared" si="29"/>
        <v>13260.625</v>
      </c>
      <c r="I27" s="116">
        <f t="shared" si="25"/>
        <v>10419.435366387812</v>
      </c>
      <c r="J27" s="142">
        <f>(References!$C$56*I27)</f>
        <v>44.334697483980086</v>
      </c>
      <c r="K27" s="142">
        <f>J27/References!$G$59</f>
        <v>45.206043981727895</v>
      </c>
      <c r="L27" s="142">
        <f t="shared" si="30"/>
        <v>0.85226080938356785</v>
      </c>
      <c r="M27" s="142">
        <f>M26</f>
        <v>31.14</v>
      </c>
      <c r="N27" s="142">
        <f t="shared" si="6"/>
        <v>31.99226080938357</v>
      </c>
      <c r="O27" s="142">
        <f>'Proposed Rates'!D50</f>
        <v>31.99226080938357</v>
      </c>
      <c r="P27" s="142">
        <f t="shared" si="31"/>
        <v>1651.7434499999999</v>
      </c>
      <c r="Q27" s="142">
        <f t="shared" si="32"/>
        <v>1696.949493981728</v>
      </c>
      <c r="R27" s="142">
        <f t="shared" si="38"/>
        <v>45.206043981728044</v>
      </c>
      <c r="S27" s="142">
        <f t="shared" si="34"/>
        <v>1696.949493981728</v>
      </c>
      <c r="T27" s="142">
        <f t="shared" si="39"/>
        <v>0</v>
      </c>
      <c r="U27" s="147">
        <f t="shared" si="40"/>
        <v>31.99226080938357</v>
      </c>
      <c r="V27" s="147">
        <f t="shared" si="36"/>
        <v>1696.949493981728</v>
      </c>
      <c r="W27" s="147">
        <f t="shared" si="41"/>
        <v>45.206043981728044</v>
      </c>
      <c r="X27" s="236">
        <f t="shared" si="10"/>
        <v>0</v>
      </c>
      <c r="Y27" s="198">
        <f t="shared" si="11"/>
        <v>0</v>
      </c>
    </row>
    <row r="28" spans="1:25" s="133" customFormat="1" ht="14.5" customHeight="1" x14ac:dyDescent="0.35">
      <c r="A28" s="284"/>
      <c r="B28" s="117" t="s">
        <v>190</v>
      </c>
      <c r="C28" s="131" t="s">
        <v>145</v>
      </c>
      <c r="D28" s="130"/>
      <c r="E28" s="144"/>
      <c r="F28" s="57">
        <v>10.824910747413117</v>
      </c>
      <c r="G28" s="143">
        <f>References!$B$31</f>
        <v>250</v>
      </c>
      <c r="H28" s="143">
        <f t="shared" si="29"/>
        <v>2706.2276868532795</v>
      </c>
      <c r="I28" s="116">
        <f t="shared" si="25"/>
        <v>2126.3978485099265</v>
      </c>
      <c r="J28" s="142">
        <f>(References!$C$56*I28)</f>
        <v>9.0478228454097263</v>
      </c>
      <c r="K28" s="142">
        <f>J28/References!$G$59</f>
        <v>9.2256471950951866</v>
      </c>
      <c r="L28" s="142">
        <f t="shared" si="30"/>
        <v>0.85226080938356796</v>
      </c>
      <c r="M28" s="142">
        <f>M26</f>
        <v>31.14</v>
      </c>
      <c r="N28" s="142">
        <f t="shared" si="6"/>
        <v>31.99226080938357</v>
      </c>
      <c r="O28" s="142">
        <f>'Proposed Rates'!D50</f>
        <v>31.99226080938357</v>
      </c>
      <c r="P28" s="142">
        <f t="shared" si="31"/>
        <v>337.08772067444448</v>
      </c>
      <c r="Q28" s="142">
        <f t="shared" si="32"/>
        <v>346.31336786953966</v>
      </c>
      <c r="R28" s="142">
        <f t="shared" si="38"/>
        <v>9.2256471950951777</v>
      </c>
      <c r="S28" s="142">
        <f t="shared" si="34"/>
        <v>346.31336786953966</v>
      </c>
      <c r="T28" s="142">
        <f t="shared" si="39"/>
        <v>0</v>
      </c>
      <c r="U28" s="147">
        <f t="shared" si="40"/>
        <v>31.99226080938357</v>
      </c>
      <c r="V28" s="147">
        <f t="shared" si="36"/>
        <v>346.31336786953966</v>
      </c>
      <c r="W28" s="147">
        <f t="shared" si="41"/>
        <v>9.2256471950951777</v>
      </c>
      <c r="X28" s="236">
        <f t="shared" si="10"/>
        <v>0</v>
      </c>
      <c r="Y28" s="198">
        <f t="shared" si="11"/>
        <v>0</v>
      </c>
    </row>
    <row r="29" spans="1:25" s="133" customFormat="1" ht="14.5" customHeight="1" x14ac:dyDescent="0.35">
      <c r="A29" s="284"/>
      <c r="B29" s="117" t="s">
        <v>190</v>
      </c>
      <c r="C29" s="131" t="s">
        <v>146</v>
      </c>
      <c r="D29" s="130"/>
      <c r="E29" s="144"/>
      <c r="F29" s="57">
        <v>3798.0030161577233</v>
      </c>
      <c r="G29" s="143">
        <f>References!$B$33</f>
        <v>324</v>
      </c>
      <c r="H29" s="143">
        <f t="shared" si="29"/>
        <v>1230552.9772351023</v>
      </c>
      <c r="I29" s="116">
        <f t="shared" si="25"/>
        <v>966897.65461411071</v>
      </c>
      <c r="J29" s="142">
        <f>(References!$C$56*I29)</f>
        <v>4114.1495203830364</v>
      </c>
      <c r="K29" s="142">
        <f>J29/References!$G$59</f>
        <v>4195.0083054709903</v>
      </c>
      <c r="L29" s="142">
        <f t="shared" si="30"/>
        <v>1.1045300089611041</v>
      </c>
      <c r="M29" s="142">
        <f>'Proposed Rates'!B51</f>
        <v>43</v>
      </c>
      <c r="N29" s="142">
        <f t="shared" si="6"/>
        <v>44.104530008961106</v>
      </c>
      <c r="O29" s="142">
        <f>'Proposed Rates'!D51</f>
        <v>44.104530008961106</v>
      </c>
      <c r="P29" s="142">
        <f t="shared" si="31"/>
        <v>163314.12969478211</v>
      </c>
      <c r="Q29" s="142">
        <f t="shared" si="32"/>
        <v>167509.13800025309</v>
      </c>
      <c r="R29" s="142">
        <f t="shared" si="38"/>
        <v>4195.008305470983</v>
      </c>
      <c r="S29" s="142">
        <f t="shared" si="34"/>
        <v>167509.13800025309</v>
      </c>
      <c r="T29" s="142">
        <f t="shared" si="39"/>
        <v>0</v>
      </c>
      <c r="U29" s="147">
        <f t="shared" si="40"/>
        <v>44.104530008961106</v>
      </c>
      <c r="V29" s="147">
        <f t="shared" si="36"/>
        <v>167509.13800025309</v>
      </c>
      <c r="W29" s="147">
        <f t="shared" si="41"/>
        <v>4195.008305470983</v>
      </c>
      <c r="X29" s="236">
        <f t="shared" si="10"/>
        <v>0</v>
      </c>
      <c r="Y29" s="198">
        <f t="shared" si="11"/>
        <v>0</v>
      </c>
    </row>
    <row r="30" spans="1:25" s="133" customFormat="1" ht="14.5" customHeight="1" x14ac:dyDescent="0.35">
      <c r="A30" s="284"/>
      <c r="B30" s="117" t="s">
        <v>190</v>
      </c>
      <c r="C30" s="131" t="s">
        <v>147</v>
      </c>
      <c r="D30" s="130"/>
      <c r="E30" s="144"/>
      <c r="F30" s="57">
        <v>664.65577023421292</v>
      </c>
      <c r="G30" s="143">
        <f>References!$B$33</f>
        <v>324</v>
      </c>
      <c r="H30" s="143">
        <f t="shared" si="29"/>
        <v>215348.46955588498</v>
      </c>
      <c r="I30" s="116">
        <f t="shared" si="25"/>
        <v>169208.42417216965</v>
      </c>
      <c r="J30" s="142">
        <f>(References!$C$56*I30)</f>
        <v>719.98184485258093</v>
      </c>
      <c r="K30" s="142">
        <f>J30/References!$G$59</f>
        <v>734.13224385284457</v>
      </c>
      <c r="L30" s="142">
        <f t="shared" si="30"/>
        <v>1.1045300089611039</v>
      </c>
      <c r="M30" s="142">
        <f>M29</f>
        <v>43</v>
      </c>
      <c r="N30" s="142">
        <f t="shared" si="6"/>
        <v>44.104530008961106</v>
      </c>
      <c r="O30" s="142">
        <f>'Proposed Rates'!D51</f>
        <v>44.104530008961106</v>
      </c>
      <c r="P30" s="142">
        <f t="shared" si="31"/>
        <v>28580.198120071156</v>
      </c>
      <c r="Q30" s="142">
        <f t="shared" si="32"/>
        <v>29314.330363924</v>
      </c>
      <c r="R30" s="142">
        <f t="shared" si="38"/>
        <v>734.13224385284411</v>
      </c>
      <c r="S30" s="142">
        <f t="shared" si="34"/>
        <v>29314.330363924</v>
      </c>
      <c r="T30" s="142">
        <f t="shared" si="39"/>
        <v>0</v>
      </c>
      <c r="U30" s="147">
        <f t="shared" si="40"/>
        <v>44.104530008961106</v>
      </c>
      <c r="V30" s="147">
        <f t="shared" si="36"/>
        <v>29314.330363924</v>
      </c>
      <c r="W30" s="147">
        <f t="shared" si="41"/>
        <v>734.13224385284411</v>
      </c>
      <c r="X30" s="236">
        <f t="shared" si="10"/>
        <v>0</v>
      </c>
      <c r="Y30" s="198">
        <f t="shared" si="11"/>
        <v>0</v>
      </c>
    </row>
    <row r="31" spans="1:25" s="133" customFormat="1" ht="14.5" customHeight="1" x14ac:dyDescent="0.35">
      <c r="A31" s="284"/>
      <c r="B31" s="117"/>
      <c r="C31" s="131" t="s">
        <v>148</v>
      </c>
      <c r="D31" s="130"/>
      <c r="E31" s="144"/>
      <c r="F31" s="57">
        <v>54.12506418428152</v>
      </c>
      <c r="G31" s="143">
        <f>References!$B$33</f>
        <v>324</v>
      </c>
      <c r="H31" s="143">
        <f>F31*G31</f>
        <v>17536.520795707213</v>
      </c>
      <c r="I31" s="116">
        <f t="shared" si="25"/>
        <v>13779.188008271636</v>
      </c>
      <c r="J31" s="142">
        <f>(References!$C$56*I31)</f>
        <v>58.630444975195743</v>
      </c>
      <c r="K31" s="142">
        <f>J31/References!$G$59</f>
        <v>59.782757628484788</v>
      </c>
      <c r="L31" s="142">
        <f t="shared" si="30"/>
        <v>1.1045300089611039</v>
      </c>
      <c r="M31" s="142">
        <f>M30</f>
        <v>43</v>
      </c>
      <c r="N31" s="142">
        <f t="shared" si="6"/>
        <v>44.104530008961106</v>
      </c>
      <c r="O31" s="142">
        <f>'Proposed Rates'!D51</f>
        <v>44.104530008961106</v>
      </c>
      <c r="P31" s="142">
        <f t="shared" si="31"/>
        <v>2327.3777599241052</v>
      </c>
      <c r="Q31" s="142">
        <f t="shared" si="32"/>
        <v>2387.1605175525901</v>
      </c>
      <c r="R31" s="142">
        <f t="shared" si="38"/>
        <v>59.782757628484887</v>
      </c>
      <c r="S31" s="142">
        <f t="shared" si="34"/>
        <v>2387.1605175525901</v>
      </c>
      <c r="T31" s="142">
        <f t="shared" si="39"/>
        <v>0</v>
      </c>
      <c r="U31" s="147">
        <f t="shared" si="40"/>
        <v>44.104530008961106</v>
      </c>
      <c r="V31" s="147">
        <f t="shared" si="36"/>
        <v>2387.1605175525901</v>
      </c>
      <c r="W31" s="147">
        <f t="shared" si="41"/>
        <v>59.782757628484887</v>
      </c>
      <c r="X31" s="236">
        <f t="shared" si="10"/>
        <v>0</v>
      </c>
      <c r="Y31" s="198">
        <f t="shared" si="11"/>
        <v>0</v>
      </c>
    </row>
    <row r="32" spans="1:25" s="133" customFormat="1" ht="14.5" customHeight="1" x14ac:dyDescent="0.35">
      <c r="A32" s="284"/>
      <c r="B32" s="117"/>
      <c r="C32" s="131" t="s">
        <v>149</v>
      </c>
      <c r="D32" s="130"/>
      <c r="E32" s="144"/>
      <c r="F32" s="57">
        <v>259.79999999999995</v>
      </c>
      <c r="G32" s="143">
        <f>References!$B$33</f>
        <v>324</v>
      </c>
      <c r="H32" s="143">
        <f t="shared" si="29"/>
        <v>84175.199999999983</v>
      </c>
      <c r="I32" s="116">
        <f t="shared" si="25"/>
        <v>66140.024007372747</v>
      </c>
      <c r="J32" s="142">
        <f>(References!$C$56*I32)</f>
        <v>281.4258021513707</v>
      </c>
      <c r="K32" s="142">
        <f>J32/References!$G$59</f>
        <v>286.95689632809473</v>
      </c>
      <c r="L32" s="142">
        <f t="shared" si="30"/>
        <v>1.1045300089611039</v>
      </c>
      <c r="M32" s="142">
        <f>M31</f>
        <v>43</v>
      </c>
      <c r="N32" s="142">
        <f t="shared" si="6"/>
        <v>44.104530008961106</v>
      </c>
      <c r="O32" s="142">
        <f>'Proposed Rates'!D51</f>
        <v>44.104530008961106</v>
      </c>
      <c r="P32" s="142">
        <f t="shared" si="31"/>
        <v>11171.399999999998</v>
      </c>
      <c r="Q32" s="142">
        <f t="shared" si="32"/>
        <v>11458.356896328094</v>
      </c>
      <c r="R32" s="142">
        <f t="shared" si="38"/>
        <v>286.95689632809626</v>
      </c>
      <c r="S32" s="142">
        <f t="shared" si="34"/>
        <v>11458.356896328094</v>
      </c>
      <c r="T32" s="142">
        <f t="shared" si="39"/>
        <v>0</v>
      </c>
      <c r="U32" s="147">
        <f t="shared" si="40"/>
        <v>44.104530008961106</v>
      </c>
      <c r="V32" s="147">
        <f t="shared" si="36"/>
        <v>11458.356896328094</v>
      </c>
      <c r="W32" s="147">
        <f t="shared" si="41"/>
        <v>286.95689632809626</v>
      </c>
      <c r="X32" s="236">
        <f t="shared" si="10"/>
        <v>0</v>
      </c>
      <c r="Y32" s="198">
        <f t="shared" si="11"/>
        <v>0</v>
      </c>
    </row>
    <row r="33" spans="1:25" s="133" customFormat="1" ht="14.5" customHeight="1" x14ac:dyDescent="0.35">
      <c r="A33" s="284"/>
      <c r="B33" s="117" t="s">
        <v>190</v>
      </c>
      <c r="C33" s="131" t="s">
        <v>150</v>
      </c>
      <c r="D33" s="130"/>
      <c r="E33" s="144"/>
      <c r="F33" s="57">
        <v>916.87804120858766</v>
      </c>
      <c r="G33" s="143">
        <f>References!B34</f>
        <v>473</v>
      </c>
      <c r="H33" s="143">
        <f t="shared" si="29"/>
        <v>433683.31349166197</v>
      </c>
      <c r="I33" s="116">
        <f t="shared" si="25"/>
        <v>340763.36932891741</v>
      </c>
      <c r="J33" s="142">
        <f>(References!$C$56*I33)</f>
        <v>1449.9481364945418</v>
      </c>
      <c r="K33" s="142">
        <f>J33/References!$G$59</f>
        <v>1478.4451670902056</v>
      </c>
      <c r="L33" s="142">
        <f t="shared" si="30"/>
        <v>1.6124774513537103</v>
      </c>
      <c r="M33" s="142">
        <f>'Proposed Rates'!B52</f>
        <v>57.13</v>
      </c>
      <c r="N33" s="142">
        <f t="shared" si="6"/>
        <v>58.742477451353714</v>
      </c>
      <c r="O33" s="142">
        <f>'Proposed Rates'!D52</f>
        <v>58.742477451353714</v>
      </c>
      <c r="P33" s="142">
        <f t="shared" si="31"/>
        <v>52381.242494246617</v>
      </c>
      <c r="Q33" s="142">
        <f t="shared" si="32"/>
        <v>53859.687661336822</v>
      </c>
      <c r="R33" s="142">
        <f t="shared" si="38"/>
        <v>1478.4451670902054</v>
      </c>
      <c r="S33" s="142">
        <f t="shared" si="34"/>
        <v>53859.687661336822</v>
      </c>
      <c r="T33" s="142">
        <f t="shared" si="39"/>
        <v>0</v>
      </c>
      <c r="U33" s="147">
        <f t="shared" si="40"/>
        <v>58.742477451353714</v>
      </c>
      <c r="V33" s="147">
        <f t="shared" si="36"/>
        <v>53859.687661336822</v>
      </c>
      <c r="W33" s="147">
        <f t="shared" si="41"/>
        <v>1478.4451670902054</v>
      </c>
      <c r="X33" s="236">
        <f t="shared" si="10"/>
        <v>0</v>
      </c>
      <c r="Y33" s="198">
        <f t="shared" si="11"/>
        <v>0</v>
      </c>
    </row>
    <row r="34" spans="1:25" s="133" customFormat="1" ht="14.5" customHeight="1" x14ac:dyDescent="0.35">
      <c r="A34" s="284"/>
      <c r="B34" s="117" t="s">
        <v>190</v>
      </c>
      <c r="C34" s="131" t="s">
        <v>151</v>
      </c>
      <c r="D34" s="130"/>
      <c r="E34" s="144"/>
      <c r="F34" s="57">
        <v>18.402597636872017</v>
      </c>
      <c r="G34" s="143">
        <f>References!B34</f>
        <v>473</v>
      </c>
      <c r="H34" s="143">
        <f t="shared" si="29"/>
        <v>8704.4286822404647</v>
      </c>
      <c r="I34" s="116">
        <f t="shared" si="25"/>
        <v>6839.4387184568423</v>
      </c>
      <c r="J34" s="142">
        <f>(References!$C$56*I34)</f>
        <v>29.101811747033828</v>
      </c>
      <c r="K34" s="142">
        <f>J34/References!$G$59</f>
        <v>29.673773735791205</v>
      </c>
      <c r="L34" s="142">
        <f t="shared" si="30"/>
        <v>1.6124774513537106</v>
      </c>
      <c r="M34" s="142">
        <f>M33</f>
        <v>57.13</v>
      </c>
      <c r="N34" s="142">
        <f t="shared" si="6"/>
        <v>58.742477451353714</v>
      </c>
      <c r="O34" s="142">
        <f>'Proposed Rates'!D52</f>
        <v>58.742477451353714</v>
      </c>
      <c r="P34" s="142">
        <f t="shared" si="31"/>
        <v>1051.3404029944984</v>
      </c>
      <c r="Q34" s="142">
        <f t="shared" si="32"/>
        <v>1081.0141767302896</v>
      </c>
      <c r="R34" s="142">
        <f t="shared" si="38"/>
        <v>29.673773735791201</v>
      </c>
      <c r="S34" s="142">
        <f t="shared" si="34"/>
        <v>1081.0141767302896</v>
      </c>
      <c r="T34" s="142">
        <f t="shared" si="39"/>
        <v>0</v>
      </c>
      <c r="U34" s="147">
        <f t="shared" si="40"/>
        <v>58.742477451353714</v>
      </c>
      <c r="V34" s="147">
        <f t="shared" si="36"/>
        <v>1081.0141767302896</v>
      </c>
      <c r="W34" s="147">
        <f t="shared" si="41"/>
        <v>29.673773735791201</v>
      </c>
      <c r="X34" s="236">
        <f t="shared" si="10"/>
        <v>0</v>
      </c>
      <c r="Y34" s="198">
        <f t="shared" si="11"/>
        <v>0</v>
      </c>
    </row>
    <row r="35" spans="1:25" s="133" customFormat="1" ht="14.5" customHeight="1" x14ac:dyDescent="0.35">
      <c r="A35" s="284"/>
      <c r="B35" s="117" t="s">
        <v>190</v>
      </c>
      <c r="C35" s="131" t="s">
        <v>152</v>
      </c>
      <c r="D35" s="130"/>
      <c r="E35" s="144"/>
      <c r="F35" s="57">
        <v>2363.747980248696</v>
      </c>
      <c r="G35" s="143">
        <f>References!B36</f>
        <v>613</v>
      </c>
      <c r="H35" s="143">
        <f t="shared" si="29"/>
        <v>1448977.5118924507</v>
      </c>
      <c r="I35" s="116">
        <f t="shared" si="25"/>
        <v>1138523.073574045</v>
      </c>
      <c r="J35" s="142">
        <f>(References!$C$56*I35)</f>
        <v>4844.4156780575559</v>
      </c>
      <c r="K35" s="142">
        <f>J35/References!$G$59</f>
        <v>4939.6269882561946</v>
      </c>
      <c r="L35" s="142">
        <f t="shared" si="30"/>
        <v>2.0897435046085091</v>
      </c>
      <c r="M35" s="142">
        <f>'Proposed Rates'!B53</f>
        <v>78.06</v>
      </c>
      <c r="N35" s="142">
        <f t="shared" si="6"/>
        <v>80.149743504608509</v>
      </c>
      <c r="O35" s="142">
        <f>'Proposed Rates'!D53</f>
        <v>80.149743504608509</v>
      </c>
      <c r="P35" s="142">
        <f t="shared" si="31"/>
        <v>184514.16733821321</v>
      </c>
      <c r="Q35" s="142">
        <f t="shared" si="32"/>
        <v>189453.79432646939</v>
      </c>
      <c r="R35" s="142">
        <f t="shared" si="38"/>
        <v>4939.6269882561755</v>
      </c>
      <c r="S35" s="142">
        <f t="shared" si="34"/>
        <v>189453.79432646939</v>
      </c>
      <c r="T35" s="142">
        <f t="shared" si="39"/>
        <v>0</v>
      </c>
      <c r="U35" s="147">
        <f t="shared" si="40"/>
        <v>80.149743504608509</v>
      </c>
      <c r="V35" s="147">
        <f t="shared" si="36"/>
        <v>189453.79432646939</v>
      </c>
      <c r="W35" s="147">
        <f t="shared" si="41"/>
        <v>4939.6269882561755</v>
      </c>
      <c r="X35" s="236">
        <f t="shared" si="10"/>
        <v>0</v>
      </c>
      <c r="Y35" s="198">
        <f t="shared" si="11"/>
        <v>0</v>
      </c>
    </row>
    <row r="36" spans="1:25" s="133" customFormat="1" ht="14.5" customHeight="1" x14ac:dyDescent="0.35">
      <c r="A36" s="284"/>
      <c r="B36" s="117" t="s">
        <v>190</v>
      </c>
      <c r="C36" s="131" t="s">
        <v>153</v>
      </c>
      <c r="D36" s="130"/>
      <c r="E36" s="144"/>
      <c r="F36" s="57">
        <v>8.66</v>
      </c>
      <c r="G36" s="143">
        <f>References!$B$38</f>
        <v>840</v>
      </c>
      <c r="H36" s="143">
        <f t="shared" si="29"/>
        <v>7274.4000000000005</v>
      </c>
      <c r="I36" s="116">
        <f t="shared" si="25"/>
        <v>5715.804543847029</v>
      </c>
      <c r="J36" s="142">
        <f>(References!$C$56*I36)</f>
        <v>24.32074833406908</v>
      </c>
      <c r="K36" s="142">
        <f>J36/References!$G$59</f>
        <v>24.798744127119306</v>
      </c>
      <c r="L36" s="142">
        <f t="shared" si="30"/>
        <v>2.8635963195287881</v>
      </c>
      <c r="M36" s="142">
        <f>'Proposed Rates'!B54</f>
        <v>109.13</v>
      </c>
      <c r="N36" s="142">
        <f t="shared" si="6"/>
        <v>111.99359631952878</v>
      </c>
      <c r="O36" s="142">
        <f>'Proposed Rates'!D54</f>
        <v>111.99359631952878</v>
      </c>
      <c r="P36" s="142">
        <f t="shared" si="31"/>
        <v>945.06579999999997</v>
      </c>
      <c r="Q36" s="142">
        <f t="shared" si="32"/>
        <v>969.86454412711919</v>
      </c>
      <c r="R36" s="142">
        <f t="shared" si="38"/>
        <v>24.798744127119221</v>
      </c>
      <c r="S36" s="142">
        <f t="shared" si="34"/>
        <v>969.86454412711919</v>
      </c>
      <c r="T36" s="142">
        <f t="shared" si="39"/>
        <v>0</v>
      </c>
      <c r="U36" s="147">
        <f t="shared" si="40"/>
        <v>111.99359631952878</v>
      </c>
      <c r="V36" s="147">
        <f t="shared" si="36"/>
        <v>969.86454412711919</v>
      </c>
      <c r="W36" s="147">
        <f t="shared" si="41"/>
        <v>24.798744127119221</v>
      </c>
      <c r="X36" s="236">
        <f t="shared" si="10"/>
        <v>0</v>
      </c>
      <c r="Y36" s="198">
        <f t="shared" si="11"/>
        <v>0</v>
      </c>
    </row>
    <row r="37" spans="1:25" s="133" customFormat="1" ht="14.5" customHeight="1" x14ac:dyDescent="0.35">
      <c r="A37" s="284"/>
      <c r="B37" s="117" t="s">
        <v>190</v>
      </c>
      <c r="C37" s="131" t="s">
        <v>154</v>
      </c>
      <c r="D37" s="130"/>
      <c r="E37" s="144"/>
      <c r="F37" s="57">
        <v>155.88</v>
      </c>
      <c r="G37" s="143">
        <f>References!$B$38</f>
        <v>840</v>
      </c>
      <c r="H37" s="143">
        <f t="shared" si="29"/>
        <v>130939.2</v>
      </c>
      <c r="I37" s="116">
        <f t="shared" si="25"/>
        <v>102884.48178924651</v>
      </c>
      <c r="J37" s="142">
        <f>(References!$C$56*I37)</f>
        <v>437.77347001324335</v>
      </c>
      <c r="K37" s="142">
        <f>J37/References!$G$59</f>
        <v>446.3773942881474</v>
      </c>
      <c r="L37" s="142">
        <f t="shared" si="30"/>
        <v>2.8635963195287877</v>
      </c>
      <c r="M37" s="142">
        <f>M36</f>
        <v>109.13</v>
      </c>
      <c r="N37" s="142">
        <f t="shared" si="6"/>
        <v>111.99359631952878</v>
      </c>
      <c r="O37" s="142">
        <f>'Proposed Rates'!D54</f>
        <v>111.99359631952878</v>
      </c>
      <c r="P37" s="142">
        <f t="shared" si="31"/>
        <v>17011.184399999998</v>
      </c>
      <c r="Q37" s="142">
        <f t="shared" si="32"/>
        <v>17457.561794288144</v>
      </c>
      <c r="R37" s="142">
        <f t="shared" si="38"/>
        <v>446.3773942881453</v>
      </c>
      <c r="S37" s="142">
        <f t="shared" si="34"/>
        <v>17457.561794288144</v>
      </c>
      <c r="T37" s="142">
        <f t="shared" si="39"/>
        <v>0</v>
      </c>
      <c r="U37" s="147">
        <f t="shared" si="40"/>
        <v>111.99359631952878</v>
      </c>
      <c r="V37" s="147">
        <f t="shared" si="36"/>
        <v>17457.561794288144</v>
      </c>
      <c r="W37" s="147">
        <f t="shared" si="41"/>
        <v>446.3773942881453</v>
      </c>
      <c r="X37" s="236">
        <f t="shared" si="10"/>
        <v>0</v>
      </c>
      <c r="Y37" s="198">
        <f t="shared" si="11"/>
        <v>0</v>
      </c>
    </row>
    <row r="38" spans="1:25" s="133" customFormat="1" ht="14.5" customHeight="1" x14ac:dyDescent="0.35">
      <c r="A38" s="284"/>
      <c r="B38" s="117" t="s">
        <v>190</v>
      </c>
      <c r="C38" s="131" t="s">
        <v>154</v>
      </c>
      <c r="D38" s="130"/>
      <c r="E38" s="144"/>
      <c r="F38" s="57">
        <v>1073.2114189030958</v>
      </c>
      <c r="G38" s="143">
        <f>References!$B$38</f>
        <v>840</v>
      </c>
      <c r="H38" s="143">
        <f t="shared" si="29"/>
        <v>901497.59187860053</v>
      </c>
      <c r="I38" s="116">
        <f t="shared" si="25"/>
        <v>708344.88506637781</v>
      </c>
      <c r="J38" s="142">
        <f>(References!$C$56*I38)</f>
        <v>3014.0074859574338</v>
      </c>
      <c r="K38" s="142">
        <f>J38/References!$G$59</f>
        <v>3073.2442692471732</v>
      </c>
      <c r="L38" s="142">
        <f t="shared" si="30"/>
        <v>2.8635963195287877</v>
      </c>
      <c r="M38" s="142">
        <f>M37</f>
        <v>109.13</v>
      </c>
      <c r="N38" s="142">
        <f t="shared" si="6"/>
        <v>111.99359631952878</v>
      </c>
      <c r="O38" s="142">
        <f>'Proposed Rates'!D54</f>
        <v>111.99359631952878</v>
      </c>
      <c r="P38" s="142">
        <f t="shared" si="31"/>
        <v>117119.56214489484</v>
      </c>
      <c r="Q38" s="142">
        <f t="shared" si="32"/>
        <v>120192.806414142</v>
      </c>
      <c r="R38" s="142">
        <f t="shared" si="38"/>
        <v>3073.2442692471668</v>
      </c>
      <c r="S38" s="142">
        <f t="shared" si="34"/>
        <v>120192.806414142</v>
      </c>
      <c r="T38" s="142">
        <f t="shared" si="39"/>
        <v>0</v>
      </c>
      <c r="U38" s="147">
        <f t="shared" si="40"/>
        <v>111.99359631952878</v>
      </c>
      <c r="V38" s="147">
        <f t="shared" si="36"/>
        <v>120192.806414142</v>
      </c>
      <c r="W38" s="147">
        <f t="shared" si="41"/>
        <v>3073.2442692471668</v>
      </c>
      <c r="X38" s="236">
        <f t="shared" si="10"/>
        <v>0</v>
      </c>
      <c r="Y38" s="198">
        <f t="shared" si="11"/>
        <v>0</v>
      </c>
    </row>
    <row r="39" spans="1:25" s="133" customFormat="1" ht="14.5" customHeight="1" x14ac:dyDescent="0.35">
      <c r="A39" s="284"/>
      <c r="B39" s="117" t="s">
        <v>190</v>
      </c>
      <c r="C39" s="131" t="s">
        <v>155</v>
      </c>
      <c r="D39" s="130"/>
      <c r="E39" s="144"/>
      <c r="F39" s="57">
        <v>51.96</v>
      </c>
      <c r="G39" s="143">
        <f>References!B40</f>
        <v>980</v>
      </c>
      <c r="H39" s="143">
        <f t="shared" si="29"/>
        <v>50920.800000000003</v>
      </c>
      <c r="I39" s="116">
        <f t="shared" si="25"/>
        <v>40010.631806929203</v>
      </c>
      <c r="J39" s="142">
        <f>(References!$C$56*I39)</f>
        <v>170.24523833848355</v>
      </c>
      <c r="K39" s="142">
        <f>J39/References!$G$59</f>
        <v>173.59120888983512</v>
      </c>
      <c r="L39" s="142">
        <f t="shared" si="30"/>
        <v>3.3408623727835858</v>
      </c>
      <c r="M39" s="142">
        <f>'Proposed Rates'!B55</f>
        <v>146.30000000000001</v>
      </c>
      <c r="N39" s="142">
        <f t="shared" si="6"/>
        <v>149.6408623727836</v>
      </c>
      <c r="O39" s="142">
        <f>'Proposed Rates'!D55</f>
        <v>149.6408623727836</v>
      </c>
      <c r="P39" s="142">
        <f t="shared" si="31"/>
        <v>7601.7480000000005</v>
      </c>
      <c r="Q39" s="142">
        <f t="shared" si="32"/>
        <v>7775.3392088898363</v>
      </c>
      <c r="R39" s="142">
        <f t="shared" si="38"/>
        <v>173.5912088898358</v>
      </c>
      <c r="S39" s="142">
        <f t="shared" si="34"/>
        <v>7775.3392088898363</v>
      </c>
      <c r="T39" s="142">
        <f t="shared" si="39"/>
        <v>0</v>
      </c>
      <c r="U39" s="147">
        <f t="shared" si="40"/>
        <v>149.6408623727836</v>
      </c>
      <c r="V39" s="147">
        <f t="shared" si="36"/>
        <v>7775.3392088898363</v>
      </c>
      <c r="W39" s="147">
        <f t="shared" si="41"/>
        <v>173.5912088898358</v>
      </c>
      <c r="X39" s="236">
        <f t="shared" si="10"/>
        <v>0</v>
      </c>
      <c r="Y39" s="198">
        <f t="shared" si="11"/>
        <v>0</v>
      </c>
    </row>
    <row r="40" spans="1:25" s="133" customFormat="1" ht="14.5" customHeight="1" x14ac:dyDescent="0.35">
      <c r="A40" s="284"/>
      <c r="B40" s="117" t="s">
        <v>190</v>
      </c>
      <c r="C40" s="131" t="s">
        <v>156</v>
      </c>
      <c r="D40" s="130"/>
      <c r="E40" s="144"/>
      <c r="F40" s="57">
        <v>699.29552206414292</v>
      </c>
      <c r="G40" s="143">
        <f>References!B30</f>
        <v>175</v>
      </c>
      <c r="H40" s="143">
        <f t="shared" si="29"/>
        <v>122376.71636122502</v>
      </c>
      <c r="I40" s="116">
        <f t="shared" si="25"/>
        <v>96156.575310481814</v>
      </c>
      <c r="J40" s="142">
        <f>(References!$C$56*I40)</f>
        <v>409.1462279460996</v>
      </c>
      <c r="K40" s="142">
        <f>J40/References!$G$59</f>
        <v>417.18751734288372</v>
      </c>
      <c r="L40" s="142">
        <f t="shared" si="30"/>
        <v>0.59658256656849751</v>
      </c>
      <c r="M40" s="142">
        <f>M24</f>
        <v>21.79</v>
      </c>
      <c r="N40" s="142">
        <f t="shared" si="6"/>
        <v>22.386582566568496</v>
      </c>
      <c r="O40" s="142">
        <f>'Proposed Rates'!D49</f>
        <v>22.386582566568496</v>
      </c>
      <c r="P40" s="142">
        <f t="shared" si="31"/>
        <v>15237.649425777674</v>
      </c>
      <c r="Q40" s="142">
        <f t="shared" si="32"/>
        <v>15654.836943120557</v>
      </c>
      <c r="R40" s="142">
        <f t="shared" si="38"/>
        <v>417.18751734288344</v>
      </c>
      <c r="S40" s="142">
        <f t="shared" si="34"/>
        <v>15654.836943120557</v>
      </c>
      <c r="T40" s="142">
        <f t="shared" si="39"/>
        <v>0</v>
      </c>
      <c r="U40" s="147">
        <f t="shared" si="40"/>
        <v>22.386582566568496</v>
      </c>
      <c r="V40" s="147">
        <f t="shared" si="36"/>
        <v>15654.836943120557</v>
      </c>
      <c r="W40" s="147">
        <f t="shared" si="41"/>
        <v>417.18751734288344</v>
      </c>
      <c r="X40" s="236">
        <f t="shared" si="10"/>
        <v>0</v>
      </c>
      <c r="Y40" s="198">
        <f t="shared" si="11"/>
        <v>0</v>
      </c>
    </row>
    <row r="41" spans="1:25" s="133" customFormat="1" ht="14.5" customHeight="1" x14ac:dyDescent="0.35">
      <c r="A41" s="284"/>
      <c r="B41" s="117" t="s">
        <v>190</v>
      </c>
      <c r="C41" s="131" t="s">
        <v>157</v>
      </c>
      <c r="D41" s="130"/>
      <c r="E41" s="144"/>
      <c r="F41" s="57">
        <v>3254.000625600188</v>
      </c>
      <c r="G41" s="143">
        <f>References!B30</f>
        <v>175</v>
      </c>
      <c r="H41" s="143">
        <f t="shared" si="29"/>
        <v>569450.10948003293</v>
      </c>
      <c r="I41" s="116">
        <f t="shared" si="25"/>
        <v>447441.09799573303</v>
      </c>
      <c r="J41" s="142">
        <f>(References!$C$56*I41)</f>
        <v>1903.8618719718418</v>
      </c>
      <c r="K41" s="142">
        <f>J41/References!$G$59</f>
        <v>1941.2800448360567</v>
      </c>
      <c r="L41" s="142">
        <f t="shared" si="30"/>
        <v>0.59658256656849751</v>
      </c>
      <c r="M41" s="142">
        <f>M24</f>
        <v>21.79</v>
      </c>
      <c r="N41" s="142">
        <f t="shared" si="6"/>
        <v>22.386582566568496</v>
      </c>
      <c r="O41" s="142">
        <f>'Proposed Rates'!D49</f>
        <v>22.386582566568496</v>
      </c>
      <c r="P41" s="142">
        <f t="shared" si="31"/>
        <v>70904.673631828089</v>
      </c>
      <c r="Q41" s="142">
        <f t="shared" si="32"/>
        <v>72845.953676664154</v>
      </c>
      <c r="R41" s="142">
        <f t="shared" si="38"/>
        <v>1941.2800448360649</v>
      </c>
      <c r="S41" s="142">
        <f t="shared" si="34"/>
        <v>72845.953676664154</v>
      </c>
      <c r="T41" s="142">
        <f t="shared" si="39"/>
        <v>0</v>
      </c>
      <c r="U41" s="147">
        <f t="shared" si="40"/>
        <v>22.386582566568496</v>
      </c>
      <c r="V41" s="147">
        <f t="shared" si="36"/>
        <v>72845.953676664154</v>
      </c>
      <c r="W41" s="147">
        <f t="shared" si="41"/>
        <v>1941.2800448360649</v>
      </c>
      <c r="X41" s="236">
        <f t="shared" si="10"/>
        <v>0</v>
      </c>
      <c r="Y41" s="198">
        <f t="shared" si="11"/>
        <v>0</v>
      </c>
    </row>
    <row r="42" spans="1:25" s="133" customFormat="1" ht="14.5" customHeight="1" x14ac:dyDescent="0.35">
      <c r="A42" s="284"/>
      <c r="B42" s="117" t="s">
        <v>190</v>
      </c>
      <c r="C42" s="131" t="s">
        <v>158</v>
      </c>
      <c r="D42" s="130"/>
      <c r="E42" s="144"/>
      <c r="F42" s="57">
        <v>110.41499999999999</v>
      </c>
      <c r="G42" s="143">
        <f>References!B31</f>
        <v>250</v>
      </c>
      <c r="H42" s="143">
        <f t="shared" si="29"/>
        <v>27603.749999999996</v>
      </c>
      <c r="I42" s="116">
        <f t="shared" si="25"/>
        <v>21689.436885133811</v>
      </c>
      <c r="J42" s="142">
        <f>(References!$C$56*I42)</f>
        <v>92.288553946244249</v>
      </c>
      <c r="K42" s="142">
        <f>J42/References!$G$59</f>
        <v>94.102377268086627</v>
      </c>
      <c r="L42" s="142">
        <f t="shared" si="30"/>
        <v>0.85226080938356774</v>
      </c>
      <c r="M42" s="142">
        <f>M26</f>
        <v>31.14</v>
      </c>
      <c r="N42" s="142">
        <f t="shared" si="6"/>
        <v>31.99226080938357</v>
      </c>
      <c r="O42" s="142">
        <f>'Proposed Rates'!D50</f>
        <v>31.99226080938357</v>
      </c>
      <c r="P42" s="142">
        <f t="shared" si="31"/>
        <v>3438.3230999999996</v>
      </c>
      <c r="Q42" s="142">
        <f t="shared" si="32"/>
        <v>3532.4254772680865</v>
      </c>
      <c r="R42" s="142">
        <f t="shared" si="38"/>
        <v>94.102377268086911</v>
      </c>
      <c r="S42" s="142">
        <f t="shared" si="34"/>
        <v>3532.4254772680865</v>
      </c>
      <c r="T42" s="142">
        <f t="shared" si="39"/>
        <v>0</v>
      </c>
      <c r="U42" s="147">
        <f t="shared" si="40"/>
        <v>31.99226080938357</v>
      </c>
      <c r="V42" s="147">
        <f t="shared" si="36"/>
        <v>3532.4254772680865</v>
      </c>
      <c r="W42" s="147">
        <f t="shared" si="41"/>
        <v>94.102377268086911</v>
      </c>
      <c r="X42" s="236">
        <f t="shared" si="10"/>
        <v>0</v>
      </c>
      <c r="Y42" s="198">
        <f t="shared" si="11"/>
        <v>0</v>
      </c>
    </row>
    <row r="43" spans="1:25" s="133" customFormat="1" ht="14.5" customHeight="1" x14ac:dyDescent="0.35">
      <c r="A43" s="284"/>
      <c r="B43" s="117" t="s">
        <v>190</v>
      </c>
      <c r="C43" s="131" t="s">
        <v>159</v>
      </c>
      <c r="D43" s="130"/>
      <c r="E43" s="144"/>
      <c r="F43" s="57">
        <v>676.56286601859665</v>
      </c>
      <c r="G43" s="143">
        <f>References!B31</f>
        <v>250</v>
      </c>
      <c r="H43" s="143">
        <f t="shared" si="29"/>
        <v>169140.71650464917</v>
      </c>
      <c r="I43" s="116">
        <f t="shared" si="25"/>
        <v>132901.03320505001</v>
      </c>
      <c r="J43" s="142">
        <f>(References!$C$56*I43)</f>
        <v>565.49389628748713</v>
      </c>
      <c r="K43" s="142">
        <f>J43/References!$G$59</f>
        <v>576.60801579187557</v>
      </c>
      <c r="L43" s="142">
        <f t="shared" si="30"/>
        <v>0.85226080938356785</v>
      </c>
      <c r="M43" s="142">
        <f>M26</f>
        <v>31.14</v>
      </c>
      <c r="N43" s="142">
        <f t="shared" si="6"/>
        <v>31.99226080938357</v>
      </c>
      <c r="O43" s="142">
        <f>'Proposed Rates'!D50</f>
        <v>31.99226080938357</v>
      </c>
      <c r="P43" s="142">
        <f t="shared" si="31"/>
        <v>21068.1676478191</v>
      </c>
      <c r="Q43" s="142">
        <f t="shared" si="32"/>
        <v>21644.775663610977</v>
      </c>
      <c r="R43" s="142">
        <f t="shared" si="38"/>
        <v>576.60801579187682</v>
      </c>
      <c r="S43" s="142">
        <f t="shared" si="34"/>
        <v>21644.775663610977</v>
      </c>
      <c r="T43" s="142">
        <f t="shared" si="39"/>
        <v>0</v>
      </c>
      <c r="U43" s="147">
        <f t="shared" si="40"/>
        <v>31.99226080938357</v>
      </c>
      <c r="V43" s="147">
        <f t="shared" si="36"/>
        <v>21644.775663610977</v>
      </c>
      <c r="W43" s="147">
        <f t="shared" si="41"/>
        <v>576.60801579187682</v>
      </c>
      <c r="X43" s="236">
        <f t="shared" si="10"/>
        <v>0</v>
      </c>
      <c r="Y43" s="198">
        <f t="shared" si="11"/>
        <v>0</v>
      </c>
    </row>
    <row r="44" spans="1:25" s="133" customFormat="1" ht="14.5" customHeight="1" x14ac:dyDescent="0.35">
      <c r="A44" s="284"/>
      <c r="B44" s="117" t="s">
        <v>405</v>
      </c>
      <c r="C44" s="131" t="s">
        <v>160</v>
      </c>
      <c r="D44" s="130"/>
      <c r="E44" s="144"/>
      <c r="F44" s="57">
        <v>187.27263145112329</v>
      </c>
      <c r="G44" s="143">
        <f>References!B33</f>
        <v>324</v>
      </c>
      <c r="H44" s="143">
        <f t="shared" si="29"/>
        <v>60676.332590163947</v>
      </c>
      <c r="I44" s="116">
        <f t="shared" si="25"/>
        <v>47675.967436879007</v>
      </c>
      <c r="J44" s="142">
        <f>(References!$C$56*I44)</f>
        <v>202.86124144391994</v>
      </c>
      <c r="K44" s="142">
        <f>J44/References!$G$59</f>
        <v>206.84824129487873</v>
      </c>
      <c r="L44" s="142">
        <f t="shared" si="30"/>
        <v>1.1045300089611041</v>
      </c>
      <c r="M44" s="142">
        <f>M29</f>
        <v>43</v>
      </c>
      <c r="N44" s="142">
        <f t="shared" si="6"/>
        <v>44.104530008961106</v>
      </c>
      <c r="O44" s="142">
        <f>'Proposed Rates'!D51</f>
        <v>44.104530008961106</v>
      </c>
      <c r="P44" s="142">
        <f t="shared" si="31"/>
        <v>8052.723152398301</v>
      </c>
      <c r="Q44" s="142">
        <f t="shared" si="32"/>
        <v>8259.5713936931807</v>
      </c>
      <c r="R44" s="142">
        <f t="shared" si="38"/>
        <v>206.8482412948797</v>
      </c>
      <c r="S44" s="142">
        <f t="shared" si="34"/>
        <v>8259.5713936931807</v>
      </c>
      <c r="T44" s="142">
        <f t="shared" si="39"/>
        <v>0</v>
      </c>
      <c r="U44" s="147">
        <f t="shared" si="40"/>
        <v>44.104530008961106</v>
      </c>
      <c r="V44" s="147">
        <f t="shared" si="36"/>
        <v>8259.5713936931807</v>
      </c>
      <c r="W44" s="147">
        <f t="shared" si="41"/>
        <v>206.8482412948797</v>
      </c>
      <c r="X44" s="236">
        <f t="shared" si="10"/>
        <v>0</v>
      </c>
      <c r="Y44" s="198">
        <f t="shared" si="11"/>
        <v>0</v>
      </c>
    </row>
    <row r="45" spans="1:25" s="133" customFormat="1" ht="14.5" customHeight="1" x14ac:dyDescent="0.35">
      <c r="A45" s="284"/>
      <c r="B45" s="117" t="s">
        <v>405</v>
      </c>
      <c r="C45" s="131" t="s">
        <v>161</v>
      </c>
      <c r="D45" s="130"/>
      <c r="E45" s="144"/>
      <c r="F45" s="57">
        <v>832.82673763660137</v>
      </c>
      <c r="G45" s="143">
        <f>References!B33</f>
        <v>324</v>
      </c>
      <c r="H45" s="143">
        <f t="shared" ref="H45:H76" si="42">F45*G45</f>
        <v>269835.86299425882</v>
      </c>
      <c r="I45" s="116">
        <f t="shared" si="25"/>
        <v>212021.4796815502</v>
      </c>
      <c r="J45" s="142">
        <f>(References!$C$56*I45)</f>
        <v>902.15139604499507</v>
      </c>
      <c r="K45" s="142">
        <f>J45/References!$G$59</f>
        <v>919.88212398480221</v>
      </c>
      <c r="L45" s="142">
        <f t="shared" si="30"/>
        <v>1.1045300089611039</v>
      </c>
      <c r="M45" s="142">
        <f>M29</f>
        <v>43</v>
      </c>
      <c r="N45" s="142">
        <f t="shared" si="6"/>
        <v>44.104530008961106</v>
      </c>
      <c r="O45" s="142">
        <f>'Proposed Rates'!D51</f>
        <v>44.104530008961106</v>
      </c>
      <c r="P45" s="142">
        <f t="shared" si="31"/>
        <v>35811.549718373855</v>
      </c>
      <c r="Q45" s="142">
        <f t="shared" si="32"/>
        <v>36731.431842358659</v>
      </c>
      <c r="R45" s="142">
        <f t="shared" ref="R45:R76" si="43">Q45-P45</f>
        <v>919.88212398480391</v>
      </c>
      <c r="S45" s="142">
        <f t="shared" si="34"/>
        <v>36731.431842358659</v>
      </c>
      <c r="T45" s="142">
        <f t="shared" ref="T45:T76" si="44">Q45-S45</f>
        <v>0</v>
      </c>
      <c r="U45" s="147">
        <f t="shared" ref="U45:U76" si="45">N45</f>
        <v>44.104530008961106</v>
      </c>
      <c r="V45" s="147">
        <f t="shared" si="36"/>
        <v>36731.431842358659</v>
      </c>
      <c r="W45" s="147">
        <f t="shared" ref="W45:W76" si="46">V45-P45</f>
        <v>919.88212398480391</v>
      </c>
      <c r="X45" s="236">
        <f t="shared" si="10"/>
        <v>0</v>
      </c>
      <c r="Y45" s="198">
        <f t="shared" si="11"/>
        <v>0</v>
      </c>
    </row>
    <row r="46" spans="1:25" s="133" customFormat="1" ht="14.5" customHeight="1" x14ac:dyDescent="0.35">
      <c r="A46" s="284"/>
      <c r="B46" s="117" t="s">
        <v>405</v>
      </c>
      <c r="C46" s="131" t="s">
        <v>162</v>
      </c>
      <c r="D46" s="130"/>
      <c r="E46" s="144"/>
      <c r="F46" s="57">
        <v>136.3951948168812</v>
      </c>
      <c r="G46" s="143">
        <f>References!B34</f>
        <v>473</v>
      </c>
      <c r="H46" s="143">
        <f t="shared" si="42"/>
        <v>64514.927148384806</v>
      </c>
      <c r="I46" s="116">
        <f t="shared" si="25"/>
        <v>50692.113953136737</v>
      </c>
      <c r="J46" s="142">
        <f>(References!$C$56*I46)</f>
        <v>215.69494487059654</v>
      </c>
      <c r="K46" s="142">
        <f>J46/References!$G$59</f>
        <v>219.93417611521735</v>
      </c>
      <c r="L46" s="142">
        <f t="shared" si="30"/>
        <v>1.6124774513537099</v>
      </c>
      <c r="M46" s="142">
        <f>M33</f>
        <v>57.13</v>
      </c>
      <c r="N46" s="142">
        <f t="shared" si="6"/>
        <v>58.742477451353714</v>
      </c>
      <c r="O46" s="142">
        <f>'Proposed Rates'!D52</f>
        <v>58.742477451353714</v>
      </c>
      <c r="P46" s="142">
        <f t="shared" si="31"/>
        <v>7792.2574798884234</v>
      </c>
      <c r="Q46" s="142">
        <f t="shared" si="32"/>
        <v>8012.1916560036407</v>
      </c>
      <c r="R46" s="142">
        <f t="shared" si="43"/>
        <v>219.93417611521727</v>
      </c>
      <c r="S46" s="142">
        <f t="shared" si="34"/>
        <v>8012.1916560036407</v>
      </c>
      <c r="T46" s="142">
        <f t="shared" si="44"/>
        <v>0</v>
      </c>
      <c r="U46" s="147">
        <f t="shared" si="45"/>
        <v>58.742477451353714</v>
      </c>
      <c r="V46" s="147">
        <f t="shared" si="36"/>
        <v>8012.1916560036407</v>
      </c>
      <c r="W46" s="147">
        <f t="shared" si="46"/>
        <v>219.93417611521727</v>
      </c>
      <c r="X46" s="236">
        <f t="shared" si="10"/>
        <v>0</v>
      </c>
      <c r="Y46" s="198">
        <f t="shared" si="11"/>
        <v>0</v>
      </c>
    </row>
    <row r="47" spans="1:25" s="133" customFormat="1" ht="14.5" customHeight="1" x14ac:dyDescent="0.35">
      <c r="A47" s="284"/>
      <c r="B47" s="117" t="s">
        <v>405</v>
      </c>
      <c r="C47" s="131" t="s">
        <v>163</v>
      </c>
      <c r="D47" s="130"/>
      <c r="E47" s="144"/>
      <c r="F47" s="57">
        <v>101.51064909983634</v>
      </c>
      <c r="G47" s="143">
        <f>References!B36</f>
        <v>613</v>
      </c>
      <c r="H47" s="143">
        <f t="shared" si="42"/>
        <v>62226.027898199682</v>
      </c>
      <c r="I47" s="116">
        <f t="shared" si="25"/>
        <v>48893.628753722878</v>
      </c>
      <c r="J47" s="142">
        <f>(References!$C$56*I47)</f>
        <v>208.04239034709059</v>
      </c>
      <c r="K47" s="142">
        <f>J47/References!$G$59</f>
        <v>212.13121960497651</v>
      </c>
      <c r="L47" s="142">
        <f t="shared" si="30"/>
        <v>2.0897435046085082</v>
      </c>
      <c r="M47" s="142">
        <f>M35</f>
        <v>78.06</v>
      </c>
      <c r="N47" s="142">
        <f t="shared" si="6"/>
        <v>80.149743504608509</v>
      </c>
      <c r="O47" s="142">
        <f>'Proposed Rates'!D53</f>
        <v>80.149743504608509</v>
      </c>
      <c r="P47" s="142">
        <f t="shared" si="31"/>
        <v>7923.9212687332256</v>
      </c>
      <c r="Q47" s="142">
        <f t="shared" si="32"/>
        <v>8136.0524883382013</v>
      </c>
      <c r="R47" s="142">
        <f t="shared" si="43"/>
        <v>212.13121960497574</v>
      </c>
      <c r="S47" s="142">
        <f t="shared" si="34"/>
        <v>8136.0524883382013</v>
      </c>
      <c r="T47" s="142">
        <f t="shared" si="44"/>
        <v>0</v>
      </c>
      <c r="U47" s="147">
        <f t="shared" si="45"/>
        <v>80.149743504608509</v>
      </c>
      <c r="V47" s="147">
        <f t="shared" si="36"/>
        <v>8136.0524883382013</v>
      </c>
      <c r="W47" s="147">
        <f t="shared" si="46"/>
        <v>212.13121960497574</v>
      </c>
      <c r="X47" s="236">
        <f t="shared" si="10"/>
        <v>0</v>
      </c>
      <c r="Y47" s="198">
        <f t="shared" si="11"/>
        <v>0</v>
      </c>
    </row>
    <row r="48" spans="1:25" s="133" customFormat="1" ht="14.5" customHeight="1" x14ac:dyDescent="0.35">
      <c r="A48" s="284"/>
      <c r="B48" s="117" t="s">
        <v>405</v>
      </c>
      <c r="C48" s="131" t="s">
        <v>164</v>
      </c>
      <c r="D48" s="130"/>
      <c r="E48" s="144"/>
      <c r="F48" s="57">
        <v>48.712551940885746</v>
      </c>
      <c r="G48" s="143">
        <f>References!B38</f>
        <v>840</v>
      </c>
      <c r="H48" s="143">
        <f t="shared" si="42"/>
        <v>40918.543630344029</v>
      </c>
      <c r="I48" s="116">
        <f t="shared" si="25"/>
        <v>32151.434841350943</v>
      </c>
      <c r="J48" s="142">
        <f>(References!$C$56*I48)</f>
        <v>136.80435524994809</v>
      </c>
      <c r="K48" s="142">
        <f>J48/References!$G$59</f>
        <v>139.49308445277535</v>
      </c>
      <c r="L48" s="142">
        <f t="shared" si="30"/>
        <v>2.8635963195287881</v>
      </c>
      <c r="M48" s="142">
        <f>M36</f>
        <v>109.13</v>
      </c>
      <c r="N48" s="142">
        <f t="shared" si="6"/>
        <v>111.99359631952878</v>
      </c>
      <c r="O48" s="142">
        <f>'Proposed Rates'!D54</f>
        <v>111.99359631952878</v>
      </c>
      <c r="P48" s="142">
        <f t="shared" si="31"/>
        <v>5316.0007933088609</v>
      </c>
      <c r="Q48" s="142">
        <f t="shared" si="32"/>
        <v>5455.4938777616362</v>
      </c>
      <c r="R48" s="142">
        <f t="shared" si="43"/>
        <v>139.49308445277529</v>
      </c>
      <c r="S48" s="142">
        <f t="shared" si="34"/>
        <v>5455.4938777616362</v>
      </c>
      <c r="T48" s="142">
        <f t="shared" si="44"/>
        <v>0</v>
      </c>
      <c r="U48" s="147">
        <f t="shared" si="45"/>
        <v>111.99359631952878</v>
      </c>
      <c r="V48" s="147">
        <f t="shared" si="36"/>
        <v>5455.4938777616362</v>
      </c>
      <c r="W48" s="147">
        <f t="shared" si="46"/>
        <v>139.49308445277529</v>
      </c>
      <c r="X48" s="236">
        <f t="shared" si="10"/>
        <v>0</v>
      </c>
      <c r="Y48" s="198">
        <f t="shared" si="11"/>
        <v>0</v>
      </c>
    </row>
    <row r="49" spans="1:25" s="133" customFormat="1" ht="14.5" customHeight="1" x14ac:dyDescent="0.35">
      <c r="A49" s="284"/>
      <c r="B49" s="117" t="s">
        <v>190</v>
      </c>
      <c r="C49" s="131" t="s">
        <v>165</v>
      </c>
      <c r="D49" s="130"/>
      <c r="E49" s="144"/>
      <c r="F49" s="57">
        <v>58</v>
      </c>
      <c r="G49" s="143">
        <f>References!B30</f>
        <v>175</v>
      </c>
      <c r="H49" s="143">
        <f t="shared" si="42"/>
        <v>10150</v>
      </c>
      <c r="I49" s="116">
        <f t="shared" si="25"/>
        <v>7975.2854008643108</v>
      </c>
      <c r="J49" s="142">
        <f>(References!$C$56*I49)</f>
        <v>33.934839380677602</v>
      </c>
      <c r="K49" s="142">
        <f>J49/References!$G$59</f>
        <v>34.601788860972853</v>
      </c>
      <c r="L49" s="142">
        <f t="shared" si="30"/>
        <v>0.59658256656849751</v>
      </c>
      <c r="M49" s="142">
        <f>$M$24</f>
        <v>21.79</v>
      </c>
      <c r="N49" s="142">
        <f t="shared" si="6"/>
        <v>22.386582566568496</v>
      </c>
      <c r="O49" s="142">
        <f>'Proposed Rates'!D49</f>
        <v>22.386582566568496</v>
      </c>
      <c r="P49" s="142">
        <f t="shared" si="31"/>
        <v>1263.82</v>
      </c>
      <c r="Q49" s="142">
        <f t="shared" si="32"/>
        <v>1298.4217888609728</v>
      </c>
      <c r="R49" s="142">
        <f t="shared" si="43"/>
        <v>34.601788860972874</v>
      </c>
      <c r="S49" s="142">
        <f t="shared" si="34"/>
        <v>1298.4217888609728</v>
      </c>
      <c r="T49" s="142">
        <f t="shared" si="44"/>
        <v>0</v>
      </c>
      <c r="U49" s="147">
        <f t="shared" si="45"/>
        <v>22.386582566568496</v>
      </c>
      <c r="V49" s="147">
        <f t="shared" si="36"/>
        <v>1298.4217888609728</v>
      </c>
      <c r="W49" s="147">
        <f t="shared" si="46"/>
        <v>34.601788860972874</v>
      </c>
      <c r="X49" s="236">
        <f t="shared" si="10"/>
        <v>0</v>
      </c>
      <c r="Y49" s="198">
        <f t="shared" si="11"/>
        <v>0</v>
      </c>
    </row>
    <row r="50" spans="1:25" s="133" customFormat="1" ht="14.5" customHeight="1" x14ac:dyDescent="0.35">
      <c r="A50" s="284"/>
      <c r="B50" s="117" t="s">
        <v>190</v>
      </c>
      <c r="C50" s="131" t="s">
        <v>166</v>
      </c>
      <c r="D50" s="130"/>
      <c r="E50" s="144"/>
      <c r="F50" s="57">
        <v>4</v>
      </c>
      <c r="G50" s="143">
        <f>References!B30</f>
        <v>175</v>
      </c>
      <c r="H50" s="143">
        <f t="shared" si="42"/>
        <v>700</v>
      </c>
      <c r="I50" s="116">
        <f t="shared" si="25"/>
        <v>550.01968281822826</v>
      </c>
      <c r="J50" s="142">
        <f>(References!$C$56*I50)</f>
        <v>2.3403337503915584</v>
      </c>
      <c r="K50" s="142">
        <f>J50/References!$G$59</f>
        <v>2.3863302662739896</v>
      </c>
      <c r="L50" s="142">
        <f t="shared" si="30"/>
        <v>0.5965825665684974</v>
      </c>
      <c r="M50" s="142">
        <f>$M$24</f>
        <v>21.79</v>
      </c>
      <c r="N50" s="142">
        <f t="shared" si="6"/>
        <v>22.386582566568496</v>
      </c>
      <c r="O50" s="142">
        <f>'Proposed Rates'!D49</f>
        <v>22.386582566568496</v>
      </c>
      <c r="P50" s="142">
        <f t="shared" si="31"/>
        <v>87.16</v>
      </c>
      <c r="Q50" s="142">
        <f t="shared" si="32"/>
        <v>89.546330266273984</v>
      </c>
      <c r="R50" s="142">
        <f t="shared" si="43"/>
        <v>2.3863302662739869</v>
      </c>
      <c r="S50" s="142">
        <f t="shared" si="34"/>
        <v>89.546330266273984</v>
      </c>
      <c r="T50" s="142">
        <f t="shared" si="44"/>
        <v>0</v>
      </c>
      <c r="U50" s="147">
        <f t="shared" si="45"/>
        <v>22.386582566568496</v>
      </c>
      <c r="V50" s="147">
        <f t="shared" si="36"/>
        <v>89.546330266273984</v>
      </c>
      <c r="W50" s="147">
        <f t="shared" si="46"/>
        <v>2.3863302662739869</v>
      </c>
      <c r="X50" s="236">
        <f t="shared" si="10"/>
        <v>0</v>
      </c>
      <c r="Y50" s="198">
        <f t="shared" si="11"/>
        <v>0</v>
      </c>
    </row>
    <row r="51" spans="1:25" s="133" customFormat="1" ht="14.5" customHeight="1" x14ac:dyDescent="0.35">
      <c r="A51" s="284"/>
      <c r="B51" s="117" t="s">
        <v>190</v>
      </c>
      <c r="C51" s="131" t="s">
        <v>167</v>
      </c>
      <c r="D51" s="130"/>
      <c r="E51" s="144"/>
      <c r="F51" s="57">
        <v>3</v>
      </c>
      <c r="G51" s="173">
        <f>References!B33</f>
        <v>324</v>
      </c>
      <c r="H51" s="56">
        <f t="shared" si="42"/>
        <v>972</v>
      </c>
      <c r="I51" s="116">
        <f t="shared" si="25"/>
        <v>763.74161671331137</v>
      </c>
      <c r="J51" s="142">
        <f>(References!$C$56*I51)</f>
        <v>3.2497205791151358</v>
      </c>
      <c r="K51" s="142">
        <f>J51/References!$G$59</f>
        <v>3.3135900268833116</v>
      </c>
      <c r="L51" s="142">
        <f t="shared" si="30"/>
        <v>1.1045300089611039</v>
      </c>
      <c r="M51" s="142">
        <f>$M$29</f>
        <v>43</v>
      </c>
      <c r="N51" s="142">
        <f t="shared" si="6"/>
        <v>44.104530008961106</v>
      </c>
      <c r="O51" s="142">
        <f>'Proposed Rates'!D51</f>
        <v>44.104530008961106</v>
      </c>
      <c r="P51" s="142">
        <f t="shared" si="31"/>
        <v>129</v>
      </c>
      <c r="Q51" s="142">
        <f t="shared" si="32"/>
        <v>132.31359002688333</v>
      </c>
      <c r="R51" s="142">
        <f t="shared" si="43"/>
        <v>3.3135900268833325</v>
      </c>
      <c r="S51" s="142">
        <f t="shared" si="34"/>
        <v>132.31359002688333</v>
      </c>
      <c r="T51" s="142">
        <f t="shared" si="44"/>
        <v>0</v>
      </c>
      <c r="U51" s="147">
        <f t="shared" si="45"/>
        <v>44.104530008961106</v>
      </c>
      <c r="V51" s="147">
        <f t="shared" si="36"/>
        <v>132.31359002688333</v>
      </c>
      <c r="W51" s="147">
        <f t="shared" si="46"/>
        <v>3.3135900268833325</v>
      </c>
      <c r="X51" s="236">
        <f t="shared" si="10"/>
        <v>0</v>
      </c>
      <c r="Y51" s="198">
        <f t="shared" si="11"/>
        <v>0</v>
      </c>
    </row>
    <row r="52" spans="1:25" s="133" customFormat="1" ht="14.5" customHeight="1" x14ac:dyDescent="0.35">
      <c r="A52" s="284"/>
      <c r="B52" s="117" t="s">
        <v>190</v>
      </c>
      <c r="C52" s="131" t="s">
        <v>167</v>
      </c>
      <c r="D52" s="130"/>
      <c r="E52" s="144"/>
      <c r="F52" s="57">
        <v>21</v>
      </c>
      <c r="G52" s="173">
        <f>References!B33</f>
        <v>324</v>
      </c>
      <c r="H52" s="56">
        <f t="shared" si="42"/>
        <v>6804</v>
      </c>
      <c r="I52" s="116">
        <f t="shared" si="25"/>
        <v>5346.1913169931795</v>
      </c>
      <c r="J52" s="142">
        <f>(References!$C$56*I52)</f>
        <v>22.748044053805952</v>
      </c>
      <c r="K52" s="142">
        <f>J52/References!$G$59</f>
        <v>23.195130188183185</v>
      </c>
      <c r="L52" s="142">
        <f t="shared" si="30"/>
        <v>1.1045300089611041</v>
      </c>
      <c r="M52" s="142">
        <f>$M$29</f>
        <v>43</v>
      </c>
      <c r="N52" s="142">
        <f t="shared" si="6"/>
        <v>44.104530008961106</v>
      </c>
      <c r="O52" s="142">
        <f>'Proposed Rates'!D51</f>
        <v>44.104530008961106</v>
      </c>
      <c r="P52" s="142">
        <f t="shared" si="31"/>
        <v>903</v>
      </c>
      <c r="Q52" s="142">
        <f t="shared" si="32"/>
        <v>926.19513018818327</v>
      </c>
      <c r="R52" s="142">
        <f t="shared" si="43"/>
        <v>23.195130188183271</v>
      </c>
      <c r="S52" s="142">
        <f t="shared" si="34"/>
        <v>926.19513018818327</v>
      </c>
      <c r="T52" s="142">
        <f t="shared" si="44"/>
        <v>0</v>
      </c>
      <c r="U52" s="147">
        <f t="shared" si="45"/>
        <v>44.104530008961106</v>
      </c>
      <c r="V52" s="147">
        <f t="shared" si="36"/>
        <v>926.19513018818327</v>
      </c>
      <c r="W52" s="147">
        <f t="shared" si="46"/>
        <v>23.195130188183271</v>
      </c>
      <c r="X52" s="236">
        <f t="shared" si="10"/>
        <v>0</v>
      </c>
      <c r="Y52" s="198">
        <f t="shared" si="11"/>
        <v>0</v>
      </c>
    </row>
    <row r="53" spans="1:25" s="133" customFormat="1" ht="14.5" customHeight="1" x14ac:dyDescent="0.35">
      <c r="A53" s="284"/>
      <c r="B53" s="117" t="s">
        <v>190</v>
      </c>
      <c r="C53" s="131" t="s">
        <v>168</v>
      </c>
      <c r="D53" s="130"/>
      <c r="E53" s="144"/>
      <c r="F53" s="57">
        <v>5</v>
      </c>
      <c r="G53" s="143">
        <f>References!B36</f>
        <v>613</v>
      </c>
      <c r="H53" s="143">
        <f t="shared" si="42"/>
        <v>3065</v>
      </c>
      <c r="I53" s="116">
        <f t="shared" si="25"/>
        <v>2408.300468339814</v>
      </c>
      <c r="J53" s="142">
        <f>(References!$C$56*I53)</f>
        <v>10.247318492785896</v>
      </c>
      <c r="K53" s="142">
        <f>J53/References!$G$59</f>
        <v>10.448717523042541</v>
      </c>
      <c r="L53" s="142">
        <f t="shared" si="30"/>
        <v>2.0897435046085082</v>
      </c>
      <c r="M53" s="142">
        <f>$M$35</f>
        <v>78.06</v>
      </c>
      <c r="N53" s="142">
        <f t="shared" si="6"/>
        <v>80.149743504608509</v>
      </c>
      <c r="O53" s="142">
        <f>'Proposed Rates'!D53</f>
        <v>80.149743504608509</v>
      </c>
      <c r="P53" s="142">
        <f t="shared" si="31"/>
        <v>390.3</v>
      </c>
      <c r="Q53" s="142">
        <f t="shared" si="32"/>
        <v>400.74871752304256</v>
      </c>
      <c r="R53" s="142">
        <f t="shared" si="43"/>
        <v>10.448717523042546</v>
      </c>
      <c r="S53" s="142">
        <f t="shared" si="34"/>
        <v>400.74871752304256</v>
      </c>
      <c r="T53" s="142">
        <f t="shared" si="44"/>
        <v>0</v>
      </c>
      <c r="U53" s="147">
        <f t="shared" si="45"/>
        <v>80.149743504608509</v>
      </c>
      <c r="V53" s="147">
        <f t="shared" si="36"/>
        <v>400.74871752304256</v>
      </c>
      <c r="W53" s="147">
        <f t="shared" si="46"/>
        <v>10.448717523042546</v>
      </c>
      <c r="X53" s="236">
        <f t="shared" si="10"/>
        <v>0</v>
      </c>
      <c r="Y53" s="198">
        <f t="shared" si="11"/>
        <v>0</v>
      </c>
    </row>
    <row r="54" spans="1:25" s="133" customFormat="1" ht="14.5" customHeight="1" x14ac:dyDescent="0.35">
      <c r="A54" s="284"/>
      <c r="B54" s="117" t="s">
        <v>190</v>
      </c>
      <c r="C54" s="131" t="s">
        <v>169</v>
      </c>
      <c r="D54" s="130"/>
      <c r="E54" s="144"/>
      <c r="F54" s="57">
        <v>7</v>
      </c>
      <c r="G54" s="143">
        <f>References!B38</f>
        <v>840</v>
      </c>
      <c r="H54" s="143">
        <f t="shared" si="42"/>
        <v>5880</v>
      </c>
      <c r="I54" s="116">
        <f t="shared" si="25"/>
        <v>4620.1653356731176</v>
      </c>
      <c r="J54" s="142">
        <f>(References!$C$56*I54)</f>
        <v>19.658803503289093</v>
      </c>
      <c r="K54" s="142">
        <f>J54/References!$G$59</f>
        <v>20.045174236701516</v>
      </c>
      <c r="L54" s="142">
        <f t="shared" si="30"/>
        <v>2.8635963195287881</v>
      </c>
      <c r="M54" s="142">
        <f>M36</f>
        <v>109.13</v>
      </c>
      <c r="N54" s="142">
        <f t="shared" si="6"/>
        <v>111.99359631952878</v>
      </c>
      <c r="O54" s="142">
        <f>'Proposed Rates'!D54</f>
        <v>111.99359631952878</v>
      </c>
      <c r="P54" s="142">
        <f t="shared" si="31"/>
        <v>763.91</v>
      </c>
      <c r="Q54" s="142">
        <f t="shared" si="32"/>
        <v>783.9551742367014</v>
      </c>
      <c r="R54" s="142">
        <f t="shared" si="43"/>
        <v>20.045174236701428</v>
      </c>
      <c r="S54" s="142">
        <f t="shared" si="34"/>
        <v>783.9551742367014</v>
      </c>
      <c r="T54" s="142">
        <f t="shared" si="44"/>
        <v>0</v>
      </c>
      <c r="U54" s="147">
        <f t="shared" si="45"/>
        <v>111.99359631952878</v>
      </c>
      <c r="V54" s="147">
        <f t="shared" si="36"/>
        <v>783.9551742367014</v>
      </c>
      <c r="W54" s="147">
        <f t="shared" si="46"/>
        <v>20.045174236701428</v>
      </c>
      <c r="X54" s="236">
        <f t="shared" si="10"/>
        <v>0</v>
      </c>
      <c r="Y54" s="198">
        <f t="shared" si="11"/>
        <v>0</v>
      </c>
    </row>
    <row r="55" spans="1:25" s="133" customFormat="1" ht="14.5" customHeight="1" x14ac:dyDescent="0.35">
      <c r="A55" s="284"/>
      <c r="B55" s="117" t="s">
        <v>190</v>
      </c>
      <c r="C55" s="131" t="s">
        <v>170</v>
      </c>
      <c r="D55" s="130"/>
      <c r="E55" s="144"/>
      <c r="F55" s="57">
        <v>49</v>
      </c>
      <c r="G55" s="143">
        <f>References!B30</f>
        <v>175</v>
      </c>
      <c r="H55" s="143">
        <f t="shared" si="42"/>
        <v>8575</v>
      </c>
      <c r="I55" s="116">
        <f t="shared" si="25"/>
        <v>6737.7411145232973</v>
      </c>
      <c r="J55" s="142">
        <f>(References!$C$56*I55)</f>
        <v>28.669088442296594</v>
      </c>
      <c r="K55" s="142">
        <f>J55/References!$G$59</f>
        <v>29.232545761856379</v>
      </c>
      <c r="L55" s="142">
        <f t="shared" si="30"/>
        <v>0.59658256656849751</v>
      </c>
      <c r="M55" s="142">
        <f>'Proposed Rates'!$B$57</f>
        <v>24.79</v>
      </c>
      <c r="N55" s="142">
        <f t="shared" ref="N55:N76" si="47">L55+M55</f>
        <v>25.386582566568496</v>
      </c>
      <c r="O55" s="142">
        <f>'Proposed Rates'!D57</f>
        <v>25.386582566568496</v>
      </c>
      <c r="P55" s="142">
        <f t="shared" si="31"/>
        <v>1214.71</v>
      </c>
      <c r="Q55" s="142">
        <f t="shared" si="32"/>
        <v>1243.9425457618563</v>
      </c>
      <c r="R55" s="142">
        <f t="shared" si="43"/>
        <v>29.232545761856272</v>
      </c>
      <c r="S55" s="142">
        <f t="shared" si="34"/>
        <v>1243.9425457618563</v>
      </c>
      <c r="T55" s="142">
        <f t="shared" si="44"/>
        <v>0</v>
      </c>
      <c r="U55" s="147">
        <f t="shared" si="45"/>
        <v>25.386582566568496</v>
      </c>
      <c r="V55" s="147">
        <f t="shared" si="36"/>
        <v>1243.9425457618563</v>
      </c>
      <c r="W55" s="147">
        <f t="shared" si="46"/>
        <v>29.232545761856272</v>
      </c>
      <c r="X55" s="236">
        <f t="shared" si="10"/>
        <v>0</v>
      </c>
      <c r="Y55" s="198">
        <f t="shared" si="11"/>
        <v>0</v>
      </c>
    </row>
    <row r="56" spans="1:25" s="133" customFormat="1" ht="14.5" customHeight="1" x14ac:dyDescent="0.35">
      <c r="A56" s="284"/>
      <c r="B56" s="117" t="s">
        <v>190</v>
      </c>
      <c r="C56" s="131" t="s">
        <v>171</v>
      </c>
      <c r="D56" s="130"/>
      <c r="E56" s="144"/>
      <c r="F56" s="57">
        <v>5</v>
      </c>
      <c r="G56" s="143">
        <f>References!B30</f>
        <v>175</v>
      </c>
      <c r="H56" s="143">
        <f t="shared" si="42"/>
        <v>875</v>
      </c>
      <c r="I56" s="116">
        <f t="shared" ref="I56:I76" si="48">$D$110*H56</f>
        <v>687.52460352278536</v>
      </c>
      <c r="J56" s="142">
        <f>(References!$C$56*I56)</f>
        <v>2.9254171879894484</v>
      </c>
      <c r="K56" s="142">
        <f>J56/References!$G$59</f>
        <v>2.9829128328424876</v>
      </c>
      <c r="L56" s="142">
        <f t="shared" si="30"/>
        <v>0.59658256656849751</v>
      </c>
      <c r="M56" s="142">
        <f>'Proposed Rates'!$B$57</f>
        <v>24.79</v>
      </c>
      <c r="N56" s="142">
        <f t="shared" si="47"/>
        <v>25.386582566568496</v>
      </c>
      <c r="O56" s="142">
        <f>'Proposed Rates'!D57</f>
        <v>25.386582566568496</v>
      </c>
      <c r="P56" s="142">
        <f t="shared" si="31"/>
        <v>123.94999999999999</v>
      </c>
      <c r="Q56" s="142">
        <f t="shared" si="32"/>
        <v>126.93291283284248</v>
      </c>
      <c r="R56" s="142">
        <f t="shared" si="43"/>
        <v>2.9829128328424872</v>
      </c>
      <c r="S56" s="142">
        <f t="shared" si="34"/>
        <v>126.93291283284248</v>
      </c>
      <c r="T56" s="142">
        <f t="shared" si="44"/>
        <v>0</v>
      </c>
      <c r="U56" s="147">
        <f t="shared" si="45"/>
        <v>25.386582566568496</v>
      </c>
      <c r="V56" s="147">
        <f t="shared" si="36"/>
        <v>126.93291283284248</v>
      </c>
      <c r="W56" s="147">
        <f t="shared" si="46"/>
        <v>2.9829128328424872</v>
      </c>
      <c r="X56" s="236">
        <f t="shared" si="10"/>
        <v>0</v>
      </c>
      <c r="Y56" s="198">
        <f t="shared" si="11"/>
        <v>0</v>
      </c>
    </row>
    <row r="57" spans="1:25" s="133" customFormat="1" ht="14.5" customHeight="1" x14ac:dyDescent="0.35">
      <c r="A57" s="284"/>
      <c r="B57" s="117" t="s">
        <v>190</v>
      </c>
      <c r="C57" s="131" t="s">
        <v>172</v>
      </c>
      <c r="D57" s="130"/>
      <c r="E57" s="144"/>
      <c r="F57" s="57">
        <v>4</v>
      </c>
      <c r="G57" s="143">
        <f>References!B30</f>
        <v>175</v>
      </c>
      <c r="H57" s="143">
        <f t="shared" si="42"/>
        <v>700</v>
      </c>
      <c r="I57" s="116">
        <f t="shared" si="48"/>
        <v>550.01968281822826</v>
      </c>
      <c r="J57" s="142">
        <f>(References!$C$56*I57)</f>
        <v>2.3403337503915584</v>
      </c>
      <c r="K57" s="142">
        <f>J57/References!$G$59</f>
        <v>2.3863302662739896</v>
      </c>
      <c r="L57" s="142">
        <f t="shared" si="30"/>
        <v>0.5965825665684974</v>
      </c>
      <c r="M57" s="142">
        <f>'Proposed Rates'!$B$65</f>
        <v>26.8</v>
      </c>
      <c r="N57" s="142">
        <f t="shared" si="47"/>
        <v>27.396582566568497</v>
      </c>
      <c r="O57" s="142">
        <f>'Proposed Rates'!D65</f>
        <v>27.396582566568497</v>
      </c>
      <c r="P57" s="142">
        <f t="shared" si="31"/>
        <v>107.2</v>
      </c>
      <c r="Q57" s="142">
        <f t="shared" si="32"/>
        <v>109.58633026627399</v>
      </c>
      <c r="R57" s="142">
        <f t="shared" si="43"/>
        <v>2.3863302662739869</v>
      </c>
      <c r="S57" s="142">
        <f t="shared" si="34"/>
        <v>109.58633026627399</v>
      </c>
      <c r="T57" s="142">
        <f t="shared" si="44"/>
        <v>0</v>
      </c>
      <c r="U57" s="147">
        <f t="shared" si="45"/>
        <v>27.396582566568497</v>
      </c>
      <c r="V57" s="147">
        <f t="shared" si="36"/>
        <v>109.58633026627399</v>
      </c>
      <c r="W57" s="147">
        <f t="shared" si="46"/>
        <v>2.3863302662739869</v>
      </c>
      <c r="X57" s="236">
        <f t="shared" si="10"/>
        <v>0</v>
      </c>
      <c r="Y57" s="198">
        <f t="shared" si="11"/>
        <v>0</v>
      </c>
    </row>
    <row r="58" spans="1:25" s="133" customFormat="1" ht="14.5" customHeight="1" x14ac:dyDescent="0.35">
      <c r="A58" s="284"/>
      <c r="B58" s="117" t="s">
        <v>190</v>
      </c>
      <c r="C58" s="131" t="s">
        <v>172</v>
      </c>
      <c r="D58" s="130"/>
      <c r="E58" s="144"/>
      <c r="F58" s="57">
        <v>44.000000000000007</v>
      </c>
      <c r="G58" s="143">
        <f>References!B30</f>
        <v>175</v>
      </c>
      <c r="H58" s="143">
        <f t="shared" si="42"/>
        <v>7700.0000000000009</v>
      </c>
      <c r="I58" s="116">
        <f t="shared" si="48"/>
        <v>6050.2165110005126</v>
      </c>
      <c r="J58" s="142">
        <f>(References!$C$56*I58)</f>
        <v>25.743671254307149</v>
      </c>
      <c r="K58" s="142">
        <f>J58/References!$G$59</f>
        <v>26.249632929013892</v>
      </c>
      <c r="L58" s="142">
        <f t="shared" si="30"/>
        <v>0.5965825665684974</v>
      </c>
      <c r="M58" s="142">
        <f>'Proposed Rates'!$B$65</f>
        <v>26.8</v>
      </c>
      <c r="N58" s="142">
        <f t="shared" si="47"/>
        <v>27.396582566568497</v>
      </c>
      <c r="O58" s="142">
        <f>'Proposed Rates'!D65</f>
        <v>27.396582566568497</v>
      </c>
      <c r="P58" s="142">
        <f t="shared" si="31"/>
        <v>1179.2000000000003</v>
      </c>
      <c r="Q58" s="142">
        <f t="shared" si="32"/>
        <v>1205.4496329290141</v>
      </c>
      <c r="R58" s="142">
        <f t="shared" si="43"/>
        <v>26.249632929013842</v>
      </c>
      <c r="S58" s="142">
        <f t="shared" si="34"/>
        <v>1205.4496329290141</v>
      </c>
      <c r="T58" s="142">
        <f t="shared" si="44"/>
        <v>0</v>
      </c>
      <c r="U58" s="147">
        <f t="shared" si="45"/>
        <v>27.396582566568497</v>
      </c>
      <c r="V58" s="147">
        <f t="shared" si="36"/>
        <v>1205.4496329290141</v>
      </c>
      <c r="W58" s="147">
        <f t="shared" si="46"/>
        <v>26.249632929013842</v>
      </c>
      <c r="X58" s="236">
        <f t="shared" si="10"/>
        <v>0</v>
      </c>
      <c r="Y58" s="198">
        <f t="shared" si="11"/>
        <v>0</v>
      </c>
    </row>
    <row r="59" spans="1:25" s="133" customFormat="1" ht="14.5" customHeight="1" x14ac:dyDescent="0.35">
      <c r="A59" s="284"/>
      <c r="B59" s="117" t="s">
        <v>190</v>
      </c>
      <c r="C59" s="131" t="s">
        <v>173</v>
      </c>
      <c r="D59" s="130"/>
      <c r="E59" s="144"/>
      <c r="F59" s="57">
        <v>4</v>
      </c>
      <c r="G59" s="143">
        <f>References!B31</f>
        <v>250</v>
      </c>
      <c r="H59" s="143">
        <f t="shared" si="42"/>
        <v>1000</v>
      </c>
      <c r="I59" s="116">
        <f t="shared" si="48"/>
        <v>785.7424040260405</v>
      </c>
      <c r="J59" s="142">
        <f>(References!$C$56*I59)</f>
        <v>3.3433339291307984</v>
      </c>
      <c r="K59" s="142">
        <f>J59/References!$G$59</f>
        <v>3.4090432375342719</v>
      </c>
      <c r="L59" s="142">
        <f t="shared" si="30"/>
        <v>0.85226080938356796</v>
      </c>
      <c r="M59" s="142">
        <f>'Proposed Rates'!$B$58</f>
        <v>34.14</v>
      </c>
      <c r="N59" s="142">
        <f t="shared" si="47"/>
        <v>34.992260809383566</v>
      </c>
      <c r="O59" s="142">
        <f>'Proposed Rates'!D58</f>
        <v>34.992260809383566</v>
      </c>
      <c r="P59" s="142">
        <f t="shared" si="31"/>
        <v>136.56</v>
      </c>
      <c r="Q59" s="142">
        <f t="shared" si="32"/>
        <v>139.96904323753427</v>
      </c>
      <c r="R59" s="142">
        <f t="shared" si="43"/>
        <v>3.409043237534263</v>
      </c>
      <c r="S59" s="142">
        <f t="shared" si="34"/>
        <v>139.96904323753427</v>
      </c>
      <c r="T59" s="142">
        <f t="shared" si="44"/>
        <v>0</v>
      </c>
      <c r="U59" s="147">
        <f t="shared" si="45"/>
        <v>34.992260809383566</v>
      </c>
      <c r="V59" s="147">
        <f t="shared" si="36"/>
        <v>139.96904323753427</v>
      </c>
      <c r="W59" s="147">
        <f t="shared" si="46"/>
        <v>3.409043237534263</v>
      </c>
      <c r="X59" s="236">
        <f t="shared" si="10"/>
        <v>0</v>
      </c>
      <c r="Y59" s="198">
        <f t="shared" si="11"/>
        <v>0</v>
      </c>
    </row>
    <row r="60" spans="1:25" s="133" customFormat="1" ht="14.5" customHeight="1" x14ac:dyDescent="0.35">
      <c r="A60" s="284"/>
      <c r="B60" s="117" t="s">
        <v>190</v>
      </c>
      <c r="C60" s="131" t="s">
        <v>174</v>
      </c>
      <c r="D60" s="130"/>
      <c r="E60" s="144"/>
      <c r="F60" s="57">
        <v>1</v>
      </c>
      <c r="G60" s="143">
        <f>References!B31</f>
        <v>250</v>
      </c>
      <c r="H60" s="143">
        <f t="shared" si="42"/>
        <v>250</v>
      </c>
      <c r="I60" s="116">
        <f t="shared" si="48"/>
        <v>196.43560100651013</v>
      </c>
      <c r="J60" s="142">
        <f>(References!$C$56*I60)</f>
        <v>0.8358334822826996</v>
      </c>
      <c r="K60" s="142">
        <f>J60/References!$G$59</f>
        <v>0.85226080938356796</v>
      </c>
      <c r="L60" s="142">
        <f t="shared" si="30"/>
        <v>0.85226080938356796</v>
      </c>
      <c r="M60" s="142">
        <f>'Proposed Rates'!$B$58</f>
        <v>34.14</v>
      </c>
      <c r="N60" s="142">
        <f t="shared" si="47"/>
        <v>34.992260809383566</v>
      </c>
      <c r="O60" s="142">
        <f>'Proposed Rates'!D58</f>
        <v>34.992260809383566</v>
      </c>
      <c r="P60" s="142">
        <f t="shared" si="31"/>
        <v>34.14</v>
      </c>
      <c r="Q60" s="142">
        <f t="shared" si="32"/>
        <v>34.992260809383566</v>
      </c>
      <c r="R60" s="142">
        <f t="shared" si="43"/>
        <v>0.85226080938356574</v>
      </c>
      <c r="S60" s="142">
        <f t="shared" si="34"/>
        <v>34.992260809383566</v>
      </c>
      <c r="T60" s="142">
        <f t="shared" si="44"/>
        <v>0</v>
      </c>
      <c r="U60" s="147">
        <f t="shared" si="45"/>
        <v>34.992260809383566</v>
      </c>
      <c r="V60" s="147">
        <f t="shared" si="36"/>
        <v>34.992260809383566</v>
      </c>
      <c r="W60" s="147">
        <f t="shared" si="46"/>
        <v>0.85226080938356574</v>
      </c>
      <c r="X60" s="236">
        <f t="shared" si="10"/>
        <v>0</v>
      </c>
      <c r="Y60" s="198">
        <f t="shared" si="11"/>
        <v>0</v>
      </c>
    </row>
    <row r="61" spans="1:25" s="133" customFormat="1" ht="14.5" customHeight="1" x14ac:dyDescent="0.35">
      <c r="A61" s="284"/>
      <c r="B61" s="117" t="s">
        <v>190</v>
      </c>
      <c r="C61" s="131" t="s">
        <v>175</v>
      </c>
      <c r="D61" s="130"/>
      <c r="E61" s="144"/>
      <c r="F61" s="57">
        <v>58.999999999999993</v>
      </c>
      <c r="G61" s="143">
        <f>References!B31</f>
        <v>250</v>
      </c>
      <c r="H61" s="143">
        <f t="shared" si="42"/>
        <v>14749.999999999998</v>
      </c>
      <c r="I61" s="116">
        <f t="shared" si="48"/>
        <v>11589.700459384096</v>
      </c>
      <c r="J61" s="142">
        <f>(References!$C$56*I61)</f>
        <v>49.314175454679265</v>
      </c>
      <c r="K61" s="142">
        <f>J61/References!$G$59</f>
        <v>50.283387753630493</v>
      </c>
      <c r="L61" s="142">
        <f t="shared" si="30"/>
        <v>0.85226080938356774</v>
      </c>
      <c r="M61" s="142">
        <f>'Proposed Rates'!$B$66</f>
        <v>31.14</v>
      </c>
      <c r="N61" s="142">
        <f t="shared" si="47"/>
        <v>31.99226080938357</v>
      </c>
      <c r="O61" s="142">
        <f>'Proposed Rates'!D66</f>
        <v>31.99226080938357</v>
      </c>
      <c r="P61" s="142">
        <f t="shared" si="31"/>
        <v>1837.2599999999998</v>
      </c>
      <c r="Q61" s="142">
        <f t="shared" si="32"/>
        <v>1887.5433877536304</v>
      </c>
      <c r="R61" s="142">
        <f t="shared" si="43"/>
        <v>50.283387753630677</v>
      </c>
      <c r="S61" s="142">
        <f t="shared" si="34"/>
        <v>1887.5433877536304</v>
      </c>
      <c r="T61" s="142">
        <f t="shared" si="44"/>
        <v>0</v>
      </c>
      <c r="U61" s="147">
        <f t="shared" si="45"/>
        <v>31.99226080938357</v>
      </c>
      <c r="V61" s="147">
        <f t="shared" si="36"/>
        <v>1887.5433877536304</v>
      </c>
      <c r="W61" s="147">
        <f t="shared" si="46"/>
        <v>50.283387753630677</v>
      </c>
      <c r="X61" s="236">
        <f t="shared" si="10"/>
        <v>0</v>
      </c>
      <c r="Y61" s="198">
        <f t="shared" si="11"/>
        <v>0</v>
      </c>
    </row>
    <row r="62" spans="1:25" s="133" customFormat="1" ht="14.5" customHeight="1" x14ac:dyDescent="0.35">
      <c r="A62" s="284"/>
      <c r="B62" s="117" t="s">
        <v>190</v>
      </c>
      <c r="C62" s="131" t="s">
        <v>176</v>
      </c>
      <c r="D62" s="130"/>
      <c r="E62" s="144"/>
      <c r="F62" s="57">
        <v>3</v>
      </c>
      <c r="G62" s="143">
        <f>References!B31</f>
        <v>250</v>
      </c>
      <c r="H62" s="143">
        <f t="shared" si="42"/>
        <v>750</v>
      </c>
      <c r="I62" s="116">
        <f t="shared" si="48"/>
        <v>589.30680301953032</v>
      </c>
      <c r="J62" s="142">
        <f>(References!$C$56*I62)</f>
        <v>2.5075004468480984</v>
      </c>
      <c r="K62" s="142">
        <f>J62/References!$G$59</f>
        <v>2.5567824281507034</v>
      </c>
      <c r="L62" s="142">
        <f t="shared" si="30"/>
        <v>0.85226080938356785</v>
      </c>
      <c r="M62" s="142">
        <f>'Proposed Rates'!$B$66</f>
        <v>31.14</v>
      </c>
      <c r="N62" s="142">
        <f t="shared" si="47"/>
        <v>31.99226080938357</v>
      </c>
      <c r="O62" s="142">
        <f>'Proposed Rates'!D66</f>
        <v>31.99226080938357</v>
      </c>
      <c r="P62" s="142">
        <f t="shared" si="31"/>
        <v>93.42</v>
      </c>
      <c r="Q62" s="142">
        <f t="shared" si="32"/>
        <v>95.976782428150713</v>
      </c>
      <c r="R62" s="142">
        <f t="shared" si="43"/>
        <v>2.5567824281507114</v>
      </c>
      <c r="S62" s="142">
        <f t="shared" si="34"/>
        <v>95.976782428150713</v>
      </c>
      <c r="T62" s="142">
        <f t="shared" si="44"/>
        <v>0</v>
      </c>
      <c r="U62" s="147">
        <f t="shared" si="45"/>
        <v>31.99226080938357</v>
      </c>
      <c r="V62" s="147">
        <f t="shared" si="36"/>
        <v>95.976782428150713</v>
      </c>
      <c r="W62" s="147">
        <f t="shared" si="46"/>
        <v>2.5567824281507114</v>
      </c>
      <c r="X62" s="236">
        <f t="shared" si="10"/>
        <v>0</v>
      </c>
      <c r="Y62" s="198">
        <f t="shared" si="11"/>
        <v>0</v>
      </c>
    </row>
    <row r="63" spans="1:25" s="133" customFormat="1" ht="14.5" customHeight="1" x14ac:dyDescent="0.35">
      <c r="A63" s="284"/>
      <c r="B63" s="117" t="s">
        <v>190</v>
      </c>
      <c r="C63" s="131" t="s">
        <v>177</v>
      </c>
      <c r="D63" s="130"/>
      <c r="E63" s="144"/>
      <c r="F63" s="57">
        <v>15</v>
      </c>
      <c r="G63" s="143">
        <f>References!B33</f>
        <v>324</v>
      </c>
      <c r="H63" s="143">
        <f t="shared" si="42"/>
        <v>4860</v>
      </c>
      <c r="I63" s="116">
        <f t="shared" si="48"/>
        <v>3818.7080835665565</v>
      </c>
      <c r="J63" s="142">
        <f>(References!$C$56*I63)</f>
        <v>16.248602895575679</v>
      </c>
      <c r="K63" s="142">
        <f>J63/References!$G$59</f>
        <v>16.567950134416559</v>
      </c>
      <c r="L63" s="142">
        <f t="shared" si="30"/>
        <v>1.1045300089611039</v>
      </c>
      <c r="M63" s="142">
        <f>'Proposed Rates'!$B$59</f>
        <v>46</v>
      </c>
      <c r="N63" s="142">
        <f t="shared" si="47"/>
        <v>47.104530008961106</v>
      </c>
      <c r="O63" s="142">
        <f>'Proposed Rates'!D59</f>
        <v>47.104530008961106</v>
      </c>
      <c r="P63" s="142">
        <f t="shared" si="31"/>
        <v>690</v>
      </c>
      <c r="Q63" s="142">
        <f t="shared" si="32"/>
        <v>706.56795013441661</v>
      </c>
      <c r="R63" s="142">
        <f t="shared" si="43"/>
        <v>16.567950134416606</v>
      </c>
      <c r="S63" s="142">
        <f t="shared" si="34"/>
        <v>706.56795013441661</v>
      </c>
      <c r="T63" s="142">
        <f t="shared" si="44"/>
        <v>0</v>
      </c>
      <c r="U63" s="147">
        <f t="shared" si="45"/>
        <v>47.104530008961106</v>
      </c>
      <c r="V63" s="147">
        <f t="shared" si="36"/>
        <v>706.56795013441661</v>
      </c>
      <c r="W63" s="147">
        <f t="shared" si="46"/>
        <v>16.567950134416606</v>
      </c>
      <c r="X63" s="236">
        <f t="shared" si="10"/>
        <v>0</v>
      </c>
      <c r="Y63" s="198">
        <f t="shared" si="11"/>
        <v>0</v>
      </c>
    </row>
    <row r="64" spans="1:25" s="133" customFormat="1" ht="14.5" customHeight="1" x14ac:dyDescent="0.35">
      <c r="A64" s="284"/>
      <c r="B64" s="117" t="s">
        <v>190</v>
      </c>
      <c r="C64" s="131" t="s">
        <v>178</v>
      </c>
      <c r="D64" s="130"/>
      <c r="E64" s="144"/>
      <c r="F64" s="57">
        <v>13.999999999999998</v>
      </c>
      <c r="G64" s="143">
        <f>References!B33</f>
        <v>324</v>
      </c>
      <c r="H64" s="143">
        <f t="shared" si="42"/>
        <v>4535.9999999999991</v>
      </c>
      <c r="I64" s="116">
        <f t="shared" si="48"/>
        <v>3564.1275446621189</v>
      </c>
      <c r="J64" s="142">
        <f>(References!$C$56*I64)</f>
        <v>15.165362702537298</v>
      </c>
      <c r="K64" s="142">
        <f>J64/References!$G$59</f>
        <v>15.463420125455452</v>
      </c>
      <c r="L64" s="142">
        <f t="shared" si="30"/>
        <v>1.1045300089611039</v>
      </c>
      <c r="M64" s="142">
        <f>'Proposed Rates'!$B$59</f>
        <v>46</v>
      </c>
      <c r="N64" s="142">
        <f t="shared" si="47"/>
        <v>47.104530008961106</v>
      </c>
      <c r="O64" s="142">
        <f>'Proposed Rates'!D59</f>
        <v>47.104530008961106</v>
      </c>
      <c r="P64" s="142">
        <f t="shared" si="31"/>
        <v>643.99999999999989</v>
      </c>
      <c r="Q64" s="142">
        <f t="shared" si="32"/>
        <v>659.4634201254554</v>
      </c>
      <c r="R64" s="142">
        <f t="shared" si="43"/>
        <v>15.463420125455514</v>
      </c>
      <c r="S64" s="142">
        <f t="shared" si="34"/>
        <v>659.4634201254554</v>
      </c>
      <c r="T64" s="142">
        <f t="shared" si="44"/>
        <v>0</v>
      </c>
      <c r="U64" s="147">
        <f t="shared" si="45"/>
        <v>47.104530008961106</v>
      </c>
      <c r="V64" s="147">
        <f t="shared" si="36"/>
        <v>659.4634201254554</v>
      </c>
      <c r="W64" s="147">
        <f t="shared" si="46"/>
        <v>15.463420125455514</v>
      </c>
      <c r="X64" s="236">
        <f t="shared" si="10"/>
        <v>0</v>
      </c>
      <c r="Y64" s="198">
        <f t="shared" si="11"/>
        <v>0</v>
      </c>
    </row>
    <row r="65" spans="1:26" s="133" customFormat="1" ht="14.5" customHeight="1" x14ac:dyDescent="0.35">
      <c r="A65" s="284"/>
      <c r="B65" s="117" t="s">
        <v>190</v>
      </c>
      <c r="C65" s="131" t="s">
        <v>179</v>
      </c>
      <c r="D65" s="130"/>
      <c r="E65" s="144"/>
      <c r="F65" s="57">
        <v>953.70059810920316</v>
      </c>
      <c r="G65" s="143">
        <f>References!B33</f>
        <v>324</v>
      </c>
      <c r="H65" s="143">
        <f t="shared" si="42"/>
        <v>308998.9937873818</v>
      </c>
      <c r="I65" s="116">
        <f t="shared" si="48"/>
        <v>242793.61222012492</v>
      </c>
      <c r="J65" s="142">
        <f>(References!$C$56*I65)</f>
        <v>1033.0868199966303</v>
      </c>
      <c r="K65" s="142">
        <f>J65/References!$G$59</f>
        <v>1053.3909301757683</v>
      </c>
      <c r="L65" s="142">
        <f t="shared" si="30"/>
        <v>1.1045300089611039</v>
      </c>
      <c r="M65" s="142">
        <f>'Proposed Rates'!$B$67</f>
        <v>40.549999999999997</v>
      </c>
      <c r="N65" s="142">
        <f t="shared" si="47"/>
        <v>41.654530008961103</v>
      </c>
      <c r="O65" s="142">
        <f>'Proposed Rates'!D67</f>
        <v>41.654530008961103</v>
      </c>
      <c r="P65" s="142">
        <f t="shared" si="31"/>
        <v>38672.559253328189</v>
      </c>
      <c r="Q65" s="142">
        <f t="shared" si="32"/>
        <v>39725.950183503955</v>
      </c>
      <c r="R65" s="142">
        <f t="shared" si="43"/>
        <v>1053.3909301757667</v>
      </c>
      <c r="S65" s="142">
        <f t="shared" si="34"/>
        <v>39725.950183503955</v>
      </c>
      <c r="T65" s="142">
        <f t="shared" si="44"/>
        <v>0</v>
      </c>
      <c r="U65" s="147">
        <f t="shared" si="45"/>
        <v>41.654530008961103</v>
      </c>
      <c r="V65" s="147">
        <f t="shared" si="36"/>
        <v>39725.950183503955</v>
      </c>
      <c r="W65" s="147">
        <f t="shared" si="46"/>
        <v>1053.3909301757667</v>
      </c>
      <c r="X65" s="236">
        <f t="shared" si="10"/>
        <v>0</v>
      </c>
      <c r="Y65" s="198">
        <f t="shared" si="11"/>
        <v>0</v>
      </c>
    </row>
    <row r="66" spans="1:26" s="133" customFormat="1" ht="14.5" customHeight="1" x14ac:dyDescent="0.35">
      <c r="A66" s="284"/>
      <c r="B66" s="117" t="s">
        <v>190</v>
      </c>
      <c r="C66" s="131" t="s">
        <v>180</v>
      </c>
      <c r="D66" s="130"/>
      <c r="E66" s="144"/>
      <c r="F66" s="57">
        <v>57</v>
      </c>
      <c r="G66" s="143">
        <f>References!B33</f>
        <v>324</v>
      </c>
      <c r="H66" s="143">
        <f t="shared" si="42"/>
        <v>18468</v>
      </c>
      <c r="I66" s="116">
        <f t="shared" si="48"/>
        <v>14511.090717552916</v>
      </c>
      <c r="J66" s="142">
        <f>(References!$C$56*I66)</f>
        <v>61.744691003187583</v>
      </c>
      <c r="K66" s="142">
        <f>J66/References!$G$59</f>
        <v>62.958210510782926</v>
      </c>
      <c r="L66" s="142">
        <f t="shared" si="30"/>
        <v>1.1045300089611039</v>
      </c>
      <c r="M66" s="142">
        <f>'Proposed Rates'!$B$67</f>
        <v>40.549999999999997</v>
      </c>
      <c r="N66" s="142">
        <f t="shared" si="47"/>
        <v>41.654530008961103</v>
      </c>
      <c r="O66" s="142">
        <f>'Proposed Rates'!D67</f>
        <v>41.654530008961103</v>
      </c>
      <c r="P66" s="142">
        <f t="shared" si="31"/>
        <v>2311.35</v>
      </c>
      <c r="Q66" s="142">
        <f t="shared" si="32"/>
        <v>2374.3082105107828</v>
      </c>
      <c r="R66" s="142">
        <f t="shared" si="43"/>
        <v>62.958210510782919</v>
      </c>
      <c r="S66" s="142">
        <f t="shared" si="34"/>
        <v>2374.3082105107828</v>
      </c>
      <c r="T66" s="142">
        <f t="shared" si="44"/>
        <v>0</v>
      </c>
      <c r="U66" s="147">
        <f t="shared" si="45"/>
        <v>41.654530008961103</v>
      </c>
      <c r="V66" s="147">
        <f t="shared" si="36"/>
        <v>2374.3082105107828</v>
      </c>
      <c r="W66" s="147">
        <f t="shared" si="46"/>
        <v>62.958210510782919</v>
      </c>
      <c r="X66" s="236">
        <f t="shared" si="10"/>
        <v>0</v>
      </c>
      <c r="Y66" s="198">
        <f t="shared" si="11"/>
        <v>0</v>
      </c>
    </row>
    <row r="67" spans="1:26" s="133" customFormat="1" ht="14.5" customHeight="1" x14ac:dyDescent="0.35">
      <c r="A67" s="284"/>
      <c r="B67" s="117" t="s">
        <v>190</v>
      </c>
      <c r="C67" s="131" t="s">
        <v>181</v>
      </c>
      <c r="D67" s="130"/>
      <c r="E67" s="144"/>
      <c r="F67" s="57">
        <v>41.999999999999993</v>
      </c>
      <c r="G67" s="143">
        <f>References!B34</f>
        <v>473</v>
      </c>
      <c r="H67" s="143">
        <f t="shared" si="42"/>
        <v>19865.999999999996</v>
      </c>
      <c r="I67" s="116">
        <f t="shared" si="48"/>
        <v>15609.558598381316</v>
      </c>
      <c r="J67" s="142">
        <f>(References!$C$56*I67)</f>
        <v>66.418671836112424</v>
      </c>
      <c r="K67" s="142">
        <f>J67/References!$G$59</f>
        <v>67.724052956855829</v>
      </c>
      <c r="L67" s="142">
        <f t="shared" si="30"/>
        <v>1.6124774513537106</v>
      </c>
      <c r="M67" s="142">
        <f>'Proposed Rates'!B60</f>
        <v>60.13</v>
      </c>
      <c r="N67" s="142">
        <f t="shared" si="47"/>
        <v>61.742477451353714</v>
      </c>
      <c r="O67" s="142">
        <f>'Proposed Rates'!D60</f>
        <v>61.742477451353714</v>
      </c>
      <c r="P67" s="142">
        <f t="shared" si="31"/>
        <v>2525.4599999999996</v>
      </c>
      <c r="Q67" s="142">
        <f t="shared" si="32"/>
        <v>2593.1840529568558</v>
      </c>
      <c r="R67" s="142">
        <f t="shared" si="43"/>
        <v>67.724052956856212</v>
      </c>
      <c r="S67" s="142">
        <f t="shared" si="34"/>
        <v>2593.1840529568558</v>
      </c>
      <c r="T67" s="142">
        <f t="shared" si="44"/>
        <v>0</v>
      </c>
      <c r="U67" s="147">
        <f t="shared" si="45"/>
        <v>61.742477451353714</v>
      </c>
      <c r="V67" s="147">
        <f t="shared" si="36"/>
        <v>2593.1840529568558</v>
      </c>
      <c r="W67" s="147">
        <f t="shared" si="46"/>
        <v>67.724052956856212</v>
      </c>
      <c r="X67" s="236">
        <f t="shared" si="10"/>
        <v>0</v>
      </c>
      <c r="Y67" s="198">
        <f t="shared" si="11"/>
        <v>0</v>
      </c>
    </row>
    <row r="68" spans="1:26" s="133" customFormat="1" ht="14.5" customHeight="1" x14ac:dyDescent="0.35">
      <c r="A68" s="284"/>
      <c r="B68" s="117" t="s">
        <v>190</v>
      </c>
      <c r="C68" s="131" t="s">
        <v>182</v>
      </c>
      <c r="D68" s="130"/>
      <c r="E68" s="144"/>
      <c r="F68" s="57">
        <v>11.97261207248944</v>
      </c>
      <c r="G68" s="143">
        <f>References!B36</f>
        <v>613</v>
      </c>
      <c r="H68" s="143">
        <f t="shared" si="42"/>
        <v>7339.211200436027</v>
      </c>
      <c r="I68" s="116">
        <f t="shared" si="48"/>
        <v>5766.7294522854463</v>
      </c>
      <c r="J68" s="142">
        <f>(References!$C$56*I68)</f>
        <v>24.537433819474543</v>
      </c>
      <c r="K68" s="142">
        <f>J68/References!$G$59</f>
        <v>25.01968831168222</v>
      </c>
      <c r="L68" s="142">
        <f t="shared" si="30"/>
        <v>2.0897435046085087</v>
      </c>
      <c r="M68" s="142">
        <f>'Proposed Rates'!$B$61</f>
        <v>81.06</v>
      </c>
      <c r="N68" s="142">
        <f t="shared" si="47"/>
        <v>83.149743504608509</v>
      </c>
      <c r="O68" s="142">
        <f>'Proposed Rates'!D61</f>
        <v>83.149743504608509</v>
      </c>
      <c r="P68" s="142">
        <f t="shared" si="31"/>
        <v>970.49993459599409</v>
      </c>
      <c r="Q68" s="142">
        <f t="shared" si="32"/>
        <v>995.51962290767619</v>
      </c>
      <c r="R68" s="142">
        <f t="shared" si="43"/>
        <v>25.019688311682103</v>
      </c>
      <c r="S68" s="142">
        <f t="shared" si="34"/>
        <v>995.51962290767619</v>
      </c>
      <c r="T68" s="142">
        <f t="shared" si="44"/>
        <v>0</v>
      </c>
      <c r="U68" s="147">
        <f t="shared" si="45"/>
        <v>83.149743504608509</v>
      </c>
      <c r="V68" s="147">
        <f t="shared" si="36"/>
        <v>995.51962290767619</v>
      </c>
      <c r="W68" s="147">
        <f t="shared" si="46"/>
        <v>25.019688311682103</v>
      </c>
      <c r="X68" s="236">
        <f t="shared" si="10"/>
        <v>0</v>
      </c>
      <c r="Y68" s="198">
        <f t="shared" si="11"/>
        <v>0</v>
      </c>
    </row>
    <row r="69" spans="1:26" s="133" customFormat="1" ht="14.5" customHeight="1" x14ac:dyDescent="0.35">
      <c r="A69" s="284"/>
      <c r="B69" s="117" t="s">
        <v>190</v>
      </c>
      <c r="C69" s="131" t="s">
        <v>182</v>
      </c>
      <c r="D69" s="130"/>
      <c r="E69" s="144"/>
      <c r="F69" s="57">
        <v>1</v>
      </c>
      <c r="G69" s="143">
        <f>References!B36</f>
        <v>613</v>
      </c>
      <c r="H69" s="143">
        <f t="shared" si="42"/>
        <v>613</v>
      </c>
      <c r="I69" s="116">
        <f t="shared" si="48"/>
        <v>481.66009366796277</v>
      </c>
      <c r="J69" s="142">
        <f>(References!$C$56*I69)</f>
        <v>2.049463698557179</v>
      </c>
      <c r="K69" s="142">
        <f>J69/References!$G$59</f>
        <v>2.0897435046085082</v>
      </c>
      <c r="L69" s="142">
        <f t="shared" si="30"/>
        <v>2.0897435046085082</v>
      </c>
      <c r="M69" s="142">
        <f>'Proposed Rates'!$B$61</f>
        <v>81.06</v>
      </c>
      <c r="N69" s="142">
        <f t="shared" si="47"/>
        <v>83.149743504608509</v>
      </c>
      <c r="O69" s="142">
        <f>'Proposed Rates'!D61</f>
        <v>83.149743504608509</v>
      </c>
      <c r="P69" s="142">
        <f t="shared" si="31"/>
        <v>81.06</v>
      </c>
      <c r="Q69" s="142">
        <f t="shared" si="32"/>
        <v>83.149743504608509</v>
      </c>
      <c r="R69" s="142">
        <f t="shared" si="43"/>
        <v>2.0897435046085064</v>
      </c>
      <c r="S69" s="142">
        <f t="shared" si="34"/>
        <v>83.149743504608509</v>
      </c>
      <c r="T69" s="142">
        <f t="shared" si="44"/>
        <v>0</v>
      </c>
      <c r="U69" s="147">
        <f t="shared" si="45"/>
        <v>83.149743504608509</v>
      </c>
      <c r="V69" s="147">
        <f t="shared" si="36"/>
        <v>83.149743504608509</v>
      </c>
      <c r="W69" s="147">
        <f t="shared" si="46"/>
        <v>2.0897435046085064</v>
      </c>
      <c r="X69" s="236">
        <f t="shared" ref="X69:X78" si="49">R69-W69</f>
        <v>0</v>
      </c>
      <c r="Y69" s="198">
        <f t="shared" ref="Y69:Y76" si="50">O69-U69</f>
        <v>0</v>
      </c>
    </row>
    <row r="70" spans="1:26" s="133" customFormat="1" ht="14.5" customHeight="1" x14ac:dyDescent="0.35">
      <c r="A70" s="284"/>
      <c r="B70" s="117" t="s">
        <v>190</v>
      </c>
      <c r="C70" s="131" t="s">
        <v>183</v>
      </c>
      <c r="D70" s="130"/>
      <c r="E70" s="144"/>
      <c r="F70" s="57">
        <v>1</v>
      </c>
      <c r="G70" s="143">
        <f>References!B38</f>
        <v>840</v>
      </c>
      <c r="H70" s="143">
        <f t="shared" si="42"/>
        <v>840</v>
      </c>
      <c r="I70" s="116">
        <f t="shared" si="48"/>
        <v>660.02361938187403</v>
      </c>
      <c r="J70" s="142">
        <f>(References!$C$56*I70)</f>
        <v>2.8084005004698707</v>
      </c>
      <c r="K70" s="142">
        <f>J70/References!$G$59</f>
        <v>2.8635963195287881</v>
      </c>
      <c r="L70" s="142">
        <f t="shared" si="30"/>
        <v>2.8635963195287881</v>
      </c>
      <c r="M70" s="142">
        <f>'Proposed Rates'!B62</f>
        <v>112.13</v>
      </c>
      <c r="N70" s="142">
        <f t="shared" si="47"/>
        <v>114.99359631952878</v>
      </c>
      <c r="O70" s="142">
        <f>'Proposed Rates'!D62</f>
        <v>114.99359631952878</v>
      </c>
      <c r="P70" s="142">
        <f t="shared" si="31"/>
        <v>112.13</v>
      </c>
      <c r="Q70" s="142">
        <f t="shared" si="32"/>
        <v>114.99359631952878</v>
      </c>
      <c r="R70" s="142">
        <f t="shared" si="43"/>
        <v>2.8635963195287815</v>
      </c>
      <c r="S70" s="142">
        <f t="shared" si="34"/>
        <v>114.99359631952878</v>
      </c>
      <c r="T70" s="142">
        <f t="shared" si="44"/>
        <v>0</v>
      </c>
      <c r="U70" s="147">
        <f t="shared" si="45"/>
        <v>114.99359631952878</v>
      </c>
      <c r="V70" s="147">
        <f t="shared" si="36"/>
        <v>114.99359631952878</v>
      </c>
      <c r="W70" s="147">
        <f t="shared" si="46"/>
        <v>2.8635963195287815</v>
      </c>
      <c r="X70" s="236">
        <f t="shared" si="49"/>
        <v>0</v>
      </c>
      <c r="Y70" s="198">
        <f t="shared" si="50"/>
        <v>0</v>
      </c>
    </row>
    <row r="71" spans="1:26" s="133" customFormat="1" ht="14.5" customHeight="1" x14ac:dyDescent="0.35">
      <c r="A71" s="284"/>
      <c r="B71" s="117">
        <v>38</v>
      </c>
      <c r="C71" s="131" t="s">
        <v>184</v>
      </c>
      <c r="D71" s="130"/>
      <c r="E71" s="144"/>
      <c r="F71" s="57">
        <v>48.761475011150623</v>
      </c>
      <c r="G71" s="173">
        <f>References!B45</f>
        <v>1686</v>
      </c>
      <c r="H71" s="56">
        <f t="shared" si="42"/>
        <v>82211.846868799956</v>
      </c>
      <c r="I71" s="116">
        <f t="shared" si="48"/>
        <v>64597.334198111581</v>
      </c>
      <c r="J71" s="142">
        <f>(References!$C$56*I71)</f>
        <v>274.86165701296443</v>
      </c>
      <c r="K71" s="142">
        <f>J71/References!$G$59</f>
        <v>280.26374061328551</v>
      </c>
      <c r="L71" s="142">
        <f>K71/F71</f>
        <v>5.7476468984827811</v>
      </c>
      <c r="M71" s="142">
        <f>'Proposed Rates'!B109</f>
        <v>161.13999999999999</v>
      </c>
      <c r="N71" s="142">
        <f t="shared" si="47"/>
        <v>166.88764689848276</v>
      </c>
      <c r="O71" s="58">
        <f>'Proposed Rates'!D109</f>
        <v>166.88764689848276</v>
      </c>
      <c r="P71" s="142">
        <f t="shared" si="31"/>
        <v>7857.4240832968107</v>
      </c>
      <c r="Q71" s="142">
        <f t="shared" si="32"/>
        <v>8137.6878239100961</v>
      </c>
      <c r="R71" s="142">
        <f t="shared" si="43"/>
        <v>280.26374061328534</v>
      </c>
      <c r="S71" s="142">
        <f t="shared" si="34"/>
        <v>8137.6878239100961</v>
      </c>
      <c r="T71" s="142">
        <f t="shared" si="44"/>
        <v>0</v>
      </c>
      <c r="U71" s="147">
        <f t="shared" si="45"/>
        <v>166.88764689848276</v>
      </c>
      <c r="V71" s="147">
        <f t="shared" si="36"/>
        <v>8137.6878239100961</v>
      </c>
      <c r="W71" s="147">
        <f t="shared" si="46"/>
        <v>280.26374061328534</v>
      </c>
      <c r="X71" s="236">
        <f t="shared" si="49"/>
        <v>0</v>
      </c>
      <c r="Y71" s="199">
        <f t="shared" si="50"/>
        <v>0</v>
      </c>
      <c r="Z71" s="200" t="s">
        <v>498</v>
      </c>
    </row>
    <row r="72" spans="1:26" s="133" customFormat="1" ht="14.5" customHeight="1" x14ac:dyDescent="0.35">
      <c r="A72" s="284"/>
      <c r="B72" s="117" t="s">
        <v>191</v>
      </c>
      <c r="C72" s="131" t="s">
        <v>185</v>
      </c>
      <c r="D72" s="130"/>
      <c r="E72" s="144"/>
      <c r="F72" s="57">
        <v>304.18351643192489</v>
      </c>
      <c r="G72" s="143">
        <f>References!B29</f>
        <v>29</v>
      </c>
      <c r="H72" s="143">
        <f t="shared" si="42"/>
        <v>8821.3219765258218</v>
      </c>
      <c r="I72" s="116">
        <f t="shared" si="48"/>
        <v>6931.2867365231423</v>
      </c>
      <c r="J72" s="142">
        <f>(References!$C$56*I72)</f>
        <v>29.492625063905933</v>
      </c>
      <c r="K72" s="142">
        <f>J72/References!$G$59</f>
        <v>30.072268030187804</v>
      </c>
      <c r="L72" s="142">
        <f t="shared" si="30"/>
        <v>9.8862253888493859E-2</v>
      </c>
      <c r="M72" s="142">
        <f>'Proposed Rates'!B89</f>
        <v>5.33</v>
      </c>
      <c r="N72" s="142">
        <f t="shared" si="47"/>
        <v>5.4288622538884939</v>
      </c>
      <c r="O72" s="142">
        <f>'Proposed Rates'!$D$89</f>
        <v>5.4288622538884939</v>
      </c>
      <c r="P72" s="142">
        <f t="shared" si="31"/>
        <v>1621.2981425821597</v>
      </c>
      <c r="Q72" s="142">
        <f t="shared" si="32"/>
        <v>1651.3704106123475</v>
      </c>
      <c r="R72" s="142">
        <f t="shared" si="43"/>
        <v>30.072268030187843</v>
      </c>
      <c r="S72" s="142">
        <f t="shared" si="34"/>
        <v>1651.3704106123475</v>
      </c>
      <c r="T72" s="142">
        <f t="shared" si="44"/>
        <v>0</v>
      </c>
      <c r="U72" s="147">
        <f t="shared" si="45"/>
        <v>5.4288622538884939</v>
      </c>
      <c r="V72" s="147">
        <f t="shared" si="36"/>
        <v>1651.3704106123475</v>
      </c>
      <c r="W72" s="147">
        <f t="shared" si="46"/>
        <v>30.072268030187843</v>
      </c>
      <c r="X72" s="236">
        <f t="shared" si="49"/>
        <v>0</v>
      </c>
      <c r="Y72" s="198">
        <f t="shared" si="50"/>
        <v>0</v>
      </c>
    </row>
    <row r="73" spans="1:26" s="133" customFormat="1" ht="14.5" customHeight="1" x14ac:dyDescent="0.35">
      <c r="A73" s="284"/>
      <c r="B73" s="117"/>
      <c r="C73" s="131" t="s">
        <v>186</v>
      </c>
      <c r="D73" s="130"/>
      <c r="E73" s="144"/>
      <c r="F73" s="93">
        <f>17.32*3</f>
        <v>51.96</v>
      </c>
      <c r="G73" s="143">
        <f>References!B29</f>
        <v>29</v>
      </c>
      <c r="H73" s="143">
        <f t="shared" si="42"/>
        <v>1506.84</v>
      </c>
      <c r="I73" s="116">
        <f t="shared" si="48"/>
        <v>1183.9880840825988</v>
      </c>
      <c r="J73" s="142">
        <f>(References!$C$56*I73)</f>
        <v>5.0378692977714516</v>
      </c>
      <c r="K73" s="142">
        <f>J73/References!$G$59</f>
        <v>5.1368827120461411</v>
      </c>
      <c r="L73" s="142">
        <f t="shared" si="30"/>
        <v>9.8862253888493859E-2</v>
      </c>
      <c r="M73" s="142">
        <f>M72</f>
        <v>5.33</v>
      </c>
      <c r="N73" s="142">
        <f t="shared" si="47"/>
        <v>5.4288622538884939</v>
      </c>
      <c r="O73" s="142">
        <f>'Proposed Rates'!$D$89</f>
        <v>5.4288622538884939</v>
      </c>
      <c r="P73" s="142">
        <f t="shared" si="31"/>
        <v>276.9468</v>
      </c>
      <c r="Q73" s="142">
        <f t="shared" si="32"/>
        <v>282.08368271204614</v>
      </c>
      <c r="R73" s="142">
        <f t="shared" si="43"/>
        <v>5.1368827120461447</v>
      </c>
      <c r="S73" s="142">
        <f t="shared" si="34"/>
        <v>282.08368271204614</v>
      </c>
      <c r="T73" s="142">
        <f t="shared" si="44"/>
        <v>0</v>
      </c>
      <c r="U73" s="147">
        <f t="shared" si="45"/>
        <v>5.4288622538884939</v>
      </c>
      <c r="V73" s="147">
        <f t="shared" si="36"/>
        <v>282.08368271204614</v>
      </c>
      <c r="W73" s="147">
        <f t="shared" si="46"/>
        <v>5.1368827120461447</v>
      </c>
      <c r="X73" s="236">
        <f t="shared" si="49"/>
        <v>0</v>
      </c>
      <c r="Y73" s="198">
        <f t="shared" si="50"/>
        <v>0</v>
      </c>
    </row>
    <row r="74" spans="1:26" s="133" customFormat="1" ht="14.5" customHeight="1" x14ac:dyDescent="0.35">
      <c r="A74" s="284"/>
      <c r="B74" s="117" t="s">
        <v>192</v>
      </c>
      <c r="C74" s="131" t="s">
        <v>187</v>
      </c>
      <c r="D74" s="130"/>
      <c r="E74" s="144"/>
      <c r="F74" s="57">
        <v>165.62479830148624</v>
      </c>
      <c r="G74" s="170">
        <v>37</v>
      </c>
      <c r="H74" s="143">
        <f t="shared" si="42"/>
        <v>6128.1175371549907</v>
      </c>
      <c r="I74" s="116">
        <f t="shared" si="48"/>
        <v>4815.1218057983006</v>
      </c>
      <c r="J74" s="142">
        <f>(References!$C$56*I74)</f>
        <v>20.488343283671746</v>
      </c>
      <c r="K74" s="142">
        <f>J74/References!$G$59</f>
        <v>20.891017648853396</v>
      </c>
      <c r="L74" s="142">
        <f t="shared" si="30"/>
        <v>0.12613459978876804</v>
      </c>
      <c r="M74" s="142">
        <f>'Proposed Rates'!B73</f>
        <v>6.01</v>
      </c>
      <c r="N74" s="142">
        <f t="shared" si="47"/>
        <v>6.1361345997887682</v>
      </c>
      <c r="O74" s="142">
        <f>'Proposed Rates'!D73</f>
        <v>6.1361345997887682</v>
      </c>
      <c r="P74" s="142">
        <f t="shared" si="31"/>
        <v>995.40503779193227</v>
      </c>
      <c r="Q74" s="142">
        <f t="shared" si="32"/>
        <v>1016.2960554407857</v>
      </c>
      <c r="R74" s="142">
        <f t="shared" si="43"/>
        <v>20.891017648853449</v>
      </c>
      <c r="S74" s="142">
        <f t="shared" si="34"/>
        <v>1016.2960554407857</v>
      </c>
      <c r="T74" s="142">
        <f t="shared" si="44"/>
        <v>0</v>
      </c>
      <c r="U74" s="147">
        <f t="shared" si="45"/>
        <v>6.1361345997887682</v>
      </c>
      <c r="V74" s="147">
        <f t="shared" si="36"/>
        <v>1016.2960554407857</v>
      </c>
      <c r="W74" s="147">
        <f t="shared" si="46"/>
        <v>20.891017648853449</v>
      </c>
      <c r="X74" s="236">
        <f t="shared" si="49"/>
        <v>0</v>
      </c>
      <c r="Y74" s="198">
        <f t="shared" si="50"/>
        <v>0</v>
      </c>
    </row>
    <row r="75" spans="1:26" s="133" customFormat="1" ht="14.5" customHeight="1" x14ac:dyDescent="0.35">
      <c r="A75" s="284"/>
      <c r="B75" s="117" t="s">
        <v>192</v>
      </c>
      <c r="C75" s="131" t="s">
        <v>188</v>
      </c>
      <c r="D75" s="130"/>
      <c r="E75" s="144"/>
      <c r="F75" s="57">
        <v>2422.6406684917802</v>
      </c>
      <c r="G75" s="143">
        <f>References!B24</f>
        <v>47</v>
      </c>
      <c r="H75" s="143">
        <f t="shared" si="42"/>
        <v>113864.11141911367</v>
      </c>
      <c r="I75" s="116">
        <f t="shared" si="48"/>
        <v>89467.860638743296</v>
      </c>
      <c r="J75" s="142">
        <f>(References!$C$56*I75)</f>
        <v>380.68574701785229</v>
      </c>
      <c r="K75" s="142">
        <f>J75/References!$G$59</f>
        <v>388.1676790311783</v>
      </c>
      <c r="L75" s="142">
        <f t="shared" si="30"/>
        <v>0.16022503216411077</v>
      </c>
      <c r="M75" s="142">
        <f>'Proposed Rates'!B76</f>
        <v>7.69</v>
      </c>
      <c r="N75" s="142">
        <f t="shared" si="47"/>
        <v>7.8502250321641114</v>
      </c>
      <c r="O75" s="142">
        <f>'Proposed Rates'!D76</f>
        <v>7.8502250321641114</v>
      </c>
      <c r="P75" s="142">
        <f t="shared" si="31"/>
        <v>18630.106740701791</v>
      </c>
      <c r="Q75" s="142">
        <f t="shared" si="32"/>
        <v>19018.27441973297</v>
      </c>
      <c r="R75" s="142">
        <f t="shared" si="43"/>
        <v>388.16767903117943</v>
      </c>
      <c r="S75" s="142">
        <f t="shared" si="34"/>
        <v>19018.27441973297</v>
      </c>
      <c r="T75" s="142">
        <f t="shared" si="44"/>
        <v>0</v>
      </c>
      <c r="U75" s="147">
        <f t="shared" si="45"/>
        <v>7.8502250321641114</v>
      </c>
      <c r="V75" s="147">
        <f t="shared" si="36"/>
        <v>19018.27441973297</v>
      </c>
      <c r="W75" s="147">
        <f t="shared" si="46"/>
        <v>388.16767903117943</v>
      </c>
      <c r="X75" s="236">
        <f t="shared" si="49"/>
        <v>0</v>
      </c>
      <c r="Y75" s="198">
        <f t="shared" si="50"/>
        <v>0</v>
      </c>
    </row>
    <row r="76" spans="1:26" s="133" customFormat="1" ht="14.5" customHeight="1" x14ac:dyDescent="0.35">
      <c r="A76" s="284"/>
      <c r="B76" s="117"/>
      <c r="C76" s="131" t="s">
        <v>189</v>
      </c>
      <c r="D76" s="130"/>
      <c r="E76" s="144"/>
      <c r="F76" s="93">
        <f>112.58*2</f>
        <v>225.16</v>
      </c>
      <c r="G76" s="143">
        <f>References!B24</f>
        <v>47</v>
      </c>
      <c r="H76" s="143">
        <f t="shared" si="42"/>
        <v>10582.52</v>
      </c>
      <c r="I76" s="116">
        <f t="shared" si="48"/>
        <v>8315.1347054536545</v>
      </c>
      <c r="J76" s="142">
        <f>(References!$C$56*I76)</f>
        <v>35.380898171705255</v>
      </c>
      <c r="K76" s="142">
        <f>J76/References!$G$59</f>
        <v>36.07626824207118</v>
      </c>
      <c r="L76" s="142">
        <f t="shared" si="30"/>
        <v>0.16022503216411077</v>
      </c>
      <c r="M76" s="142">
        <f>M75*2</f>
        <v>15.38</v>
      </c>
      <c r="N76" s="142">
        <f t="shared" si="47"/>
        <v>15.540225032164111</v>
      </c>
      <c r="O76" s="142">
        <f>O75*2</f>
        <v>15.700450064328223</v>
      </c>
      <c r="P76" s="142">
        <f t="shared" si="31"/>
        <v>3462.9608000000003</v>
      </c>
      <c r="Q76" s="142">
        <f t="shared" si="32"/>
        <v>3535.1133364841426</v>
      </c>
      <c r="R76" s="142">
        <f t="shared" si="43"/>
        <v>72.152536484142274</v>
      </c>
      <c r="S76" s="142">
        <f t="shared" si="34"/>
        <v>3499.0370682420712</v>
      </c>
      <c r="T76" s="142">
        <f t="shared" si="44"/>
        <v>36.076268242071365</v>
      </c>
      <c r="U76" s="147">
        <f t="shared" si="45"/>
        <v>15.540225032164111</v>
      </c>
      <c r="V76" s="147">
        <f t="shared" si="36"/>
        <v>3499.0370682420712</v>
      </c>
      <c r="W76" s="147">
        <f t="shared" si="46"/>
        <v>36.07626824207091</v>
      </c>
      <c r="X76" s="236">
        <f t="shared" si="49"/>
        <v>36.076268242071365</v>
      </c>
      <c r="Y76" s="198">
        <f t="shared" si="50"/>
        <v>0.16022503216411188</v>
      </c>
    </row>
    <row r="77" spans="1:26" s="133" customFormat="1" x14ac:dyDescent="0.35">
      <c r="A77" s="120"/>
      <c r="B77" s="118"/>
      <c r="C77" s="122" t="s">
        <v>17</v>
      </c>
      <c r="D77" s="123">
        <f>SUM(D24:D76)</f>
        <v>0</v>
      </c>
      <c r="E77" s="124"/>
      <c r="F77" s="125">
        <f>SUM(F24:F76)</f>
        <v>29367.823939339123</v>
      </c>
      <c r="G77" s="126"/>
      <c r="H77" s="125">
        <f>SUM(H24:H76)</f>
        <v>8379819.2680033371</v>
      </c>
      <c r="I77" s="127">
        <f>SUM(I24:I76)</f>
        <v>6584379.3369446751</v>
      </c>
      <c r="J77" s="150"/>
      <c r="K77" s="150"/>
      <c r="L77" s="150"/>
      <c r="M77" s="150"/>
      <c r="N77" s="150"/>
      <c r="O77" s="150"/>
      <c r="P77" s="150">
        <f>SUM(P24:P76)</f>
        <v>1074405.6698754707</v>
      </c>
      <c r="Q77" s="150">
        <f>SUM(Q24:Q76)</f>
        <v>1103008.9123510586</v>
      </c>
      <c r="R77" s="150">
        <f>SUM(R24:R76)</f>
        <v>28603.242475588231</v>
      </c>
      <c r="S77" s="150">
        <f>SUM(S24:S76)</f>
        <v>1102972.8360828164</v>
      </c>
      <c r="T77" s="150">
        <f>SUM(T24:T76)</f>
        <v>36.076268242071365</v>
      </c>
      <c r="U77" s="151"/>
      <c r="V77" s="150">
        <f>SUM(V24:V76)</f>
        <v>1102972.8360828164</v>
      </c>
      <c r="W77" s="150">
        <f>SUM(W24:W76)</f>
        <v>28567.166207346159</v>
      </c>
      <c r="X77" s="236">
        <f t="shared" si="49"/>
        <v>36.076268242071819</v>
      </c>
    </row>
    <row r="78" spans="1:26" x14ac:dyDescent="0.35">
      <c r="C78" s="138" t="s">
        <v>3</v>
      </c>
      <c r="D78" s="139">
        <f>D23+D77</f>
        <v>8115.433</v>
      </c>
      <c r="E78" s="139"/>
      <c r="F78" s="139">
        <f>F23+F77</f>
        <v>360935.77993933915</v>
      </c>
      <c r="G78" s="139"/>
      <c r="H78" s="139">
        <f>H23+H77</f>
        <v>22586358.976003338</v>
      </c>
      <c r="I78" s="139">
        <f>I23+I77</f>
        <v>17747059.999999996</v>
      </c>
      <c r="J78" s="142"/>
      <c r="K78" s="152"/>
      <c r="L78" s="152"/>
      <c r="M78" s="152"/>
      <c r="N78" s="152"/>
      <c r="O78" s="152"/>
      <c r="P78" s="152">
        <f>P23+P77</f>
        <v>3360530.8407335235</v>
      </c>
      <c r="Q78" s="152">
        <f>Q23+Q77</f>
        <v>3437564.795537658</v>
      </c>
      <c r="R78" s="152">
        <f>R23+R77</f>
        <v>77033.954804135428</v>
      </c>
      <c r="S78" s="152">
        <f>S23+S77</f>
        <v>3437528.7150611877</v>
      </c>
      <c r="T78" s="152">
        <f>T23+T77</f>
        <v>36.08047646976371</v>
      </c>
      <c r="U78" s="152"/>
      <c r="V78" s="152">
        <f>V23+V77</f>
        <v>3437528.7150611877</v>
      </c>
      <c r="W78" s="152">
        <f>W23+W77</f>
        <v>76997.874327665661</v>
      </c>
      <c r="X78" s="236">
        <f t="shared" si="49"/>
        <v>36.080476469767746</v>
      </c>
    </row>
    <row r="79" spans="1:26" x14ac:dyDescent="0.35">
      <c r="J79" s="129"/>
      <c r="S79" s="134"/>
    </row>
    <row r="80" spans="1:26" x14ac:dyDescent="0.35">
      <c r="J80" s="129"/>
      <c r="S80" s="134"/>
      <c r="V80" s="110"/>
    </row>
    <row r="81" spans="1:23" x14ac:dyDescent="0.35">
      <c r="A81" s="153"/>
      <c r="B81" s="154"/>
      <c r="C81" s="158" t="s">
        <v>104</v>
      </c>
      <c r="D81" s="155"/>
      <c r="E81" s="153"/>
      <c r="F81" s="153"/>
      <c r="G81" s="153"/>
      <c r="H81" s="153"/>
      <c r="I81" s="156"/>
      <c r="J81" s="157"/>
      <c r="K81" s="153"/>
      <c r="L81" s="153"/>
      <c r="M81" s="153"/>
      <c r="N81" s="153"/>
      <c r="O81" s="153"/>
      <c r="S81" s="134"/>
    </row>
    <row r="82" spans="1:23" ht="15" customHeight="1" x14ac:dyDescent="0.35">
      <c r="A82" s="284" t="s">
        <v>14</v>
      </c>
      <c r="B82" s="135">
        <v>22</v>
      </c>
      <c r="C82" s="169" t="s">
        <v>105</v>
      </c>
      <c r="D82" s="104">
        <v>0</v>
      </c>
      <c r="E82" s="97">
        <f>References!B10</f>
        <v>4.333333333333333</v>
      </c>
      <c r="F82" s="130">
        <f>E82*12</f>
        <v>52</v>
      </c>
      <c r="G82" s="130">
        <f>References!B20</f>
        <v>97</v>
      </c>
      <c r="H82" s="130">
        <f>F82*G82/12</f>
        <v>420.33333333333331</v>
      </c>
      <c r="I82" s="130">
        <f>H82*$D$110</f>
        <v>330.27372382561231</v>
      </c>
      <c r="J82" s="142">
        <f>(References!$C$56*I82)</f>
        <v>1.4053146948779787</v>
      </c>
      <c r="K82" s="183">
        <f>J82/References!$G$59</f>
        <v>1.4329345075102387</v>
      </c>
      <c r="L82" s="142">
        <f t="shared" ref="L82:L101" si="51">K82/F82*E82</f>
        <v>0.11941120895918655</v>
      </c>
      <c r="M82" s="183">
        <f>'Proposed Rates'!B16</f>
        <v>60.47</v>
      </c>
      <c r="N82" s="183">
        <f>K82+M82</f>
        <v>61.902934507510238</v>
      </c>
      <c r="O82" s="183">
        <f>'Proposed Rates'!D16</f>
        <v>61.902934507510238</v>
      </c>
      <c r="Q82" s="131" t="s">
        <v>14</v>
      </c>
      <c r="R82" s="237">
        <f>R23</f>
        <v>48430.71232854719</v>
      </c>
      <c r="S82" s="134"/>
      <c r="W82" s="110">
        <f>W23</f>
        <v>48430.708120319498</v>
      </c>
    </row>
    <row r="83" spans="1:23" x14ac:dyDescent="0.35">
      <c r="A83" s="284"/>
      <c r="B83" s="135">
        <v>22</v>
      </c>
      <c r="C83" s="169" t="s">
        <v>106</v>
      </c>
      <c r="D83" s="104">
        <v>0</v>
      </c>
      <c r="E83" s="97">
        <f>References!B10</f>
        <v>4.333333333333333</v>
      </c>
      <c r="F83" s="130">
        <f t="shared" ref="F83:F101" si="52">E83*12</f>
        <v>52</v>
      </c>
      <c r="G83" s="130">
        <f>References!B21</f>
        <v>117</v>
      </c>
      <c r="H83" s="130">
        <f t="shared" ref="H83:H86" si="53">F83*G83/12</f>
        <v>507</v>
      </c>
      <c r="I83" s="130">
        <f>H83*$D$110</f>
        <v>398.37139884120251</v>
      </c>
      <c r="J83" s="142">
        <f>(References!$C$56*I83)</f>
        <v>1.6950703020693145</v>
      </c>
      <c r="K83" s="183">
        <f>J83/References!$G$59</f>
        <v>1.7283849214298754</v>
      </c>
      <c r="L83" s="142">
        <f t="shared" si="51"/>
        <v>0.14403207678582294</v>
      </c>
      <c r="M83" s="183">
        <f>'Proposed Rates'!B17</f>
        <v>71.73</v>
      </c>
      <c r="N83" s="183">
        <f t="shared" ref="N83" si="54">K83+M83</f>
        <v>73.458384921429882</v>
      </c>
      <c r="O83" s="183">
        <f>'Proposed Rates'!D17</f>
        <v>73.458384921429882</v>
      </c>
      <c r="Q83" s="131" t="s">
        <v>15</v>
      </c>
      <c r="R83" s="237">
        <f>R77</f>
        <v>28603.242475588231</v>
      </c>
      <c r="S83" s="134"/>
      <c r="W83" s="110">
        <f>W77</f>
        <v>28567.166207346159</v>
      </c>
    </row>
    <row r="84" spans="1:23" x14ac:dyDescent="0.35">
      <c r="A84" s="284"/>
      <c r="B84" s="135">
        <v>22</v>
      </c>
      <c r="C84" s="169" t="s">
        <v>401</v>
      </c>
      <c r="D84" s="104">
        <v>0</v>
      </c>
      <c r="E84" s="97">
        <f>References!B10</f>
        <v>4.333333333333333</v>
      </c>
      <c r="F84" s="130">
        <f t="shared" si="52"/>
        <v>52</v>
      </c>
      <c r="G84" s="130">
        <f>References!B25</f>
        <v>68</v>
      </c>
      <c r="H84" s="130">
        <f t="shared" si="53"/>
        <v>294.66666666666669</v>
      </c>
      <c r="I84" s="130">
        <f t="shared" ref="I84:I101" si="55">H84*$D$110</f>
        <v>231.5320950530066</v>
      </c>
      <c r="J84" s="142">
        <f>(References!$C$56*I84)</f>
        <v>0.98516906445054186</v>
      </c>
      <c r="K84" s="183">
        <f>J84/References!$G$59</f>
        <v>1.0045314073267653</v>
      </c>
      <c r="L84" s="142">
        <f t="shared" si="51"/>
        <v>8.3710950610563759E-2</v>
      </c>
      <c r="M84" s="183">
        <f>'Proposed Rates'!B20</f>
        <v>41.47</v>
      </c>
      <c r="N84" s="183">
        <f>K84+M84</f>
        <v>42.474531407326765</v>
      </c>
      <c r="O84" s="183">
        <f>'Proposed Rates'!D20</f>
        <v>42.474531407326765</v>
      </c>
      <c r="Q84" s="131" t="s">
        <v>17</v>
      </c>
      <c r="R84" s="238">
        <f>SUM(R82:R83)</f>
        <v>77033.954804135428</v>
      </c>
      <c r="S84" s="134"/>
      <c r="W84" s="110">
        <f>SUM(W82:W83)</f>
        <v>76997.874327665661</v>
      </c>
    </row>
    <row r="85" spans="1:23" x14ac:dyDescent="0.35">
      <c r="A85" s="284"/>
      <c r="B85" s="135">
        <v>22</v>
      </c>
      <c r="C85" s="169" t="s">
        <v>402</v>
      </c>
      <c r="D85" s="104">
        <v>0</v>
      </c>
      <c r="E85" s="97">
        <f>References!B11</f>
        <v>2.1666666666666665</v>
      </c>
      <c r="F85" s="130">
        <v>26</v>
      </c>
      <c r="G85" s="130">
        <f>References!B25</f>
        <v>68</v>
      </c>
      <c r="H85" s="130">
        <f t="shared" si="53"/>
        <v>147.33333333333334</v>
      </c>
      <c r="I85" s="130">
        <f t="shared" si="55"/>
        <v>115.7660475265033</v>
      </c>
      <c r="J85" s="142">
        <f>(References!$C$56*I85)</f>
        <v>0.49258453222527093</v>
      </c>
      <c r="K85" s="183">
        <f>J85/References!$G$59</f>
        <v>0.50226570366338263</v>
      </c>
      <c r="L85" s="142">
        <f t="shared" si="51"/>
        <v>4.1855475305281879E-2</v>
      </c>
      <c r="M85" s="183">
        <f>'Proposed Rates'!B24</f>
        <v>23.71</v>
      </c>
      <c r="N85" s="183">
        <f>K85+M85</f>
        <v>24.212265703663384</v>
      </c>
      <c r="O85" s="183">
        <f>'Proposed Rates'!D24</f>
        <v>24.212265703663384</v>
      </c>
      <c r="P85" s="110"/>
      <c r="S85" s="134"/>
    </row>
    <row r="86" spans="1:23" x14ac:dyDescent="0.35">
      <c r="A86" s="287"/>
      <c r="B86" s="113">
        <v>22</v>
      </c>
      <c r="C86" s="180" t="s">
        <v>403</v>
      </c>
      <c r="D86" s="159">
        <v>0</v>
      </c>
      <c r="E86" s="181">
        <f>References!B12</f>
        <v>1</v>
      </c>
      <c r="F86" s="105">
        <v>12</v>
      </c>
      <c r="G86" s="105">
        <f>References!B25</f>
        <v>68</v>
      </c>
      <c r="H86" s="105">
        <f t="shared" si="53"/>
        <v>68</v>
      </c>
      <c r="I86" s="105">
        <f t="shared" si="55"/>
        <v>53.430483473770749</v>
      </c>
      <c r="J86" s="182">
        <f>(References!$C$56*I86)</f>
        <v>0.22734670718089425</v>
      </c>
      <c r="K86" s="184">
        <f>J86/References!$G$59</f>
        <v>0.23181494015233042</v>
      </c>
      <c r="L86" s="182">
        <f t="shared" si="51"/>
        <v>1.931791167936087E-2</v>
      </c>
      <c r="M86" s="184">
        <f>'Proposed Rates'!B28</f>
        <v>15.97</v>
      </c>
      <c r="N86" s="183">
        <f t="shared" ref="N86" si="56">K86+M86</f>
        <v>16.201814940152332</v>
      </c>
      <c r="O86" s="184">
        <f>'Proposed Rates'!D28</f>
        <v>16.201814940152332</v>
      </c>
      <c r="P86" s="110"/>
      <c r="Q86" s="133" t="s">
        <v>505</v>
      </c>
      <c r="R86" s="131">
        <v>4269.4799999999996</v>
      </c>
      <c r="S86" s="239" t="s">
        <v>506</v>
      </c>
      <c r="T86" s="240"/>
    </row>
    <row r="87" spans="1:23" x14ac:dyDescent="0.35">
      <c r="A87" s="286" t="s">
        <v>15</v>
      </c>
      <c r="B87" s="135" t="s">
        <v>496</v>
      </c>
      <c r="C87" s="169" t="s">
        <v>494</v>
      </c>
      <c r="D87" s="104">
        <v>0</v>
      </c>
      <c r="E87" s="97">
        <v>1</v>
      </c>
      <c r="F87" s="130">
        <f t="shared" si="52"/>
        <v>12</v>
      </c>
      <c r="G87" s="130">
        <f>References!B49</f>
        <v>125</v>
      </c>
      <c r="H87" s="130">
        <f t="shared" ref="H87:H88" si="57">F87*G87/12</f>
        <v>125</v>
      </c>
      <c r="I87" s="130">
        <f t="shared" ref="I87:I88" si="58">H87*$D$110</f>
        <v>98.217800503255063</v>
      </c>
      <c r="J87" s="142">
        <f>(References!$C$56*I87)</f>
        <v>0.4179167411413498</v>
      </c>
      <c r="K87" s="183">
        <f>J87/References!$G$59</f>
        <v>0.42613040469178398</v>
      </c>
      <c r="L87" s="142">
        <f t="shared" ref="L87:L88" si="59">K87/F87*E87</f>
        <v>3.5510867057648665E-2</v>
      </c>
      <c r="M87" s="183">
        <f>'Proposed Rates'!B38</f>
        <v>28.31</v>
      </c>
      <c r="N87" s="31">
        <f t="shared" ref="N87:N101" si="60">K87+M87</f>
        <v>28.736130404691782</v>
      </c>
      <c r="O87" s="183">
        <f>'Proposed Rates'!D38</f>
        <v>28.906582566568495</v>
      </c>
      <c r="S87" s="239" t="s">
        <v>507</v>
      </c>
      <c r="T87" s="240"/>
    </row>
    <row r="88" spans="1:23" x14ac:dyDescent="0.35">
      <c r="A88" s="284"/>
      <c r="B88" s="135" t="s">
        <v>190</v>
      </c>
      <c r="C88" s="185" t="s">
        <v>454</v>
      </c>
      <c r="D88" s="104">
        <v>0</v>
      </c>
      <c r="E88" s="97">
        <v>1</v>
      </c>
      <c r="F88" s="130">
        <f t="shared" si="52"/>
        <v>12</v>
      </c>
      <c r="G88" s="130">
        <f>References!B40</f>
        <v>980</v>
      </c>
      <c r="H88" s="130">
        <f t="shared" si="57"/>
        <v>980</v>
      </c>
      <c r="I88" s="130">
        <f t="shared" si="58"/>
        <v>770.02755594551968</v>
      </c>
      <c r="J88" s="142">
        <f>(References!$C$56*I88)</f>
        <v>3.2764672505481824</v>
      </c>
      <c r="K88" s="183">
        <f>J88/References!$G$59</f>
        <v>3.3408623727835862</v>
      </c>
      <c r="L88" s="142">
        <f t="shared" si="59"/>
        <v>0.27840519773196554</v>
      </c>
      <c r="M88" s="183">
        <f>'Proposed Rates'!B55</f>
        <v>146.30000000000001</v>
      </c>
      <c r="N88" s="183">
        <f t="shared" ref="N88" si="61">K88+M88</f>
        <v>149.6408623727836</v>
      </c>
      <c r="O88" s="183">
        <f>'Proposed Rates'!D55</f>
        <v>149.6408623727836</v>
      </c>
      <c r="Q88" s="133" t="s">
        <v>10</v>
      </c>
      <c r="R88" s="238">
        <f>R86*References!B59</f>
        <v>36333.274799999956</v>
      </c>
      <c r="S88" s="134"/>
    </row>
    <row r="89" spans="1:23" ht="15" customHeight="1" x14ac:dyDescent="0.35">
      <c r="A89" s="284"/>
      <c r="B89" s="135" t="s">
        <v>190</v>
      </c>
      <c r="C89" s="186" t="s">
        <v>484</v>
      </c>
      <c r="D89" s="104">
        <v>0</v>
      </c>
      <c r="E89" s="96">
        <v>1</v>
      </c>
      <c r="F89" s="130">
        <f t="shared" si="52"/>
        <v>12</v>
      </c>
      <c r="G89" s="143">
        <f>References!B40</f>
        <v>980</v>
      </c>
      <c r="H89" s="130">
        <f t="shared" ref="H89:H101" si="62">F89*G89/12</f>
        <v>980</v>
      </c>
      <c r="I89" s="130">
        <f t="shared" si="55"/>
        <v>770.02755594551968</v>
      </c>
      <c r="J89" s="142">
        <f>(References!$C$56*I89)</f>
        <v>3.2764672505481824</v>
      </c>
      <c r="K89" s="183">
        <f>J89/References!$G$59</f>
        <v>3.3408623727835862</v>
      </c>
      <c r="L89" s="142">
        <f t="shared" si="51"/>
        <v>0.27840519773196554</v>
      </c>
      <c r="M89" s="183">
        <f>'Proposed Rates'!B63</f>
        <v>149.30000000000001</v>
      </c>
      <c r="N89" s="183">
        <f t="shared" si="60"/>
        <v>152.6408623727836</v>
      </c>
      <c r="O89" s="183">
        <f>'Proposed Rates'!D63</f>
        <v>152.6408623727836</v>
      </c>
      <c r="S89" s="134"/>
    </row>
    <row r="90" spans="1:23" ht="15" customHeight="1" x14ac:dyDescent="0.35">
      <c r="A90" s="284"/>
      <c r="B90" s="135" t="s">
        <v>192</v>
      </c>
      <c r="C90" s="179" t="s">
        <v>486</v>
      </c>
      <c r="D90" s="104">
        <v>0</v>
      </c>
      <c r="E90" s="96">
        <v>1</v>
      </c>
      <c r="F90" s="130">
        <f t="shared" si="52"/>
        <v>12</v>
      </c>
      <c r="G90" s="143">
        <f>References!B23</f>
        <v>37</v>
      </c>
      <c r="H90" s="130">
        <f t="shared" si="62"/>
        <v>37</v>
      </c>
      <c r="I90" s="130">
        <f t="shared" si="55"/>
        <v>29.072468948963497</v>
      </c>
      <c r="J90" s="142">
        <f>(References!$C$56*I90)</f>
        <v>0.12370335537783952</v>
      </c>
      <c r="K90" s="183">
        <f>J90/References!$G$59</f>
        <v>0.12613459978876804</v>
      </c>
      <c r="L90" s="142">
        <f t="shared" si="51"/>
        <v>1.0511216649064003E-2</v>
      </c>
      <c r="M90" s="183">
        <f>'Proposed Rates'!B74</f>
        <v>8.01</v>
      </c>
      <c r="N90" s="183">
        <f t="shared" si="60"/>
        <v>8.1361345997887682</v>
      </c>
      <c r="O90" s="183">
        <f>'Proposed Rates'!D74</f>
        <v>8.1361345997887682</v>
      </c>
      <c r="S90" s="134"/>
    </row>
    <row r="91" spans="1:23" ht="15" customHeight="1" x14ac:dyDescent="0.35">
      <c r="A91" s="284"/>
      <c r="B91" s="135" t="s">
        <v>192</v>
      </c>
      <c r="C91" s="179" t="s">
        <v>485</v>
      </c>
      <c r="D91" s="104">
        <v>0</v>
      </c>
      <c r="E91" s="96">
        <v>1</v>
      </c>
      <c r="F91" s="130">
        <f t="shared" si="52"/>
        <v>12</v>
      </c>
      <c r="G91" s="143">
        <f>References!B24</f>
        <v>47</v>
      </c>
      <c r="H91" s="130">
        <f t="shared" si="62"/>
        <v>47</v>
      </c>
      <c r="I91" s="130">
        <f t="shared" si="55"/>
        <v>36.929892989223902</v>
      </c>
      <c r="J91" s="142">
        <f>(References!$C$56*I91)</f>
        <v>0.15713669466914751</v>
      </c>
      <c r="K91" s="183">
        <f>J91/References!$G$59</f>
        <v>0.16022503216411074</v>
      </c>
      <c r="L91" s="142">
        <f t="shared" si="51"/>
        <v>1.3352086013675895E-2</v>
      </c>
      <c r="M91" s="183">
        <f>'Proposed Rates'!B77</f>
        <v>10.69</v>
      </c>
      <c r="N91" s="183">
        <f t="shared" si="60"/>
        <v>10.85022503216411</v>
      </c>
      <c r="O91" s="183">
        <f>'Proposed Rates'!D77</f>
        <v>10.85022503216411</v>
      </c>
      <c r="S91" s="134"/>
    </row>
    <row r="92" spans="1:23" ht="15" customHeight="1" x14ac:dyDescent="0.35">
      <c r="A92" s="284"/>
      <c r="B92" s="135" t="s">
        <v>192</v>
      </c>
      <c r="C92" s="179" t="s">
        <v>488</v>
      </c>
      <c r="D92" s="104">
        <v>0</v>
      </c>
      <c r="E92" s="96">
        <v>1</v>
      </c>
      <c r="F92" s="130">
        <f t="shared" si="52"/>
        <v>12</v>
      </c>
      <c r="G92" s="143">
        <f>References!B25</f>
        <v>68</v>
      </c>
      <c r="H92" s="130">
        <f t="shared" si="62"/>
        <v>68</v>
      </c>
      <c r="I92" s="130">
        <f t="shared" si="55"/>
        <v>53.430483473770749</v>
      </c>
      <c r="J92" s="142">
        <f>(References!$C$56*I92)</f>
        <v>0.22734670718089425</v>
      </c>
      <c r="K92" s="183">
        <f>J92/References!$G$59</f>
        <v>0.23181494015233042</v>
      </c>
      <c r="L92" s="142">
        <f t="shared" si="51"/>
        <v>1.931791167936087E-2</v>
      </c>
      <c r="M92" s="183">
        <f>'Proposed Rates'!B79</f>
        <v>10.01</v>
      </c>
      <c r="N92" s="183">
        <f t="shared" si="60"/>
        <v>10.241814940152331</v>
      </c>
      <c r="O92" s="183">
        <f>'Proposed Rates'!D79</f>
        <v>10.241814940152331</v>
      </c>
      <c r="S92" s="134"/>
    </row>
    <row r="93" spans="1:23" ht="15" customHeight="1" x14ac:dyDescent="0.35">
      <c r="A93" s="284"/>
      <c r="B93" s="135" t="s">
        <v>192</v>
      </c>
      <c r="C93" s="179" t="s">
        <v>489</v>
      </c>
      <c r="D93" s="104">
        <v>0</v>
      </c>
      <c r="E93" s="96">
        <v>1</v>
      </c>
      <c r="F93" s="130">
        <f t="shared" si="52"/>
        <v>12</v>
      </c>
      <c r="G93" s="143">
        <f>References!B25</f>
        <v>68</v>
      </c>
      <c r="H93" s="130">
        <f t="shared" si="62"/>
        <v>68</v>
      </c>
      <c r="I93" s="130">
        <f t="shared" si="55"/>
        <v>53.430483473770749</v>
      </c>
      <c r="J93" s="142">
        <f>(References!$C$56*I93)</f>
        <v>0.22734670718089425</v>
      </c>
      <c r="K93" s="183">
        <f>J93/References!$G$59</f>
        <v>0.23181494015233042</v>
      </c>
      <c r="L93" s="142">
        <f t="shared" si="51"/>
        <v>1.931791167936087E-2</v>
      </c>
      <c r="M93" s="183">
        <f>'Proposed Rates'!B80</f>
        <v>13.01</v>
      </c>
      <c r="N93" s="183">
        <f t="shared" si="60"/>
        <v>13.241814940152331</v>
      </c>
      <c r="O93" s="183">
        <f>'Proposed Rates'!D80</f>
        <v>13.241814940152331</v>
      </c>
      <c r="S93" s="134"/>
    </row>
    <row r="94" spans="1:23" ht="15" customHeight="1" x14ac:dyDescent="0.35">
      <c r="A94" s="284"/>
      <c r="B94" s="135" t="s">
        <v>191</v>
      </c>
      <c r="C94" s="179" t="s">
        <v>487</v>
      </c>
      <c r="D94" s="104">
        <v>0</v>
      </c>
      <c r="E94" s="96">
        <v>1</v>
      </c>
      <c r="F94" s="130">
        <f t="shared" si="52"/>
        <v>12</v>
      </c>
      <c r="G94" s="143">
        <f>References!B29</f>
        <v>29</v>
      </c>
      <c r="H94" s="130">
        <f t="shared" si="62"/>
        <v>29</v>
      </c>
      <c r="I94" s="130">
        <f t="shared" si="55"/>
        <v>22.786529716755172</v>
      </c>
      <c r="J94" s="142">
        <f>(References!$C$56*I94)</f>
        <v>9.6956683944793148E-2</v>
      </c>
      <c r="K94" s="183">
        <f>J94/References!$G$59</f>
        <v>9.8862253888493873E-2</v>
      </c>
      <c r="L94" s="142">
        <f t="shared" si="51"/>
        <v>8.2385211573744888E-3</v>
      </c>
      <c r="M94" s="183">
        <f>'Proposed Rates'!B90</f>
        <v>7.33</v>
      </c>
      <c r="N94" s="183">
        <f t="shared" si="60"/>
        <v>7.4288622538884939</v>
      </c>
      <c r="O94" s="183">
        <f>'Proposed Rates'!D90</f>
        <v>7.4288622538884939</v>
      </c>
      <c r="S94" s="134"/>
    </row>
    <row r="95" spans="1:23" ht="15" customHeight="1" x14ac:dyDescent="0.35">
      <c r="A95" s="284"/>
      <c r="B95" s="135" t="s">
        <v>191</v>
      </c>
      <c r="C95" s="133" t="s">
        <v>490</v>
      </c>
      <c r="D95" s="104">
        <v>0</v>
      </c>
      <c r="E95" s="96">
        <v>1</v>
      </c>
      <c r="F95" s="130">
        <f t="shared" si="52"/>
        <v>12</v>
      </c>
      <c r="G95" s="143">
        <f>References!B33</f>
        <v>324</v>
      </c>
      <c r="H95" s="130">
        <f t="shared" si="62"/>
        <v>324</v>
      </c>
      <c r="I95" s="130">
        <f t="shared" si="55"/>
        <v>254.58053890443711</v>
      </c>
      <c r="J95" s="142">
        <f>(References!$C$56*I95)</f>
        <v>1.0832401930383786</v>
      </c>
      <c r="K95" s="183">
        <f>J95/References!$G$59</f>
        <v>1.1045300089611039</v>
      </c>
      <c r="L95" s="142">
        <f t="shared" si="51"/>
        <v>9.2044167413425318E-2</v>
      </c>
      <c r="M95" s="183">
        <f>'Proposed Rates'!B92</f>
        <v>43</v>
      </c>
      <c r="N95" s="183">
        <f t="shared" si="60"/>
        <v>44.104530008961106</v>
      </c>
      <c r="O95" s="183">
        <f>'Proposed Rates'!D92</f>
        <v>44.104530008961106</v>
      </c>
      <c r="S95" s="134"/>
    </row>
    <row r="96" spans="1:23" ht="15" customHeight="1" x14ac:dyDescent="0.35">
      <c r="A96" s="284"/>
      <c r="B96" s="135" t="s">
        <v>191</v>
      </c>
      <c r="C96" s="133" t="s">
        <v>491</v>
      </c>
      <c r="D96" s="104">
        <v>0</v>
      </c>
      <c r="E96" s="96">
        <v>1</v>
      </c>
      <c r="F96" s="130">
        <f t="shared" si="52"/>
        <v>12</v>
      </c>
      <c r="G96" s="143">
        <f>References!B34</f>
        <v>473</v>
      </c>
      <c r="H96" s="130">
        <f t="shared" si="62"/>
        <v>473</v>
      </c>
      <c r="I96" s="130">
        <f t="shared" si="55"/>
        <v>371.65615710431712</v>
      </c>
      <c r="J96" s="142">
        <f>(References!$C$56*I96)</f>
        <v>1.5813969484788675</v>
      </c>
      <c r="K96" s="183">
        <f>J96/References!$G$59</f>
        <v>1.6124774513537103</v>
      </c>
      <c r="L96" s="142">
        <f t="shared" si="51"/>
        <v>0.13437312094614254</v>
      </c>
      <c r="M96" s="183">
        <f>'Proposed Rates'!B93</f>
        <v>57.13</v>
      </c>
      <c r="N96" s="183">
        <f t="shared" si="60"/>
        <v>58.742477451353714</v>
      </c>
      <c r="O96" s="183">
        <f>'Proposed Rates'!D93</f>
        <v>58.742477451353714</v>
      </c>
      <c r="S96" s="134"/>
    </row>
    <row r="97" spans="1:19" ht="15" customHeight="1" x14ac:dyDescent="0.35">
      <c r="A97" s="284"/>
      <c r="B97" s="135" t="s">
        <v>191</v>
      </c>
      <c r="C97" s="133" t="s">
        <v>492</v>
      </c>
      <c r="D97" s="104">
        <v>0</v>
      </c>
      <c r="E97" s="96">
        <v>1</v>
      </c>
      <c r="F97" s="130">
        <f t="shared" si="52"/>
        <v>12</v>
      </c>
      <c r="G97" s="143">
        <f>References!B36</f>
        <v>613</v>
      </c>
      <c r="H97" s="130">
        <f t="shared" si="62"/>
        <v>613</v>
      </c>
      <c r="I97" s="130">
        <f t="shared" si="55"/>
        <v>481.66009366796277</v>
      </c>
      <c r="J97" s="142">
        <f>(References!$C$56*I97)</f>
        <v>2.049463698557179</v>
      </c>
      <c r="K97" s="183">
        <f>J97/References!$G$59</f>
        <v>2.0897435046085082</v>
      </c>
      <c r="L97" s="142">
        <f t="shared" si="51"/>
        <v>0.17414529205070903</v>
      </c>
      <c r="M97" s="183">
        <f>'Proposed Rates'!B94</f>
        <v>78.06</v>
      </c>
      <c r="N97" s="183">
        <f>K97+M97</f>
        <v>80.149743504608509</v>
      </c>
      <c r="O97" s="183">
        <f>'Proposed Rates'!D94</f>
        <v>80.149743504608509</v>
      </c>
      <c r="S97" s="134"/>
    </row>
    <row r="98" spans="1:19" ht="15" customHeight="1" x14ac:dyDescent="0.35">
      <c r="A98" s="284"/>
      <c r="B98" s="135" t="s">
        <v>191</v>
      </c>
      <c r="C98" s="133" t="s">
        <v>493</v>
      </c>
      <c r="D98" s="104">
        <v>0</v>
      </c>
      <c r="E98" s="96">
        <v>1</v>
      </c>
      <c r="F98" s="130">
        <f t="shared" si="52"/>
        <v>12</v>
      </c>
      <c r="G98" s="143">
        <f>References!B38</f>
        <v>840</v>
      </c>
      <c r="H98" s="130">
        <f t="shared" si="62"/>
        <v>840</v>
      </c>
      <c r="I98" s="130">
        <f t="shared" si="55"/>
        <v>660.02361938187403</v>
      </c>
      <c r="J98" s="142">
        <f>(References!$C$56*I98)</f>
        <v>2.8084005004698707</v>
      </c>
      <c r="K98" s="183">
        <f>J98/References!$G$59</f>
        <v>2.8635963195287881</v>
      </c>
      <c r="L98" s="142">
        <f t="shared" si="51"/>
        <v>0.23863302662739902</v>
      </c>
      <c r="M98" s="183">
        <f>'Proposed Rates'!B95</f>
        <v>109.12</v>
      </c>
      <c r="N98" s="183">
        <f t="shared" si="60"/>
        <v>111.98359631952879</v>
      </c>
      <c r="O98" s="183">
        <f>'Proposed Rates'!D95</f>
        <v>111.98359631952879</v>
      </c>
      <c r="S98" s="134"/>
    </row>
    <row r="99" spans="1:19" x14ac:dyDescent="0.35">
      <c r="A99" s="284"/>
      <c r="B99" s="135" t="s">
        <v>495</v>
      </c>
      <c r="C99" s="168" t="s">
        <v>404</v>
      </c>
      <c r="D99" s="104">
        <v>0</v>
      </c>
      <c r="E99" s="96">
        <v>1</v>
      </c>
      <c r="F99" s="130">
        <f t="shared" si="52"/>
        <v>12</v>
      </c>
      <c r="G99" s="143">
        <f>References!B49</f>
        <v>125</v>
      </c>
      <c r="H99" s="130">
        <f t="shared" si="62"/>
        <v>125</v>
      </c>
      <c r="I99" s="130">
        <f t="shared" si="55"/>
        <v>98.217800503255063</v>
      </c>
      <c r="J99" s="142">
        <f>(References!$C$56*I99)</f>
        <v>0.4179167411413498</v>
      </c>
      <c r="K99" s="183">
        <f>J99/References!$G$59</f>
        <v>0.42613040469178398</v>
      </c>
      <c r="L99" s="142">
        <f t="shared" si="51"/>
        <v>3.5510867057648665E-2</v>
      </c>
      <c r="M99" s="183">
        <f>'Proposed Rates'!B102</f>
        <v>28.31</v>
      </c>
      <c r="N99" s="183">
        <f t="shared" si="60"/>
        <v>28.736130404691782</v>
      </c>
      <c r="O99" s="183">
        <f>'Proposed Rates'!D102</f>
        <v>28.906582566568495</v>
      </c>
      <c r="S99" s="134"/>
    </row>
    <row r="100" spans="1:19" x14ac:dyDescent="0.35">
      <c r="A100" s="284"/>
      <c r="B100" s="135" t="s">
        <v>191</v>
      </c>
      <c r="C100" s="168" t="s">
        <v>479</v>
      </c>
      <c r="D100" s="104">
        <v>0</v>
      </c>
      <c r="E100" s="96">
        <v>1</v>
      </c>
      <c r="F100" s="130">
        <f t="shared" si="52"/>
        <v>12</v>
      </c>
      <c r="G100" s="143">
        <f>References!B49</f>
        <v>125</v>
      </c>
      <c r="H100" s="130">
        <f t="shared" si="62"/>
        <v>125</v>
      </c>
      <c r="I100" s="130">
        <f t="shared" si="55"/>
        <v>98.217800503255063</v>
      </c>
      <c r="J100" s="142">
        <f>(References!$C$56*I100)</f>
        <v>0.4179167411413498</v>
      </c>
      <c r="K100" s="183">
        <f>J100/References!$G$59</f>
        <v>0.42613040469178398</v>
      </c>
      <c r="L100" s="142">
        <f t="shared" si="51"/>
        <v>3.5510867057648665E-2</v>
      </c>
      <c r="M100" s="183">
        <f>'Proposed Rates'!B104</f>
        <v>6.95</v>
      </c>
      <c r="N100" s="183">
        <f t="shared" si="60"/>
        <v>7.3761304046917839</v>
      </c>
      <c r="O100" s="183">
        <f>'Proposed Rates'!D104</f>
        <v>7.048862253888494</v>
      </c>
      <c r="S100" s="134"/>
    </row>
    <row r="101" spans="1:19" x14ac:dyDescent="0.35">
      <c r="A101" s="287"/>
      <c r="B101" s="113">
        <v>38</v>
      </c>
      <c r="C101" s="167" t="s">
        <v>406</v>
      </c>
      <c r="D101" s="159">
        <v>0</v>
      </c>
      <c r="E101" s="160">
        <v>1</v>
      </c>
      <c r="F101" s="105">
        <f t="shared" si="52"/>
        <v>12</v>
      </c>
      <c r="G101" s="161">
        <f>References!B45</f>
        <v>1686</v>
      </c>
      <c r="H101" s="105">
        <f t="shared" si="62"/>
        <v>1686</v>
      </c>
      <c r="I101" s="105">
        <f t="shared" si="55"/>
        <v>1324.7616931879043</v>
      </c>
      <c r="J101" s="182">
        <f>(References!$C$56*I101)</f>
        <v>5.6368610045145262</v>
      </c>
      <c r="K101" s="184">
        <f>J101/References!$G$59</f>
        <v>5.747646898482782</v>
      </c>
      <c r="L101" s="182">
        <f t="shared" si="51"/>
        <v>0.47897057487356515</v>
      </c>
      <c r="M101" s="184">
        <f>'Proposed Rates'!B110</f>
        <v>166.14</v>
      </c>
      <c r="N101" s="184">
        <f t="shared" si="60"/>
        <v>171.88764689848276</v>
      </c>
      <c r="O101" s="184">
        <f>'Proposed Rates'!D110</f>
        <v>171.88764689848276</v>
      </c>
      <c r="S101" s="134"/>
    </row>
    <row r="102" spans="1:19" x14ac:dyDescent="0.35">
      <c r="A102" s="136"/>
      <c r="C102" s="168"/>
      <c r="D102" s="104"/>
      <c r="E102" s="96"/>
      <c r="F102" s="130"/>
      <c r="G102" s="143"/>
      <c r="H102" s="130"/>
      <c r="J102" s="142"/>
      <c r="K102" s="183"/>
      <c r="L102" s="183"/>
      <c r="M102" s="183"/>
      <c r="N102" s="183"/>
      <c r="O102" s="142"/>
      <c r="S102" s="134"/>
    </row>
    <row r="103" spans="1:19" x14ac:dyDescent="0.35">
      <c r="A103" s="136"/>
      <c r="C103" s="140"/>
      <c r="S103" s="134"/>
    </row>
    <row r="104" spans="1:19" x14ac:dyDescent="0.35">
      <c r="A104" s="136"/>
      <c r="C104" s="140"/>
      <c r="S104" s="134"/>
    </row>
    <row r="105" spans="1:19" x14ac:dyDescent="0.35">
      <c r="A105" s="136"/>
      <c r="C105" s="285" t="s">
        <v>99</v>
      </c>
      <c r="D105" s="285"/>
      <c r="E105" s="166"/>
      <c r="F105" s="166"/>
      <c r="H105" s="175" t="s">
        <v>407</v>
      </c>
    </row>
    <row r="106" spans="1:19" x14ac:dyDescent="0.35">
      <c r="A106" s="136"/>
      <c r="D106" s="128" t="s">
        <v>17</v>
      </c>
      <c r="E106" s="103"/>
      <c r="F106" s="103"/>
      <c r="H106" s="172" t="s">
        <v>408</v>
      </c>
      <c r="J106" s="108"/>
      <c r="P106" s="132"/>
      <c r="Q106" s="108"/>
    </row>
    <row r="107" spans="1:19" x14ac:dyDescent="0.35">
      <c r="A107" s="136"/>
      <c r="C107" s="131" t="s">
        <v>33</v>
      </c>
      <c r="D107" s="141">
        <v>8873.5300000000007</v>
      </c>
      <c r="E107" s="130"/>
      <c r="F107" s="130"/>
      <c r="G107" s="112"/>
      <c r="H107" s="174" t="s">
        <v>409</v>
      </c>
      <c r="J107" s="108"/>
      <c r="P107" s="132"/>
      <c r="Q107" s="183"/>
    </row>
    <row r="108" spans="1:19" x14ac:dyDescent="0.35">
      <c r="A108" s="136"/>
      <c r="C108" s="131" t="s">
        <v>34</v>
      </c>
      <c r="D108" s="101">
        <f>D107*2000</f>
        <v>17747060</v>
      </c>
      <c r="E108" s="101"/>
      <c r="F108" s="101"/>
      <c r="G108" s="101"/>
      <c r="H108" s="101"/>
      <c r="J108" s="108"/>
      <c r="Q108" s="183"/>
    </row>
    <row r="109" spans="1:19" x14ac:dyDescent="0.35">
      <c r="A109" s="136"/>
      <c r="C109" s="131" t="s">
        <v>5</v>
      </c>
      <c r="D109" s="101">
        <f>F23+F77</f>
        <v>360935.77993933915</v>
      </c>
      <c r="E109" s="130"/>
      <c r="F109" s="130"/>
      <c r="G109" s="130"/>
      <c r="H109" s="130"/>
      <c r="J109" s="108"/>
      <c r="P109" s="132"/>
      <c r="Q109" s="183"/>
    </row>
    <row r="110" spans="1:19" x14ac:dyDescent="0.35">
      <c r="C110" s="109" t="s">
        <v>12</v>
      </c>
      <c r="D110" s="100">
        <f>D108/$H$78</f>
        <v>0.78574240402604045</v>
      </c>
      <c r="E110" s="100"/>
      <c r="F110" s="100"/>
      <c r="G110" s="100"/>
      <c r="H110" s="95"/>
      <c r="J110" s="108"/>
      <c r="M110" s="107"/>
      <c r="N110" s="107"/>
      <c r="O110" s="107"/>
      <c r="P110" s="106"/>
      <c r="Q110" s="106"/>
    </row>
    <row r="111" spans="1:19" x14ac:dyDescent="0.35">
      <c r="G111" s="111"/>
      <c r="H111" s="97"/>
      <c r="J111" s="108"/>
      <c r="M111" s="110"/>
      <c r="N111" s="94"/>
      <c r="O111" s="94"/>
      <c r="P111" s="134"/>
      <c r="Q111" s="95"/>
    </row>
    <row r="112" spans="1:19" x14ac:dyDescent="0.35">
      <c r="D112" s="99"/>
      <c r="E112" s="98"/>
      <c r="G112" s="111"/>
      <c r="H112" s="97"/>
      <c r="J112" s="108"/>
      <c r="M112" s="110"/>
      <c r="N112" s="94"/>
      <c r="O112" s="94"/>
      <c r="P112" s="134"/>
      <c r="Q112" s="95"/>
    </row>
    <row r="113" spans="4:17" x14ac:dyDescent="0.35">
      <c r="D113" s="99"/>
      <c r="E113" s="98"/>
      <c r="G113" s="111"/>
      <c r="H113" s="97"/>
      <c r="J113" s="108"/>
      <c r="M113" s="110"/>
      <c r="N113" s="94"/>
      <c r="O113" s="94"/>
      <c r="P113" s="134"/>
      <c r="Q113" s="95"/>
    </row>
    <row r="114" spans="4:17" x14ac:dyDescent="0.35">
      <c r="D114" s="131"/>
      <c r="I114" s="131"/>
    </row>
    <row r="115" spans="4:17" x14ac:dyDescent="0.35">
      <c r="D115" s="131"/>
      <c r="E115" s="108"/>
      <c r="I115" s="131"/>
    </row>
    <row r="116" spans="4:17" x14ac:dyDescent="0.35">
      <c r="D116" s="131"/>
      <c r="I116" s="131"/>
    </row>
    <row r="117" spans="4:17" x14ac:dyDescent="0.35">
      <c r="D117" s="131"/>
      <c r="I117" s="131"/>
    </row>
    <row r="118" spans="4:17" x14ac:dyDescent="0.35">
      <c r="D118" s="131"/>
    </row>
  </sheetData>
  <mergeCells count="6">
    <mergeCell ref="B1:J1"/>
    <mergeCell ref="A24:A76"/>
    <mergeCell ref="C105:D105"/>
    <mergeCell ref="A4:A22"/>
    <mergeCell ref="A82:A86"/>
    <mergeCell ref="A87:A101"/>
  </mergeCells>
  <pageMargins left="0.2" right="0.22" top="0.63" bottom="0.34" header="0.19" footer="0.17"/>
  <pageSetup scale="31" fitToHeight="0" orientation="landscape" r:id="rId1"/>
  <headerFooter>
    <oddHeader>&amp;C&amp;"-,Bold"&amp;12Murrey's Disposal Co, Inc
dba Olympiac Disposal&amp;"-,Regular"
Disposal Fee Staff Calculations</oddHeader>
    <oddFooter>&amp;L&amp;F - &amp;A&amp;C&amp;D&amp;R&amp;P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tabSelected="1" zoomScaleNormal="100" workbookViewId="0">
      <selection activeCell="F88" sqref="F88"/>
    </sheetView>
  </sheetViews>
  <sheetFormatPr defaultRowHeight="14.5" x14ac:dyDescent="0.35"/>
  <cols>
    <col min="1" max="1" width="36.26953125" bestFit="1" customWidth="1"/>
    <col min="2" max="2" width="12.7265625" customWidth="1"/>
    <col min="3" max="3" width="11.453125" customWidth="1"/>
    <col min="4" max="4" width="12.54296875" customWidth="1"/>
    <col min="5" max="5" width="2.26953125" bestFit="1" customWidth="1"/>
    <col min="6" max="6" width="20.54296875" style="32" bestFit="1" customWidth="1"/>
    <col min="7" max="8" width="9.1796875" style="32"/>
    <col min="9" max="10" width="9.1796875" style="273"/>
    <col min="11" max="11" width="9.1796875" style="32"/>
  </cols>
  <sheetData>
    <row r="1" spans="1:8" ht="15.5" x14ac:dyDescent="0.35">
      <c r="A1" s="255" t="s">
        <v>410</v>
      </c>
      <c r="B1" s="256"/>
      <c r="C1" s="256"/>
      <c r="D1" s="257"/>
      <c r="E1" s="89"/>
    </row>
    <row r="2" spans="1:8" ht="15.5" x14ac:dyDescent="0.35">
      <c r="A2" s="258" t="s">
        <v>411</v>
      </c>
      <c r="B2" s="243"/>
      <c r="C2" s="243"/>
      <c r="D2" s="259"/>
      <c r="E2" s="89"/>
    </row>
    <row r="3" spans="1:8" ht="15.5" x14ac:dyDescent="0.35">
      <c r="A3" s="258" t="s">
        <v>508</v>
      </c>
      <c r="B3" s="243"/>
      <c r="C3" s="243"/>
      <c r="D3" s="259"/>
      <c r="E3" s="89"/>
    </row>
    <row r="4" spans="1:8" ht="15.5" x14ac:dyDescent="0.35">
      <c r="A4" s="258"/>
      <c r="B4" s="243"/>
      <c r="C4" s="243"/>
      <c r="D4" s="259"/>
      <c r="E4" s="89"/>
      <c r="F4" s="242"/>
    </row>
    <row r="5" spans="1:8" ht="15.5" x14ac:dyDescent="0.35">
      <c r="A5" s="260" t="s">
        <v>104</v>
      </c>
      <c r="B5" s="244"/>
      <c r="C5" s="245"/>
      <c r="D5" s="261"/>
      <c r="E5" s="89"/>
      <c r="F5" s="274"/>
    </row>
    <row r="6" spans="1:8" ht="60" customHeight="1" x14ac:dyDescent="0.35">
      <c r="A6" s="262"/>
      <c r="B6" s="246" t="s">
        <v>511</v>
      </c>
      <c r="C6" s="247" t="s">
        <v>412</v>
      </c>
      <c r="D6" s="263" t="s">
        <v>509</v>
      </c>
      <c r="E6" s="89"/>
      <c r="F6" s="275"/>
    </row>
    <row r="7" spans="1:8" ht="15.5" x14ac:dyDescent="0.35">
      <c r="A7" s="262"/>
      <c r="B7" s="246"/>
      <c r="C7" s="247"/>
      <c r="D7" s="263"/>
      <c r="E7" s="89"/>
      <c r="F7" s="275"/>
    </row>
    <row r="8" spans="1:8" ht="15.5" x14ac:dyDescent="0.35">
      <c r="A8" s="258" t="s">
        <v>413</v>
      </c>
      <c r="B8" s="243"/>
      <c r="C8" s="243"/>
      <c r="D8" s="259"/>
      <c r="E8" s="89"/>
    </row>
    <row r="9" spans="1:8" ht="15.5" x14ac:dyDescent="0.35">
      <c r="A9" s="264" t="s">
        <v>414</v>
      </c>
      <c r="B9" s="248">
        <v>6.5453654663935872</v>
      </c>
      <c r="C9" s="248">
        <f>'Staff Calcs '!L22</f>
        <v>0.11590747007616523</v>
      </c>
      <c r="D9" s="265">
        <f>B9+C9</f>
        <v>6.6612729364697527</v>
      </c>
      <c r="E9" s="89"/>
      <c r="G9" s="276"/>
      <c r="H9" s="276"/>
    </row>
    <row r="10" spans="1:8" ht="15.5" x14ac:dyDescent="0.35">
      <c r="A10" s="262"/>
      <c r="B10" s="243"/>
      <c r="C10" s="243"/>
      <c r="D10" s="259"/>
      <c r="G10" s="276"/>
      <c r="H10" s="276"/>
    </row>
    <row r="11" spans="1:8" ht="15.5" x14ac:dyDescent="0.35">
      <c r="A11" s="258" t="s">
        <v>415</v>
      </c>
      <c r="B11" s="248"/>
      <c r="C11" s="243"/>
      <c r="D11" s="265"/>
      <c r="E11" s="89"/>
      <c r="G11" s="276"/>
      <c r="H11" s="276"/>
    </row>
    <row r="12" spans="1:8" ht="15.5" x14ac:dyDescent="0.35">
      <c r="A12" s="264" t="s">
        <v>416</v>
      </c>
      <c r="B12" s="248">
        <v>16.84</v>
      </c>
      <c r="C12" s="248">
        <f>'Staff Calcs '!L4</f>
        <v>0.29545041391963683</v>
      </c>
      <c r="D12" s="265">
        <f t="shared" ref="D12:D15" si="0">B12+C12</f>
        <v>17.135450413919635</v>
      </c>
      <c r="E12" s="89"/>
      <c r="G12" s="276"/>
      <c r="H12" s="276"/>
    </row>
    <row r="13" spans="1:8" ht="15.5" x14ac:dyDescent="0.35">
      <c r="A13" s="264" t="s">
        <v>417</v>
      </c>
      <c r="B13" s="248">
        <v>22.01</v>
      </c>
      <c r="C13" s="248">
        <f>'Staff Calcs '!L5</f>
        <v>0.50226570366338263</v>
      </c>
      <c r="D13" s="265">
        <f t="shared" si="0"/>
        <v>22.512265703663385</v>
      </c>
      <c r="E13" s="92"/>
      <c r="G13" s="276"/>
      <c r="H13" s="276"/>
    </row>
    <row r="14" spans="1:8" ht="15.5" x14ac:dyDescent="0.35">
      <c r="A14" s="264" t="s">
        <v>418</v>
      </c>
      <c r="B14" s="248">
        <v>33.69</v>
      </c>
      <c r="C14" s="248">
        <f>'Staff Calcs '!L6</f>
        <v>0.75339855549507395</v>
      </c>
      <c r="D14" s="265">
        <f t="shared" si="0"/>
        <v>34.443398555495072</v>
      </c>
      <c r="E14" s="92"/>
      <c r="G14" s="276"/>
      <c r="H14" s="276"/>
    </row>
    <row r="15" spans="1:8" ht="15.5" x14ac:dyDescent="0.35">
      <c r="A15" s="264" t="s">
        <v>419</v>
      </c>
      <c r="B15" s="248">
        <v>46.35</v>
      </c>
      <c r="C15" s="248">
        <f>'Staff Calcs '!L7</f>
        <v>1.1374840935906017</v>
      </c>
      <c r="D15" s="265">
        <f t="shared" si="0"/>
        <v>47.487484093590602</v>
      </c>
      <c r="E15" s="92"/>
      <c r="G15" s="276"/>
      <c r="H15" s="276"/>
    </row>
    <row r="16" spans="1:8" ht="15.5" x14ac:dyDescent="0.35">
      <c r="A16" s="266" t="s">
        <v>420</v>
      </c>
      <c r="B16" s="249">
        <v>60.47</v>
      </c>
      <c r="C16" s="249">
        <f>'Staff Calcs '!K82</f>
        <v>1.4329345075102387</v>
      </c>
      <c r="D16" s="267">
        <f>B16+C16</f>
        <v>61.902934507510238</v>
      </c>
      <c r="E16" s="89"/>
      <c r="G16" s="276"/>
      <c r="H16" s="276"/>
    </row>
    <row r="17" spans="1:8" ht="15.5" x14ac:dyDescent="0.35">
      <c r="A17" s="266" t="s">
        <v>421</v>
      </c>
      <c r="B17" s="249">
        <v>71.73</v>
      </c>
      <c r="C17" s="249">
        <f>'Staff Calcs '!K83</f>
        <v>1.7283849214298754</v>
      </c>
      <c r="D17" s="267">
        <f>B17+C17</f>
        <v>73.458384921429882</v>
      </c>
      <c r="E17" s="89"/>
      <c r="G17" s="276"/>
      <c r="H17" s="276"/>
    </row>
    <row r="18" spans="1:8" ht="15.5" x14ac:dyDescent="0.35">
      <c r="A18" s="264" t="s">
        <v>422</v>
      </c>
      <c r="B18" s="248">
        <v>24.42</v>
      </c>
      <c r="C18" s="248">
        <f>'Staff Calcs '!L8</f>
        <v>0.54658326575132821</v>
      </c>
      <c r="D18" s="265">
        <f t="shared" ref="D18:D19" si="1">B18+C18</f>
        <v>24.966583265751328</v>
      </c>
      <c r="E18" s="89"/>
      <c r="G18" s="276"/>
      <c r="H18" s="276"/>
    </row>
    <row r="19" spans="1:8" ht="15.5" x14ac:dyDescent="0.35">
      <c r="A19" s="264" t="s">
        <v>423</v>
      </c>
      <c r="B19" s="248">
        <v>31.85</v>
      </c>
      <c r="C19" s="248">
        <f>'Staff Calcs '!L9</f>
        <v>0.69430847271114648</v>
      </c>
      <c r="D19" s="265">
        <f t="shared" si="1"/>
        <v>32.544308472711151</v>
      </c>
      <c r="E19" s="89"/>
      <c r="G19" s="276"/>
      <c r="H19" s="276"/>
    </row>
    <row r="20" spans="1:8" ht="15.5" x14ac:dyDescent="0.35">
      <c r="A20" s="266" t="s">
        <v>424</v>
      </c>
      <c r="B20" s="249">
        <v>41.47</v>
      </c>
      <c r="C20" s="249">
        <f>'Staff Calcs '!K84</f>
        <v>1.0045314073267653</v>
      </c>
      <c r="D20" s="267">
        <f>B20+C20</f>
        <v>42.474531407326765</v>
      </c>
      <c r="E20" s="91"/>
      <c r="G20" s="276"/>
      <c r="H20" s="276"/>
    </row>
    <row r="21" spans="1:8" ht="15.5" x14ac:dyDescent="0.35">
      <c r="A21" s="264" t="s">
        <v>425</v>
      </c>
      <c r="B21" s="248">
        <v>12.7</v>
      </c>
      <c r="C21" s="248">
        <f>'Staff Calcs '!L11</f>
        <v>0.25113285183169132</v>
      </c>
      <c r="D21" s="265">
        <f t="shared" ref="D21:D23" si="2">B21+C21</f>
        <v>12.951132851831691</v>
      </c>
      <c r="E21" s="89"/>
      <c r="G21" s="276"/>
      <c r="H21" s="276"/>
    </row>
    <row r="22" spans="1:8" ht="15.5" x14ac:dyDescent="0.35">
      <c r="A22" s="264" t="s">
        <v>426</v>
      </c>
      <c r="B22" s="248">
        <v>14.09</v>
      </c>
      <c r="C22" s="248">
        <f>'Staff Calcs '!L13</f>
        <v>0.27329163287566405</v>
      </c>
      <c r="D22" s="265">
        <f t="shared" si="2"/>
        <v>14.363291632875663</v>
      </c>
      <c r="E22" s="89"/>
      <c r="G22" s="276"/>
      <c r="H22" s="276"/>
    </row>
    <row r="23" spans="1:8" ht="15.5" x14ac:dyDescent="0.35">
      <c r="A23" s="264" t="s">
        <v>427</v>
      </c>
      <c r="B23" s="248">
        <v>18.239999999999998</v>
      </c>
      <c r="C23" s="248">
        <f>'Staff Calcs '!L14</f>
        <v>0.3471542363555733</v>
      </c>
      <c r="D23" s="265">
        <f t="shared" si="2"/>
        <v>18.587154236355573</v>
      </c>
      <c r="E23" s="89"/>
      <c r="G23" s="276"/>
      <c r="H23" s="276"/>
    </row>
    <row r="24" spans="1:8" ht="15.5" x14ac:dyDescent="0.35">
      <c r="A24" s="266" t="s">
        <v>428</v>
      </c>
      <c r="B24" s="249">
        <v>23.71</v>
      </c>
      <c r="C24" s="249">
        <f>'Staff Calcs '!N85-'Staff Calcs '!M85</f>
        <v>0.50226570366338308</v>
      </c>
      <c r="D24" s="267">
        <f>B24+C24</f>
        <v>24.212265703663384</v>
      </c>
      <c r="E24" s="91"/>
      <c r="F24" s="277"/>
      <c r="G24" s="276"/>
      <c r="H24" s="276"/>
    </row>
    <row r="25" spans="1:8" ht="15.5" x14ac:dyDescent="0.35">
      <c r="A25" s="264" t="s">
        <v>429</v>
      </c>
      <c r="B25" s="248">
        <v>7.51</v>
      </c>
      <c r="C25" s="248">
        <f>'Staff Calcs '!L16</f>
        <v>0.11590747007616524</v>
      </c>
      <c r="D25" s="265">
        <f t="shared" ref="D25:D27" si="3">B25+C25</f>
        <v>7.6259074700761653</v>
      </c>
      <c r="E25" s="89"/>
      <c r="G25" s="276"/>
      <c r="H25" s="276"/>
    </row>
    <row r="26" spans="1:8" ht="15.5" x14ac:dyDescent="0.35">
      <c r="A26" s="264" t="s">
        <v>430</v>
      </c>
      <c r="B26" s="248">
        <v>8.61</v>
      </c>
      <c r="C26" s="248">
        <f>'Staff Calcs '!L18</f>
        <v>0.12613459978876804</v>
      </c>
      <c r="D26" s="265">
        <f t="shared" si="3"/>
        <v>8.7361345997887678</v>
      </c>
      <c r="E26" s="89"/>
      <c r="G26" s="276"/>
      <c r="H26" s="276"/>
    </row>
    <row r="27" spans="1:8" ht="15.5" x14ac:dyDescent="0.35">
      <c r="A27" s="264" t="s">
        <v>431</v>
      </c>
      <c r="B27" s="248">
        <v>12.34</v>
      </c>
      <c r="C27" s="248">
        <f>'Staff Calcs '!L19</f>
        <v>0.16022503216411074</v>
      </c>
      <c r="D27" s="265">
        <f t="shared" si="3"/>
        <v>12.50022503216411</v>
      </c>
      <c r="E27" s="89"/>
      <c r="G27" s="276"/>
      <c r="H27" s="276"/>
    </row>
    <row r="28" spans="1:8" ht="15.5" x14ac:dyDescent="0.35">
      <c r="A28" s="266" t="s">
        <v>432</v>
      </c>
      <c r="B28" s="249">
        <v>15.97</v>
      </c>
      <c r="C28" s="249">
        <f>'Staff Calcs '!N86-'Staff Calcs '!M86</f>
        <v>0.23181494015233106</v>
      </c>
      <c r="D28" s="267">
        <f>B28+C28</f>
        <v>16.201814940152332</v>
      </c>
      <c r="E28" s="91"/>
      <c r="G28" s="276"/>
      <c r="H28" s="276"/>
    </row>
    <row r="29" spans="1:8" ht="15.5" x14ac:dyDescent="0.35">
      <c r="A29" s="262"/>
      <c r="B29" s="243"/>
      <c r="C29" s="248"/>
      <c r="D29" s="259"/>
      <c r="E29" s="89"/>
      <c r="G29" s="276"/>
      <c r="H29" s="276"/>
    </row>
    <row r="30" spans="1:8" ht="15.5" x14ac:dyDescent="0.35">
      <c r="A30" s="258" t="s">
        <v>433</v>
      </c>
      <c r="B30" s="243"/>
      <c r="C30" s="243"/>
      <c r="D30" s="259"/>
      <c r="E30" s="89"/>
      <c r="G30" s="276"/>
      <c r="H30" s="276"/>
    </row>
    <row r="31" spans="1:8" ht="15.5" x14ac:dyDescent="0.35">
      <c r="A31" s="264" t="s">
        <v>434</v>
      </c>
      <c r="B31" s="248">
        <v>6.97</v>
      </c>
      <c r="C31" s="248">
        <f>'Staff Calcs '!L21</f>
        <v>0.11590747007616521</v>
      </c>
      <c r="D31" s="265">
        <f t="shared" ref="D31:D35" si="4">B31+C31</f>
        <v>7.0859074700761653</v>
      </c>
      <c r="E31" s="89"/>
      <c r="G31" s="276"/>
      <c r="H31" s="276"/>
    </row>
    <row r="32" spans="1:8" ht="15.5" x14ac:dyDescent="0.35">
      <c r="A32" s="264" t="s">
        <v>435</v>
      </c>
      <c r="B32" s="248">
        <v>6.97</v>
      </c>
      <c r="C32" s="248">
        <f>C31</f>
        <v>0.11590747007616521</v>
      </c>
      <c r="D32" s="265">
        <f t="shared" si="4"/>
        <v>7.0859074700761653</v>
      </c>
      <c r="E32" s="89"/>
      <c r="G32" s="276"/>
      <c r="H32" s="276"/>
    </row>
    <row r="33" spans="1:8" ht="15.5" x14ac:dyDescent="0.35">
      <c r="A33" s="264" t="s">
        <v>436</v>
      </c>
      <c r="B33" s="248">
        <v>6.97</v>
      </c>
      <c r="C33" s="248">
        <f>C31</f>
        <v>0.11590747007616521</v>
      </c>
      <c r="D33" s="265">
        <f t="shared" si="4"/>
        <v>7.0859074700761653</v>
      </c>
      <c r="G33" s="276"/>
      <c r="H33" s="276"/>
    </row>
    <row r="34" spans="1:8" ht="15.5" x14ac:dyDescent="0.35">
      <c r="A34" s="264" t="s">
        <v>437</v>
      </c>
      <c r="B34" s="248">
        <v>6.97</v>
      </c>
      <c r="C34" s="248">
        <f>C31</f>
        <v>0.11590747007616521</v>
      </c>
      <c r="D34" s="265">
        <f t="shared" si="4"/>
        <v>7.0859074700761653</v>
      </c>
      <c r="G34" s="276"/>
      <c r="H34" s="276"/>
    </row>
    <row r="35" spans="1:8" ht="15.5" x14ac:dyDescent="0.35">
      <c r="A35" s="264" t="s">
        <v>438</v>
      </c>
      <c r="B35" s="248">
        <v>8.51</v>
      </c>
      <c r="C35" s="248">
        <f>'Co Provided Price Out'!R24</f>
        <v>0.11598398330693446</v>
      </c>
      <c r="D35" s="265">
        <f t="shared" si="4"/>
        <v>8.6259839833069343</v>
      </c>
      <c r="G35" s="276"/>
      <c r="H35" s="276"/>
    </row>
    <row r="36" spans="1:8" ht="15.5" x14ac:dyDescent="0.35">
      <c r="A36" s="262"/>
      <c r="B36" s="243"/>
      <c r="C36" s="243"/>
      <c r="D36" s="259"/>
      <c r="G36" s="276"/>
      <c r="H36" s="276"/>
    </row>
    <row r="37" spans="1:8" ht="15.5" x14ac:dyDescent="0.35">
      <c r="A37" s="258" t="s">
        <v>439</v>
      </c>
      <c r="B37" s="243"/>
      <c r="C37" s="243"/>
      <c r="D37" s="259"/>
      <c r="G37" s="276"/>
      <c r="H37" s="276"/>
    </row>
    <row r="38" spans="1:8" ht="15.5" x14ac:dyDescent="0.35">
      <c r="A38" s="266" t="s">
        <v>440</v>
      </c>
      <c r="B38" s="249">
        <v>28.31</v>
      </c>
      <c r="C38" s="249">
        <f>C49</f>
        <v>0.59658256656849751</v>
      </c>
      <c r="D38" s="267">
        <f>B38+C38</f>
        <v>28.906582566568495</v>
      </c>
      <c r="G38" s="276"/>
      <c r="H38" s="276"/>
    </row>
    <row r="39" spans="1:8" ht="15.5" x14ac:dyDescent="0.35">
      <c r="A39" s="264" t="s">
        <v>441</v>
      </c>
      <c r="B39" s="248">
        <v>28.31</v>
      </c>
      <c r="C39" s="248">
        <f>C38</f>
        <v>0.59658256656849751</v>
      </c>
      <c r="D39" s="265">
        <f t="shared" ref="D39:D40" si="5">B39+C39</f>
        <v>28.906582566568495</v>
      </c>
      <c r="G39" s="276"/>
      <c r="H39" s="276"/>
    </row>
    <row r="40" spans="1:8" ht="15.5" x14ac:dyDescent="0.35">
      <c r="A40" s="264" t="s">
        <v>442</v>
      </c>
      <c r="B40" s="248">
        <v>28.31</v>
      </c>
      <c r="C40" s="248">
        <f>C38</f>
        <v>0.59658256656849751</v>
      </c>
      <c r="D40" s="265">
        <f t="shared" si="5"/>
        <v>28.906582566568495</v>
      </c>
      <c r="G40" s="276"/>
      <c r="H40" s="276"/>
    </row>
    <row r="41" spans="1:8" ht="15.5" x14ac:dyDescent="0.35">
      <c r="A41" s="262"/>
      <c r="B41" s="243"/>
      <c r="C41" s="243"/>
      <c r="D41" s="259"/>
      <c r="G41" s="276"/>
      <c r="H41" s="276"/>
    </row>
    <row r="42" spans="1:8" ht="15.5" x14ac:dyDescent="0.35">
      <c r="A42" s="258" t="s">
        <v>443</v>
      </c>
      <c r="B42" s="243"/>
      <c r="C42" s="243"/>
      <c r="D42" s="259"/>
      <c r="G42" s="276"/>
      <c r="H42" s="276"/>
    </row>
    <row r="43" spans="1:8" ht="15.5" x14ac:dyDescent="0.35">
      <c r="A43" s="264" t="s">
        <v>444</v>
      </c>
      <c r="B43" s="248">
        <v>28.31</v>
      </c>
      <c r="C43" s="248">
        <f>C49</f>
        <v>0.59658256656849751</v>
      </c>
      <c r="D43" s="265">
        <f>B43+C43</f>
        <v>28.906582566568495</v>
      </c>
      <c r="G43" s="276"/>
      <c r="H43" s="276"/>
    </row>
    <row r="44" spans="1:8" ht="15.5" x14ac:dyDescent="0.35">
      <c r="A44" s="262"/>
      <c r="B44" s="243"/>
      <c r="C44" s="243"/>
      <c r="D44" s="259"/>
      <c r="G44" s="276"/>
      <c r="H44" s="276"/>
    </row>
    <row r="45" spans="1:8" ht="15.5" x14ac:dyDescent="0.35">
      <c r="A45" s="258" t="s">
        <v>445</v>
      </c>
      <c r="B45" s="243"/>
      <c r="C45" s="243"/>
      <c r="D45" s="259"/>
      <c r="G45" s="276"/>
      <c r="H45" s="276"/>
    </row>
    <row r="46" spans="1:8" ht="15.5" x14ac:dyDescent="0.35">
      <c r="A46" s="264" t="s">
        <v>446</v>
      </c>
      <c r="B46" s="248">
        <v>147.31</v>
      </c>
      <c r="C46" s="250">
        <f>References!B56</f>
        <v>8.5099999999999909</v>
      </c>
      <c r="D46" s="265">
        <f>B46+C46</f>
        <v>155.82</v>
      </c>
      <c r="G46" s="276"/>
      <c r="H46" s="276"/>
    </row>
    <row r="47" spans="1:8" ht="15.5" x14ac:dyDescent="0.35">
      <c r="A47" s="262"/>
      <c r="B47" s="243"/>
      <c r="C47" s="243"/>
      <c r="D47" s="259"/>
      <c r="G47" s="276"/>
      <c r="H47" s="276"/>
    </row>
    <row r="48" spans="1:8" ht="15.5" x14ac:dyDescent="0.35">
      <c r="A48" s="258" t="s">
        <v>447</v>
      </c>
      <c r="B48" s="243"/>
      <c r="C48" s="243"/>
      <c r="D48" s="259"/>
      <c r="G48" s="276"/>
      <c r="H48" s="276"/>
    </row>
    <row r="49" spans="1:8" ht="15.5" x14ac:dyDescent="0.35">
      <c r="A49" s="264" t="s">
        <v>448</v>
      </c>
      <c r="B49" s="248">
        <v>21.79</v>
      </c>
      <c r="C49" s="248">
        <f>'Staff Calcs '!L24</f>
        <v>0.59658256656849751</v>
      </c>
      <c r="D49" s="265">
        <f t="shared" ref="D49:D54" si="6">B49+C49</f>
        <v>22.386582566568496</v>
      </c>
      <c r="E49" s="89"/>
      <c r="G49" s="276"/>
      <c r="H49" s="276"/>
    </row>
    <row r="50" spans="1:8" ht="15.5" x14ac:dyDescent="0.35">
      <c r="A50" s="264" t="s">
        <v>449</v>
      </c>
      <c r="B50" s="248">
        <v>31.14</v>
      </c>
      <c r="C50" s="248">
        <f>'Staff Calcs '!L26</f>
        <v>0.85226080938356763</v>
      </c>
      <c r="D50" s="265">
        <f t="shared" si="6"/>
        <v>31.99226080938357</v>
      </c>
      <c r="E50" s="89"/>
      <c r="G50" s="276"/>
      <c r="H50" s="276"/>
    </row>
    <row r="51" spans="1:8" ht="15.5" x14ac:dyDescent="0.35">
      <c r="A51" s="264" t="s">
        <v>450</v>
      </c>
      <c r="B51" s="248">
        <v>43</v>
      </c>
      <c r="C51" s="248">
        <f>'Staff Calcs '!L29</f>
        <v>1.1045300089611041</v>
      </c>
      <c r="D51" s="265">
        <f t="shared" si="6"/>
        <v>44.104530008961106</v>
      </c>
      <c r="E51" s="89"/>
      <c r="G51" s="276"/>
      <c r="H51" s="276"/>
    </row>
    <row r="52" spans="1:8" ht="15.5" x14ac:dyDescent="0.35">
      <c r="A52" s="264" t="s">
        <v>451</v>
      </c>
      <c r="B52" s="248">
        <v>57.13</v>
      </c>
      <c r="C52" s="248">
        <f>'Staff Calcs '!L33</f>
        <v>1.6124774513537103</v>
      </c>
      <c r="D52" s="265">
        <f t="shared" si="6"/>
        <v>58.742477451353714</v>
      </c>
      <c r="E52" s="89"/>
      <c r="G52" s="276"/>
      <c r="H52" s="276"/>
    </row>
    <row r="53" spans="1:8" ht="15.5" x14ac:dyDescent="0.35">
      <c r="A53" s="264" t="s">
        <v>452</v>
      </c>
      <c r="B53" s="248">
        <v>78.06</v>
      </c>
      <c r="C53" s="248">
        <f>'Staff Calcs '!L35</f>
        <v>2.0897435046085091</v>
      </c>
      <c r="D53" s="265">
        <f t="shared" si="6"/>
        <v>80.149743504608509</v>
      </c>
      <c r="E53" s="89"/>
      <c r="G53" s="276"/>
      <c r="H53" s="276"/>
    </row>
    <row r="54" spans="1:8" ht="15.5" x14ac:dyDescent="0.35">
      <c r="A54" s="264" t="s">
        <v>453</v>
      </c>
      <c r="B54" s="248">
        <v>109.13</v>
      </c>
      <c r="C54" s="248">
        <f>'Staff Calcs '!L36</f>
        <v>2.8635963195287881</v>
      </c>
      <c r="D54" s="265">
        <f t="shared" si="6"/>
        <v>111.99359631952878</v>
      </c>
      <c r="E54" s="89"/>
      <c r="G54" s="276"/>
      <c r="H54" s="276"/>
    </row>
    <row r="55" spans="1:8" ht="15.5" x14ac:dyDescent="0.35">
      <c r="A55" s="268" t="s">
        <v>454</v>
      </c>
      <c r="B55" s="253">
        <v>146.30000000000001</v>
      </c>
      <c r="C55" s="253">
        <f>'Staff Calcs '!L39</f>
        <v>3.3408623727835858</v>
      </c>
      <c r="D55" s="269">
        <f>B55+C55</f>
        <v>149.6408623727836</v>
      </c>
      <c r="E55" s="89"/>
      <c r="G55" s="276"/>
      <c r="H55" s="276"/>
    </row>
    <row r="56" spans="1:8" ht="15.5" x14ac:dyDescent="0.35">
      <c r="A56" s="262"/>
      <c r="B56" s="243"/>
      <c r="C56" s="243"/>
      <c r="D56" s="259"/>
      <c r="G56" s="276"/>
      <c r="H56" s="276"/>
    </row>
    <row r="57" spans="1:8" ht="15.5" x14ac:dyDescent="0.35">
      <c r="A57" s="264" t="s">
        <v>455</v>
      </c>
      <c r="B57" s="248">
        <v>24.79</v>
      </c>
      <c r="C57" s="248">
        <f>C49</f>
        <v>0.59658256656849751</v>
      </c>
      <c r="D57" s="265">
        <f t="shared" ref="D57:D62" si="7">B57+C57</f>
        <v>25.386582566568496</v>
      </c>
      <c r="E57" s="89"/>
      <c r="G57" s="276"/>
      <c r="H57" s="276"/>
    </row>
    <row r="58" spans="1:8" ht="15.5" x14ac:dyDescent="0.35">
      <c r="A58" s="264" t="s">
        <v>456</v>
      </c>
      <c r="B58" s="248">
        <v>34.14</v>
      </c>
      <c r="C58" s="248">
        <f t="shared" ref="C58:C63" si="8">C50</f>
        <v>0.85226080938356763</v>
      </c>
      <c r="D58" s="265">
        <f t="shared" si="7"/>
        <v>34.992260809383566</v>
      </c>
      <c r="E58" s="89"/>
      <c r="G58" s="276"/>
      <c r="H58" s="276"/>
    </row>
    <row r="59" spans="1:8" ht="15.5" x14ac:dyDescent="0.35">
      <c r="A59" s="264" t="s">
        <v>457</v>
      </c>
      <c r="B59" s="248">
        <v>46</v>
      </c>
      <c r="C59" s="248">
        <f t="shared" si="8"/>
        <v>1.1045300089611041</v>
      </c>
      <c r="D59" s="265">
        <f t="shared" si="7"/>
        <v>47.104530008961106</v>
      </c>
      <c r="E59" s="89"/>
      <c r="G59" s="276"/>
      <c r="H59" s="276"/>
    </row>
    <row r="60" spans="1:8" ht="15.5" x14ac:dyDescent="0.35">
      <c r="A60" s="264" t="s">
        <v>458</v>
      </c>
      <c r="B60" s="248">
        <v>60.13</v>
      </c>
      <c r="C60" s="248">
        <f t="shared" si="8"/>
        <v>1.6124774513537103</v>
      </c>
      <c r="D60" s="265">
        <f t="shared" si="7"/>
        <v>61.742477451353714</v>
      </c>
      <c r="E60" s="89"/>
      <c r="G60" s="276"/>
      <c r="H60" s="276"/>
    </row>
    <row r="61" spans="1:8" ht="15.5" x14ac:dyDescent="0.35">
      <c r="A61" s="264" t="s">
        <v>459</v>
      </c>
      <c r="B61" s="248">
        <v>81.06</v>
      </c>
      <c r="C61" s="248">
        <f t="shared" si="8"/>
        <v>2.0897435046085091</v>
      </c>
      <c r="D61" s="265">
        <f t="shared" si="7"/>
        <v>83.149743504608509</v>
      </c>
      <c r="E61" s="89"/>
      <c r="G61" s="276"/>
      <c r="H61" s="276"/>
    </row>
    <row r="62" spans="1:8" ht="15.5" x14ac:dyDescent="0.35">
      <c r="A62" s="264" t="s">
        <v>460</v>
      </c>
      <c r="B62" s="248">
        <v>112.13</v>
      </c>
      <c r="C62" s="248">
        <f t="shared" si="8"/>
        <v>2.8635963195287881</v>
      </c>
      <c r="D62" s="265">
        <f t="shared" si="7"/>
        <v>114.99359631952878</v>
      </c>
      <c r="E62" s="89"/>
      <c r="G62" s="278"/>
      <c r="H62" s="276"/>
    </row>
    <row r="63" spans="1:8" ht="15.5" x14ac:dyDescent="0.35">
      <c r="A63" s="266" t="s">
        <v>461</v>
      </c>
      <c r="B63" s="249">
        <v>149.30000000000001</v>
      </c>
      <c r="C63" s="249">
        <f t="shared" si="8"/>
        <v>3.3408623727835858</v>
      </c>
      <c r="D63" s="267">
        <f>B63+C63</f>
        <v>152.6408623727836</v>
      </c>
      <c r="E63" s="89"/>
      <c r="G63" s="276"/>
      <c r="H63" s="276"/>
    </row>
    <row r="64" spans="1:8" ht="15.5" x14ac:dyDescent="0.35">
      <c r="A64" s="262"/>
      <c r="B64" s="243"/>
      <c r="C64" s="243"/>
      <c r="D64" s="259"/>
      <c r="G64" s="276"/>
      <c r="H64" s="276"/>
    </row>
    <row r="65" spans="1:11" ht="15.5" x14ac:dyDescent="0.35">
      <c r="A65" s="264" t="s">
        <v>462</v>
      </c>
      <c r="B65" s="248">
        <v>26.8</v>
      </c>
      <c r="C65" s="248">
        <f>C49</f>
        <v>0.59658256656849751</v>
      </c>
      <c r="D65" s="265">
        <f t="shared" ref="D65:D67" si="9">B65+C65</f>
        <v>27.396582566568497</v>
      </c>
      <c r="E65" s="89"/>
      <c r="G65" s="276"/>
      <c r="H65" s="276"/>
    </row>
    <row r="66" spans="1:11" ht="15.5" x14ac:dyDescent="0.35">
      <c r="A66" s="264" t="s">
        <v>463</v>
      </c>
      <c r="B66" s="248">
        <v>31.14</v>
      </c>
      <c r="C66" s="248">
        <f t="shared" ref="C66:C69" si="10">C50</f>
        <v>0.85226080938356763</v>
      </c>
      <c r="D66" s="265">
        <f t="shared" si="9"/>
        <v>31.99226080938357</v>
      </c>
      <c r="E66" s="89"/>
      <c r="G66" s="276"/>
      <c r="H66" s="276"/>
    </row>
    <row r="67" spans="1:11" ht="15.5" x14ac:dyDescent="0.35">
      <c r="A67" s="264" t="s">
        <v>464</v>
      </c>
      <c r="B67" s="248">
        <v>40.549999999999997</v>
      </c>
      <c r="C67" s="248">
        <f t="shared" si="10"/>
        <v>1.1045300089611041</v>
      </c>
      <c r="D67" s="265">
        <f t="shared" si="9"/>
        <v>41.654530008961103</v>
      </c>
      <c r="E67" s="89"/>
      <c r="G67" s="276"/>
      <c r="H67" s="276"/>
    </row>
    <row r="68" spans="1:11" s="89" customFormat="1" ht="15.5" x14ac:dyDescent="0.35">
      <c r="A68" s="266" t="s">
        <v>512</v>
      </c>
      <c r="B68" s="251">
        <v>57.13</v>
      </c>
      <c r="C68" s="249">
        <f t="shared" si="10"/>
        <v>1.6124774513537103</v>
      </c>
      <c r="D68" s="267">
        <f t="shared" ref="D68:D69" si="11">B68+C68</f>
        <v>58.742477451353714</v>
      </c>
      <c r="F68" s="32"/>
      <c r="G68" s="276"/>
      <c r="H68" s="276"/>
      <c r="I68" s="273"/>
      <c r="J68" s="273"/>
      <c r="K68" s="32"/>
    </row>
    <row r="69" spans="1:11" s="89" customFormat="1" ht="15.5" x14ac:dyDescent="0.35">
      <c r="A69" s="266" t="s">
        <v>513</v>
      </c>
      <c r="B69" s="251">
        <v>78.06</v>
      </c>
      <c r="C69" s="249">
        <f t="shared" si="10"/>
        <v>2.0897435046085091</v>
      </c>
      <c r="D69" s="267">
        <f t="shared" si="11"/>
        <v>80.149743504608509</v>
      </c>
      <c r="F69" s="32"/>
      <c r="G69" s="276"/>
      <c r="H69" s="276"/>
      <c r="I69" s="273"/>
      <c r="J69" s="273"/>
      <c r="K69" s="32"/>
    </row>
    <row r="70" spans="1:11" ht="15.5" x14ac:dyDescent="0.35">
      <c r="A70" s="262"/>
      <c r="B70" s="243"/>
      <c r="C70" s="243"/>
      <c r="D70" s="259"/>
      <c r="G70" s="276"/>
      <c r="H70" s="276"/>
    </row>
    <row r="71" spans="1:11" ht="15.5" x14ac:dyDescent="0.35">
      <c r="A71" s="258" t="s">
        <v>465</v>
      </c>
      <c r="B71" s="243"/>
      <c r="C71" s="243"/>
      <c r="D71" s="259"/>
      <c r="E71" s="89"/>
      <c r="G71" s="276"/>
      <c r="H71" s="276"/>
    </row>
    <row r="72" spans="1:11" ht="15.5" x14ac:dyDescent="0.35">
      <c r="A72" s="262"/>
      <c r="B72" s="243"/>
      <c r="C72" s="243"/>
      <c r="D72" s="259"/>
      <c r="G72" s="276"/>
      <c r="H72" s="276"/>
    </row>
    <row r="73" spans="1:11" ht="15.5" x14ac:dyDescent="0.35">
      <c r="A73" s="264" t="s">
        <v>466</v>
      </c>
      <c r="B73" s="248">
        <v>6.01</v>
      </c>
      <c r="C73" s="248">
        <f>'Staff Calcs '!L74</f>
        <v>0.12613459978876804</v>
      </c>
      <c r="D73" s="265">
        <f>B73+C73</f>
        <v>6.1361345997887682</v>
      </c>
      <c r="E73" s="89"/>
      <c r="G73" s="276"/>
      <c r="H73" s="276"/>
    </row>
    <row r="74" spans="1:11" ht="15.5" x14ac:dyDescent="0.35">
      <c r="A74" s="266" t="s">
        <v>467</v>
      </c>
      <c r="B74" s="249">
        <v>8.01</v>
      </c>
      <c r="C74" s="249">
        <f>C73</f>
        <v>0.12613459978876804</v>
      </c>
      <c r="D74" s="267">
        <f>B74+C74</f>
        <v>8.1361345997887682</v>
      </c>
      <c r="E74" s="89"/>
      <c r="G74" s="276"/>
      <c r="H74" s="276"/>
    </row>
    <row r="75" spans="1:11" ht="15.5" x14ac:dyDescent="0.35">
      <c r="A75" s="262"/>
      <c r="B75" s="243"/>
      <c r="C75" s="243"/>
      <c r="D75" s="259"/>
      <c r="G75" s="276"/>
      <c r="H75" s="276"/>
    </row>
    <row r="76" spans="1:11" ht="15.5" x14ac:dyDescent="0.35">
      <c r="A76" s="264" t="s">
        <v>225</v>
      </c>
      <c r="B76" s="248">
        <v>7.69</v>
      </c>
      <c r="C76" s="248">
        <f>'Staff Calcs '!L75</f>
        <v>0.16022503216411077</v>
      </c>
      <c r="D76" s="265">
        <f>B76+C76</f>
        <v>7.8502250321641114</v>
      </c>
      <c r="E76" s="89"/>
      <c r="G76" s="276"/>
      <c r="H76" s="276"/>
    </row>
    <row r="77" spans="1:11" ht="15.5" x14ac:dyDescent="0.35">
      <c r="A77" s="266" t="s">
        <v>468</v>
      </c>
      <c r="B77" s="249">
        <v>10.69</v>
      </c>
      <c r="C77" s="249">
        <f>C76</f>
        <v>0.16022503216411077</v>
      </c>
      <c r="D77" s="267">
        <f>B77+C77</f>
        <v>10.85022503216411</v>
      </c>
      <c r="E77" s="89"/>
      <c r="G77" s="276"/>
      <c r="H77" s="276"/>
    </row>
    <row r="78" spans="1:11" ht="15.5" x14ac:dyDescent="0.35">
      <c r="A78" s="262"/>
      <c r="B78" s="243"/>
      <c r="C78" s="243"/>
      <c r="D78" s="259"/>
      <c r="G78" s="276"/>
      <c r="H78" s="276"/>
    </row>
    <row r="79" spans="1:11" ht="15.5" x14ac:dyDescent="0.35">
      <c r="A79" s="266" t="s">
        <v>469</v>
      </c>
      <c r="B79" s="249">
        <v>10.01</v>
      </c>
      <c r="C79" s="249">
        <f>'Staff Calcs '!K92</f>
        <v>0.23181494015233042</v>
      </c>
      <c r="D79" s="267">
        <f t="shared" ref="D79:D82" si="12">B79+C79</f>
        <v>10.241814940152331</v>
      </c>
      <c r="E79" s="91"/>
      <c r="G79" s="276"/>
      <c r="H79" s="276"/>
    </row>
    <row r="80" spans="1:11" ht="15.5" x14ac:dyDescent="0.35">
      <c r="A80" s="266" t="s">
        <v>470</v>
      </c>
      <c r="B80" s="249">
        <v>13.01</v>
      </c>
      <c r="C80" s="252">
        <f>C79</f>
        <v>0.23181494015233042</v>
      </c>
      <c r="D80" s="267">
        <f t="shared" si="12"/>
        <v>13.241814940152331</v>
      </c>
      <c r="E80" s="91"/>
      <c r="G80" s="276"/>
      <c r="H80" s="276"/>
    </row>
    <row r="81" spans="1:11" s="89" customFormat="1" ht="15.5" x14ac:dyDescent="0.35">
      <c r="A81" s="268"/>
      <c r="B81" s="253"/>
      <c r="C81" s="254"/>
      <c r="D81" s="269"/>
      <c r="E81" s="91"/>
      <c r="F81" s="32"/>
      <c r="G81" s="276"/>
      <c r="H81" s="276"/>
      <c r="I81" s="273"/>
      <c r="J81" s="273"/>
      <c r="K81" s="32"/>
    </row>
    <row r="82" spans="1:11" s="89" customFormat="1" ht="15.5" x14ac:dyDescent="0.35">
      <c r="A82" s="266" t="s">
        <v>504</v>
      </c>
      <c r="B82" s="249">
        <v>6.64</v>
      </c>
      <c r="C82" s="252">
        <f>'Staff Calcs '!L72</f>
        <v>9.8862253888493859E-2</v>
      </c>
      <c r="D82" s="267">
        <f t="shared" si="12"/>
        <v>6.7388622538884935</v>
      </c>
      <c r="E82" s="91"/>
      <c r="F82" s="32"/>
      <c r="G82" s="276"/>
      <c r="H82" s="276"/>
      <c r="I82" s="273"/>
      <c r="J82" s="273"/>
      <c r="K82" s="32"/>
    </row>
    <row r="83" spans="1:11" ht="15.5" x14ac:dyDescent="0.35">
      <c r="A83" s="262"/>
      <c r="B83" s="248"/>
      <c r="C83" s="243"/>
      <c r="D83" s="265"/>
      <c r="E83" s="89"/>
      <c r="G83" s="276"/>
      <c r="H83" s="276"/>
    </row>
    <row r="84" spans="1:11" ht="15.5" x14ac:dyDescent="0.35">
      <c r="A84" s="264" t="s">
        <v>471</v>
      </c>
      <c r="B84" s="248">
        <v>26.04</v>
      </c>
      <c r="C84" s="248">
        <f>'Staff Calcs '!L74*References!B10</f>
        <v>0.5465832657513281</v>
      </c>
      <c r="D84" s="265">
        <f t="shared" ref="D84:D86" si="13">B84+C84</f>
        <v>26.586583265751326</v>
      </c>
      <c r="E84" s="89"/>
      <c r="F84" s="277"/>
      <c r="G84" s="276"/>
      <c r="H84" s="276"/>
    </row>
    <row r="85" spans="1:11" ht="15.5" x14ac:dyDescent="0.35">
      <c r="A85" s="264" t="s">
        <v>472</v>
      </c>
      <c r="B85" s="248">
        <v>33.340000000000003</v>
      </c>
      <c r="C85" s="248">
        <f>'Staff Calcs '!L75*References!B10</f>
        <v>0.6943084727111466</v>
      </c>
      <c r="D85" s="265">
        <f t="shared" si="13"/>
        <v>34.034308472711153</v>
      </c>
      <c r="E85" s="89"/>
      <c r="G85" s="276"/>
      <c r="H85" s="276"/>
    </row>
    <row r="86" spans="1:11" ht="15.5" x14ac:dyDescent="0.35">
      <c r="A86" s="264" t="s">
        <v>473</v>
      </c>
      <c r="B86" s="248">
        <v>43.36</v>
      </c>
      <c r="C86" s="248">
        <f>C79*References!B10</f>
        <v>1.004531407326765</v>
      </c>
      <c r="D86" s="265">
        <f t="shared" si="13"/>
        <v>44.364531407326766</v>
      </c>
      <c r="E86" s="91"/>
      <c r="G86" s="276"/>
      <c r="H86" s="276"/>
    </row>
    <row r="87" spans="1:11" ht="15.5" x14ac:dyDescent="0.35">
      <c r="A87" s="262"/>
      <c r="B87" s="248"/>
      <c r="C87" s="243"/>
      <c r="D87" s="265"/>
      <c r="E87" s="89"/>
      <c r="G87" s="276"/>
      <c r="H87" s="276"/>
    </row>
    <row r="88" spans="1:11" ht="15.5" x14ac:dyDescent="0.35">
      <c r="A88" s="258" t="s">
        <v>474</v>
      </c>
      <c r="B88" s="243"/>
      <c r="C88" s="243"/>
      <c r="D88" s="259"/>
      <c r="E88" s="89"/>
      <c r="G88" s="276"/>
      <c r="H88" s="276"/>
    </row>
    <row r="89" spans="1:11" ht="15.5" x14ac:dyDescent="0.35">
      <c r="A89" s="264" t="s">
        <v>475</v>
      </c>
      <c r="B89" s="248">
        <v>5.33</v>
      </c>
      <c r="C89" s="248">
        <f>'Staff Calcs '!L72</f>
        <v>9.8862253888493859E-2</v>
      </c>
      <c r="D89" s="265">
        <f>B89+C89</f>
        <v>5.4288622538884939</v>
      </c>
      <c r="E89" s="89"/>
      <c r="G89" s="276"/>
      <c r="H89" s="276"/>
    </row>
    <row r="90" spans="1:11" ht="15.5" x14ac:dyDescent="0.35">
      <c r="A90" s="266" t="s">
        <v>476</v>
      </c>
      <c r="B90" s="249">
        <v>7.33</v>
      </c>
      <c r="C90" s="249">
        <f>C89</f>
        <v>9.8862253888493859E-2</v>
      </c>
      <c r="D90" s="267">
        <f>B90+C90</f>
        <v>7.4288622538884939</v>
      </c>
      <c r="E90" s="89"/>
      <c r="G90" s="276"/>
      <c r="H90" s="276"/>
    </row>
    <row r="91" spans="1:11" ht="15.5" x14ac:dyDescent="0.35">
      <c r="A91" s="262"/>
      <c r="B91" s="243"/>
      <c r="C91" s="243"/>
      <c r="D91" s="259"/>
      <c r="G91" s="276"/>
      <c r="H91" s="276"/>
    </row>
    <row r="92" spans="1:11" ht="15.5" x14ac:dyDescent="0.35">
      <c r="A92" s="266" t="s">
        <v>450</v>
      </c>
      <c r="B92" s="249">
        <v>43</v>
      </c>
      <c r="C92" s="249">
        <f>C51</f>
        <v>1.1045300089611041</v>
      </c>
      <c r="D92" s="267">
        <f t="shared" ref="D92:D95" si="14">B92+C92</f>
        <v>44.104530008961106</v>
      </c>
      <c r="E92" s="91"/>
      <c r="G92" s="276"/>
      <c r="H92" s="276"/>
    </row>
    <row r="93" spans="1:11" ht="15.5" x14ac:dyDescent="0.35">
      <c r="A93" s="266" t="s">
        <v>451</v>
      </c>
      <c r="B93" s="249">
        <v>57.13</v>
      </c>
      <c r="C93" s="249">
        <f>C52</f>
        <v>1.6124774513537103</v>
      </c>
      <c r="D93" s="267">
        <f t="shared" si="14"/>
        <v>58.742477451353714</v>
      </c>
      <c r="E93" s="91"/>
      <c r="G93" s="276"/>
      <c r="H93" s="276"/>
    </row>
    <row r="94" spans="1:11" ht="15.5" x14ac:dyDescent="0.35">
      <c r="A94" s="266" t="s">
        <v>452</v>
      </c>
      <c r="B94" s="249">
        <v>78.06</v>
      </c>
      <c r="C94" s="249">
        <f>C53</f>
        <v>2.0897435046085091</v>
      </c>
      <c r="D94" s="267">
        <f t="shared" si="14"/>
        <v>80.149743504608509</v>
      </c>
      <c r="E94" s="91"/>
      <c r="G94" s="276"/>
      <c r="H94" s="276"/>
    </row>
    <row r="95" spans="1:11" ht="15.5" x14ac:dyDescent="0.35">
      <c r="A95" s="266" t="s">
        <v>477</v>
      </c>
      <c r="B95" s="249">
        <v>109.12</v>
      </c>
      <c r="C95" s="249">
        <f>C54</f>
        <v>2.8635963195287881</v>
      </c>
      <c r="D95" s="267">
        <f t="shared" si="14"/>
        <v>111.98359631952879</v>
      </c>
      <c r="E95" s="91"/>
      <c r="G95" s="276"/>
      <c r="H95" s="276"/>
    </row>
    <row r="96" spans="1:11" ht="15.5" x14ac:dyDescent="0.35">
      <c r="A96" s="262"/>
      <c r="B96" s="243"/>
      <c r="C96" s="243"/>
      <c r="D96" s="259"/>
      <c r="G96" s="276"/>
      <c r="H96" s="276"/>
    </row>
    <row r="97" spans="1:11" s="89" customFormat="1" ht="15.5" x14ac:dyDescent="0.35">
      <c r="A97" s="266" t="s">
        <v>457</v>
      </c>
      <c r="B97" s="249">
        <v>46</v>
      </c>
      <c r="C97" s="249">
        <f>C51</f>
        <v>1.1045300089611041</v>
      </c>
      <c r="D97" s="267">
        <f t="shared" ref="D97:D100" si="15">B97+C97</f>
        <v>47.104530008961106</v>
      </c>
      <c r="E97" s="91"/>
      <c r="F97" s="32"/>
      <c r="G97" s="276"/>
      <c r="H97" s="276"/>
      <c r="I97" s="273"/>
      <c r="J97" s="273"/>
      <c r="K97" s="32"/>
    </row>
    <row r="98" spans="1:11" s="89" customFormat="1" ht="15.5" x14ac:dyDescent="0.35">
      <c r="A98" s="266" t="s">
        <v>458</v>
      </c>
      <c r="B98" s="249">
        <v>60.13</v>
      </c>
      <c r="C98" s="249">
        <f t="shared" ref="C98:C100" si="16">C52</f>
        <v>1.6124774513537103</v>
      </c>
      <c r="D98" s="267">
        <f t="shared" si="15"/>
        <v>61.742477451353714</v>
      </c>
      <c r="E98" s="91"/>
      <c r="F98" s="32"/>
      <c r="G98" s="276"/>
      <c r="H98" s="276"/>
      <c r="I98" s="273"/>
      <c r="J98" s="273"/>
      <c r="K98" s="32"/>
    </row>
    <row r="99" spans="1:11" s="89" customFormat="1" ht="15.5" x14ac:dyDescent="0.35">
      <c r="A99" s="266" t="s">
        <v>459</v>
      </c>
      <c r="B99" s="249">
        <v>81.06</v>
      </c>
      <c r="C99" s="249">
        <f t="shared" si="16"/>
        <v>2.0897435046085091</v>
      </c>
      <c r="D99" s="267">
        <f t="shared" si="15"/>
        <v>83.149743504608509</v>
      </c>
      <c r="E99" s="91"/>
      <c r="F99" s="32"/>
      <c r="G99" s="276"/>
      <c r="H99" s="276"/>
      <c r="I99" s="273"/>
      <c r="J99" s="273"/>
      <c r="K99" s="32"/>
    </row>
    <row r="100" spans="1:11" s="89" customFormat="1" ht="15.5" x14ac:dyDescent="0.35">
      <c r="A100" s="266" t="s">
        <v>500</v>
      </c>
      <c r="B100" s="249">
        <v>112.12</v>
      </c>
      <c r="C100" s="249">
        <f t="shared" si="16"/>
        <v>2.8635963195287881</v>
      </c>
      <c r="D100" s="267">
        <f t="shared" si="15"/>
        <v>114.98359631952879</v>
      </c>
      <c r="E100" s="91"/>
      <c r="F100" s="32"/>
      <c r="G100" s="276"/>
      <c r="H100" s="276"/>
      <c r="I100" s="273"/>
      <c r="J100" s="273"/>
      <c r="K100" s="32"/>
    </row>
    <row r="101" spans="1:11" s="89" customFormat="1" ht="15.5" x14ac:dyDescent="0.35">
      <c r="A101" s="262"/>
      <c r="B101" s="243"/>
      <c r="C101" s="243"/>
      <c r="D101" s="259"/>
      <c r="F101" s="32"/>
      <c r="G101" s="276"/>
      <c r="H101" s="276"/>
      <c r="I101" s="273"/>
      <c r="J101" s="273"/>
      <c r="K101" s="32"/>
    </row>
    <row r="102" spans="1:11" ht="15.5" x14ac:dyDescent="0.35">
      <c r="A102" s="266" t="s">
        <v>478</v>
      </c>
      <c r="B102" s="249">
        <v>28.31</v>
      </c>
      <c r="C102" s="249">
        <f>C43</f>
        <v>0.59658256656849751</v>
      </c>
      <c r="D102" s="267">
        <f>B102+C102</f>
        <v>28.906582566568495</v>
      </c>
      <c r="E102" s="89"/>
      <c r="G102" s="276"/>
      <c r="H102" s="276"/>
    </row>
    <row r="103" spans="1:11" ht="15.5" x14ac:dyDescent="0.35">
      <c r="A103" s="262"/>
      <c r="B103" s="243"/>
      <c r="C103" s="243"/>
      <c r="D103" s="259"/>
      <c r="G103" s="276"/>
      <c r="H103" s="276"/>
    </row>
    <row r="104" spans="1:11" ht="15.5" x14ac:dyDescent="0.35">
      <c r="A104" s="266" t="s">
        <v>479</v>
      </c>
      <c r="B104" s="249">
        <v>6.95</v>
      </c>
      <c r="C104" s="249">
        <f>C89</f>
        <v>9.8862253888493859E-2</v>
      </c>
      <c r="D104" s="267">
        <f>B104+C104</f>
        <v>7.048862253888494</v>
      </c>
      <c r="E104" s="89"/>
      <c r="G104" s="276"/>
      <c r="H104" s="276"/>
    </row>
    <row r="105" spans="1:11" ht="15.5" x14ac:dyDescent="0.35">
      <c r="A105" s="262"/>
      <c r="B105" s="243"/>
      <c r="C105" s="243"/>
      <c r="D105" s="259"/>
      <c r="G105" s="276"/>
      <c r="H105" s="276"/>
    </row>
    <row r="106" spans="1:11" ht="15.5" x14ac:dyDescent="0.35">
      <c r="A106" s="264" t="s">
        <v>480</v>
      </c>
      <c r="B106" s="248">
        <v>23.07</v>
      </c>
      <c r="C106" s="248">
        <f>'Staff Calcs '!L72*References!B10</f>
        <v>0.42840310018347338</v>
      </c>
      <c r="D106" s="265">
        <f>B106+C106</f>
        <v>23.498403100183474</v>
      </c>
      <c r="G106" s="276"/>
      <c r="H106" s="276"/>
    </row>
    <row r="107" spans="1:11" ht="15.5" x14ac:dyDescent="0.35">
      <c r="A107" s="262"/>
      <c r="B107" s="243"/>
      <c r="C107" s="243"/>
      <c r="D107" s="259"/>
      <c r="G107" s="276"/>
      <c r="H107" s="276"/>
    </row>
    <row r="108" spans="1:11" ht="15.5" x14ac:dyDescent="0.35">
      <c r="A108" s="258" t="s">
        <v>481</v>
      </c>
      <c r="B108" s="243"/>
      <c r="C108" s="243"/>
      <c r="D108" s="259"/>
      <c r="G108" s="276"/>
      <c r="H108" s="276"/>
    </row>
    <row r="109" spans="1:11" ht="15.5" x14ac:dyDescent="0.35">
      <c r="A109" s="264" t="s">
        <v>452</v>
      </c>
      <c r="B109" s="248">
        <v>161.13999999999999</v>
      </c>
      <c r="C109" s="253">
        <f>'Staff Calcs '!L71</f>
        <v>5.7476468984827811</v>
      </c>
      <c r="D109" s="265">
        <f>B109+C109</f>
        <v>166.88764689848276</v>
      </c>
      <c r="F109" s="277"/>
      <c r="G109" s="276"/>
      <c r="H109" s="276"/>
    </row>
    <row r="110" spans="1:11" ht="16" thickBot="1" x14ac:dyDescent="0.4">
      <c r="A110" s="270" t="s">
        <v>459</v>
      </c>
      <c r="B110" s="271">
        <v>166.14</v>
      </c>
      <c r="C110" s="271">
        <f>C109</f>
        <v>5.7476468984827811</v>
      </c>
      <c r="D110" s="272">
        <f>B110+C110</f>
        <v>171.88764689848276</v>
      </c>
      <c r="G110" s="276"/>
      <c r="H110" s="276"/>
    </row>
    <row r="113" spans="2:4" x14ac:dyDescent="0.35">
      <c r="B113" s="89"/>
      <c r="C113" s="92"/>
      <c r="D113" s="89"/>
    </row>
  </sheetData>
  <pageMargins left="0.7" right="0.7" top="0.75" bottom="0.75" header="0.3" footer="0.3"/>
  <pageSetup scale="39" orientation="portrait" r:id="rId1"/>
  <headerFooter>
    <oddFooter>&amp;L&amp;F - &amp;A&amp;C&amp;D&amp;R&amp;P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1"/>
  <sheetViews>
    <sheetView workbookViewId="0">
      <pane xSplit="2" ySplit="5" topLeftCell="E42" activePane="bottomRight" state="frozen"/>
      <selection pane="topRight" activeCell="C1" sqref="C1"/>
      <selection pane="bottomLeft" activeCell="A6" sqref="A6"/>
      <selection pane="bottomRight" activeCell="A55" sqref="A55:XFD55"/>
    </sheetView>
  </sheetViews>
  <sheetFormatPr defaultRowHeight="14.5" x14ac:dyDescent="0.35"/>
  <cols>
    <col min="1" max="1" width="45" bestFit="1" customWidth="1"/>
    <col min="2" max="2" width="27.81640625" bestFit="1" customWidth="1"/>
    <col min="3" max="3" width="15.7265625" bestFit="1" customWidth="1"/>
    <col min="4" max="4" width="15.81640625" bestFit="1" customWidth="1"/>
    <col min="5" max="5" width="14" bestFit="1" customWidth="1"/>
    <col min="6" max="6" width="14.54296875" bestFit="1" customWidth="1"/>
    <col min="7" max="7" width="14.1796875" bestFit="1" customWidth="1"/>
    <col min="8" max="10" width="10.1796875" bestFit="1" customWidth="1"/>
    <col min="11" max="11" width="8.54296875" bestFit="1" customWidth="1"/>
    <col min="12" max="12" width="17.26953125" bestFit="1" customWidth="1"/>
    <col min="13" max="14" width="15.26953125" bestFit="1" customWidth="1"/>
    <col min="15" max="15" width="14.54296875" bestFit="1" customWidth="1"/>
    <col min="16" max="16" width="12.453125" bestFit="1" customWidth="1"/>
    <col min="17" max="17" width="10" bestFit="1" customWidth="1"/>
    <col min="18" max="18" width="11.1796875" bestFit="1" customWidth="1"/>
    <col min="19" max="19" width="12.453125" bestFit="1" customWidth="1"/>
    <col min="20" max="20" width="8.7265625" bestFit="1" customWidth="1"/>
    <col min="21" max="21" width="20.1796875" bestFit="1" customWidth="1"/>
    <col min="22" max="22" width="26.26953125" bestFit="1" customWidth="1"/>
    <col min="23" max="23" width="8.54296875" bestFit="1" customWidth="1"/>
    <col min="24" max="24" width="8.7265625" bestFit="1" customWidth="1"/>
    <col min="25" max="25" width="7.453125" bestFit="1" customWidth="1"/>
    <col min="26" max="26" width="6.1796875" bestFit="1" customWidth="1"/>
    <col min="27" max="27" width="7.54296875" bestFit="1" customWidth="1"/>
  </cols>
  <sheetData>
    <row r="1" spans="1:28" x14ac:dyDescent="0.35">
      <c r="A1" s="201" t="s">
        <v>193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60"/>
      <c r="P1" s="60"/>
      <c r="Q1" s="60"/>
      <c r="R1" s="60"/>
      <c r="S1" s="60"/>
      <c r="T1" s="60"/>
      <c r="U1" s="60"/>
      <c r="V1" s="60"/>
      <c r="W1" s="60"/>
      <c r="X1" s="60"/>
      <c r="Y1" s="39"/>
      <c r="Z1" s="40"/>
      <c r="AA1" s="39"/>
      <c r="AB1" s="35"/>
    </row>
    <row r="2" spans="1:28" x14ac:dyDescent="0.35">
      <c r="A2" s="231" t="s">
        <v>510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60"/>
      <c r="P2" s="60"/>
      <c r="Q2" s="60"/>
      <c r="R2" s="60"/>
      <c r="S2" s="60"/>
      <c r="T2" s="60"/>
      <c r="U2" s="60"/>
      <c r="V2" s="60"/>
      <c r="W2" s="60"/>
      <c r="X2" s="60"/>
      <c r="Y2" s="39"/>
      <c r="Z2" s="40"/>
      <c r="AA2" s="39"/>
      <c r="AB2" s="35"/>
    </row>
    <row r="3" spans="1:28" ht="15" thickBot="1" x14ac:dyDescent="0.4">
      <c r="A3" s="201" t="s">
        <v>194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60"/>
      <c r="P3" s="60"/>
      <c r="Q3" s="60"/>
      <c r="R3" s="87"/>
      <c r="S3" s="60"/>
      <c r="T3" s="60"/>
      <c r="U3" s="60"/>
      <c r="V3" s="60"/>
      <c r="W3" s="60"/>
      <c r="X3" s="60"/>
      <c r="Y3" s="39"/>
      <c r="Z3" s="40"/>
      <c r="AA3" s="39"/>
      <c r="AB3" s="35"/>
    </row>
    <row r="4" spans="1:28" x14ac:dyDescent="0.35">
      <c r="A4" s="201"/>
      <c r="B4" s="202"/>
      <c r="C4" s="202"/>
      <c r="D4" s="202"/>
      <c r="E4" s="203"/>
      <c r="F4" s="203"/>
      <c r="G4" s="203"/>
      <c r="H4" s="202"/>
      <c r="I4" s="202"/>
      <c r="J4" s="202"/>
      <c r="K4" s="202"/>
      <c r="L4" s="202"/>
      <c r="M4" s="202"/>
      <c r="N4" s="202"/>
      <c r="O4" s="60"/>
      <c r="P4" s="60"/>
      <c r="Q4" s="60"/>
      <c r="R4" s="60"/>
      <c r="S4" s="60"/>
      <c r="T4" s="60"/>
      <c r="U4" s="67"/>
      <c r="V4" s="68" t="s">
        <v>195</v>
      </c>
      <c r="W4" s="69"/>
      <c r="X4" s="70"/>
      <c r="Y4" s="41" t="s">
        <v>107</v>
      </c>
      <c r="Z4" s="42" t="s">
        <v>108</v>
      </c>
      <c r="AA4" s="42" t="s">
        <v>92</v>
      </c>
      <c r="AB4" s="35"/>
    </row>
    <row r="5" spans="1:28" ht="75.75" customHeight="1" x14ac:dyDescent="0.35">
      <c r="A5" s="289" t="s">
        <v>501</v>
      </c>
      <c r="B5" s="289"/>
      <c r="C5" s="202"/>
      <c r="D5" s="202"/>
      <c r="E5" s="203"/>
      <c r="F5" s="203"/>
      <c r="G5" s="203"/>
      <c r="H5" s="202"/>
      <c r="I5" s="202"/>
      <c r="J5" s="202"/>
      <c r="K5" s="202"/>
      <c r="L5" s="203"/>
      <c r="M5" s="202"/>
      <c r="N5" s="202"/>
      <c r="O5" s="232">
        <v>42370</v>
      </c>
      <c r="P5" s="233" t="s">
        <v>196</v>
      </c>
      <c r="Q5" s="234"/>
      <c r="R5" s="234"/>
      <c r="S5" s="234"/>
      <c r="T5" s="60"/>
      <c r="U5" s="71"/>
      <c r="V5" s="60"/>
      <c r="W5" s="60"/>
      <c r="X5" s="72"/>
      <c r="Y5" s="43" t="s">
        <v>111</v>
      </c>
      <c r="Z5" s="44" t="s">
        <v>112</v>
      </c>
      <c r="AA5" s="44" t="s">
        <v>113</v>
      </c>
      <c r="AB5" s="35"/>
    </row>
    <row r="6" spans="1:28" x14ac:dyDescent="0.35">
      <c r="A6" s="203" t="s">
        <v>109</v>
      </c>
      <c r="B6" s="203" t="s">
        <v>110</v>
      </c>
      <c r="C6" s="203" t="s">
        <v>197</v>
      </c>
      <c r="D6" s="203" t="s">
        <v>198</v>
      </c>
      <c r="E6" s="203" t="s">
        <v>199</v>
      </c>
      <c r="F6" s="203" t="s">
        <v>200</v>
      </c>
      <c r="G6" s="203" t="s">
        <v>201</v>
      </c>
      <c r="H6" s="203" t="s">
        <v>202</v>
      </c>
      <c r="I6" s="203" t="s">
        <v>203</v>
      </c>
      <c r="J6" s="203" t="s">
        <v>203</v>
      </c>
      <c r="K6" s="203" t="s">
        <v>92</v>
      </c>
      <c r="L6" s="203" t="s">
        <v>204</v>
      </c>
      <c r="M6" s="203" t="s">
        <v>205</v>
      </c>
      <c r="N6" s="203" t="s">
        <v>206</v>
      </c>
      <c r="O6" s="233" t="s">
        <v>207</v>
      </c>
      <c r="P6" s="233" t="s">
        <v>208</v>
      </c>
      <c r="Q6" s="233" t="s">
        <v>10</v>
      </c>
      <c r="R6" s="233" t="s">
        <v>10</v>
      </c>
      <c r="S6" s="233" t="s">
        <v>93</v>
      </c>
      <c r="T6" s="60"/>
      <c r="U6" s="71"/>
      <c r="V6" s="65" t="s">
        <v>14</v>
      </c>
      <c r="W6" s="60"/>
      <c r="X6" s="72"/>
      <c r="Y6" s="39"/>
      <c r="Z6" s="40"/>
      <c r="AA6" s="39"/>
      <c r="AB6" s="35"/>
    </row>
    <row r="7" spans="1:28" x14ac:dyDescent="0.35">
      <c r="A7" s="204" t="s">
        <v>14</v>
      </c>
      <c r="B7" s="202"/>
      <c r="C7" s="203" t="s">
        <v>209</v>
      </c>
      <c r="D7" s="203" t="s">
        <v>209</v>
      </c>
      <c r="E7" s="203" t="s">
        <v>93</v>
      </c>
      <c r="F7" s="203" t="s">
        <v>93</v>
      </c>
      <c r="G7" s="203" t="s">
        <v>93</v>
      </c>
      <c r="H7" s="203" t="s">
        <v>94</v>
      </c>
      <c r="I7" s="203" t="s">
        <v>94</v>
      </c>
      <c r="J7" s="203" t="s">
        <v>210</v>
      </c>
      <c r="K7" s="203" t="s">
        <v>211</v>
      </c>
      <c r="L7" s="203" t="s">
        <v>212</v>
      </c>
      <c r="M7" s="203" t="s">
        <v>213</v>
      </c>
      <c r="N7" s="203" t="s">
        <v>213</v>
      </c>
      <c r="O7" s="235">
        <f>References!C56</f>
        <v>4.2549999999999949E-3</v>
      </c>
      <c r="P7" s="233">
        <f>References!G59</f>
        <v>0.98072499999999996</v>
      </c>
      <c r="Q7" s="233" t="s">
        <v>214</v>
      </c>
      <c r="R7" s="233" t="s">
        <v>215</v>
      </c>
      <c r="S7" s="233" t="s">
        <v>216</v>
      </c>
      <c r="T7" s="60"/>
      <c r="U7" s="73"/>
      <c r="V7" s="74" t="s">
        <v>217</v>
      </c>
      <c r="W7" s="61">
        <v>34</v>
      </c>
      <c r="X7" s="72"/>
      <c r="Y7" s="39"/>
      <c r="Z7" s="46"/>
      <c r="AA7" s="38"/>
      <c r="AB7" s="35"/>
    </row>
    <row r="8" spans="1:28" x14ac:dyDescent="0.35">
      <c r="A8" s="205" t="s">
        <v>218</v>
      </c>
      <c r="B8" s="205" t="s">
        <v>120</v>
      </c>
      <c r="C8" s="206">
        <v>15.5</v>
      </c>
      <c r="D8" s="206">
        <v>15.76</v>
      </c>
      <c r="E8" s="207">
        <v>434</v>
      </c>
      <c r="F8" s="207">
        <v>994.47999999999979</v>
      </c>
      <c r="G8" s="207">
        <v>1428.4799999999998</v>
      </c>
      <c r="H8" s="208">
        <v>91.101522842639582</v>
      </c>
      <c r="I8" s="208">
        <v>7.5917935702199655</v>
      </c>
      <c r="J8" s="209">
        <v>4.33</v>
      </c>
      <c r="K8" s="210">
        <v>394.46959390862941</v>
      </c>
      <c r="L8" s="206">
        <v>20</v>
      </c>
      <c r="M8" s="208">
        <v>7889.3918781725879</v>
      </c>
      <c r="N8" s="211">
        <v>6203.1218651162353</v>
      </c>
      <c r="O8" s="66">
        <f>N8*$O$7</f>
        <v>26.394283536069551</v>
      </c>
      <c r="P8" s="66">
        <f>O8/$P$7</f>
        <v>26.913032232348062</v>
      </c>
      <c r="Q8" s="66">
        <f>P8/H8</f>
        <v>0.29541802807001555</v>
      </c>
      <c r="R8" s="86"/>
      <c r="S8" s="66">
        <f>H8*Q8</f>
        <v>26.913032232348062</v>
      </c>
      <c r="T8" s="60"/>
      <c r="U8" s="73"/>
      <c r="V8" s="74" t="s">
        <v>219</v>
      </c>
      <c r="W8" s="61">
        <v>51</v>
      </c>
      <c r="X8" s="72"/>
      <c r="Y8" s="39"/>
      <c r="Z8" s="46"/>
      <c r="AA8" s="38"/>
      <c r="AB8" s="35"/>
    </row>
    <row r="9" spans="1:28" x14ac:dyDescent="0.35">
      <c r="A9" s="205" t="s">
        <v>220</v>
      </c>
      <c r="B9" s="205" t="s">
        <v>121</v>
      </c>
      <c r="C9" s="206">
        <v>19.75</v>
      </c>
      <c r="D9" s="206">
        <v>20.170000000000002</v>
      </c>
      <c r="E9" s="207">
        <v>66733.25</v>
      </c>
      <c r="F9" s="207">
        <v>130118.86</v>
      </c>
      <c r="G9" s="207">
        <v>196852.11</v>
      </c>
      <c r="H9" s="208">
        <v>9830.007311271911</v>
      </c>
      <c r="I9" s="208">
        <v>819.16727593932592</v>
      </c>
      <c r="J9" s="209">
        <v>4.33</v>
      </c>
      <c r="K9" s="210">
        <v>42563.931657807378</v>
      </c>
      <c r="L9" s="206">
        <v>34</v>
      </c>
      <c r="M9" s="208">
        <v>1447173.676365451</v>
      </c>
      <c r="N9" s="211">
        <v>1137856.3535827945</v>
      </c>
      <c r="O9" s="90">
        <f t="shared" ref="O9:O26" si="0">N9*$O$7</f>
        <v>4841.5787844947854</v>
      </c>
      <c r="P9" s="90">
        <f t="shared" ref="P9:P26" si="1">O9/$P$7</f>
        <v>4936.734338876633</v>
      </c>
      <c r="Q9" s="90">
        <f t="shared" ref="Q9:Q23" si="2">P9/H9</f>
        <v>0.50221064771902657</v>
      </c>
      <c r="R9" s="66"/>
      <c r="S9" s="90">
        <f t="shared" ref="S9:S23" si="3">H9*Q9</f>
        <v>4936.734338876633</v>
      </c>
      <c r="T9" s="60"/>
      <c r="U9" s="73"/>
      <c r="V9" s="74" t="s">
        <v>221</v>
      </c>
      <c r="W9" s="61">
        <v>77</v>
      </c>
      <c r="X9" s="72"/>
      <c r="Y9" s="39"/>
      <c r="Z9" s="46"/>
      <c r="AA9" s="38"/>
      <c r="AB9" s="35"/>
    </row>
    <row r="10" spans="1:28" x14ac:dyDescent="0.35">
      <c r="A10" s="205" t="s">
        <v>222</v>
      </c>
      <c r="B10" s="205" t="s">
        <v>122</v>
      </c>
      <c r="C10" s="206">
        <v>30.23</v>
      </c>
      <c r="D10" s="206">
        <v>30.93</v>
      </c>
      <c r="E10" s="207">
        <v>11706.55</v>
      </c>
      <c r="F10" s="207">
        <v>22739.440000000002</v>
      </c>
      <c r="G10" s="207">
        <v>34445.990000000005</v>
      </c>
      <c r="H10" s="208">
        <v>1122.4398511080958</v>
      </c>
      <c r="I10" s="208">
        <v>93.536654259007989</v>
      </c>
      <c r="J10" s="209">
        <v>4.33</v>
      </c>
      <c r="K10" s="210">
        <v>4860.1645552980553</v>
      </c>
      <c r="L10" s="206">
        <v>51</v>
      </c>
      <c r="M10" s="208">
        <v>247868.39232020083</v>
      </c>
      <c r="N10" s="211">
        <v>194889.27255934331</v>
      </c>
      <c r="O10" s="90">
        <f t="shared" si="0"/>
        <v>829.25385474000484</v>
      </c>
      <c r="P10" s="90">
        <f t="shared" si="1"/>
        <v>845.55186697596662</v>
      </c>
      <c r="Q10" s="90">
        <f t="shared" si="2"/>
        <v>0.75331597157853969</v>
      </c>
      <c r="R10" s="86"/>
      <c r="S10" s="90">
        <f t="shared" si="3"/>
        <v>845.55186697596662</v>
      </c>
      <c r="T10" s="60"/>
      <c r="U10" s="73"/>
      <c r="V10" s="74" t="s">
        <v>223</v>
      </c>
      <c r="W10" s="61">
        <v>97</v>
      </c>
      <c r="X10" s="72"/>
      <c r="Y10" s="39"/>
      <c r="Z10" s="46"/>
      <c r="AA10" s="37"/>
      <c r="AB10" s="35"/>
    </row>
    <row r="11" spans="1:28" x14ac:dyDescent="0.35">
      <c r="A11" s="205" t="s">
        <v>224</v>
      </c>
      <c r="B11" s="205" t="s">
        <v>123</v>
      </c>
      <c r="C11" s="206">
        <v>41.07</v>
      </c>
      <c r="D11" s="206">
        <v>42.18</v>
      </c>
      <c r="E11" s="207">
        <v>954.87999999999988</v>
      </c>
      <c r="F11" s="207">
        <v>2250.9299999999998</v>
      </c>
      <c r="G11" s="207">
        <v>3205.8099999999995</v>
      </c>
      <c r="H11" s="208">
        <v>76.614925736547349</v>
      </c>
      <c r="I11" s="208">
        <v>6.3845771447122788</v>
      </c>
      <c r="J11" s="209">
        <v>4.33</v>
      </c>
      <c r="K11" s="210">
        <v>331.74262843924998</v>
      </c>
      <c r="L11" s="206">
        <v>77</v>
      </c>
      <c r="M11" s="208">
        <v>25544.18238982225</v>
      </c>
      <c r="N11" s="211">
        <v>20084.39671341639</v>
      </c>
      <c r="O11" s="90">
        <f t="shared" si="0"/>
        <v>85.459108015586636</v>
      </c>
      <c r="P11" s="90">
        <f t="shared" si="1"/>
        <v>87.138706585012756</v>
      </c>
      <c r="Q11" s="90">
        <f t="shared" si="2"/>
        <v>1.1373594080695595</v>
      </c>
      <c r="R11" s="86"/>
      <c r="S11" s="90">
        <f t="shared" si="3"/>
        <v>87.138706585012756</v>
      </c>
      <c r="T11" s="60"/>
      <c r="U11" s="73"/>
      <c r="V11" s="74" t="s">
        <v>225</v>
      </c>
      <c r="W11" s="61">
        <v>47</v>
      </c>
      <c r="X11" s="72"/>
      <c r="Y11" s="39"/>
      <c r="Z11" s="46"/>
      <c r="AA11" s="37"/>
      <c r="AB11" s="35"/>
    </row>
    <row r="12" spans="1:28" x14ac:dyDescent="0.35">
      <c r="A12" s="205" t="s">
        <v>226</v>
      </c>
      <c r="B12" s="205" t="s">
        <v>124</v>
      </c>
      <c r="C12" s="206">
        <v>21.96</v>
      </c>
      <c r="D12" s="206">
        <v>22.42</v>
      </c>
      <c r="E12" s="207">
        <v>81456.12000000001</v>
      </c>
      <c r="F12" s="207">
        <v>171247.91</v>
      </c>
      <c r="G12" s="207">
        <v>252704.03000000003</v>
      </c>
      <c r="H12" s="208">
        <v>11347.471263947587</v>
      </c>
      <c r="I12" s="208">
        <v>945.62260532896562</v>
      </c>
      <c r="J12" s="209">
        <v>4.33</v>
      </c>
      <c r="K12" s="210">
        <v>49134.550572893058</v>
      </c>
      <c r="L12" s="206">
        <v>37</v>
      </c>
      <c r="M12" s="208">
        <v>1817978.3711970432</v>
      </c>
      <c r="N12" s="211">
        <v>1429405.6574729169</v>
      </c>
      <c r="O12" s="90">
        <f t="shared" si="0"/>
        <v>6082.1210725472538</v>
      </c>
      <c r="P12" s="90">
        <f t="shared" si="1"/>
        <v>6201.6580310966419</v>
      </c>
      <c r="Q12" s="90">
        <f t="shared" si="2"/>
        <v>0.54652335192952872</v>
      </c>
      <c r="R12" s="86"/>
      <c r="S12" s="90">
        <f t="shared" si="3"/>
        <v>6201.658031096641</v>
      </c>
      <c r="T12" s="60"/>
      <c r="U12" s="73"/>
      <c r="V12" s="74" t="s">
        <v>227</v>
      </c>
      <c r="W12" s="61">
        <v>68</v>
      </c>
      <c r="X12" s="72"/>
      <c r="Y12" s="49">
        <v>5.1091135649341899</v>
      </c>
      <c r="Z12" s="46">
        <v>5.1091135649341899</v>
      </c>
      <c r="AA12" s="55">
        <v>61.309362779210282</v>
      </c>
      <c r="AB12" s="36"/>
    </row>
    <row r="13" spans="1:28" x14ac:dyDescent="0.35">
      <c r="A13" s="205" t="s">
        <v>228</v>
      </c>
      <c r="B13" s="205" t="s">
        <v>125</v>
      </c>
      <c r="C13" s="206">
        <v>28.58</v>
      </c>
      <c r="D13" s="206">
        <v>29.3</v>
      </c>
      <c r="E13" s="207">
        <v>334235.32</v>
      </c>
      <c r="F13" s="207">
        <v>696412.8</v>
      </c>
      <c r="G13" s="207">
        <v>1030648.1200000001</v>
      </c>
      <c r="H13" s="208">
        <v>35463.082730470967</v>
      </c>
      <c r="I13" s="208">
        <v>2955.2568942059138</v>
      </c>
      <c r="J13" s="209">
        <v>4.33</v>
      </c>
      <c r="K13" s="210">
        <v>153555.14822293929</v>
      </c>
      <c r="L13" s="206">
        <v>47</v>
      </c>
      <c r="M13" s="208">
        <v>7217091.9664781466</v>
      </c>
      <c r="N13" s="211">
        <v>5674518.603097328</v>
      </c>
      <c r="O13" s="90">
        <f t="shared" si="0"/>
        <v>24145.076656179102</v>
      </c>
      <c r="P13" s="90">
        <f t="shared" si="1"/>
        <v>24619.619828370953</v>
      </c>
      <c r="Q13" s="90">
        <f t="shared" si="2"/>
        <v>0.69423236596453641</v>
      </c>
      <c r="R13" s="86"/>
      <c r="S13" s="90">
        <f t="shared" si="3"/>
        <v>24619.619828370953</v>
      </c>
      <c r="T13" s="60"/>
      <c r="U13" s="73"/>
      <c r="V13" s="74" t="s">
        <v>32</v>
      </c>
      <c r="W13" s="61">
        <v>34</v>
      </c>
      <c r="X13" s="72"/>
      <c r="Y13" s="49">
        <v>5.1723618074537194</v>
      </c>
      <c r="Z13" s="46">
        <v>5.1723618074537194</v>
      </c>
      <c r="AA13" s="55">
        <v>62.068341689444637</v>
      </c>
      <c r="AB13" s="36"/>
    </row>
    <row r="14" spans="1:28" x14ac:dyDescent="0.35">
      <c r="A14" s="205" t="s">
        <v>229</v>
      </c>
      <c r="B14" s="205" t="s">
        <v>126</v>
      </c>
      <c r="C14" s="206">
        <v>57.16</v>
      </c>
      <c r="D14" s="206">
        <v>58.6</v>
      </c>
      <c r="E14" s="207">
        <v>8545.42</v>
      </c>
      <c r="F14" s="207">
        <v>17883.22</v>
      </c>
      <c r="G14" s="207">
        <v>26428.639999999999</v>
      </c>
      <c r="H14" s="208">
        <v>454.67440273037545</v>
      </c>
      <c r="I14" s="208">
        <v>37.889533560864621</v>
      </c>
      <c r="J14" s="209">
        <v>4.33</v>
      </c>
      <c r="K14" s="210">
        <v>1968.7401638225256</v>
      </c>
      <c r="L14" s="206">
        <v>94</v>
      </c>
      <c r="M14" s="208">
        <v>185061.5753993174</v>
      </c>
      <c r="N14" s="211">
        <v>145506.71616761712</v>
      </c>
      <c r="O14" s="90">
        <f t="shared" si="0"/>
        <v>619.13107729321007</v>
      </c>
      <c r="P14" s="90">
        <f t="shared" si="1"/>
        <v>631.29937270204198</v>
      </c>
      <c r="Q14" s="90">
        <f t="shared" si="2"/>
        <v>1.3884647319290726</v>
      </c>
      <c r="R14" s="86"/>
      <c r="S14" s="90">
        <f t="shared" si="3"/>
        <v>631.29937270204198</v>
      </c>
      <c r="T14" s="60"/>
      <c r="U14" s="73"/>
      <c r="V14" s="60"/>
      <c r="W14" s="60"/>
      <c r="X14" s="72"/>
      <c r="Y14" s="49">
        <v>447.29702347728357</v>
      </c>
      <c r="Z14" s="46">
        <v>447.29702347728357</v>
      </c>
      <c r="AA14" s="55">
        <v>5367.5642817274029</v>
      </c>
      <c r="AB14" s="36"/>
    </row>
    <row r="15" spans="1:28" x14ac:dyDescent="0.35">
      <c r="A15" s="205" t="s">
        <v>230</v>
      </c>
      <c r="B15" s="205" t="s">
        <v>127</v>
      </c>
      <c r="C15" s="206">
        <v>11.57</v>
      </c>
      <c r="D15" s="206">
        <v>11.78</v>
      </c>
      <c r="E15" s="207">
        <v>20461.55</v>
      </c>
      <c r="F15" s="207">
        <v>39511.980000000003</v>
      </c>
      <c r="G15" s="207">
        <v>59973.53</v>
      </c>
      <c r="H15" s="208">
        <v>5122.6583268889599</v>
      </c>
      <c r="I15" s="208">
        <v>426.88819390741332</v>
      </c>
      <c r="J15" s="209">
        <v>2.165</v>
      </c>
      <c r="K15" s="210">
        <v>11090.555277714599</v>
      </c>
      <c r="L15" s="206">
        <v>34</v>
      </c>
      <c r="M15" s="208">
        <v>377078.87944229634</v>
      </c>
      <c r="N15" s="211">
        <v>296482.45112699777</v>
      </c>
      <c r="O15" s="90">
        <f t="shared" si="0"/>
        <v>1261.5328295453739</v>
      </c>
      <c r="P15" s="90">
        <f t="shared" si="1"/>
        <v>1286.3267781950842</v>
      </c>
      <c r="Q15" s="90">
        <f t="shared" si="2"/>
        <v>0.25110532385951317</v>
      </c>
      <c r="R15" s="86"/>
      <c r="S15" s="90">
        <f t="shared" si="3"/>
        <v>1286.3267781950842</v>
      </c>
      <c r="T15" s="60"/>
      <c r="U15" s="73"/>
      <c r="V15" s="65" t="s">
        <v>231</v>
      </c>
      <c r="W15" s="60"/>
      <c r="X15" s="72"/>
      <c r="Y15" s="49">
        <v>151.63057702160609</v>
      </c>
      <c r="Z15" s="46">
        <v>151.63057702160609</v>
      </c>
      <c r="AA15" s="55">
        <v>1819.566924259273</v>
      </c>
      <c r="AB15" s="36"/>
    </row>
    <row r="16" spans="1:28" x14ac:dyDescent="0.35">
      <c r="A16" s="205" t="s">
        <v>232</v>
      </c>
      <c r="B16" s="205" t="s">
        <v>128</v>
      </c>
      <c r="C16" s="206">
        <v>23.14</v>
      </c>
      <c r="D16" s="206">
        <v>23.56</v>
      </c>
      <c r="E16" s="207">
        <v>242.97000000000003</v>
      </c>
      <c r="F16" s="207">
        <v>401.54</v>
      </c>
      <c r="G16" s="207">
        <v>644.51</v>
      </c>
      <c r="H16" s="208">
        <v>27.543293718166389</v>
      </c>
      <c r="I16" s="208">
        <v>2.2952744765138657</v>
      </c>
      <c r="J16" s="209">
        <v>2.165</v>
      </c>
      <c r="K16" s="210">
        <v>59.631230899830229</v>
      </c>
      <c r="L16" s="206">
        <v>34</v>
      </c>
      <c r="M16" s="208">
        <v>2027.4618505942278</v>
      </c>
      <c r="N16" s="211">
        <v>1594.1143665211348</v>
      </c>
      <c r="O16" s="90">
        <f t="shared" si="0"/>
        <v>6.7829566295474208</v>
      </c>
      <c r="P16" s="90">
        <f t="shared" si="1"/>
        <v>6.9162676892578663</v>
      </c>
      <c r="Q16" s="90">
        <f t="shared" si="2"/>
        <v>0.25110532385951317</v>
      </c>
      <c r="R16" s="86"/>
      <c r="S16" s="90">
        <f t="shared" si="3"/>
        <v>6.9162676892578663</v>
      </c>
      <c r="T16" s="60"/>
      <c r="U16" s="73"/>
      <c r="V16" s="74" t="s">
        <v>75</v>
      </c>
      <c r="W16" s="61">
        <v>29</v>
      </c>
      <c r="X16" s="72"/>
      <c r="Y16" s="49">
        <v>1.6458395689913201</v>
      </c>
      <c r="Z16" s="46">
        <v>1.6458395689913201</v>
      </c>
      <c r="AA16" s="55">
        <v>19.75007482789584</v>
      </c>
      <c r="AB16" s="36"/>
    </row>
    <row r="17" spans="1:28" x14ac:dyDescent="0.35">
      <c r="A17" s="205" t="s">
        <v>233</v>
      </c>
      <c r="B17" s="205" t="s">
        <v>129</v>
      </c>
      <c r="C17" s="206">
        <v>12.86</v>
      </c>
      <c r="D17" s="206">
        <v>13.09</v>
      </c>
      <c r="E17" s="207">
        <v>26623.02</v>
      </c>
      <c r="F17" s="207">
        <v>58987.979999999996</v>
      </c>
      <c r="G17" s="207">
        <v>85611</v>
      </c>
      <c r="H17" s="208">
        <v>6576.5584748249639</v>
      </c>
      <c r="I17" s="208">
        <v>548.04653956874699</v>
      </c>
      <c r="J17" s="209">
        <v>2.165</v>
      </c>
      <c r="K17" s="210">
        <v>14238.249097996049</v>
      </c>
      <c r="L17" s="206">
        <v>37</v>
      </c>
      <c r="M17" s="208">
        <v>526815.21662585379</v>
      </c>
      <c r="N17" s="211">
        <v>414214.30695678917</v>
      </c>
      <c r="O17" s="90">
        <f t="shared" si="0"/>
        <v>1762.4818761011359</v>
      </c>
      <c r="P17" s="90">
        <f t="shared" si="1"/>
        <v>1797.1213909109445</v>
      </c>
      <c r="Q17" s="90">
        <f t="shared" si="2"/>
        <v>0.27326167596476442</v>
      </c>
      <c r="R17" s="86"/>
      <c r="S17" s="90">
        <f t="shared" si="3"/>
        <v>1797.1213909109447</v>
      </c>
      <c r="T17" s="60"/>
      <c r="U17" s="73"/>
      <c r="V17" s="74" t="s">
        <v>234</v>
      </c>
      <c r="W17" s="61">
        <v>175</v>
      </c>
      <c r="X17" s="72"/>
      <c r="Y17" s="49">
        <v>158.40995461549221</v>
      </c>
      <c r="Z17" s="46">
        <v>158.40995461549221</v>
      </c>
      <c r="AA17" s="55">
        <v>1900.9194553859065</v>
      </c>
      <c r="AB17" s="36"/>
    </row>
    <row r="18" spans="1:28" x14ac:dyDescent="0.35">
      <c r="A18" s="205" t="s">
        <v>235</v>
      </c>
      <c r="B18" s="205" t="s">
        <v>130</v>
      </c>
      <c r="C18" s="206">
        <v>16.61</v>
      </c>
      <c r="D18" s="206">
        <v>16.97</v>
      </c>
      <c r="E18" s="207">
        <v>107803.18000000001</v>
      </c>
      <c r="F18" s="207">
        <v>235144.75</v>
      </c>
      <c r="G18" s="207">
        <v>342947.93</v>
      </c>
      <c r="H18" s="208">
        <v>20346.754435085186</v>
      </c>
      <c r="I18" s="208">
        <v>1695.5628695904322</v>
      </c>
      <c r="J18" s="209">
        <v>2.165</v>
      </c>
      <c r="K18" s="210">
        <v>44050.72335195943</v>
      </c>
      <c r="L18" s="206">
        <v>47</v>
      </c>
      <c r="M18" s="208">
        <v>2070383.9975420933</v>
      </c>
      <c r="N18" s="211">
        <v>1627862.3806065635</v>
      </c>
      <c r="O18" s="90">
        <f t="shared" si="0"/>
        <v>6926.5544294809197</v>
      </c>
      <c r="P18" s="90">
        <f t="shared" si="1"/>
        <v>7062.6877355843071</v>
      </c>
      <c r="Q18" s="90">
        <f t="shared" si="2"/>
        <v>0.34711618298226826</v>
      </c>
      <c r="R18" s="86"/>
      <c r="S18" s="90">
        <f t="shared" si="3"/>
        <v>7062.687735584308</v>
      </c>
      <c r="T18" s="60"/>
      <c r="U18" s="73"/>
      <c r="V18" s="74" t="s">
        <v>236</v>
      </c>
      <c r="W18" s="61">
        <v>250</v>
      </c>
      <c r="X18" s="72"/>
      <c r="Y18" s="49">
        <v>4.1666666666666664E-2</v>
      </c>
      <c r="Z18" s="46">
        <v>4.1666666666666664E-2</v>
      </c>
      <c r="AA18" s="55">
        <v>0.5</v>
      </c>
      <c r="AB18" s="36"/>
    </row>
    <row r="19" spans="1:28" s="32" customFormat="1" x14ac:dyDescent="0.35">
      <c r="A19" s="205" t="s">
        <v>237</v>
      </c>
      <c r="B19" s="205" t="s">
        <v>131</v>
      </c>
      <c r="C19" s="206">
        <v>33.22</v>
      </c>
      <c r="D19" s="206">
        <v>33.94</v>
      </c>
      <c r="E19" s="207">
        <v>265.76</v>
      </c>
      <c r="F19" s="207">
        <v>662.98999999999978</v>
      </c>
      <c r="G19" s="207">
        <v>928.74999999999977</v>
      </c>
      <c r="H19" s="208">
        <v>27.534177961107833</v>
      </c>
      <c r="I19" s="208">
        <v>2.2945148300923193</v>
      </c>
      <c r="J19" s="209">
        <v>2.165</v>
      </c>
      <c r="K19" s="210">
        <v>59.611495285798455</v>
      </c>
      <c r="L19" s="206">
        <v>94</v>
      </c>
      <c r="M19" s="208">
        <v>5603.4805568650545</v>
      </c>
      <c r="N19" s="211">
        <v>4405.7987357948969</v>
      </c>
      <c r="O19" s="90">
        <f t="shared" si="0"/>
        <v>18.746673620807265</v>
      </c>
      <c r="P19" s="90">
        <f t="shared" si="1"/>
        <v>19.115117510828483</v>
      </c>
      <c r="Q19" s="90">
        <f t="shared" si="2"/>
        <v>0.6942323659645363</v>
      </c>
      <c r="R19" s="86"/>
      <c r="S19" s="90">
        <f t="shared" si="3"/>
        <v>19.115117510828483</v>
      </c>
      <c r="T19" s="60"/>
      <c r="U19" s="73"/>
      <c r="V19" s="74" t="s">
        <v>238</v>
      </c>
      <c r="W19" s="61">
        <v>324</v>
      </c>
      <c r="X19" s="72"/>
      <c r="Y19" s="34">
        <v>302.61112347973875</v>
      </c>
      <c r="Z19" s="48">
        <v>302.61112347973875</v>
      </c>
      <c r="AA19" s="55">
        <v>3631.3334817568652</v>
      </c>
      <c r="AB19" s="33"/>
    </row>
    <row r="20" spans="1:28" s="32" customFormat="1" x14ac:dyDescent="0.35">
      <c r="A20" s="205" t="s">
        <v>239</v>
      </c>
      <c r="B20" s="205" t="s">
        <v>132</v>
      </c>
      <c r="C20" s="206">
        <v>6.98</v>
      </c>
      <c r="D20" s="206">
        <v>7.08</v>
      </c>
      <c r="E20" s="207">
        <v>2373.2000000000003</v>
      </c>
      <c r="F20" s="207">
        <v>4714.5400000000009</v>
      </c>
      <c r="G20" s="207">
        <v>7087.7400000000016</v>
      </c>
      <c r="H20" s="208">
        <v>1005.8954802259888</v>
      </c>
      <c r="I20" s="208">
        <v>83.82462335216573</v>
      </c>
      <c r="J20" s="209">
        <v>1</v>
      </c>
      <c r="K20" s="210">
        <v>1005.8954802259888</v>
      </c>
      <c r="L20" s="206">
        <v>34</v>
      </c>
      <c r="M20" s="208">
        <v>34200.446327683618</v>
      </c>
      <c r="N20" s="211">
        <v>26890.480240807672</v>
      </c>
      <c r="O20" s="90">
        <f t="shared" si="0"/>
        <v>114.41899342463651</v>
      </c>
      <c r="P20" s="90">
        <f t="shared" si="1"/>
        <v>116.66776458705195</v>
      </c>
      <c r="Q20" s="90">
        <f t="shared" si="2"/>
        <v>0.1159839833069345</v>
      </c>
      <c r="R20" s="86"/>
      <c r="S20" s="90">
        <f t="shared" si="3"/>
        <v>116.66776458705195</v>
      </c>
      <c r="T20" s="60"/>
      <c r="U20" s="73"/>
      <c r="V20" s="74" t="s">
        <v>240</v>
      </c>
      <c r="W20" s="61">
        <v>473</v>
      </c>
      <c r="X20" s="72"/>
      <c r="Y20" s="34">
        <v>3.8333333333333335</v>
      </c>
      <c r="Z20" s="48">
        <v>3.8333333333333335</v>
      </c>
      <c r="AA20" s="55">
        <v>46</v>
      </c>
      <c r="AB20" s="33"/>
    </row>
    <row r="21" spans="1:28" s="32" customFormat="1" x14ac:dyDescent="0.35">
      <c r="A21" s="205" t="s">
        <v>241</v>
      </c>
      <c r="B21" s="205" t="s">
        <v>133</v>
      </c>
      <c r="C21" s="206">
        <v>13.96</v>
      </c>
      <c r="D21" s="206">
        <v>14.16</v>
      </c>
      <c r="E21" s="207">
        <v>167.52</v>
      </c>
      <c r="F21" s="207">
        <v>340.32</v>
      </c>
      <c r="G21" s="207">
        <v>507.84000000000003</v>
      </c>
      <c r="H21" s="208">
        <v>36.033898305084747</v>
      </c>
      <c r="I21" s="208">
        <v>3.0028248587570623</v>
      </c>
      <c r="J21" s="209">
        <v>1</v>
      </c>
      <c r="K21" s="210">
        <v>36.033898305084747</v>
      </c>
      <c r="L21" s="206">
        <v>51</v>
      </c>
      <c r="M21" s="208">
        <v>1837.7288135593221</v>
      </c>
      <c r="N21" s="211">
        <v>1444.9346618315581</v>
      </c>
      <c r="O21" s="90">
        <f t="shared" si="0"/>
        <v>6.1481969860932724</v>
      </c>
      <c r="P21" s="90">
        <f t="shared" si="1"/>
        <v>6.2690325892510872</v>
      </c>
      <c r="Q21" s="90">
        <f t="shared" si="2"/>
        <v>0.17397597496040176</v>
      </c>
      <c r="R21" s="86"/>
      <c r="S21" s="90">
        <f t="shared" si="3"/>
        <v>6.2690325892510872</v>
      </c>
      <c r="T21" s="60"/>
      <c r="U21" s="71"/>
      <c r="V21" s="74" t="s">
        <v>242</v>
      </c>
      <c r="W21" s="61">
        <v>613</v>
      </c>
      <c r="X21" s="72"/>
      <c r="Y21" s="34">
        <v>1.0000000000000002</v>
      </c>
      <c r="Z21" s="48">
        <v>1.0000000000000002</v>
      </c>
      <c r="AA21" s="55">
        <v>12.000000000000002</v>
      </c>
      <c r="AB21" s="33"/>
    </row>
    <row r="22" spans="1:28" x14ac:dyDescent="0.35">
      <c r="A22" s="205" t="s">
        <v>243</v>
      </c>
      <c r="B22" s="205" t="s">
        <v>134</v>
      </c>
      <c r="C22" s="206">
        <v>8.0399999999999991</v>
      </c>
      <c r="D22" s="206">
        <v>8.15</v>
      </c>
      <c r="E22" s="207">
        <v>2701.44</v>
      </c>
      <c r="F22" s="207">
        <v>5259.7800000000007</v>
      </c>
      <c r="G22" s="207">
        <v>7961.2200000000012</v>
      </c>
      <c r="H22" s="208">
        <v>981.3717791411043</v>
      </c>
      <c r="I22" s="208">
        <v>81.78098159509203</v>
      </c>
      <c r="J22" s="209">
        <v>1</v>
      </c>
      <c r="K22" s="210">
        <v>981.3717791411043</v>
      </c>
      <c r="L22" s="206">
        <v>37</v>
      </c>
      <c r="M22" s="208">
        <v>36310.755828220856</v>
      </c>
      <c r="N22" s="211">
        <v>28549.734490956187</v>
      </c>
      <c r="O22" s="90">
        <f t="shared" si="0"/>
        <v>121.47912025901843</v>
      </c>
      <c r="P22" s="90">
        <f t="shared" si="1"/>
        <v>123.86664993654534</v>
      </c>
      <c r="Q22" s="90">
        <f t="shared" si="2"/>
        <v>0.1262178641869581</v>
      </c>
      <c r="R22" s="86"/>
      <c r="S22" s="90">
        <f t="shared" si="3"/>
        <v>123.86664993654534</v>
      </c>
      <c r="T22" s="60"/>
      <c r="U22" s="71"/>
      <c r="V22" s="74" t="s">
        <v>244</v>
      </c>
      <c r="W22" s="61">
        <v>840</v>
      </c>
      <c r="X22" s="72"/>
      <c r="Y22" s="49">
        <v>0</v>
      </c>
      <c r="Z22" s="46">
        <v>0</v>
      </c>
      <c r="AA22" s="55">
        <v>0</v>
      </c>
      <c r="AB22" s="36"/>
    </row>
    <row r="23" spans="1:28" x14ac:dyDescent="0.35">
      <c r="A23" s="205" t="s">
        <v>245</v>
      </c>
      <c r="B23" s="205" t="s">
        <v>135</v>
      </c>
      <c r="C23" s="206">
        <v>11.58</v>
      </c>
      <c r="D23" s="206">
        <v>11.75</v>
      </c>
      <c r="E23" s="207">
        <v>7399.619999999999</v>
      </c>
      <c r="F23" s="207">
        <v>15082.48</v>
      </c>
      <c r="G23" s="207">
        <v>22482.1</v>
      </c>
      <c r="H23" s="208">
        <v>1922.6153191489361</v>
      </c>
      <c r="I23" s="208">
        <v>160.21794326241135</v>
      </c>
      <c r="J23" s="209">
        <v>1</v>
      </c>
      <c r="K23" s="210">
        <v>1922.6153191489361</v>
      </c>
      <c r="L23" s="206">
        <v>47</v>
      </c>
      <c r="M23" s="208">
        <v>90362.92</v>
      </c>
      <c r="N23" s="211">
        <v>71048.848061225304</v>
      </c>
      <c r="O23" s="90">
        <f t="shared" si="0"/>
        <v>302.31284850051333</v>
      </c>
      <c r="P23" s="90">
        <f t="shared" si="1"/>
        <v>308.25445308370166</v>
      </c>
      <c r="Q23" s="90">
        <f t="shared" si="2"/>
        <v>0.16033080045370357</v>
      </c>
      <c r="R23" s="86"/>
      <c r="S23" s="90">
        <f t="shared" si="3"/>
        <v>308.25445308370166</v>
      </c>
      <c r="T23" s="60"/>
      <c r="U23" s="71"/>
      <c r="V23" s="74" t="s">
        <v>246</v>
      </c>
      <c r="W23" s="61">
        <v>980</v>
      </c>
      <c r="X23" s="72"/>
      <c r="Y23" s="49">
        <v>93.382394637223172</v>
      </c>
      <c r="Z23" s="46">
        <v>93.382394637223172</v>
      </c>
      <c r="AA23" s="55">
        <v>1120.5887356466781</v>
      </c>
      <c r="AB23" s="36"/>
    </row>
    <row r="24" spans="1:28" ht="15" thickBot="1" x14ac:dyDescent="0.4">
      <c r="A24" s="205" t="s">
        <v>247</v>
      </c>
      <c r="B24" s="205" t="s">
        <v>136</v>
      </c>
      <c r="C24" s="206">
        <v>7.98</v>
      </c>
      <c r="D24" s="206">
        <v>8.08</v>
      </c>
      <c r="E24" s="207">
        <v>135.66</v>
      </c>
      <c r="F24" s="207">
        <v>306.94</v>
      </c>
      <c r="G24" s="207">
        <v>442.6</v>
      </c>
      <c r="H24" s="208">
        <v>54.987623762376238</v>
      </c>
      <c r="I24" s="208">
        <v>4.5823019801980198</v>
      </c>
      <c r="J24" s="209">
        <v>1</v>
      </c>
      <c r="K24" s="210">
        <v>54.987623762376238</v>
      </c>
      <c r="L24" s="206">
        <v>34</v>
      </c>
      <c r="M24" s="208">
        <v>1869.579207920792</v>
      </c>
      <c r="N24" s="211">
        <v>1469.9773876496056</v>
      </c>
      <c r="O24" s="90">
        <f t="shared" si="0"/>
        <v>6.2547537844490639</v>
      </c>
      <c r="P24" s="90">
        <f t="shared" si="1"/>
        <v>6.3776836365434386</v>
      </c>
      <c r="Q24" s="220"/>
      <c r="R24" s="220">
        <f>P24/K24</f>
        <v>0.11598398330693446</v>
      </c>
      <c r="S24" s="220">
        <f>H24*R24</f>
        <v>6.3776836365434386</v>
      </c>
      <c r="T24" s="221"/>
      <c r="U24" s="222"/>
      <c r="V24" s="223"/>
      <c r="W24" s="223"/>
      <c r="X24" s="224"/>
      <c r="Y24" s="49">
        <v>0.3333747527290894</v>
      </c>
      <c r="Z24" s="46">
        <v>0.3333747527290894</v>
      </c>
      <c r="AA24" s="55">
        <v>4.000497032749073</v>
      </c>
      <c r="AB24" s="36"/>
    </row>
    <row r="25" spans="1:28" x14ac:dyDescent="0.35">
      <c r="A25" s="205" t="s">
        <v>248</v>
      </c>
      <c r="B25" s="205" t="s">
        <v>137</v>
      </c>
      <c r="C25" s="206">
        <v>6.44</v>
      </c>
      <c r="D25" s="206">
        <v>6.54</v>
      </c>
      <c r="E25" s="207">
        <v>3645.04</v>
      </c>
      <c r="F25" s="207">
        <v>13330.93</v>
      </c>
      <c r="G25" s="207">
        <v>16975.97</v>
      </c>
      <c r="H25" s="208">
        <v>2604.3685015290521</v>
      </c>
      <c r="I25" s="208">
        <v>217.03070846075434</v>
      </c>
      <c r="J25" s="209">
        <v>1</v>
      </c>
      <c r="K25" s="210">
        <v>2604.3685015290521</v>
      </c>
      <c r="L25" s="206">
        <v>34</v>
      </c>
      <c r="M25" s="208">
        <v>88548.529051987774</v>
      </c>
      <c r="N25" s="211">
        <v>69622.263055019401</v>
      </c>
      <c r="O25" s="90">
        <f t="shared" si="0"/>
        <v>296.24272929910717</v>
      </c>
      <c r="P25" s="90">
        <f t="shared" si="1"/>
        <v>302.06503280645154</v>
      </c>
      <c r="Q25" s="220"/>
      <c r="R25" s="220">
        <f t="shared" ref="R25:R26" si="4">P25/K25</f>
        <v>0.11598398330693448</v>
      </c>
      <c r="S25" s="220">
        <f t="shared" ref="S25:S26" si="5">H25*R25</f>
        <v>302.06503280645154</v>
      </c>
      <c r="T25" s="221"/>
      <c r="U25" s="78"/>
      <c r="V25" s="78"/>
      <c r="W25" s="78"/>
      <c r="X25" s="78"/>
      <c r="Y25" s="49">
        <v>0</v>
      </c>
      <c r="Z25" s="46">
        <v>0</v>
      </c>
      <c r="AA25" s="55">
        <v>0</v>
      </c>
      <c r="AB25" s="36"/>
    </row>
    <row r="26" spans="1:28" x14ac:dyDescent="0.35">
      <c r="A26" s="205" t="s">
        <v>249</v>
      </c>
      <c r="B26" s="205" t="s">
        <v>138</v>
      </c>
      <c r="C26" s="206">
        <v>6.02</v>
      </c>
      <c r="D26" s="206">
        <v>6.12</v>
      </c>
      <c r="E26" s="207">
        <v>409.35999999999996</v>
      </c>
      <c r="F26" s="207">
        <v>1394.96</v>
      </c>
      <c r="G26" s="207">
        <v>1804.32</v>
      </c>
      <c r="H26" s="208">
        <v>295.93464052287584</v>
      </c>
      <c r="I26" s="208">
        <v>24.661220043572985</v>
      </c>
      <c r="J26" s="209">
        <v>1</v>
      </c>
      <c r="K26" s="210">
        <v>295.93464052287584</v>
      </c>
      <c r="L26" s="206">
        <v>34</v>
      </c>
      <c r="M26" s="208">
        <v>10061.777777777779</v>
      </c>
      <c r="N26" s="211">
        <v>7911.1843725185799</v>
      </c>
      <c r="O26" s="90">
        <f t="shared" si="0"/>
        <v>33.662089505066518</v>
      </c>
      <c r="P26" s="90">
        <f t="shared" si="1"/>
        <v>34.323678406348897</v>
      </c>
      <c r="Q26" s="220"/>
      <c r="R26" s="220">
        <f t="shared" si="4"/>
        <v>0.11598398330693452</v>
      </c>
      <c r="S26" s="220">
        <f t="shared" si="5"/>
        <v>34.323678406348897</v>
      </c>
      <c r="T26" s="221"/>
      <c r="U26" s="78"/>
      <c r="V26" s="78"/>
      <c r="W26" s="78"/>
      <c r="X26" s="78"/>
      <c r="Y26" s="49">
        <v>4.0861545138888893</v>
      </c>
      <c r="Z26" s="46">
        <v>4.0861545138888893</v>
      </c>
      <c r="AA26" s="55">
        <v>49.033854166666671</v>
      </c>
      <c r="AB26" s="36"/>
    </row>
    <row r="27" spans="1:28" x14ac:dyDescent="0.35">
      <c r="A27" s="205" t="s">
        <v>250</v>
      </c>
      <c r="B27" s="205" t="s">
        <v>251</v>
      </c>
      <c r="C27" s="202"/>
      <c r="D27" s="202"/>
      <c r="E27" s="207">
        <v>30.749999999999996</v>
      </c>
      <c r="F27" s="207">
        <v>60.79</v>
      </c>
      <c r="G27" s="207">
        <v>91.539999999999992</v>
      </c>
      <c r="H27" s="202"/>
      <c r="I27" s="202"/>
      <c r="J27" s="202"/>
      <c r="K27" s="202"/>
      <c r="L27" s="202"/>
      <c r="M27" s="202"/>
      <c r="N27" s="202"/>
      <c r="O27" s="60"/>
      <c r="P27" s="60"/>
      <c r="Q27" s="60"/>
      <c r="R27" s="60"/>
      <c r="S27" s="90"/>
      <c r="T27" s="60"/>
      <c r="U27" s="77"/>
      <c r="V27" s="77"/>
      <c r="W27" s="77"/>
      <c r="X27" s="77"/>
      <c r="Y27" s="49">
        <v>1.7508396305625524</v>
      </c>
      <c r="Z27" s="46">
        <v>1.7508396305625524</v>
      </c>
      <c r="AA27" s="55">
        <v>21.010075566750629</v>
      </c>
      <c r="AB27" s="36"/>
    </row>
    <row r="28" spans="1:28" ht="15" thickBot="1" x14ac:dyDescent="0.4">
      <c r="A28" s="205" t="s">
        <v>252</v>
      </c>
      <c r="B28" s="205" t="s">
        <v>253</v>
      </c>
      <c r="C28" s="202"/>
      <c r="D28" s="202"/>
      <c r="E28" s="207">
        <v>3.32</v>
      </c>
      <c r="F28" s="207">
        <v>9.9599999999999991</v>
      </c>
      <c r="G28" s="207">
        <v>13.28</v>
      </c>
      <c r="H28" s="202"/>
      <c r="I28" s="202"/>
      <c r="J28" s="202"/>
      <c r="K28" s="202"/>
      <c r="L28" s="202"/>
      <c r="M28" s="202"/>
      <c r="N28" s="202"/>
      <c r="O28" s="60"/>
      <c r="P28" s="60"/>
      <c r="Q28" s="60"/>
      <c r="R28" s="60"/>
      <c r="S28" s="60"/>
      <c r="T28" s="60"/>
      <c r="U28" s="78"/>
      <c r="V28" s="78"/>
      <c r="W28" s="78"/>
      <c r="X28" s="78"/>
      <c r="Y28" s="39"/>
      <c r="Z28" s="46"/>
      <c r="AA28" s="37"/>
      <c r="AB28" s="35"/>
    </row>
    <row r="29" spans="1:28" x14ac:dyDescent="0.35">
      <c r="A29" s="205" t="s">
        <v>254</v>
      </c>
      <c r="B29" s="205" t="s">
        <v>255</v>
      </c>
      <c r="C29" s="202"/>
      <c r="D29" s="202"/>
      <c r="E29" s="207">
        <v>33.82</v>
      </c>
      <c r="F29" s="207">
        <v>140.25</v>
      </c>
      <c r="G29" s="207">
        <v>174.07</v>
      </c>
      <c r="H29" s="202"/>
      <c r="I29" s="202"/>
      <c r="J29" s="202"/>
      <c r="K29" s="202"/>
      <c r="L29" s="202"/>
      <c r="M29" s="202"/>
      <c r="N29" s="202"/>
      <c r="O29" s="60"/>
      <c r="P29" s="60"/>
      <c r="Q29" s="60"/>
      <c r="R29" s="60"/>
      <c r="S29" s="60"/>
      <c r="T29" s="60"/>
      <c r="U29" s="79" t="s">
        <v>256</v>
      </c>
      <c r="V29" s="80" t="s">
        <v>257</v>
      </c>
      <c r="W29" s="80" t="s">
        <v>211</v>
      </c>
      <c r="X29" s="70"/>
      <c r="Y29" s="39"/>
      <c r="Z29" s="46"/>
      <c r="AA29" s="37"/>
      <c r="AB29" s="35"/>
    </row>
    <row r="30" spans="1:28" x14ac:dyDescent="0.35">
      <c r="A30" s="205" t="s">
        <v>258</v>
      </c>
      <c r="B30" s="205" t="s">
        <v>259</v>
      </c>
      <c r="C30" s="202"/>
      <c r="D30" s="202"/>
      <c r="E30" s="207">
        <v>1449.91</v>
      </c>
      <c r="F30" s="207">
        <v>2593.62</v>
      </c>
      <c r="G30" s="207">
        <v>4043.5299999999997</v>
      </c>
      <c r="H30" s="202"/>
      <c r="I30" s="202"/>
      <c r="J30" s="202"/>
      <c r="K30" s="202"/>
      <c r="L30" s="202"/>
      <c r="M30" s="202"/>
      <c r="N30" s="202"/>
      <c r="O30" s="60"/>
      <c r="P30" s="60"/>
      <c r="Q30" s="60"/>
      <c r="R30" s="60"/>
      <c r="S30" s="60"/>
      <c r="T30" s="60"/>
      <c r="U30" s="71" t="s">
        <v>260</v>
      </c>
      <c r="V30" s="61">
        <v>8</v>
      </c>
      <c r="W30" s="81">
        <v>32</v>
      </c>
      <c r="X30" s="72"/>
      <c r="Y30" s="37"/>
      <c r="Z30" s="48"/>
      <c r="AA30" s="37"/>
      <c r="AB30" s="35"/>
    </row>
    <row r="31" spans="1:28" x14ac:dyDescent="0.35">
      <c r="A31" s="205" t="s">
        <v>261</v>
      </c>
      <c r="B31" s="205" t="s">
        <v>262</v>
      </c>
      <c r="C31" s="202"/>
      <c r="D31" s="202"/>
      <c r="E31" s="207">
        <v>85.12</v>
      </c>
      <c r="F31" s="207">
        <v>155.53999999999996</v>
      </c>
      <c r="G31" s="207">
        <v>240.65999999999997</v>
      </c>
      <c r="H31" s="202"/>
      <c r="I31" s="202"/>
      <c r="J31" s="202"/>
      <c r="K31" s="202"/>
      <c r="L31" s="202"/>
      <c r="M31" s="202"/>
      <c r="N31" s="202"/>
      <c r="O31" s="60"/>
      <c r="P31" s="60"/>
      <c r="Q31" s="60"/>
      <c r="R31" s="60"/>
      <c r="S31" s="60"/>
      <c r="T31" s="60"/>
      <c r="U31" s="71" t="s">
        <v>263</v>
      </c>
      <c r="V31" s="61">
        <v>4</v>
      </c>
      <c r="W31" s="81">
        <v>20</v>
      </c>
      <c r="X31" s="72"/>
      <c r="Y31" s="37"/>
      <c r="Z31" s="48"/>
      <c r="AA31" s="37"/>
      <c r="AB31" s="35"/>
    </row>
    <row r="32" spans="1:28" x14ac:dyDescent="0.35">
      <c r="A32" s="205" t="s">
        <v>264</v>
      </c>
      <c r="B32" s="205" t="s">
        <v>265</v>
      </c>
      <c r="C32" s="202"/>
      <c r="D32" s="202"/>
      <c r="E32" s="207">
        <v>4.5199999999999996</v>
      </c>
      <c r="F32" s="207">
        <v>2.2599999999999998</v>
      </c>
      <c r="G32" s="207">
        <v>6.7799999999999994</v>
      </c>
      <c r="H32" s="202"/>
      <c r="I32" s="202"/>
      <c r="J32" s="202"/>
      <c r="K32" s="202"/>
      <c r="L32" s="202"/>
      <c r="M32" s="202"/>
      <c r="N32" s="202"/>
      <c r="O32" s="60"/>
      <c r="P32" s="60"/>
      <c r="Q32" s="60"/>
      <c r="R32" s="60"/>
      <c r="S32" s="60"/>
      <c r="T32" s="60"/>
      <c r="U32" s="71"/>
      <c r="V32" s="82">
        <v>12</v>
      </c>
      <c r="W32" s="83">
        <v>52</v>
      </c>
      <c r="X32" s="72"/>
      <c r="Y32" s="37"/>
      <c r="Z32" s="48"/>
      <c r="AA32" s="37"/>
      <c r="AB32" s="35"/>
    </row>
    <row r="33" spans="1:28" x14ac:dyDescent="0.35">
      <c r="A33" s="205" t="s">
        <v>266</v>
      </c>
      <c r="B33" s="205" t="s">
        <v>267</v>
      </c>
      <c r="C33" s="202"/>
      <c r="D33" s="202"/>
      <c r="E33" s="207">
        <v>270.34000000000003</v>
      </c>
      <c r="F33" s="207">
        <v>466.71</v>
      </c>
      <c r="G33" s="207">
        <v>737.05</v>
      </c>
      <c r="H33" s="202"/>
      <c r="I33" s="202"/>
      <c r="J33" s="202"/>
      <c r="K33" s="202"/>
      <c r="L33" s="202"/>
      <c r="M33" s="202"/>
      <c r="N33" s="202"/>
      <c r="O33" s="60"/>
      <c r="P33" s="60"/>
      <c r="Q33" s="60"/>
      <c r="R33" s="60"/>
      <c r="S33" s="60"/>
      <c r="T33" s="60"/>
      <c r="U33" s="71"/>
      <c r="V33" s="82"/>
      <c r="W33" s="83"/>
      <c r="X33" s="72"/>
      <c r="Y33" s="37"/>
      <c r="Z33" s="48"/>
      <c r="AA33" s="37"/>
      <c r="AB33" s="35"/>
    </row>
    <row r="34" spans="1:28" ht="15" thickBot="1" x14ac:dyDescent="0.4">
      <c r="A34" s="205" t="s">
        <v>268</v>
      </c>
      <c r="B34" s="205" t="s">
        <v>269</v>
      </c>
      <c r="C34" s="202"/>
      <c r="D34" s="202"/>
      <c r="E34" s="207">
        <v>43.04</v>
      </c>
      <c r="F34" s="207">
        <v>-59.22000000000002</v>
      </c>
      <c r="G34" s="207">
        <v>-16.180000000000021</v>
      </c>
      <c r="H34" s="202"/>
      <c r="I34" s="202"/>
      <c r="J34" s="202"/>
      <c r="K34" s="202"/>
      <c r="L34" s="202"/>
      <c r="M34" s="202"/>
      <c r="N34" s="202"/>
      <c r="O34" s="60"/>
      <c r="P34" s="60"/>
      <c r="Q34" s="60"/>
      <c r="R34" s="60"/>
      <c r="S34" s="60"/>
      <c r="T34" s="60"/>
      <c r="U34" s="71" t="s">
        <v>270</v>
      </c>
      <c r="V34" s="60"/>
      <c r="W34" s="83">
        <v>4.33</v>
      </c>
      <c r="X34" s="72"/>
      <c r="Y34" s="39"/>
      <c r="Z34" s="46"/>
      <c r="AA34" s="37"/>
      <c r="AB34" s="35"/>
    </row>
    <row r="35" spans="1:28" ht="15" thickBot="1" x14ac:dyDescent="0.4">
      <c r="A35" s="205" t="s">
        <v>271</v>
      </c>
      <c r="B35" s="205" t="s">
        <v>272</v>
      </c>
      <c r="C35" s="202"/>
      <c r="D35" s="202"/>
      <c r="E35" s="207">
        <v>388.55</v>
      </c>
      <c r="F35" s="207">
        <v>1288.3499999999999</v>
      </c>
      <c r="G35" s="207">
        <v>1676.8999999999999</v>
      </c>
      <c r="H35" s="202"/>
      <c r="I35" s="202"/>
      <c r="J35" s="202"/>
      <c r="K35" s="202"/>
      <c r="L35" s="202"/>
      <c r="M35" s="202"/>
      <c r="N35" s="202"/>
      <c r="O35" s="60"/>
      <c r="P35" s="60"/>
      <c r="Q35" s="60"/>
      <c r="R35" s="60"/>
      <c r="S35" s="60"/>
      <c r="T35" s="60"/>
      <c r="U35" s="71" t="s">
        <v>273</v>
      </c>
      <c r="V35" s="60"/>
      <c r="W35" s="83">
        <v>2.165</v>
      </c>
      <c r="X35" s="72"/>
      <c r="Y35" s="51">
        <v>1176.3037570699032</v>
      </c>
      <c r="Z35" s="48"/>
      <c r="AA35" s="37"/>
      <c r="AB35" s="35"/>
    </row>
    <row r="36" spans="1:28" x14ac:dyDescent="0.35">
      <c r="A36" s="205" t="s">
        <v>274</v>
      </c>
      <c r="B36" s="205" t="s">
        <v>275</v>
      </c>
      <c r="C36" s="202"/>
      <c r="D36" s="202"/>
      <c r="E36" s="207">
        <v>45.36</v>
      </c>
      <c r="F36" s="207">
        <v>83.23</v>
      </c>
      <c r="G36" s="207">
        <v>128.59</v>
      </c>
      <c r="H36" s="202"/>
      <c r="I36" s="202"/>
      <c r="J36" s="202"/>
      <c r="K36" s="202"/>
      <c r="L36" s="202"/>
      <c r="M36" s="202"/>
      <c r="N36" s="202"/>
      <c r="O36" s="60"/>
      <c r="P36" s="60"/>
      <c r="Q36" s="60"/>
      <c r="R36" s="60"/>
      <c r="S36" s="60"/>
      <c r="T36" s="60"/>
      <c r="U36" s="71" t="s">
        <v>276</v>
      </c>
      <c r="V36" s="60"/>
      <c r="W36" s="83">
        <v>1</v>
      </c>
      <c r="X36" s="72"/>
      <c r="Y36" s="39"/>
      <c r="Z36" s="46"/>
      <c r="AA36" s="37"/>
      <c r="AB36" s="35"/>
    </row>
    <row r="37" spans="1:28" x14ac:dyDescent="0.35">
      <c r="A37" s="205" t="s">
        <v>277</v>
      </c>
      <c r="B37" s="205" t="s">
        <v>278</v>
      </c>
      <c r="C37" s="202"/>
      <c r="D37" s="202"/>
      <c r="E37" s="207">
        <v>132.23000000000002</v>
      </c>
      <c r="F37" s="207">
        <v>208.50000000000003</v>
      </c>
      <c r="G37" s="207">
        <v>340.73</v>
      </c>
      <c r="H37" s="202"/>
      <c r="I37" s="202"/>
      <c r="J37" s="202"/>
      <c r="K37" s="202"/>
      <c r="L37" s="202"/>
      <c r="M37" s="202"/>
      <c r="N37" s="202"/>
      <c r="O37" s="60"/>
      <c r="P37" s="60"/>
      <c r="Q37" s="60"/>
      <c r="R37" s="60"/>
      <c r="S37" s="60"/>
      <c r="T37" s="60"/>
      <c r="U37" s="71" t="s">
        <v>279</v>
      </c>
      <c r="V37" s="60"/>
      <c r="W37" s="83">
        <v>1</v>
      </c>
      <c r="X37" s="72"/>
      <c r="Y37" s="39"/>
      <c r="Z37" s="40"/>
      <c r="AA37" s="45"/>
      <c r="AB37" s="35"/>
    </row>
    <row r="38" spans="1:28" x14ac:dyDescent="0.35">
      <c r="A38" s="205" t="s">
        <v>280</v>
      </c>
      <c r="B38" s="205" t="s">
        <v>281</v>
      </c>
      <c r="C38" s="202"/>
      <c r="D38" s="202"/>
      <c r="E38" s="207">
        <v>63.12</v>
      </c>
      <c r="F38" s="207">
        <v>27.609999999999992</v>
      </c>
      <c r="G38" s="207">
        <v>90.72999999999999</v>
      </c>
      <c r="H38" s="202"/>
      <c r="I38" s="202"/>
      <c r="J38" s="202"/>
      <c r="K38" s="202"/>
      <c r="L38" s="202"/>
      <c r="M38" s="202"/>
      <c r="N38" s="202"/>
      <c r="O38" s="60"/>
      <c r="P38" s="60"/>
      <c r="Q38" s="60"/>
      <c r="R38" s="60"/>
      <c r="S38" s="60"/>
      <c r="T38" s="60"/>
      <c r="U38" s="71"/>
      <c r="V38" s="60"/>
      <c r="W38" s="83"/>
      <c r="X38" s="72"/>
      <c r="Y38" s="39"/>
      <c r="Z38" s="40"/>
      <c r="AA38" s="45"/>
      <c r="AB38" s="35"/>
    </row>
    <row r="39" spans="1:28" x14ac:dyDescent="0.35">
      <c r="A39" s="205" t="s">
        <v>282</v>
      </c>
      <c r="B39" s="205" t="s">
        <v>283</v>
      </c>
      <c r="C39" s="202"/>
      <c r="D39" s="202"/>
      <c r="E39" s="207">
        <v>35.51</v>
      </c>
      <c r="F39" s="207">
        <v>38.129999999999988</v>
      </c>
      <c r="G39" s="207">
        <v>73.639999999999986</v>
      </c>
      <c r="H39" s="202"/>
      <c r="I39" s="202"/>
      <c r="J39" s="202"/>
      <c r="K39" s="202"/>
      <c r="L39" s="202"/>
      <c r="M39" s="202"/>
      <c r="N39" s="202"/>
      <c r="O39" s="60"/>
      <c r="P39" s="60"/>
      <c r="Q39" s="60"/>
      <c r="R39" s="60"/>
      <c r="S39" s="60"/>
      <c r="T39" s="60"/>
      <c r="U39" s="71" t="s">
        <v>284</v>
      </c>
      <c r="V39" s="61">
        <v>2</v>
      </c>
      <c r="W39" s="84">
        <v>8.66</v>
      </c>
      <c r="X39" s="72"/>
      <c r="Y39" s="39"/>
      <c r="Z39" s="46"/>
      <c r="AA39" s="37"/>
      <c r="AB39" s="35"/>
    </row>
    <row r="40" spans="1:28" x14ac:dyDescent="0.35">
      <c r="A40" s="205" t="s">
        <v>285</v>
      </c>
      <c r="B40" s="205" t="s">
        <v>286</v>
      </c>
      <c r="C40" s="202"/>
      <c r="D40" s="202"/>
      <c r="E40" s="207">
        <v>12.15</v>
      </c>
      <c r="F40" s="207">
        <v>55.2</v>
      </c>
      <c r="G40" s="207">
        <v>67.350000000000009</v>
      </c>
      <c r="H40" s="202"/>
      <c r="I40" s="202"/>
      <c r="J40" s="202"/>
      <c r="K40" s="202"/>
      <c r="L40" s="202"/>
      <c r="M40" s="202"/>
      <c r="N40" s="202"/>
      <c r="O40" s="60"/>
      <c r="P40" s="60"/>
      <c r="Q40" s="60"/>
      <c r="R40" s="60"/>
      <c r="S40" s="60"/>
      <c r="T40" s="60"/>
      <c r="U40" s="71" t="s">
        <v>287</v>
      </c>
      <c r="V40" s="61">
        <v>3</v>
      </c>
      <c r="W40" s="84">
        <v>12.99</v>
      </c>
      <c r="X40" s="72"/>
      <c r="Y40" s="49">
        <v>24.752511374809362</v>
      </c>
      <c r="Z40" s="46">
        <v>24.752511374809362</v>
      </c>
      <c r="AA40" s="55">
        <v>297.03013649771236</v>
      </c>
      <c r="AB40" s="36"/>
    </row>
    <row r="41" spans="1:28" x14ac:dyDescent="0.35">
      <c r="A41" s="205" t="s">
        <v>288</v>
      </c>
      <c r="B41" s="205" t="s">
        <v>289</v>
      </c>
      <c r="C41" s="202"/>
      <c r="D41" s="202"/>
      <c r="E41" s="207">
        <v>49.2</v>
      </c>
      <c r="F41" s="207">
        <v>116.85000000000002</v>
      </c>
      <c r="G41" s="207">
        <v>166.05</v>
      </c>
      <c r="H41" s="202"/>
      <c r="I41" s="202"/>
      <c r="J41" s="202"/>
      <c r="K41" s="202"/>
      <c r="L41" s="202"/>
      <c r="M41" s="202"/>
      <c r="N41" s="202"/>
      <c r="O41" s="60"/>
      <c r="P41" s="60"/>
      <c r="Q41" s="60"/>
      <c r="R41" s="60"/>
      <c r="S41" s="60"/>
      <c r="T41" s="60"/>
      <c r="U41" s="71" t="s">
        <v>290</v>
      </c>
      <c r="V41" s="61">
        <v>4</v>
      </c>
      <c r="W41" s="84">
        <v>17.32</v>
      </c>
      <c r="X41" s="72"/>
      <c r="Y41" s="49">
        <v>8.6873852048728661</v>
      </c>
      <c r="Z41" s="46">
        <v>8.6873852048728661</v>
      </c>
      <c r="AA41" s="55">
        <v>104.2486224584744</v>
      </c>
      <c r="AB41" s="36"/>
    </row>
    <row r="42" spans="1:28" x14ac:dyDescent="0.35">
      <c r="A42" s="205" t="s">
        <v>291</v>
      </c>
      <c r="B42" s="205" t="s">
        <v>292</v>
      </c>
      <c r="C42" s="202"/>
      <c r="D42" s="202"/>
      <c r="E42" s="207">
        <v>449.68</v>
      </c>
      <c r="F42" s="207">
        <v>1471.6800000000003</v>
      </c>
      <c r="G42" s="207">
        <v>1921.3600000000004</v>
      </c>
      <c r="H42" s="202"/>
      <c r="I42" s="202"/>
      <c r="J42" s="202"/>
      <c r="K42" s="202"/>
      <c r="L42" s="202"/>
      <c r="M42" s="202"/>
      <c r="N42" s="202"/>
      <c r="O42" s="60"/>
      <c r="P42" s="60"/>
      <c r="Q42" s="60"/>
      <c r="R42" s="60"/>
      <c r="S42" s="60"/>
      <c r="T42" s="60"/>
      <c r="U42" s="71" t="s">
        <v>293</v>
      </c>
      <c r="V42" s="61">
        <v>5</v>
      </c>
      <c r="W42" s="84">
        <v>21.65</v>
      </c>
      <c r="X42" s="72"/>
      <c r="Y42" s="49">
        <v>8.3333333333333329E-2</v>
      </c>
      <c r="Z42" s="46">
        <v>8.3333333333333329E-2</v>
      </c>
      <c r="AA42" s="55">
        <v>1</v>
      </c>
      <c r="AB42" s="35"/>
    </row>
    <row r="43" spans="1:28" ht="15" thickBot="1" x14ac:dyDescent="0.4">
      <c r="A43" s="202"/>
      <c r="B43" s="202"/>
      <c r="C43" s="202"/>
      <c r="D43" s="202"/>
      <c r="E43" s="202"/>
      <c r="F43" s="202"/>
      <c r="G43" s="212">
        <v>2102836.7699999996</v>
      </c>
      <c r="H43" s="202"/>
      <c r="I43" s="202"/>
      <c r="J43" s="202"/>
      <c r="K43" s="202"/>
      <c r="L43" s="202"/>
      <c r="M43" s="212">
        <v>14193708.329053007</v>
      </c>
      <c r="N43" s="212">
        <v>11159960.59552121</v>
      </c>
      <c r="O43" s="63"/>
      <c r="P43" s="64">
        <f>SUM(P8:P42)</f>
        <v>48418.906761775928</v>
      </c>
      <c r="Q43" s="63"/>
      <c r="R43" s="63"/>
      <c r="S43" s="64">
        <f>SUM(S8:S42)</f>
        <v>48418.906761775921</v>
      </c>
      <c r="T43" s="60"/>
      <c r="U43" s="85"/>
      <c r="V43" s="75"/>
      <c r="W43" s="75"/>
      <c r="X43" s="76"/>
      <c r="Y43" s="49">
        <v>10.854067116960735</v>
      </c>
      <c r="Z43" s="46">
        <v>10.854067116960735</v>
      </c>
      <c r="AA43" s="55">
        <v>130.24880540352882</v>
      </c>
      <c r="AB43" s="36"/>
    </row>
    <row r="44" spans="1:28" x14ac:dyDescent="0.35">
      <c r="A44" s="213"/>
      <c r="B44" s="213"/>
      <c r="C44" s="214"/>
      <c r="D44" s="214"/>
      <c r="E44" s="214"/>
      <c r="F44" s="214"/>
      <c r="G44" s="214"/>
      <c r="H44" s="215"/>
      <c r="I44" s="215"/>
      <c r="J44" s="215"/>
      <c r="K44" s="215"/>
      <c r="L44" s="215"/>
      <c r="M44" s="215"/>
      <c r="N44" s="215"/>
      <c r="O44" s="48"/>
      <c r="P44" s="47"/>
      <c r="Q44" s="38"/>
      <c r="R44" s="46"/>
      <c r="S44" s="46"/>
      <c r="T44" s="46"/>
      <c r="U44" s="46"/>
      <c r="V44" s="46"/>
      <c r="W44" s="46"/>
      <c r="X44" s="46"/>
      <c r="Y44" s="49">
        <v>1.7083439583047582</v>
      </c>
      <c r="Z44" s="46">
        <v>1.7083439583047582</v>
      </c>
      <c r="AA44" s="55">
        <v>20.500127499657097</v>
      </c>
      <c r="AB44" s="36"/>
    </row>
    <row r="45" spans="1:28" x14ac:dyDescent="0.35">
      <c r="A45" s="204" t="s">
        <v>15</v>
      </c>
      <c r="B45" s="202"/>
      <c r="C45" s="288" t="s">
        <v>294</v>
      </c>
      <c r="D45" s="288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49">
        <v>0.99999712172584421</v>
      </c>
      <c r="Z45" s="46">
        <v>0.99999712172584421</v>
      </c>
      <c r="AA45" s="55">
        <v>11.999965460710131</v>
      </c>
      <c r="AB45" s="35"/>
    </row>
    <row r="46" spans="1:28" x14ac:dyDescent="0.35">
      <c r="A46" s="205" t="s">
        <v>295</v>
      </c>
      <c r="B46" s="205" t="s">
        <v>141</v>
      </c>
      <c r="C46" s="206">
        <v>82.75</v>
      </c>
      <c r="D46" s="206">
        <v>84.87</v>
      </c>
      <c r="E46" s="207">
        <v>30989.890000000003</v>
      </c>
      <c r="F46" s="207">
        <v>97515.87000000001</v>
      </c>
      <c r="G46" s="207">
        <v>128505.76000000001</v>
      </c>
      <c r="H46" s="208">
        <v>1523.5030091232477</v>
      </c>
      <c r="I46" s="208">
        <v>126.95858409360397</v>
      </c>
      <c r="J46" s="209">
        <v>4.33</v>
      </c>
      <c r="K46" s="209">
        <v>6596.7680295036625</v>
      </c>
      <c r="L46" s="206">
        <v>175</v>
      </c>
      <c r="M46" s="208">
        <v>1154434.405163141</v>
      </c>
      <c r="N46" s="211">
        <v>907686.85484142182</v>
      </c>
      <c r="O46" s="90">
        <f t="shared" ref="O46:O98" si="6">N46*$O$7</f>
        <v>3862.2075673502454</v>
      </c>
      <c r="P46" s="90">
        <f t="shared" ref="P46:P98" si="7">O46/$P$7</f>
        <v>3938.1147287468411</v>
      </c>
      <c r="Q46" s="66"/>
      <c r="R46" s="66">
        <f>P46/K46</f>
        <v>0.59697638466804526</v>
      </c>
      <c r="S46" s="66">
        <f>K46*R46</f>
        <v>3938.1147287468416</v>
      </c>
      <c r="T46" s="60"/>
      <c r="U46" s="62"/>
      <c r="V46" s="60"/>
      <c r="W46" s="60"/>
      <c r="X46" s="60"/>
      <c r="Y46" s="49">
        <v>5.555417519629283</v>
      </c>
      <c r="Z46" s="46">
        <v>5.555417519629283</v>
      </c>
      <c r="AA46" s="55">
        <v>66.665010235551392</v>
      </c>
      <c r="AB46" s="36"/>
    </row>
    <row r="47" spans="1:28" x14ac:dyDescent="0.35">
      <c r="A47" s="205" t="s">
        <v>296</v>
      </c>
      <c r="B47" s="205" t="s">
        <v>142</v>
      </c>
      <c r="C47" s="206">
        <v>82.75</v>
      </c>
      <c r="D47" s="206">
        <v>84.87</v>
      </c>
      <c r="E47" s="207">
        <v>2523.87</v>
      </c>
      <c r="F47" s="207">
        <v>6874.48</v>
      </c>
      <c r="G47" s="207">
        <v>9398.3499999999985</v>
      </c>
      <c r="H47" s="208">
        <v>111.50005740430448</v>
      </c>
      <c r="I47" s="208">
        <v>9.2916714503587077</v>
      </c>
      <c r="J47" s="209">
        <v>4.33</v>
      </c>
      <c r="K47" s="209">
        <v>482.79524856063847</v>
      </c>
      <c r="L47" s="206">
        <v>175</v>
      </c>
      <c r="M47" s="208">
        <v>84489.168498111729</v>
      </c>
      <c r="N47" s="211">
        <v>66430.54579734258</v>
      </c>
      <c r="O47" s="90">
        <f t="shared" si="6"/>
        <v>282.66197236769233</v>
      </c>
      <c r="P47" s="90">
        <f t="shared" si="7"/>
        <v>288.21736202064017</v>
      </c>
      <c r="Q47" s="66"/>
      <c r="R47" s="90">
        <f t="shared" ref="R47:R98" si="8">P47/K47</f>
        <v>0.59697638466804515</v>
      </c>
      <c r="S47" s="90">
        <f t="shared" ref="S47:S98" si="9">K47*R47</f>
        <v>288.21736202064017</v>
      </c>
      <c r="T47" s="60"/>
      <c r="U47" s="62"/>
      <c r="V47" s="60"/>
      <c r="W47" s="60"/>
      <c r="X47" s="60"/>
      <c r="Y47" s="49">
        <v>1.0000009524868534</v>
      </c>
      <c r="Z47" s="46">
        <v>1.0000009524868534</v>
      </c>
      <c r="AA47" s="55">
        <v>12.000011429842241</v>
      </c>
      <c r="AB47" s="35"/>
    </row>
    <row r="48" spans="1:28" x14ac:dyDescent="0.35">
      <c r="A48" s="205" t="s">
        <v>297</v>
      </c>
      <c r="B48" s="205" t="s">
        <v>143</v>
      </c>
      <c r="C48" s="207">
        <v>118.04</v>
      </c>
      <c r="D48" s="206">
        <v>121.28</v>
      </c>
      <c r="E48" s="207">
        <v>15286.18</v>
      </c>
      <c r="F48" s="207">
        <v>46784.92</v>
      </c>
      <c r="G48" s="207">
        <v>62071.1</v>
      </c>
      <c r="H48" s="208">
        <v>515.25956464379942</v>
      </c>
      <c r="I48" s="208">
        <v>42.938297053649954</v>
      </c>
      <c r="J48" s="209">
        <v>4.33</v>
      </c>
      <c r="K48" s="209">
        <v>2231.0739149076517</v>
      </c>
      <c r="L48" s="206">
        <v>250</v>
      </c>
      <c r="M48" s="208">
        <v>557768.47872691287</v>
      </c>
      <c r="N48" s="211">
        <v>438551.65258503391</v>
      </c>
      <c r="O48" s="90">
        <f t="shared" si="6"/>
        <v>1866.0372817493171</v>
      </c>
      <c r="P48" s="90">
        <f t="shared" si="7"/>
        <v>1902.7120566410738</v>
      </c>
      <c r="Q48" s="66"/>
      <c r="R48" s="90">
        <f t="shared" si="8"/>
        <v>0.85282340666863587</v>
      </c>
      <c r="S48" s="90">
        <f t="shared" si="9"/>
        <v>1902.7120566410738</v>
      </c>
      <c r="T48" s="60"/>
      <c r="U48" s="62"/>
      <c r="V48" s="60"/>
      <c r="W48" s="60"/>
      <c r="X48" s="60"/>
      <c r="Y48" s="49">
        <v>0</v>
      </c>
      <c r="Z48" s="46">
        <v>0</v>
      </c>
      <c r="AA48" s="55">
        <v>0</v>
      </c>
      <c r="AB48" s="36"/>
    </row>
    <row r="49" spans="1:28" x14ac:dyDescent="0.35">
      <c r="A49" s="205" t="s">
        <v>298</v>
      </c>
      <c r="B49" s="205" t="s">
        <v>144</v>
      </c>
      <c r="C49" s="207">
        <v>118.04</v>
      </c>
      <c r="D49" s="206">
        <v>121.28</v>
      </c>
      <c r="E49" s="207">
        <v>354.12</v>
      </c>
      <c r="F49" s="207">
        <v>1121.8399999999999</v>
      </c>
      <c r="G49" s="207">
        <v>1475.96</v>
      </c>
      <c r="H49" s="208">
        <v>12.25</v>
      </c>
      <c r="I49" s="208">
        <v>1.0208333333333333</v>
      </c>
      <c r="J49" s="209">
        <v>4.33</v>
      </c>
      <c r="K49" s="209">
        <v>53.042499999999997</v>
      </c>
      <c r="L49" s="206">
        <v>250</v>
      </c>
      <c r="M49" s="208">
        <v>13260.625</v>
      </c>
      <c r="N49" s="211">
        <v>10426.313479266561</v>
      </c>
      <c r="O49" s="90">
        <f t="shared" si="6"/>
        <v>44.363963854279163</v>
      </c>
      <c r="P49" s="90">
        <f t="shared" si="7"/>
        <v>45.235885548221127</v>
      </c>
      <c r="Q49" s="66"/>
      <c r="R49" s="90">
        <f t="shared" si="8"/>
        <v>0.8528234066686361</v>
      </c>
      <c r="S49" s="90">
        <f t="shared" si="9"/>
        <v>45.235885548221127</v>
      </c>
      <c r="T49" s="46"/>
      <c r="U49" s="46"/>
      <c r="V49" s="46"/>
      <c r="W49" s="46"/>
      <c r="X49" s="46"/>
      <c r="Y49" s="49">
        <v>0.99999910408871273</v>
      </c>
      <c r="Z49" s="46">
        <v>0.99999910408871273</v>
      </c>
      <c r="AA49" s="55">
        <v>11.999989249064553</v>
      </c>
      <c r="AB49" s="35"/>
    </row>
    <row r="50" spans="1:28" x14ac:dyDescent="0.35">
      <c r="A50" s="205" t="s">
        <v>299</v>
      </c>
      <c r="B50" s="205" t="s">
        <v>145</v>
      </c>
      <c r="C50" s="207">
        <v>236.07</v>
      </c>
      <c r="D50" s="206">
        <v>242.57</v>
      </c>
      <c r="E50" s="207">
        <v>0</v>
      </c>
      <c r="F50" s="207">
        <v>303.20999999999998</v>
      </c>
      <c r="G50" s="207">
        <v>303.20999999999998</v>
      </c>
      <c r="H50" s="208">
        <v>1.2499896936966648</v>
      </c>
      <c r="I50" s="208">
        <v>0.1041658078080554</v>
      </c>
      <c r="J50" s="207">
        <v>8.66</v>
      </c>
      <c r="K50" s="209">
        <v>10.824910747413117</v>
      </c>
      <c r="L50" s="206">
        <v>250</v>
      </c>
      <c r="M50" s="208">
        <v>2706.2276868532795</v>
      </c>
      <c r="N50" s="211">
        <v>2127.8015334422557</v>
      </c>
      <c r="O50" s="90">
        <f t="shared" si="6"/>
        <v>9.0537955247967865</v>
      </c>
      <c r="P50" s="90">
        <f t="shared" si="7"/>
        <v>9.2317372604927854</v>
      </c>
      <c r="Q50" s="66"/>
      <c r="R50" s="90">
        <f t="shared" si="8"/>
        <v>0.85282340666863599</v>
      </c>
      <c r="S50" s="90">
        <f t="shared" si="9"/>
        <v>9.2317372604927854</v>
      </c>
      <c r="T50" s="46"/>
      <c r="U50" s="46"/>
      <c r="V50" s="46"/>
      <c r="W50" s="46"/>
      <c r="X50" s="46"/>
      <c r="Y50" s="49">
        <v>11.624809943962264</v>
      </c>
      <c r="Z50" s="46">
        <v>11.624809943962264</v>
      </c>
      <c r="AA50" s="55">
        <v>139.49771932754717</v>
      </c>
      <c r="AB50" s="35"/>
    </row>
    <row r="51" spans="1:28" x14ac:dyDescent="0.35">
      <c r="A51" s="205" t="s">
        <v>300</v>
      </c>
      <c r="B51" s="205" t="s">
        <v>146</v>
      </c>
      <c r="C51" s="207">
        <v>164.32</v>
      </c>
      <c r="D51" s="206">
        <v>168.65</v>
      </c>
      <c r="E51" s="207">
        <v>33808.840000000004</v>
      </c>
      <c r="F51" s="207">
        <v>113229.41000000002</v>
      </c>
      <c r="G51" s="207">
        <v>147038.25000000003</v>
      </c>
      <c r="H51" s="208">
        <v>877.13695523273054</v>
      </c>
      <c r="I51" s="208">
        <v>73.094746269394207</v>
      </c>
      <c r="J51" s="209">
        <v>4.33</v>
      </c>
      <c r="K51" s="209">
        <v>3798.0030161577233</v>
      </c>
      <c r="L51" s="206">
        <v>324</v>
      </c>
      <c r="M51" s="208">
        <v>1230552.9772351023</v>
      </c>
      <c r="N51" s="211">
        <v>967535.92636078189</v>
      </c>
      <c r="O51" s="90">
        <f t="shared" si="6"/>
        <v>4116.8653666651217</v>
      </c>
      <c r="P51" s="90">
        <f t="shared" si="7"/>
        <v>4197.7775285274893</v>
      </c>
      <c r="Q51" s="66"/>
      <c r="R51" s="90">
        <f t="shared" si="8"/>
        <v>1.105259135042552</v>
      </c>
      <c r="S51" s="90">
        <f t="shared" si="9"/>
        <v>4197.7775285274893</v>
      </c>
      <c r="T51" s="46"/>
      <c r="U51" s="46"/>
      <c r="V51" s="46"/>
      <c r="W51" s="46"/>
      <c r="X51" s="46"/>
      <c r="Y51" s="49">
        <v>1.3749306070484446</v>
      </c>
      <c r="Z51" s="46">
        <v>1.3749306070484446</v>
      </c>
      <c r="AA51" s="55">
        <v>16.499167284581336</v>
      </c>
      <c r="AB51" s="35"/>
    </row>
    <row r="52" spans="1:28" x14ac:dyDescent="0.35">
      <c r="A52" s="205" t="s">
        <v>301</v>
      </c>
      <c r="B52" s="205" t="s">
        <v>147</v>
      </c>
      <c r="C52" s="207">
        <v>164.32</v>
      </c>
      <c r="D52" s="206">
        <v>168.65</v>
      </c>
      <c r="E52" s="207">
        <v>10927.279999999999</v>
      </c>
      <c r="F52" s="207">
        <v>14672.58</v>
      </c>
      <c r="G52" s="207">
        <v>25599.86</v>
      </c>
      <c r="H52" s="208">
        <v>153.50017788319002</v>
      </c>
      <c r="I52" s="208">
        <v>12.791681490265836</v>
      </c>
      <c r="J52" s="209">
        <v>4.33</v>
      </c>
      <c r="K52" s="209">
        <v>664.65577023421292</v>
      </c>
      <c r="L52" s="206">
        <v>324</v>
      </c>
      <c r="M52" s="208">
        <v>215348.46955588498</v>
      </c>
      <c r="N52" s="211">
        <v>169320.12260884748</v>
      </c>
      <c r="O52" s="90">
        <f t="shared" si="6"/>
        <v>720.45712170064519</v>
      </c>
      <c r="P52" s="90">
        <f t="shared" si="7"/>
        <v>734.61686171010751</v>
      </c>
      <c r="Q52" s="66"/>
      <c r="R52" s="90">
        <f t="shared" si="8"/>
        <v>1.1052591350425522</v>
      </c>
      <c r="S52" s="90">
        <f t="shared" si="9"/>
        <v>734.61686171010751</v>
      </c>
      <c r="T52" s="46"/>
      <c r="U52" s="46"/>
      <c r="V52" s="46"/>
      <c r="W52" s="46"/>
      <c r="X52" s="46"/>
      <c r="Y52" s="49">
        <v>3.3333489550175663</v>
      </c>
      <c r="Z52" s="46">
        <v>3.3333489550175663</v>
      </c>
      <c r="AA52" s="55">
        <v>40.000187460210796</v>
      </c>
      <c r="AB52" s="35"/>
    </row>
    <row r="53" spans="1:28" x14ac:dyDescent="0.35">
      <c r="A53" s="205" t="s">
        <v>302</v>
      </c>
      <c r="B53" s="205" t="s">
        <v>148</v>
      </c>
      <c r="C53" s="207">
        <v>328.65</v>
      </c>
      <c r="D53" s="206">
        <v>337.31</v>
      </c>
      <c r="E53" s="207">
        <v>0</v>
      </c>
      <c r="F53" s="207">
        <v>2108.1899999999996</v>
      </c>
      <c r="G53" s="207">
        <v>2108.1899999999996</v>
      </c>
      <c r="H53" s="208">
        <v>6.2500074115798512</v>
      </c>
      <c r="I53" s="208">
        <v>0.52083395096498764</v>
      </c>
      <c r="J53" s="207">
        <v>8.66</v>
      </c>
      <c r="K53" s="209">
        <v>54.12506418428152</v>
      </c>
      <c r="L53" s="206">
        <v>324</v>
      </c>
      <c r="M53" s="208">
        <v>17536.520795707213</v>
      </c>
      <c r="N53" s="211">
        <v>13788.283972416115</v>
      </c>
      <c r="O53" s="90">
        <f t="shared" si="6"/>
        <v>58.669148302630497</v>
      </c>
      <c r="P53" s="90">
        <f t="shared" si="7"/>
        <v>59.82222162444161</v>
      </c>
      <c r="Q53" s="66"/>
      <c r="R53" s="90">
        <f t="shared" si="8"/>
        <v>1.1052591350425522</v>
      </c>
      <c r="S53" s="90">
        <f t="shared" si="9"/>
        <v>59.822221624441617</v>
      </c>
      <c r="T53" s="46"/>
      <c r="U53" s="46"/>
      <c r="V53" s="46"/>
      <c r="W53" s="46"/>
      <c r="X53" s="46"/>
      <c r="Y53" s="49">
        <v>11.208670585296572</v>
      </c>
      <c r="Z53" s="46">
        <v>11.208670585296572</v>
      </c>
      <c r="AA53" s="55">
        <v>134.50404702355885</v>
      </c>
      <c r="AB53" s="35"/>
    </row>
    <row r="54" spans="1:28" x14ac:dyDescent="0.35">
      <c r="A54" s="205" t="s">
        <v>303</v>
      </c>
      <c r="B54" s="205" t="s">
        <v>149</v>
      </c>
      <c r="C54" s="207">
        <v>328.65</v>
      </c>
      <c r="D54" s="206">
        <v>337.31</v>
      </c>
      <c r="E54" s="207">
        <v>0</v>
      </c>
      <c r="F54" s="207">
        <v>10119.299999999999</v>
      </c>
      <c r="G54" s="207">
        <v>10119.299999999999</v>
      </c>
      <c r="H54" s="208">
        <v>29.999999999999996</v>
      </c>
      <c r="I54" s="208">
        <v>2.4999999999999996</v>
      </c>
      <c r="J54" s="207">
        <v>8.66</v>
      </c>
      <c r="K54" s="209">
        <v>259.79999999999995</v>
      </c>
      <c r="L54" s="206">
        <v>324</v>
      </c>
      <c r="M54" s="208">
        <v>84175.199999999983</v>
      </c>
      <c r="N54" s="211">
        <v>66183.684583491224</v>
      </c>
      <c r="O54" s="90">
        <f t="shared" si="6"/>
        <v>281.61157790275485</v>
      </c>
      <c r="P54" s="90">
        <f t="shared" si="7"/>
        <v>287.14632328405503</v>
      </c>
      <c r="Q54" s="66"/>
      <c r="R54" s="90">
        <f t="shared" si="8"/>
        <v>1.1052591350425522</v>
      </c>
      <c r="S54" s="90">
        <f t="shared" si="9"/>
        <v>287.14632328405503</v>
      </c>
      <c r="T54" s="46"/>
      <c r="U54" s="46"/>
      <c r="V54" s="46"/>
      <c r="W54" s="46"/>
      <c r="X54" s="46"/>
      <c r="Y54" s="49">
        <v>1.1250217668829523</v>
      </c>
      <c r="Z54" s="46">
        <v>1.1250217668829523</v>
      </c>
      <c r="AA54" s="55">
        <v>13.500261202595429</v>
      </c>
      <c r="AB54" s="35"/>
    </row>
    <row r="55" spans="1:28" x14ac:dyDescent="0.35">
      <c r="A55" s="205" t="s">
        <v>304</v>
      </c>
      <c r="B55" s="205" t="s">
        <v>150</v>
      </c>
      <c r="C55" s="207">
        <v>215.55</v>
      </c>
      <c r="D55" s="206">
        <v>221.74</v>
      </c>
      <c r="E55" s="207">
        <v>10508.07</v>
      </c>
      <c r="F55" s="207">
        <v>36143.640000000007</v>
      </c>
      <c r="G55" s="207">
        <v>46651.710000000006</v>
      </c>
      <c r="H55" s="208">
        <v>211.75012499043595</v>
      </c>
      <c r="I55" s="208">
        <v>17.645843749202996</v>
      </c>
      <c r="J55" s="209">
        <v>4.33</v>
      </c>
      <c r="K55" s="209">
        <v>916.87804120858766</v>
      </c>
      <c r="L55" s="206">
        <v>473</v>
      </c>
      <c r="M55" s="208">
        <v>433683.31349166197</v>
      </c>
      <c r="N55" s="211">
        <v>340988.31519563374</v>
      </c>
      <c r="O55" s="90">
        <f t="shared" si="6"/>
        <v>1450.9052811574197</v>
      </c>
      <c r="P55" s="90">
        <f t="shared" si="7"/>
        <v>1479.4211233092046</v>
      </c>
      <c r="Q55" s="66"/>
      <c r="R55" s="90">
        <f t="shared" si="8"/>
        <v>1.6135418854170591</v>
      </c>
      <c r="S55" s="90">
        <f t="shared" si="9"/>
        <v>1479.4211233092046</v>
      </c>
      <c r="T55" s="46"/>
      <c r="U55" s="46"/>
      <c r="V55" s="46"/>
      <c r="W55" s="46"/>
      <c r="X55" s="46"/>
      <c r="Y55" s="49">
        <v>0.41666666666666669</v>
      </c>
      <c r="Z55" s="46">
        <v>0.41666666666666669</v>
      </c>
      <c r="AA55" s="55">
        <v>5</v>
      </c>
      <c r="AB55" s="35"/>
    </row>
    <row r="56" spans="1:28" x14ac:dyDescent="0.35">
      <c r="A56" s="205" t="s">
        <v>305</v>
      </c>
      <c r="B56" s="205" t="s">
        <v>151</v>
      </c>
      <c r="C56" s="207">
        <v>215.55</v>
      </c>
      <c r="D56" s="206">
        <v>221.74</v>
      </c>
      <c r="E56" s="207">
        <v>0</v>
      </c>
      <c r="F56" s="207">
        <v>942.40000000000009</v>
      </c>
      <c r="G56" s="207">
        <v>942.40000000000009</v>
      </c>
      <c r="H56" s="208">
        <v>4.2500225489311809</v>
      </c>
      <c r="I56" s="208">
        <v>0.3541685457442651</v>
      </c>
      <c r="J56" s="209">
        <v>4.33</v>
      </c>
      <c r="K56" s="209">
        <v>18.402597636872017</v>
      </c>
      <c r="L56" s="206">
        <v>473</v>
      </c>
      <c r="M56" s="208">
        <v>8704.4286822404647</v>
      </c>
      <c r="N56" s="211">
        <v>6843.9535918524361</v>
      </c>
      <c r="O56" s="90">
        <f t="shared" si="6"/>
        <v>29.121022533332081</v>
      </c>
      <c r="P56" s="90">
        <f t="shared" si="7"/>
        <v>29.693362087569994</v>
      </c>
      <c r="Q56" s="66"/>
      <c r="R56" s="90">
        <f t="shared" si="8"/>
        <v>1.6135418854170593</v>
      </c>
      <c r="S56" s="90">
        <f t="shared" si="9"/>
        <v>29.693362087569994</v>
      </c>
      <c r="T56" s="46"/>
      <c r="U56" s="46"/>
      <c r="V56" s="46"/>
      <c r="W56" s="46"/>
      <c r="X56" s="46"/>
      <c r="Y56" s="49">
        <v>0.33333333333333331</v>
      </c>
      <c r="Z56" s="46">
        <v>0.33333333333333331</v>
      </c>
      <c r="AA56" s="55">
        <v>4</v>
      </c>
      <c r="AB56" s="36"/>
    </row>
    <row r="57" spans="1:28" x14ac:dyDescent="0.35">
      <c r="A57" s="205" t="s">
        <v>306</v>
      </c>
      <c r="B57" s="205" t="s">
        <v>152</v>
      </c>
      <c r="C57" s="207">
        <v>296.08999999999997</v>
      </c>
      <c r="D57" s="206">
        <v>304.79000000000002</v>
      </c>
      <c r="E57" s="207">
        <v>39676.06</v>
      </c>
      <c r="F57" s="207">
        <v>125543.06999999999</v>
      </c>
      <c r="G57" s="207">
        <v>165219.13</v>
      </c>
      <c r="H57" s="208">
        <v>545.90022638538005</v>
      </c>
      <c r="I57" s="208">
        <v>45.491685532115007</v>
      </c>
      <c r="J57" s="209">
        <v>4.33</v>
      </c>
      <c r="K57" s="209">
        <v>2363.747980248696</v>
      </c>
      <c r="L57" s="206">
        <v>613</v>
      </c>
      <c r="M57" s="208">
        <v>1448977.5118924507</v>
      </c>
      <c r="N57" s="211">
        <v>1139274.6392721597</v>
      </c>
      <c r="O57" s="90">
        <f t="shared" si="6"/>
        <v>4847.6135901030339</v>
      </c>
      <c r="P57" s="90">
        <f t="shared" si="7"/>
        <v>4942.8877515134564</v>
      </c>
      <c r="Q57" s="66"/>
      <c r="R57" s="90">
        <f t="shared" si="8"/>
        <v>2.0911229931514961</v>
      </c>
      <c r="S57" s="90">
        <f t="shared" si="9"/>
        <v>4942.8877515134564</v>
      </c>
      <c r="T57" s="46"/>
      <c r="U57" s="46"/>
      <c r="V57" s="46"/>
      <c r="W57" s="46"/>
      <c r="X57" s="46"/>
      <c r="Y57" s="49">
        <v>0</v>
      </c>
      <c r="Z57" s="46">
        <v>0</v>
      </c>
      <c r="AA57" s="55">
        <v>0</v>
      </c>
      <c r="AB57" s="36"/>
    </row>
    <row r="58" spans="1:28" x14ac:dyDescent="0.35">
      <c r="A58" s="205" t="s">
        <v>307</v>
      </c>
      <c r="B58" s="205" t="s">
        <v>153</v>
      </c>
      <c r="C58" s="207">
        <v>415.85</v>
      </c>
      <c r="D58" s="206">
        <v>427.02</v>
      </c>
      <c r="E58" s="207">
        <v>0</v>
      </c>
      <c r="F58" s="207">
        <v>854.04</v>
      </c>
      <c r="G58" s="207">
        <v>854.04</v>
      </c>
      <c r="H58" s="208">
        <v>2</v>
      </c>
      <c r="I58" s="208">
        <v>0.16666666666666666</v>
      </c>
      <c r="J58" s="209">
        <v>4.33</v>
      </c>
      <c r="K58" s="209">
        <v>8.66</v>
      </c>
      <c r="L58" s="206">
        <v>840</v>
      </c>
      <c r="M58" s="208">
        <v>7274.4000000000005</v>
      </c>
      <c r="N58" s="211">
        <v>5719.5776800547992</v>
      </c>
      <c r="O58" s="90">
        <f t="shared" si="6"/>
        <v>24.336803028633142</v>
      </c>
      <c r="P58" s="90">
        <f t="shared" si="7"/>
        <v>24.815114357881306</v>
      </c>
      <c r="Q58" s="66"/>
      <c r="R58" s="90">
        <f t="shared" si="8"/>
        <v>2.8654866464066173</v>
      </c>
      <c r="S58" s="90">
        <f t="shared" si="9"/>
        <v>24.815114357881306</v>
      </c>
      <c r="T58" s="46"/>
      <c r="U58" s="46"/>
      <c r="V58" s="46"/>
      <c r="W58" s="46"/>
      <c r="X58" s="46"/>
      <c r="Y58" s="49">
        <v>8.3333333333333329E-2</v>
      </c>
      <c r="Z58" s="46">
        <v>8.3333333333333329E-2</v>
      </c>
      <c r="AA58" s="55">
        <v>1</v>
      </c>
      <c r="AB58" s="36"/>
    </row>
    <row r="59" spans="1:28" x14ac:dyDescent="0.35">
      <c r="A59" s="205" t="s">
        <v>308</v>
      </c>
      <c r="B59" s="205" t="s">
        <v>154</v>
      </c>
      <c r="C59" s="207">
        <v>415.85</v>
      </c>
      <c r="D59" s="206">
        <v>427.02</v>
      </c>
      <c r="E59" s="207">
        <v>3742.6499999999996</v>
      </c>
      <c r="F59" s="207">
        <v>11529.539999999997</v>
      </c>
      <c r="G59" s="207">
        <v>15272.189999999997</v>
      </c>
      <c r="H59" s="208">
        <v>35.999999999999993</v>
      </c>
      <c r="I59" s="208">
        <v>2.9999999999999996</v>
      </c>
      <c r="J59" s="209">
        <v>4.33</v>
      </c>
      <c r="K59" s="209">
        <v>155.88</v>
      </c>
      <c r="L59" s="206">
        <v>840</v>
      </c>
      <c r="M59" s="208">
        <v>130939.2</v>
      </c>
      <c r="N59" s="211">
        <v>102952.39824098637</v>
      </c>
      <c r="O59" s="90">
        <f t="shared" si="6"/>
        <v>438.0624545153965</v>
      </c>
      <c r="P59" s="90">
        <f t="shared" si="7"/>
        <v>446.67205844186344</v>
      </c>
      <c r="Q59" s="66"/>
      <c r="R59" s="90">
        <f t="shared" si="8"/>
        <v>2.8654866464066169</v>
      </c>
      <c r="S59" s="90">
        <f t="shared" si="9"/>
        <v>446.67205844186344</v>
      </c>
      <c r="T59" s="46"/>
      <c r="U59" s="46"/>
      <c r="V59" s="46"/>
      <c r="W59" s="46"/>
      <c r="X59" s="46"/>
      <c r="Y59" s="49">
        <v>0</v>
      </c>
      <c r="Z59" s="46">
        <v>0</v>
      </c>
      <c r="AA59" s="55">
        <v>0</v>
      </c>
      <c r="AB59" s="36"/>
    </row>
    <row r="60" spans="1:28" x14ac:dyDescent="0.35">
      <c r="A60" s="205" t="s">
        <v>308</v>
      </c>
      <c r="B60" s="205" t="s">
        <v>154</v>
      </c>
      <c r="C60" s="207">
        <v>415.85</v>
      </c>
      <c r="D60" s="206">
        <v>427.02</v>
      </c>
      <c r="E60" s="207">
        <v>26198.550000000003</v>
      </c>
      <c r="F60" s="207">
        <v>78936.709999999992</v>
      </c>
      <c r="G60" s="207">
        <v>105135.26</v>
      </c>
      <c r="H60" s="208">
        <v>247.85483115544938</v>
      </c>
      <c r="I60" s="208">
        <v>20.654569262954116</v>
      </c>
      <c r="J60" s="209">
        <v>4.33</v>
      </c>
      <c r="K60" s="209">
        <v>1073.2114189030958</v>
      </c>
      <c r="L60" s="206">
        <v>840</v>
      </c>
      <c r="M60" s="208">
        <v>901497.59187860053</v>
      </c>
      <c r="N60" s="211">
        <v>708812.4800852295</v>
      </c>
      <c r="O60" s="90">
        <f t="shared" si="6"/>
        <v>3015.997102762648</v>
      </c>
      <c r="P60" s="90">
        <f t="shared" si="7"/>
        <v>3075.2729896379192</v>
      </c>
      <c r="Q60" s="66"/>
      <c r="R60" s="90">
        <f t="shared" si="8"/>
        <v>2.8654866464066173</v>
      </c>
      <c r="S60" s="90">
        <f t="shared" si="9"/>
        <v>3075.2729896379192</v>
      </c>
      <c r="T60" s="46"/>
      <c r="U60" s="46"/>
      <c r="V60" s="46"/>
      <c r="W60" s="46"/>
      <c r="X60" s="46"/>
      <c r="Y60" s="49">
        <v>0.16666666666666666</v>
      </c>
      <c r="Z60" s="46">
        <v>0.16666666666666666</v>
      </c>
      <c r="AA60" s="55">
        <v>2</v>
      </c>
      <c r="AB60" s="36"/>
    </row>
    <row r="61" spans="1:28" x14ac:dyDescent="0.35">
      <c r="A61" s="205" t="s">
        <v>309</v>
      </c>
      <c r="B61" s="205" t="s">
        <v>155</v>
      </c>
      <c r="C61" s="207">
        <v>565.5</v>
      </c>
      <c r="D61" s="206">
        <v>580.39</v>
      </c>
      <c r="E61" s="207">
        <v>1696.5</v>
      </c>
      <c r="F61" s="207">
        <v>5223.51</v>
      </c>
      <c r="G61" s="207">
        <v>6920.01</v>
      </c>
      <c r="H61" s="208">
        <v>12</v>
      </c>
      <c r="I61" s="208">
        <v>1</v>
      </c>
      <c r="J61" s="209">
        <v>4.33</v>
      </c>
      <c r="K61" s="209">
        <v>51.96</v>
      </c>
      <c r="L61" s="206">
        <v>980</v>
      </c>
      <c r="M61" s="208">
        <v>50920.800000000003</v>
      </c>
      <c r="N61" s="211">
        <v>40037.043760383589</v>
      </c>
      <c r="O61" s="90">
        <f t="shared" si="6"/>
        <v>170.35762120043196</v>
      </c>
      <c r="P61" s="90">
        <f t="shared" si="7"/>
        <v>173.70580050516909</v>
      </c>
      <c r="Q61" s="66"/>
      <c r="R61" s="90">
        <f t="shared" si="8"/>
        <v>3.3430677541410527</v>
      </c>
      <c r="S61" s="90">
        <f t="shared" si="9"/>
        <v>173.70580050516909</v>
      </c>
      <c r="T61" s="46"/>
      <c r="U61" s="46"/>
      <c r="V61" s="46"/>
      <c r="W61" s="46"/>
      <c r="X61" s="46"/>
      <c r="Y61" s="49">
        <v>1.9095773503115685</v>
      </c>
      <c r="Z61" s="46">
        <v>1.9095773503115685</v>
      </c>
      <c r="AA61" s="55">
        <v>22.914928203738821</v>
      </c>
      <c r="AB61" s="36"/>
    </row>
    <row r="62" spans="1:28" x14ac:dyDescent="0.35">
      <c r="A62" s="205" t="s">
        <v>310</v>
      </c>
      <c r="B62" s="205" t="s">
        <v>156</v>
      </c>
      <c r="C62" s="207">
        <v>41.47</v>
      </c>
      <c r="D62" s="206">
        <v>42.53</v>
      </c>
      <c r="E62" s="207">
        <v>3690.84</v>
      </c>
      <c r="F62" s="207">
        <v>9952.02</v>
      </c>
      <c r="G62" s="207">
        <v>13642.86</v>
      </c>
      <c r="H62" s="208">
        <v>323.00024113817221</v>
      </c>
      <c r="I62" s="208">
        <v>26.916686761514352</v>
      </c>
      <c r="J62" s="209">
        <v>2.165</v>
      </c>
      <c r="K62" s="209">
        <v>699.29552206414292</v>
      </c>
      <c r="L62" s="206">
        <v>175</v>
      </c>
      <c r="M62" s="208">
        <v>122376.71636122502</v>
      </c>
      <c r="N62" s="211">
        <v>96220.05051386499</v>
      </c>
      <c r="O62" s="90">
        <f t="shared" si="6"/>
        <v>409.41631493649504</v>
      </c>
      <c r="P62" s="90">
        <f t="shared" si="7"/>
        <v>417.46291257640524</v>
      </c>
      <c r="Q62" s="66"/>
      <c r="R62" s="90">
        <f t="shared" si="8"/>
        <v>0.59697638466804515</v>
      </c>
      <c r="S62" s="90">
        <f t="shared" si="9"/>
        <v>417.46291257640524</v>
      </c>
      <c r="T62" s="46"/>
      <c r="U62" s="46"/>
      <c r="V62" s="46"/>
      <c r="W62" s="46"/>
      <c r="X62" s="46"/>
      <c r="Y62" s="49">
        <v>51.94655257936509</v>
      </c>
      <c r="Z62" s="46">
        <v>51.94655257936509</v>
      </c>
      <c r="AA62" s="55">
        <v>623.35863095238108</v>
      </c>
      <c r="AB62" s="35"/>
    </row>
    <row r="63" spans="1:28" x14ac:dyDescent="0.35">
      <c r="A63" s="205" t="s">
        <v>311</v>
      </c>
      <c r="B63" s="205" t="s">
        <v>157</v>
      </c>
      <c r="C63" s="207">
        <v>41.47</v>
      </c>
      <c r="D63" s="206">
        <v>42.53</v>
      </c>
      <c r="E63" s="207">
        <v>15634.21</v>
      </c>
      <c r="F63" s="207">
        <v>47888.87</v>
      </c>
      <c r="G63" s="207">
        <v>63523.08</v>
      </c>
      <c r="H63" s="208">
        <v>1503.0025984296481</v>
      </c>
      <c r="I63" s="208">
        <v>125.250216535804</v>
      </c>
      <c r="J63" s="209">
        <v>2.165</v>
      </c>
      <c r="K63" s="209">
        <v>3254.000625600188</v>
      </c>
      <c r="L63" s="206">
        <v>175</v>
      </c>
      <c r="M63" s="208">
        <v>569450.10948003293</v>
      </c>
      <c r="N63" s="211">
        <v>447736.46432513441</v>
      </c>
      <c r="O63" s="90">
        <f t="shared" si="6"/>
        <v>1905.1186557034446</v>
      </c>
      <c r="P63" s="90">
        <f t="shared" si="7"/>
        <v>1942.5615291783574</v>
      </c>
      <c r="Q63" s="66"/>
      <c r="R63" s="90">
        <f t="shared" si="8"/>
        <v>0.59697638466804515</v>
      </c>
      <c r="S63" s="90">
        <f t="shared" si="9"/>
        <v>1942.5615291783574</v>
      </c>
      <c r="T63" s="46"/>
      <c r="U63" s="46"/>
      <c r="V63" s="46"/>
      <c r="W63" s="46"/>
      <c r="X63" s="46"/>
      <c r="Y63" s="49">
        <v>0.7932387799339633</v>
      </c>
      <c r="Z63" s="46">
        <v>0.7932387799339633</v>
      </c>
      <c r="AA63" s="55">
        <v>9.5188653592075596</v>
      </c>
      <c r="AB63" s="36"/>
    </row>
    <row r="64" spans="1:28" x14ac:dyDescent="0.35">
      <c r="A64" s="205" t="s">
        <v>312</v>
      </c>
      <c r="B64" s="205" t="s">
        <v>158</v>
      </c>
      <c r="C64" s="207">
        <v>59.15</v>
      </c>
      <c r="D64" s="206">
        <v>60.78</v>
      </c>
      <c r="E64" s="207">
        <v>768.95</v>
      </c>
      <c r="F64" s="207">
        <v>2309.64</v>
      </c>
      <c r="G64" s="207">
        <v>3078.59</v>
      </c>
      <c r="H64" s="208">
        <v>51</v>
      </c>
      <c r="I64" s="208">
        <v>4.25</v>
      </c>
      <c r="J64" s="209">
        <v>2.165</v>
      </c>
      <c r="K64" s="209">
        <v>110.41499999999999</v>
      </c>
      <c r="L64" s="206">
        <v>250</v>
      </c>
      <c r="M64" s="208">
        <v>27603.749999999996</v>
      </c>
      <c r="N64" s="211">
        <v>21703.754589493652</v>
      </c>
      <c r="O64" s="90">
        <f t="shared" si="6"/>
        <v>92.349475778295385</v>
      </c>
      <c r="P64" s="90">
        <f t="shared" si="7"/>
        <v>94.164496447317433</v>
      </c>
      <c r="Q64" s="66"/>
      <c r="R64" s="90">
        <f t="shared" si="8"/>
        <v>0.85282340666863599</v>
      </c>
      <c r="S64" s="90">
        <f t="shared" si="9"/>
        <v>94.164496447317433</v>
      </c>
      <c r="T64" s="46"/>
      <c r="U64" s="46"/>
      <c r="V64" s="46"/>
      <c r="W64" s="46"/>
      <c r="X64" s="46"/>
      <c r="Y64" s="53">
        <v>8.3333333333333329E-2</v>
      </c>
      <c r="Z64" s="54">
        <v>8.3333333333333329E-2</v>
      </c>
      <c r="AA64" s="55">
        <v>1</v>
      </c>
      <c r="AB64" s="35"/>
    </row>
    <row r="65" spans="1:27" x14ac:dyDescent="0.35">
      <c r="A65" s="205" t="s">
        <v>313</v>
      </c>
      <c r="B65" s="205" t="s">
        <v>159</v>
      </c>
      <c r="C65" s="207">
        <v>59.15</v>
      </c>
      <c r="D65" s="206">
        <v>60.78</v>
      </c>
      <c r="E65" s="207">
        <v>4791.16</v>
      </c>
      <c r="F65" s="207">
        <v>14070.569999999998</v>
      </c>
      <c r="G65" s="207">
        <v>18861.729999999996</v>
      </c>
      <c r="H65" s="208">
        <v>312.50016906170748</v>
      </c>
      <c r="I65" s="208">
        <v>26.041680755142291</v>
      </c>
      <c r="J65" s="209">
        <v>2.165</v>
      </c>
      <c r="K65" s="209">
        <v>676.56286601859665</v>
      </c>
      <c r="L65" s="206">
        <v>250</v>
      </c>
      <c r="M65" s="208">
        <v>169140.71650464917</v>
      </c>
      <c r="N65" s="211">
        <v>132988.76428412896</v>
      </c>
      <c r="O65" s="90">
        <f t="shared" si="6"/>
        <v>565.86719202896802</v>
      </c>
      <c r="P65" s="90">
        <f t="shared" si="7"/>
        <v>576.98864822347548</v>
      </c>
      <c r="Q65" s="66"/>
      <c r="R65" s="90">
        <f t="shared" si="8"/>
        <v>0.85282340666863587</v>
      </c>
      <c r="S65" s="90">
        <f t="shared" si="9"/>
        <v>576.98864822347548</v>
      </c>
      <c r="T65" s="46"/>
      <c r="U65" s="46"/>
      <c r="V65" s="46"/>
      <c r="W65" s="46"/>
      <c r="X65" s="46"/>
      <c r="Y65" s="39"/>
      <c r="Z65" s="46"/>
      <c r="AA65" s="50">
        <v>0</v>
      </c>
    </row>
    <row r="66" spans="1:27" x14ac:dyDescent="0.35">
      <c r="A66" s="205" t="s">
        <v>314</v>
      </c>
      <c r="B66" s="205" t="s">
        <v>160</v>
      </c>
      <c r="C66" s="207">
        <v>82.35</v>
      </c>
      <c r="D66" s="206">
        <v>84.52</v>
      </c>
      <c r="E66" s="207">
        <v>1194.08</v>
      </c>
      <c r="F66" s="207">
        <v>6085.4400000000005</v>
      </c>
      <c r="G66" s="207">
        <v>7279.52</v>
      </c>
      <c r="H66" s="208">
        <v>86.500060716454172</v>
      </c>
      <c r="I66" s="208">
        <v>7.208338393037848</v>
      </c>
      <c r="J66" s="209">
        <v>2.165</v>
      </c>
      <c r="K66" s="209">
        <v>187.27263145112329</v>
      </c>
      <c r="L66" s="206">
        <v>324</v>
      </c>
      <c r="M66" s="208">
        <v>60676.332590163947</v>
      </c>
      <c r="N66" s="211">
        <v>47707.439457588705</v>
      </c>
      <c r="O66" s="90">
        <f t="shared" si="6"/>
        <v>202.99515489203969</v>
      </c>
      <c r="P66" s="90">
        <f t="shared" si="7"/>
        <v>206.98478665481119</v>
      </c>
      <c r="Q66" s="66"/>
      <c r="R66" s="90">
        <f t="shared" si="8"/>
        <v>1.1052591350425522</v>
      </c>
      <c r="S66" s="90">
        <f t="shared" si="9"/>
        <v>206.98478665481119</v>
      </c>
      <c r="T66" s="46"/>
      <c r="U66" s="46"/>
      <c r="V66" s="46"/>
      <c r="W66" s="46"/>
      <c r="X66" s="46"/>
      <c r="Y66" s="39"/>
      <c r="Z66" s="46"/>
      <c r="AA66" s="50">
        <v>0</v>
      </c>
    </row>
    <row r="67" spans="1:27" x14ac:dyDescent="0.35">
      <c r="A67" s="205" t="s">
        <v>315</v>
      </c>
      <c r="B67" s="205" t="s">
        <v>161</v>
      </c>
      <c r="C67" s="207">
        <v>82.35</v>
      </c>
      <c r="D67" s="206">
        <v>84.52</v>
      </c>
      <c r="E67" s="207">
        <v>7488.93</v>
      </c>
      <c r="F67" s="207">
        <v>24826.67</v>
      </c>
      <c r="G67" s="207">
        <v>32315.599999999999</v>
      </c>
      <c r="H67" s="208">
        <v>384.67747696840706</v>
      </c>
      <c r="I67" s="208">
        <v>32.056456414033924</v>
      </c>
      <c r="J67" s="209">
        <v>2.165</v>
      </c>
      <c r="K67" s="209">
        <v>832.82673763660137</v>
      </c>
      <c r="L67" s="206">
        <v>324</v>
      </c>
      <c r="M67" s="208">
        <v>269835.86299425882</v>
      </c>
      <c r="N67" s="211">
        <v>212161.44001708558</v>
      </c>
      <c r="O67" s="90">
        <f t="shared" si="6"/>
        <v>902.74692727269803</v>
      </c>
      <c r="P67" s="90">
        <f t="shared" si="7"/>
        <v>920.48935968054047</v>
      </c>
      <c r="Q67" s="66"/>
      <c r="R67" s="90">
        <f t="shared" si="8"/>
        <v>1.105259135042552</v>
      </c>
      <c r="S67" s="90">
        <f t="shared" si="9"/>
        <v>920.48935968054047</v>
      </c>
      <c r="T67" s="46"/>
      <c r="U67" s="46"/>
      <c r="V67" s="46"/>
      <c r="W67" s="46"/>
      <c r="X67" s="46"/>
      <c r="Y67" s="39"/>
      <c r="Z67" s="46"/>
      <c r="AA67" s="50">
        <v>0</v>
      </c>
    </row>
    <row r="68" spans="1:27" x14ac:dyDescent="0.35">
      <c r="A68" s="205" t="s">
        <v>316</v>
      </c>
      <c r="B68" s="205" t="s">
        <v>162</v>
      </c>
      <c r="C68" s="207">
        <v>108.02</v>
      </c>
      <c r="D68" s="206">
        <v>111.13</v>
      </c>
      <c r="E68" s="207">
        <v>1836.3400000000001</v>
      </c>
      <c r="F68" s="207">
        <v>5111.9900000000016</v>
      </c>
      <c r="G68" s="207">
        <v>6948.3300000000017</v>
      </c>
      <c r="H68" s="208">
        <v>63.000089984702626</v>
      </c>
      <c r="I68" s="208">
        <v>5.2500074987252185</v>
      </c>
      <c r="J68" s="209">
        <v>2.165</v>
      </c>
      <c r="K68" s="209">
        <v>136.3951948168812</v>
      </c>
      <c r="L68" s="206">
        <v>473</v>
      </c>
      <c r="M68" s="208">
        <v>64514.927148384806</v>
      </c>
      <c r="N68" s="211">
        <v>50725.577002675564</v>
      </c>
      <c r="O68" s="90">
        <f t="shared" si="6"/>
        <v>215.83733014638426</v>
      </c>
      <c r="P68" s="90">
        <f t="shared" si="7"/>
        <v>220.07935980665761</v>
      </c>
      <c r="Q68" s="66"/>
      <c r="R68" s="90">
        <f t="shared" si="8"/>
        <v>1.6135418854170593</v>
      </c>
      <c r="S68" s="90">
        <f t="shared" si="9"/>
        <v>220.07935980665761</v>
      </c>
      <c r="T68" s="46"/>
      <c r="U68" s="46"/>
      <c r="V68" s="46"/>
      <c r="W68" s="46"/>
      <c r="X68" s="46"/>
      <c r="Y68" s="39"/>
      <c r="Z68" s="46"/>
      <c r="AA68" s="50">
        <v>0</v>
      </c>
    </row>
    <row r="69" spans="1:27" x14ac:dyDescent="0.35">
      <c r="A69" s="205" t="s">
        <v>317</v>
      </c>
      <c r="B69" s="205" t="s">
        <v>163</v>
      </c>
      <c r="C69" s="207">
        <v>148.38</v>
      </c>
      <c r="D69" s="206">
        <v>152.75</v>
      </c>
      <c r="E69" s="207">
        <v>1187.04</v>
      </c>
      <c r="F69" s="207">
        <v>5940.01</v>
      </c>
      <c r="G69" s="207">
        <v>7127.05</v>
      </c>
      <c r="H69" s="208">
        <v>46.887135842880525</v>
      </c>
      <c r="I69" s="208">
        <v>3.9072613202400439</v>
      </c>
      <c r="J69" s="209">
        <v>2.165</v>
      </c>
      <c r="K69" s="209">
        <v>101.51064909983634</v>
      </c>
      <c r="L69" s="206">
        <v>613</v>
      </c>
      <c r="M69" s="208">
        <v>62226.027898199682</v>
      </c>
      <c r="N69" s="211">
        <v>48925.904581135226</v>
      </c>
      <c r="O69" s="90">
        <f t="shared" si="6"/>
        <v>208.17972399273015</v>
      </c>
      <c r="P69" s="90">
        <f t="shared" si="7"/>
        <v>212.27125238240095</v>
      </c>
      <c r="Q69" s="66"/>
      <c r="R69" s="90">
        <f t="shared" si="8"/>
        <v>2.0911229931514956</v>
      </c>
      <c r="S69" s="90">
        <f t="shared" si="9"/>
        <v>212.27125238240095</v>
      </c>
      <c r="T69" s="46"/>
      <c r="U69" s="46"/>
      <c r="V69" s="46"/>
      <c r="W69" s="46"/>
      <c r="X69" s="46"/>
      <c r="Y69" s="39"/>
      <c r="Z69" s="46"/>
      <c r="AA69" s="50">
        <v>0</v>
      </c>
    </row>
    <row r="70" spans="1:27" x14ac:dyDescent="0.35">
      <c r="A70" s="205" t="s">
        <v>318</v>
      </c>
      <c r="B70" s="205" t="s">
        <v>164</v>
      </c>
      <c r="C70" s="207">
        <v>208.41</v>
      </c>
      <c r="D70" s="206">
        <v>214.01</v>
      </c>
      <c r="E70" s="207">
        <v>521.03</v>
      </c>
      <c r="F70" s="207">
        <v>4280.2</v>
      </c>
      <c r="G70" s="207">
        <v>4801.2299999999996</v>
      </c>
      <c r="H70" s="208">
        <v>22.500023991171247</v>
      </c>
      <c r="I70" s="208">
        <v>1.8750019992642706</v>
      </c>
      <c r="J70" s="209">
        <v>2.165</v>
      </c>
      <c r="K70" s="209">
        <v>48.712551940885746</v>
      </c>
      <c r="L70" s="206">
        <v>840</v>
      </c>
      <c r="M70" s="208">
        <v>40918.543630344029</v>
      </c>
      <c r="N70" s="211">
        <v>32172.658755150136</v>
      </c>
      <c r="O70" s="90">
        <f t="shared" si="6"/>
        <v>136.89466300316366</v>
      </c>
      <c r="P70" s="90">
        <f t="shared" si="7"/>
        <v>139.58516709899683</v>
      </c>
      <c r="Q70" s="66"/>
      <c r="R70" s="90">
        <f t="shared" si="8"/>
        <v>2.8654866464066169</v>
      </c>
      <c r="S70" s="90">
        <f t="shared" si="9"/>
        <v>139.58516709899683</v>
      </c>
      <c r="T70" s="46"/>
      <c r="U70" s="46"/>
      <c r="V70" s="46"/>
      <c r="W70" s="46"/>
      <c r="X70" s="46"/>
      <c r="Y70" s="39"/>
      <c r="Z70" s="46"/>
      <c r="AA70" s="50">
        <v>0</v>
      </c>
    </row>
    <row r="71" spans="1:27" x14ac:dyDescent="0.35">
      <c r="A71" s="205" t="s">
        <v>319</v>
      </c>
      <c r="B71" s="205" t="s">
        <v>165</v>
      </c>
      <c r="C71" s="207">
        <v>19.11</v>
      </c>
      <c r="D71" s="206">
        <v>19.600000000000001</v>
      </c>
      <c r="E71" s="207">
        <v>248.43</v>
      </c>
      <c r="F71" s="207">
        <v>882</v>
      </c>
      <c r="G71" s="207">
        <v>1130.43</v>
      </c>
      <c r="H71" s="208">
        <v>58</v>
      </c>
      <c r="I71" s="208">
        <v>4.833333333333333</v>
      </c>
      <c r="J71" s="207">
        <v>1</v>
      </c>
      <c r="K71" s="209">
        <v>58</v>
      </c>
      <c r="L71" s="206">
        <v>175</v>
      </c>
      <c r="M71" s="208">
        <v>10150</v>
      </c>
      <c r="N71" s="211">
        <v>7980.5500732096398</v>
      </c>
      <c r="O71" s="90">
        <f t="shared" si="6"/>
        <v>33.957240561506978</v>
      </c>
      <c r="P71" s="90">
        <f t="shared" si="7"/>
        <v>34.624630310746618</v>
      </c>
      <c r="Q71" s="66"/>
      <c r="R71" s="90">
        <f t="shared" si="8"/>
        <v>0.59697638466804515</v>
      </c>
      <c r="S71" s="90">
        <f t="shared" si="9"/>
        <v>34.624630310746618</v>
      </c>
      <c r="T71" s="46"/>
      <c r="U71" s="46"/>
      <c r="V71" s="46"/>
      <c r="W71" s="46"/>
      <c r="X71" s="46"/>
      <c r="Y71" s="39"/>
      <c r="Z71" s="46"/>
      <c r="AA71" s="50">
        <v>0</v>
      </c>
    </row>
    <row r="72" spans="1:27" x14ac:dyDescent="0.35">
      <c r="A72" s="205" t="s">
        <v>320</v>
      </c>
      <c r="B72" s="205" t="s">
        <v>166</v>
      </c>
      <c r="C72" s="207">
        <v>19.11</v>
      </c>
      <c r="D72" s="206">
        <v>19.600000000000001</v>
      </c>
      <c r="E72" s="207">
        <v>0</v>
      </c>
      <c r="F72" s="207">
        <v>78.400000000000006</v>
      </c>
      <c r="G72" s="207">
        <v>78.400000000000006</v>
      </c>
      <c r="H72" s="208">
        <v>4</v>
      </c>
      <c r="I72" s="208">
        <v>0.33333333333333331</v>
      </c>
      <c r="J72" s="207">
        <v>1</v>
      </c>
      <c r="K72" s="209">
        <v>4</v>
      </c>
      <c r="L72" s="206">
        <v>175</v>
      </c>
      <c r="M72" s="208">
        <v>700</v>
      </c>
      <c r="N72" s="211">
        <v>550.38276366963032</v>
      </c>
      <c r="O72" s="90">
        <f t="shared" si="6"/>
        <v>2.3418786594142742</v>
      </c>
      <c r="P72" s="90">
        <f t="shared" si="7"/>
        <v>2.3879055386721806</v>
      </c>
      <c r="Q72" s="66"/>
      <c r="R72" s="90">
        <f t="shared" si="8"/>
        <v>0.59697638466804515</v>
      </c>
      <c r="S72" s="90">
        <f t="shared" si="9"/>
        <v>2.3879055386721806</v>
      </c>
      <c r="T72" s="46"/>
      <c r="U72" s="46"/>
      <c r="V72" s="46"/>
      <c r="W72" s="46"/>
      <c r="X72" s="46"/>
      <c r="Y72" s="37"/>
      <c r="Z72" s="48"/>
      <c r="AA72" s="50">
        <v>0</v>
      </c>
    </row>
    <row r="73" spans="1:27" x14ac:dyDescent="0.35">
      <c r="A73" s="205" t="s">
        <v>321</v>
      </c>
      <c r="B73" s="205" t="s">
        <v>167</v>
      </c>
      <c r="C73" s="207">
        <v>37.950000000000003</v>
      </c>
      <c r="D73" s="206">
        <v>38.950000000000003</v>
      </c>
      <c r="E73" s="207">
        <v>0</v>
      </c>
      <c r="F73" s="207">
        <v>116.85000000000001</v>
      </c>
      <c r="G73" s="207">
        <v>116.85000000000001</v>
      </c>
      <c r="H73" s="208">
        <v>3</v>
      </c>
      <c r="I73" s="208">
        <v>0.25</v>
      </c>
      <c r="J73" s="207">
        <v>1</v>
      </c>
      <c r="K73" s="209">
        <v>3</v>
      </c>
      <c r="L73" s="206">
        <v>250</v>
      </c>
      <c r="M73" s="208">
        <v>750</v>
      </c>
      <c r="N73" s="211">
        <v>589.69581821746112</v>
      </c>
      <c r="O73" s="90">
        <f t="shared" si="6"/>
        <v>2.5091557065152941</v>
      </c>
      <c r="P73" s="90">
        <f t="shared" si="7"/>
        <v>2.558470220005908</v>
      </c>
      <c r="Q73" s="66"/>
      <c r="R73" s="90">
        <f t="shared" si="8"/>
        <v>0.85282340666863599</v>
      </c>
      <c r="S73" s="90">
        <f t="shared" si="9"/>
        <v>2.558470220005908</v>
      </c>
      <c r="T73" s="46"/>
      <c r="U73" s="46"/>
      <c r="V73" s="46"/>
      <c r="W73" s="46"/>
      <c r="X73" s="46"/>
      <c r="Y73" s="39"/>
      <c r="Z73" s="46"/>
      <c r="AA73" s="50">
        <v>0</v>
      </c>
    </row>
    <row r="74" spans="1:27" x14ac:dyDescent="0.35">
      <c r="A74" s="205" t="s">
        <v>322</v>
      </c>
      <c r="B74" s="205" t="s">
        <v>167</v>
      </c>
      <c r="C74" s="207">
        <v>37.950000000000003</v>
      </c>
      <c r="D74" s="206">
        <v>38.950000000000003</v>
      </c>
      <c r="E74" s="207">
        <v>0</v>
      </c>
      <c r="F74" s="207">
        <v>817.95</v>
      </c>
      <c r="G74" s="207">
        <v>817.95</v>
      </c>
      <c r="H74" s="208">
        <v>21</v>
      </c>
      <c r="I74" s="208">
        <v>1.75</v>
      </c>
      <c r="J74" s="207">
        <v>1</v>
      </c>
      <c r="K74" s="209">
        <v>21</v>
      </c>
      <c r="L74" s="206">
        <v>250</v>
      </c>
      <c r="M74" s="208">
        <v>5250</v>
      </c>
      <c r="N74" s="211">
        <v>4127.8707275222278</v>
      </c>
      <c r="O74" s="90">
        <f t="shared" si="6"/>
        <v>17.564089945607058</v>
      </c>
      <c r="P74" s="90">
        <f t="shared" si="7"/>
        <v>17.909291540041355</v>
      </c>
      <c r="Q74" s="66"/>
      <c r="R74" s="90">
        <f t="shared" si="8"/>
        <v>0.85282340666863599</v>
      </c>
      <c r="S74" s="90">
        <f t="shared" si="9"/>
        <v>17.909291540041355</v>
      </c>
      <c r="T74" s="46"/>
      <c r="U74" s="46"/>
      <c r="V74" s="46"/>
      <c r="W74" s="46"/>
      <c r="X74" s="46"/>
      <c r="Y74" s="39"/>
      <c r="Z74" s="46"/>
      <c r="AA74" s="50">
        <v>0</v>
      </c>
    </row>
    <row r="75" spans="1:27" x14ac:dyDescent="0.35">
      <c r="A75" s="205" t="s">
        <v>323</v>
      </c>
      <c r="B75" s="205" t="s">
        <v>168</v>
      </c>
      <c r="C75" s="207">
        <v>68.38</v>
      </c>
      <c r="D75" s="206">
        <v>70.39</v>
      </c>
      <c r="E75" s="207">
        <v>0</v>
      </c>
      <c r="F75" s="207">
        <v>351.95</v>
      </c>
      <c r="G75" s="207">
        <v>351.95</v>
      </c>
      <c r="H75" s="208">
        <v>5</v>
      </c>
      <c r="I75" s="208">
        <v>0.41666666666666669</v>
      </c>
      <c r="J75" s="207">
        <v>1</v>
      </c>
      <c r="K75" s="209">
        <v>5</v>
      </c>
      <c r="L75" s="206">
        <v>613</v>
      </c>
      <c r="M75" s="208">
        <v>3065</v>
      </c>
      <c r="N75" s="211">
        <v>2409.8902437820243</v>
      </c>
      <c r="O75" s="90">
        <f t="shared" si="6"/>
        <v>10.254082987292501</v>
      </c>
      <c r="P75" s="90">
        <f t="shared" si="7"/>
        <v>10.455614965757476</v>
      </c>
      <c r="Q75" s="66"/>
      <c r="R75" s="90">
        <f t="shared" si="8"/>
        <v>2.0911229931514952</v>
      </c>
      <c r="S75" s="90">
        <f t="shared" si="9"/>
        <v>10.455614965757476</v>
      </c>
      <c r="T75" s="46"/>
      <c r="U75" s="46"/>
      <c r="V75" s="46"/>
      <c r="W75" s="46"/>
      <c r="X75" s="46"/>
      <c r="Y75" s="39"/>
      <c r="Z75" s="46"/>
      <c r="AA75" s="50">
        <v>0</v>
      </c>
    </row>
    <row r="76" spans="1:27" x14ac:dyDescent="0.35">
      <c r="A76" s="205" t="s">
        <v>324</v>
      </c>
      <c r="B76" s="205" t="s">
        <v>169</v>
      </c>
      <c r="C76" s="207">
        <v>96.04</v>
      </c>
      <c r="D76" s="206">
        <v>98.62</v>
      </c>
      <c r="E76" s="207">
        <v>0</v>
      </c>
      <c r="F76" s="207">
        <v>690.34</v>
      </c>
      <c r="G76" s="207">
        <v>690.34</v>
      </c>
      <c r="H76" s="208">
        <v>7</v>
      </c>
      <c r="I76" s="208">
        <v>0.58333333333333337</v>
      </c>
      <c r="J76" s="207">
        <v>1</v>
      </c>
      <c r="K76" s="209">
        <v>7</v>
      </c>
      <c r="L76" s="206">
        <v>840</v>
      </c>
      <c r="M76" s="208">
        <v>5880</v>
      </c>
      <c r="N76" s="211">
        <v>4623.2152148248952</v>
      </c>
      <c r="O76" s="90">
        <f t="shared" si="6"/>
        <v>19.671780739079907</v>
      </c>
      <c r="P76" s="90">
        <f t="shared" si="7"/>
        <v>20.058406524846319</v>
      </c>
      <c r="Q76" s="66"/>
      <c r="R76" s="90">
        <f t="shared" si="8"/>
        <v>2.8654866464066169</v>
      </c>
      <c r="S76" s="90">
        <f t="shared" si="9"/>
        <v>20.058406524846319</v>
      </c>
      <c r="T76" s="46"/>
      <c r="U76" s="46"/>
      <c r="V76" s="46"/>
      <c r="W76" s="46"/>
      <c r="X76" s="46"/>
      <c r="Y76" s="39"/>
      <c r="Z76" s="46"/>
      <c r="AA76" s="50">
        <v>0</v>
      </c>
    </row>
    <row r="77" spans="1:27" x14ac:dyDescent="0.35">
      <c r="A77" s="205" t="s">
        <v>325</v>
      </c>
      <c r="B77" s="205" t="s">
        <v>170</v>
      </c>
      <c r="C77" s="207">
        <v>22.11</v>
      </c>
      <c r="D77" s="206">
        <v>22.6</v>
      </c>
      <c r="E77" s="207">
        <v>198.99</v>
      </c>
      <c r="F77" s="207">
        <v>904</v>
      </c>
      <c r="G77" s="207">
        <v>1102.99</v>
      </c>
      <c r="H77" s="208">
        <v>49</v>
      </c>
      <c r="I77" s="208">
        <v>4.083333333333333</v>
      </c>
      <c r="J77" s="207">
        <v>1</v>
      </c>
      <c r="K77" s="209">
        <v>49</v>
      </c>
      <c r="L77" s="206">
        <v>175</v>
      </c>
      <c r="M77" s="208">
        <v>8575</v>
      </c>
      <c r="N77" s="211">
        <v>6742.1888549529722</v>
      </c>
      <c r="O77" s="90">
        <f t="shared" si="6"/>
        <v>28.688013577824861</v>
      </c>
      <c r="P77" s="90">
        <f t="shared" si="7"/>
        <v>29.251842848734213</v>
      </c>
      <c r="Q77" s="66"/>
      <c r="R77" s="90">
        <f t="shared" si="8"/>
        <v>0.59697638466804515</v>
      </c>
      <c r="S77" s="90">
        <f t="shared" si="9"/>
        <v>29.251842848734213</v>
      </c>
      <c r="T77" s="46"/>
      <c r="U77" s="46"/>
      <c r="V77" s="46"/>
      <c r="W77" s="46"/>
      <c r="X77" s="46"/>
      <c r="Y77" s="39"/>
      <c r="Z77" s="46"/>
      <c r="AA77" s="50">
        <v>0</v>
      </c>
    </row>
    <row r="78" spans="1:27" x14ac:dyDescent="0.35">
      <c r="A78" s="205" t="s">
        <v>326</v>
      </c>
      <c r="B78" s="205" t="s">
        <v>171</v>
      </c>
      <c r="C78" s="207">
        <v>22.11</v>
      </c>
      <c r="D78" s="206">
        <v>22.6</v>
      </c>
      <c r="E78" s="207">
        <v>22.11</v>
      </c>
      <c r="F78" s="207">
        <v>90.4</v>
      </c>
      <c r="G78" s="207">
        <v>112.51</v>
      </c>
      <c r="H78" s="208">
        <v>5</v>
      </c>
      <c r="I78" s="208">
        <v>0.41666666666666669</v>
      </c>
      <c r="J78" s="207">
        <v>1</v>
      </c>
      <c r="K78" s="209">
        <v>5</v>
      </c>
      <c r="L78" s="206">
        <v>175</v>
      </c>
      <c r="M78" s="208">
        <v>875</v>
      </c>
      <c r="N78" s="211">
        <v>687.97845458703796</v>
      </c>
      <c r="O78" s="90">
        <f t="shared" si="6"/>
        <v>2.9273483242678431</v>
      </c>
      <c r="P78" s="90">
        <f t="shared" si="7"/>
        <v>2.9848819233402262</v>
      </c>
      <c r="Q78" s="66"/>
      <c r="R78" s="90">
        <f t="shared" si="8"/>
        <v>0.59697638466804526</v>
      </c>
      <c r="S78" s="90">
        <f t="shared" si="9"/>
        <v>2.9848819233402262</v>
      </c>
      <c r="T78" s="46"/>
      <c r="U78" s="46"/>
      <c r="V78" s="46"/>
      <c r="W78" s="46"/>
      <c r="X78" s="46"/>
      <c r="Y78" s="39"/>
      <c r="Z78" s="46"/>
      <c r="AA78" s="50">
        <v>0</v>
      </c>
    </row>
    <row r="79" spans="1:27" x14ac:dyDescent="0.35">
      <c r="A79" s="205" t="s">
        <v>327</v>
      </c>
      <c r="B79" s="205" t="s">
        <v>172</v>
      </c>
      <c r="C79" s="207">
        <v>24.12</v>
      </c>
      <c r="D79" s="206">
        <v>24.61</v>
      </c>
      <c r="E79" s="207">
        <v>0</v>
      </c>
      <c r="F79" s="207">
        <v>98.44</v>
      </c>
      <c r="G79" s="207">
        <v>98.44</v>
      </c>
      <c r="H79" s="208">
        <v>4</v>
      </c>
      <c r="I79" s="208">
        <v>0.33333333333333331</v>
      </c>
      <c r="J79" s="207">
        <v>1</v>
      </c>
      <c r="K79" s="209">
        <v>4</v>
      </c>
      <c r="L79" s="206">
        <v>175</v>
      </c>
      <c r="M79" s="208">
        <v>700</v>
      </c>
      <c r="N79" s="211">
        <v>550.38276366963032</v>
      </c>
      <c r="O79" s="90">
        <f t="shared" si="6"/>
        <v>2.3418786594142742</v>
      </c>
      <c r="P79" s="90">
        <f t="shared" si="7"/>
        <v>2.3879055386721806</v>
      </c>
      <c r="Q79" s="66"/>
      <c r="R79" s="90">
        <f t="shared" si="8"/>
        <v>0.59697638466804515</v>
      </c>
      <c r="S79" s="90">
        <f t="shared" si="9"/>
        <v>2.3879055386721806</v>
      </c>
      <c r="T79" s="46"/>
      <c r="U79" s="46"/>
      <c r="V79" s="46"/>
      <c r="W79" s="46"/>
      <c r="X79" s="46"/>
      <c r="Y79" s="39"/>
      <c r="Z79" s="46"/>
      <c r="AA79" s="50">
        <v>0</v>
      </c>
    </row>
    <row r="80" spans="1:27" x14ac:dyDescent="0.35">
      <c r="A80" s="205" t="s">
        <v>328</v>
      </c>
      <c r="B80" s="205" t="s">
        <v>172</v>
      </c>
      <c r="C80" s="207">
        <v>24.12</v>
      </c>
      <c r="D80" s="206">
        <v>24.61</v>
      </c>
      <c r="E80" s="207">
        <v>217.08</v>
      </c>
      <c r="F80" s="207">
        <v>861.35000000000014</v>
      </c>
      <c r="G80" s="207">
        <v>1078.43</v>
      </c>
      <c r="H80" s="208">
        <v>44.000000000000007</v>
      </c>
      <c r="I80" s="208">
        <v>3.6666666666666674</v>
      </c>
      <c r="J80" s="207">
        <v>1</v>
      </c>
      <c r="K80" s="209">
        <v>44.000000000000007</v>
      </c>
      <c r="L80" s="206">
        <v>175</v>
      </c>
      <c r="M80" s="208">
        <v>7700.0000000000009</v>
      </c>
      <c r="N80" s="211">
        <v>6054.2104003659342</v>
      </c>
      <c r="O80" s="90">
        <f t="shared" si="6"/>
        <v>25.760665253557018</v>
      </c>
      <c r="P80" s="90">
        <f t="shared" si="7"/>
        <v>26.266960925393988</v>
      </c>
      <c r="Q80" s="66"/>
      <c r="R80" s="90">
        <f t="shared" si="8"/>
        <v>0.59697638466804503</v>
      </c>
      <c r="S80" s="90">
        <f t="shared" si="9"/>
        <v>26.266960925393985</v>
      </c>
      <c r="T80" s="46"/>
      <c r="U80" s="46"/>
      <c r="V80" s="46"/>
      <c r="W80" s="46"/>
      <c r="X80" s="46"/>
      <c r="Y80" s="39"/>
      <c r="Z80" s="46"/>
      <c r="AA80" s="50">
        <v>0</v>
      </c>
    </row>
    <row r="81" spans="1:27" ht="15" thickBot="1" x14ac:dyDescent="0.4">
      <c r="A81" s="205" t="s">
        <v>329</v>
      </c>
      <c r="B81" s="205" t="s">
        <v>173</v>
      </c>
      <c r="C81" s="207">
        <v>30.26</v>
      </c>
      <c r="D81" s="206">
        <v>31.01</v>
      </c>
      <c r="E81" s="207">
        <v>60.52</v>
      </c>
      <c r="F81" s="207">
        <v>62.02</v>
      </c>
      <c r="G81" s="207">
        <v>122.54</v>
      </c>
      <c r="H81" s="208">
        <v>4</v>
      </c>
      <c r="I81" s="208">
        <v>0.33333333333333331</v>
      </c>
      <c r="J81" s="207">
        <v>1</v>
      </c>
      <c r="K81" s="209">
        <v>4</v>
      </c>
      <c r="L81" s="206">
        <v>250</v>
      </c>
      <c r="M81" s="208">
        <v>1000</v>
      </c>
      <c r="N81" s="211">
        <v>786.26109095661479</v>
      </c>
      <c r="O81" s="90">
        <f t="shared" si="6"/>
        <v>3.3455409420203921</v>
      </c>
      <c r="P81" s="90">
        <f t="shared" si="7"/>
        <v>3.4112936266745439</v>
      </c>
      <c r="Q81" s="66"/>
      <c r="R81" s="90">
        <f t="shared" si="8"/>
        <v>0.85282340666863599</v>
      </c>
      <c r="S81" s="90">
        <f t="shared" si="9"/>
        <v>3.4112936266745439</v>
      </c>
      <c r="T81" s="38"/>
      <c r="U81" s="38"/>
      <c r="V81" s="38"/>
      <c r="W81" s="38"/>
      <c r="X81" s="38"/>
      <c r="Y81" s="39"/>
      <c r="Z81" s="46"/>
      <c r="AA81" s="50">
        <v>0</v>
      </c>
    </row>
    <row r="82" spans="1:27" ht="15" thickBot="1" x14ac:dyDescent="0.4">
      <c r="A82" s="205" t="s">
        <v>330</v>
      </c>
      <c r="B82" s="205" t="s">
        <v>174</v>
      </c>
      <c r="C82" s="207">
        <v>30.26</v>
      </c>
      <c r="D82" s="206">
        <v>31.01</v>
      </c>
      <c r="E82" s="207">
        <v>30.26</v>
      </c>
      <c r="F82" s="207">
        <v>0</v>
      </c>
      <c r="G82" s="207">
        <v>30.26</v>
      </c>
      <c r="H82" s="208">
        <v>1</v>
      </c>
      <c r="I82" s="208">
        <v>8.3333333333333329E-2</v>
      </c>
      <c r="J82" s="207">
        <v>1</v>
      </c>
      <c r="K82" s="209">
        <v>1</v>
      </c>
      <c r="L82" s="206">
        <v>250</v>
      </c>
      <c r="M82" s="208">
        <v>250</v>
      </c>
      <c r="N82" s="211">
        <v>196.5652727391537</v>
      </c>
      <c r="O82" s="90">
        <f t="shared" si="6"/>
        <v>0.83638523550509802</v>
      </c>
      <c r="P82" s="90">
        <f t="shared" si="7"/>
        <v>0.85282340666863599</v>
      </c>
      <c r="Q82" s="66"/>
      <c r="R82" s="90">
        <f t="shared" si="8"/>
        <v>0.85282340666863599</v>
      </c>
      <c r="S82" s="90">
        <f t="shared" si="9"/>
        <v>0.85282340666863599</v>
      </c>
      <c r="T82" s="38"/>
      <c r="U82" s="38"/>
      <c r="V82" s="38"/>
      <c r="W82" s="38"/>
      <c r="X82" s="38"/>
      <c r="Y82" s="52">
        <v>139.04053958736353</v>
      </c>
      <c r="Z82" s="46"/>
      <c r="AA82" s="50">
        <v>0</v>
      </c>
    </row>
    <row r="83" spans="1:27" x14ac:dyDescent="0.35">
      <c r="A83" s="205" t="s">
        <v>331</v>
      </c>
      <c r="B83" s="205" t="s">
        <v>175</v>
      </c>
      <c r="C83" s="207">
        <v>27.26</v>
      </c>
      <c r="D83" s="206">
        <v>28.01</v>
      </c>
      <c r="E83" s="207">
        <v>136.30000000000001</v>
      </c>
      <c r="F83" s="207">
        <v>1512.54</v>
      </c>
      <c r="G83" s="207">
        <v>1648.84</v>
      </c>
      <c r="H83" s="208">
        <v>58.999999999999993</v>
      </c>
      <c r="I83" s="208">
        <v>4.9166666666666661</v>
      </c>
      <c r="J83" s="207">
        <v>1</v>
      </c>
      <c r="K83" s="209">
        <v>58.999999999999993</v>
      </c>
      <c r="L83" s="206">
        <v>250</v>
      </c>
      <c r="M83" s="208">
        <v>14749.999999999998</v>
      </c>
      <c r="N83" s="211">
        <v>11597.351091610066</v>
      </c>
      <c r="O83" s="90">
        <f t="shared" si="6"/>
        <v>49.346728894800769</v>
      </c>
      <c r="P83" s="90">
        <f t="shared" si="7"/>
        <v>50.316580993449513</v>
      </c>
      <c r="Q83" s="66"/>
      <c r="R83" s="90">
        <f t="shared" si="8"/>
        <v>0.85282340666863587</v>
      </c>
      <c r="S83" s="90">
        <f t="shared" si="9"/>
        <v>50.316580993449513</v>
      </c>
      <c r="T83" s="39"/>
      <c r="U83" s="39"/>
      <c r="V83" s="39"/>
      <c r="W83" s="39"/>
      <c r="X83" s="39"/>
      <c r="Y83" s="39"/>
      <c r="Z83" s="40"/>
      <c r="AA83" s="50">
        <v>0</v>
      </c>
    </row>
    <row r="84" spans="1:27" x14ac:dyDescent="0.35">
      <c r="A84" s="205" t="s">
        <v>332</v>
      </c>
      <c r="B84" s="205" t="s">
        <v>176</v>
      </c>
      <c r="C84" s="207">
        <v>27.26</v>
      </c>
      <c r="D84" s="206">
        <v>28.01</v>
      </c>
      <c r="E84" s="207">
        <v>81.78</v>
      </c>
      <c r="F84" s="207">
        <v>0</v>
      </c>
      <c r="G84" s="207">
        <v>81.78</v>
      </c>
      <c r="H84" s="208">
        <v>3</v>
      </c>
      <c r="I84" s="208">
        <v>0.25</v>
      </c>
      <c r="J84" s="207">
        <v>1</v>
      </c>
      <c r="K84" s="209">
        <v>3</v>
      </c>
      <c r="L84" s="206">
        <v>250</v>
      </c>
      <c r="M84" s="208">
        <v>750</v>
      </c>
      <c r="N84" s="211">
        <v>589.69581821746112</v>
      </c>
      <c r="O84" s="90">
        <f t="shared" si="6"/>
        <v>2.5091557065152941</v>
      </c>
      <c r="P84" s="90">
        <f t="shared" si="7"/>
        <v>2.558470220005908</v>
      </c>
      <c r="Q84" s="66"/>
      <c r="R84" s="90">
        <f t="shared" si="8"/>
        <v>0.85282340666863599</v>
      </c>
      <c r="S84" s="90">
        <f t="shared" si="9"/>
        <v>2.558470220005908</v>
      </c>
      <c r="T84" s="39"/>
      <c r="U84" s="39"/>
      <c r="V84" s="39"/>
      <c r="W84" s="39"/>
      <c r="X84" s="39"/>
      <c r="Y84" s="39"/>
      <c r="Z84" s="40"/>
      <c r="AA84" s="50">
        <v>0</v>
      </c>
    </row>
    <row r="85" spans="1:27" x14ac:dyDescent="0.35">
      <c r="A85" s="205" t="s">
        <v>333</v>
      </c>
      <c r="B85" s="205" t="s">
        <v>177</v>
      </c>
      <c r="C85" s="207">
        <v>40.950000000000003</v>
      </c>
      <c r="D85" s="206">
        <v>41.95</v>
      </c>
      <c r="E85" s="207">
        <v>81.900000000000006</v>
      </c>
      <c r="F85" s="207">
        <v>545.35</v>
      </c>
      <c r="G85" s="207">
        <v>627.25</v>
      </c>
      <c r="H85" s="208">
        <v>15</v>
      </c>
      <c r="I85" s="208">
        <v>1.25</v>
      </c>
      <c r="J85" s="207">
        <v>1</v>
      </c>
      <c r="K85" s="209">
        <v>15</v>
      </c>
      <c r="L85" s="206">
        <v>324</v>
      </c>
      <c r="M85" s="208">
        <v>4860</v>
      </c>
      <c r="N85" s="211">
        <v>3821.228902049148</v>
      </c>
      <c r="O85" s="90">
        <f t="shared" si="6"/>
        <v>16.259328978219106</v>
      </c>
      <c r="P85" s="90">
        <f t="shared" si="7"/>
        <v>16.578887025638284</v>
      </c>
      <c r="Q85" s="66"/>
      <c r="R85" s="90">
        <f t="shared" si="8"/>
        <v>1.1052591350425522</v>
      </c>
      <c r="S85" s="90">
        <f t="shared" si="9"/>
        <v>16.578887025638284</v>
      </c>
      <c r="T85" s="39"/>
      <c r="U85" s="39"/>
      <c r="V85" s="39"/>
      <c r="W85" s="39"/>
      <c r="X85" s="39"/>
      <c r="Y85" s="39"/>
      <c r="Z85" s="40"/>
      <c r="AA85" s="50">
        <v>0</v>
      </c>
    </row>
    <row r="86" spans="1:27" x14ac:dyDescent="0.35">
      <c r="A86" s="205" t="s">
        <v>334</v>
      </c>
      <c r="B86" s="205" t="s">
        <v>178</v>
      </c>
      <c r="C86" s="207">
        <v>40.950000000000003</v>
      </c>
      <c r="D86" s="206">
        <v>41.95</v>
      </c>
      <c r="E86" s="207">
        <v>0</v>
      </c>
      <c r="F86" s="207">
        <v>587.29999999999995</v>
      </c>
      <c r="G86" s="207">
        <v>587.29999999999995</v>
      </c>
      <c r="H86" s="208">
        <v>13.999999999999998</v>
      </c>
      <c r="I86" s="208">
        <v>1.1666666666666665</v>
      </c>
      <c r="J86" s="207">
        <v>1</v>
      </c>
      <c r="K86" s="209">
        <v>13.999999999999998</v>
      </c>
      <c r="L86" s="206">
        <v>324</v>
      </c>
      <c r="M86" s="208">
        <v>4535.9999999999991</v>
      </c>
      <c r="N86" s="211">
        <v>3566.4803085792041</v>
      </c>
      <c r="O86" s="90">
        <f t="shared" si="6"/>
        <v>15.175373713004495</v>
      </c>
      <c r="P86" s="90">
        <f t="shared" si="7"/>
        <v>15.473627890595729</v>
      </c>
      <c r="Q86" s="66"/>
      <c r="R86" s="90">
        <f t="shared" si="8"/>
        <v>1.1052591350425522</v>
      </c>
      <c r="S86" s="90">
        <f t="shared" si="9"/>
        <v>15.473627890595729</v>
      </c>
      <c r="T86" s="39"/>
      <c r="U86" s="39"/>
      <c r="V86" s="39"/>
      <c r="W86" s="39"/>
      <c r="X86" s="39"/>
      <c r="Y86" s="39"/>
      <c r="Z86" s="40"/>
      <c r="AA86" s="50">
        <v>0</v>
      </c>
    </row>
    <row r="87" spans="1:27" x14ac:dyDescent="0.35">
      <c r="A87" s="205" t="s">
        <v>335</v>
      </c>
      <c r="B87" s="205" t="s">
        <v>179</v>
      </c>
      <c r="C87" s="207">
        <v>35.5</v>
      </c>
      <c r="D87" s="206">
        <v>36.5</v>
      </c>
      <c r="E87" s="207">
        <v>8803</v>
      </c>
      <c r="F87" s="207">
        <v>25759.1</v>
      </c>
      <c r="G87" s="207">
        <v>34562.1</v>
      </c>
      <c r="H87" s="208">
        <v>953.70059810920316</v>
      </c>
      <c r="I87" s="208">
        <v>79.475049842433592</v>
      </c>
      <c r="J87" s="207">
        <v>1</v>
      </c>
      <c r="K87" s="209">
        <v>953.70059810920316</v>
      </c>
      <c r="L87" s="206">
        <v>324</v>
      </c>
      <c r="M87" s="208">
        <v>308998.9937873818</v>
      </c>
      <c r="N87" s="211">
        <v>242953.88595976305</v>
      </c>
      <c r="O87" s="90">
        <f t="shared" si="6"/>
        <v>1033.7687847587906</v>
      </c>
      <c r="P87" s="90">
        <f t="shared" si="7"/>
        <v>1054.0862981557425</v>
      </c>
      <c r="Q87" s="66"/>
      <c r="R87" s="90">
        <f t="shared" si="8"/>
        <v>1.105259135042552</v>
      </c>
      <c r="S87" s="90">
        <f t="shared" si="9"/>
        <v>1054.0862981557425</v>
      </c>
      <c r="T87" s="46"/>
      <c r="U87" s="46"/>
      <c r="V87" s="46"/>
      <c r="W87" s="46"/>
      <c r="X87" s="46"/>
      <c r="Y87" s="49">
        <v>0.41666666666666669</v>
      </c>
      <c r="Z87" s="40"/>
      <c r="AA87" s="50">
        <v>7</v>
      </c>
    </row>
    <row r="88" spans="1:27" x14ac:dyDescent="0.35">
      <c r="A88" s="205" t="s">
        <v>336</v>
      </c>
      <c r="B88" s="205" t="s">
        <v>180</v>
      </c>
      <c r="C88" s="207">
        <v>35.5</v>
      </c>
      <c r="D88" s="206">
        <v>36.5</v>
      </c>
      <c r="E88" s="207">
        <v>142</v>
      </c>
      <c r="F88" s="207">
        <v>1934.5</v>
      </c>
      <c r="G88" s="207">
        <v>2076.5</v>
      </c>
      <c r="H88" s="208">
        <v>57</v>
      </c>
      <c r="I88" s="208">
        <v>4.75</v>
      </c>
      <c r="J88" s="207">
        <v>1</v>
      </c>
      <c r="K88" s="209">
        <v>57</v>
      </c>
      <c r="L88" s="206">
        <v>324</v>
      </c>
      <c r="M88" s="208">
        <v>18468</v>
      </c>
      <c r="N88" s="211">
        <v>14520.669827786762</v>
      </c>
      <c r="O88" s="90">
        <f t="shared" si="6"/>
        <v>61.7854501172326</v>
      </c>
      <c r="P88" s="90">
        <f t="shared" si="7"/>
        <v>62.999770697425475</v>
      </c>
      <c r="Q88" s="66"/>
      <c r="R88" s="90">
        <f t="shared" si="8"/>
        <v>1.1052591350425522</v>
      </c>
      <c r="S88" s="90">
        <f t="shared" si="9"/>
        <v>62.999770697425475</v>
      </c>
      <c r="T88" s="46"/>
      <c r="U88" s="46"/>
      <c r="V88" s="46"/>
      <c r="W88" s="46"/>
      <c r="X88" s="46"/>
      <c r="Y88" s="49">
        <v>0.16666666666666666</v>
      </c>
      <c r="Z88" s="40"/>
      <c r="AA88" s="50">
        <v>4</v>
      </c>
    </row>
    <row r="89" spans="1:27" x14ac:dyDescent="0.35">
      <c r="A89" s="205" t="s">
        <v>337</v>
      </c>
      <c r="B89" s="205" t="s">
        <v>181</v>
      </c>
      <c r="C89" s="207">
        <v>52.78</v>
      </c>
      <c r="D89" s="206">
        <v>54.21</v>
      </c>
      <c r="E89" s="207">
        <v>0</v>
      </c>
      <c r="F89" s="207">
        <v>2276.8199999999997</v>
      </c>
      <c r="G89" s="207">
        <v>2276.8199999999997</v>
      </c>
      <c r="H89" s="208">
        <v>41.999999999999993</v>
      </c>
      <c r="I89" s="208">
        <v>3.4999999999999996</v>
      </c>
      <c r="J89" s="207">
        <v>1</v>
      </c>
      <c r="K89" s="209">
        <v>41.999999999999993</v>
      </c>
      <c r="L89" s="206">
        <v>473</v>
      </c>
      <c r="M89" s="208">
        <v>19865.999999999996</v>
      </c>
      <c r="N89" s="211">
        <v>15619.862832944107</v>
      </c>
      <c r="O89" s="90">
        <f t="shared" si="6"/>
        <v>66.462516354177097</v>
      </c>
      <c r="P89" s="90">
        <f t="shared" si="7"/>
        <v>67.76875918751648</v>
      </c>
      <c r="Q89" s="66"/>
      <c r="R89" s="90">
        <f t="shared" si="8"/>
        <v>1.6135418854170593</v>
      </c>
      <c r="S89" s="90">
        <f t="shared" si="9"/>
        <v>67.76875918751648</v>
      </c>
      <c r="T89" s="46"/>
      <c r="U89" s="46"/>
      <c r="V89" s="46"/>
      <c r="W89" s="46"/>
      <c r="X89" s="46"/>
      <c r="Y89" s="49">
        <v>0.33333333333333331</v>
      </c>
      <c r="Z89" s="40"/>
      <c r="AA89" s="50">
        <v>5</v>
      </c>
    </row>
    <row r="90" spans="1:27" x14ac:dyDescent="0.35">
      <c r="A90" s="205" t="s">
        <v>338</v>
      </c>
      <c r="B90" s="205" t="s">
        <v>182</v>
      </c>
      <c r="C90" s="207">
        <v>71.38</v>
      </c>
      <c r="D90" s="206">
        <v>73.39</v>
      </c>
      <c r="E90" s="207">
        <v>356.9</v>
      </c>
      <c r="F90" s="207">
        <v>511.71999999999991</v>
      </c>
      <c r="G90" s="207">
        <v>868.61999999999989</v>
      </c>
      <c r="H90" s="208">
        <v>11.97261207248944</v>
      </c>
      <c r="I90" s="208">
        <v>0.99771767270745337</v>
      </c>
      <c r="J90" s="207">
        <v>1</v>
      </c>
      <c r="K90" s="209">
        <v>11.97261207248944</v>
      </c>
      <c r="L90" s="206">
        <v>613</v>
      </c>
      <c r="M90" s="208">
        <v>7339.211200436027</v>
      </c>
      <c r="N90" s="211">
        <v>5770.5362052158371</v>
      </c>
      <c r="O90" s="90">
        <f t="shared" si="6"/>
        <v>24.553631553193359</v>
      </c>
      <c r="P90" s="90">
        <f t="shared" si="7"/>
        <v>25.036204392865848</v>
      </c>
      <c r="Q90" s="66"/>
      <c r="R90" s="90">
        <f t="shared" si="8"/>
        <v>2.0911229931514956</v>
      </c>
      <c r="S90" s="90">
        <f t="shared" si="9"/>
        <v>25.036204392865848</v>
      </c>
      <c r="T90" s="46"/>
      <c r="U90" s="46"/>
      <c r="V90" s="46"/>
      <c r="W90" s="46"/>
      <c r="X90" s="46"/>
      <c r="Y90" s="49">
        <v>0.33333333333333331</v>
      </c>
      <c r="Z90" s="40"/>
      <c r="AA90" s="50">
        <v>6</v>
      </c>
    </row>
    <row r="91" spans="1:27" x14ac:dyDescent="0.35">
      <c r="A91" s="205" t="s">
        <v>339</v>
      </c>
      <c r="B91" s="205" t="s">
        <v>182</v>
      </c>
      <c r="C91" s="207">
        <v>71.38</v>
      </c>
      <c r="D91" s="206">
        <v>73.39</v>
      </c>
      <c r="E91" s="207">
        <v>0</v>
      </c>
      <c r="F91" s="207">
        <v>73.39</v>
      </c>
      <c r="G91" s="207">
        <v>73.39</v>
      </c>
      <c r="H91" s="208">
        <v>1</v>
      </c>
      <c r="I91" s="208">
        <v>8.3333333333333329E-2</v>
      </c>
      <c r="J91" s="207">
        <v>1</v>
      </c>
      <c r="K91" s="209">
        <v>1</v>
      </c>
      <c r="L91" s="206">
        <v>613</v>
      </c>
      <c r="M91" s="208">
        <v>613</v>
      </c>
      <c r="N91" s="211">
        <v>481.97804875640486</v>
      </c>
      <c r="O91" s="90">
        <f t="shared" si="6"/>
        <v>2.0508165974585002</v>
      </c>
      <c r="P91" s="90">
        <f t="shared" si="7"/>
        <v>2.0911229931514952</v>
      </c>
      <c r="Q91" s="66"/>
      <c r="R91" s="90">
        <f t="shared" si="8"/>
        <v>2.0911229931514952</v>
      </c>
      <c r="S91" s="90">
        <f t="shared" si="9"/>
        <v>2.0911229931514952</v>
      </c>
      <c r="T91" s="46"/>
      <c r="U91" s="46"/>
      <c r="V91" s="46"/>
      <c r="W91" s="46"/>
      <c r="X91" s="46"/>
      <c r="Y91" s="39"/>
      <c r="Z91" s="40"/>
      <c r="AA91" s="50">
        <v>0</v>
      </c>
    </row>
    <row r="92" spans="1:27" x14ac:dyDescent="0.35">
      <c r="A92" s="205" t="s">
        <v>340</v>
      </c>
      <c r="B92" s="205" t="s">
        <v>183</v>
      </c>
      <c r="C92" s="207">
        <v>99.04</v>
      </c>
      <c r="D92" s="206">
        <v>101.62</v>
      </c>
      <c r="E92" s="207">
        <v>0</v>
      </c>
      <c r="F92" s="207">
        <v>101.62</v>
      </c>
      <c r="G92" s="207">
        <v>101.62</v>
      </c>
      <c r="H92" s="208">
        <v>1</v>
      </c>
      <c r="I92" s="208">
        <v>8.3333333333333329E-2</v>
      </c>
      <c r="J92" s="207">
        <v>1</v>
      </c>
      <c r="K92" s="209">
        <v>1</v>
      </c>
      <c r="L92" s="206">
        <v>840</v>
      </c>
      <c r="M92" s="208">
        <v>840</v>
      </c>
      <c r="N92" s="211">
        <v>660.45931640355639</v>
      </c>
      <c r="O92" s="90">
        <f t="shared" si="6"/>
        <v>2.810254391297129</v>
      </c>
      <c r="P92" s="90">
        <f t="shared" si="7"/>
        <v>2.8654866464066164</v>
      </c>
      <c r="Q92" s="66"/>
      <c r="R92" s="90">
        <f t="shared" si="8"/>
        <v>2.8654866464066164</v>
      </c>
      <c r="S92" s="90">
        <f t="shared" si="9"/>
        <v>2.8654866464066164</v>
      </c>
      <c r="T92" s="46"/>
      <c r="U92" s="46"/>
      <c r="V92" s="46"/>
      <c r="W92" s="46"/>
      <c r="X92" s="46"/>
      <c r="Y92" s="39"/>
      <c r="Z92" s="40"/>
      <c r="AA92" s="50">
        <v>0</v>
      </c>
    </row>
    <row r="93" spans="1:27" x14ac:dyDescent="0.35">
      <c r="A93" s="205" t="s">
        <v>341</v>
      </c>
      <c r="B93" s="205" t="s">
        <v>184</v>
      </c>
      <c r="C93" s="207">
        <v>580.44000000000005</v>
      </c>
      <c r="D93" s="206">
        <v>606.50310000000002</v>
      </c>
      <c r="E93" s="207">
        <v>1688.5500000000002</v>
      </c>
      <c r="F93" s="207">
        <v>5065.6500000000005</v>
      </c>
      <c r="G93" s="207">
        <v>6754.2000000000007</v>
      </c>
      <c r="H93" s="208">
        <v>11.261310626131783</v>
      </c>
      <c r="I93" s="208">
        <v>0.9384425521776486</v>
      </c>
      <c r="J93" s="209">
        <v>4.33</v>
      </c>
      <c r="K93" s="209">
        <v>48.761475011150623</v>
      </c>
      <c r="L93" s="206">
        <v>1680</v>
      </c>
      <c r="M93" s="208">
        <v>81919.27801873305</v>
      </c>
      <c r="N93" s="211">
        <v>64409.940905387281</v>
      </c>
      <c r="O93" s="90">
        <f t="shared" si="6"/>
        <v>274.06429855242254</v>
      </c>
      <c r="P93" s="90">
        <f t="shared" si="7"/>
        <v>279.45071100708412</v>
      </c>
      <c r="Q93" s="66"/>
      <c r="R93" s="90">
        <f t="shared" si="8"/>
        <v>5.7309732928132346</v>
      </c>
      <c r="S93" s="90">
        <f t="shared" si="9"/>
        <v>279.45071100708412</v>
      </c>
      <c r="T93" s="46"/>
      <c r="U93" s="46"/>
      <c r="V93" s="46"/>
      <c r="W93" s="46"/>
      <c r="X93" s="46"/>
      <c r="Y93" s="39"/>
      <c r="Z93" s="40"/>
      <c r="AA93" s="50">
        <v>0</v>
      </c>
    </row>
    <row r="94" spans="1:27" x14ac:dyDescent="0.35">
      <c r="A94" s="205" t="s">
        <v>342</v>
      </c>
      <c r="B94" s="205" t="s">
        <v>185</v>
      </c>
      <c r="C94" s="207">
        <v>20.9</v>
      </c>
      <c r="D94" s="206">
        <v>21.3</v>
      </c>
      <c r="E94" s="207">
        <v>376.20000000000005</v>
      </c>
      <c r="F94" s="207">
        <v>1112.93</v>
      </c>
      <c r="G94" s="207">
        <v>1489.13</v>
      </c>
      <c r="H94" s="208">
        <v>70.250234741784041</v>
      </c>
      <c r="I94" s="208">
        <v>5.8541862284820034</v>
      </c>
      <c r="J94" s="209">
        <v>4.33</v>
      </c>
      <c r="K94" s="209">
        <v>304.18351643192489</v>
      </c>
      <c r="L94" s="206">
        <v>29</v>
      </c>
      <c r="M94" s="208">
        <v>8821.3219765258218</v>
      </c>
      <c r="N94" s="211">
        <v>6935.8622409427544</v>
      </c>
      <c r="O94" s="90">
        <f t="shared" si="6"/>
        <v>29.512093835211385</v>
      </c>
      <c r="P94" s="90">
        <f t="shared" si="7"/>
        <v>30.092119437366627</v>
      </c>
      <c r="Q94" s="220">
        <f>P94/H94</f>
        <v>0.42835614070152245</v>
      </c>
      <c r="R94" s="90">
        <f t="shared" si="8"/>
        <v>9.892751517356177E-2</v>
      </c>
      <c r="S94" s="90">
        <f t="shared" si="9"/>
        <v>30.092119437366627</v>
      </c>
      <c r="T94" s="46"/>
      <c r="U94" s="46"/>
      <c r="V94" s="46"/>
      <c r="W94" s="46"/>
      <c r="X94" s="46"/>
      <c r="Y94" s="39"/>
      <c r="Z94" s="40"/>
      <c r="AA94" s="50">
        <v>0</v>
      </c>
    </row>
    <row r="95" spans="1:27" x14ac:dyDescent="0.35">
      <c r="A95" s="205" t="s">
        <v>343</v>
      </c>
      <c r="B95" s="205" t="s">
        <v>186</v>
      </c>
      <c r="C95" s="207">
        <v>62.61</v>
      </c>
      <c r="D95" s="206">
        <v>63.91</v>
      </c>
      <c r="E95" s="207">
        <v>187.82999999999998</v>
      </c>
      <c r="F95" s="207">
        <v>63.91</v>
      </c>
      <c r="G95" s="207">
        <v>251.73999999999998</v>
      </c>
      <c r="H95" s="208">
        <v>3.9999999999999996</v>
      </c>
      <c r="I95" s="208">
        <v>0.33333333333333331</v>
      </c>
      <c r="J95" s="209">
        <v>4.33</v>
      </c>
      <c r="K95" s="209">
        <v>17.32</v>
      </c>
      <c r="L95" s="206">
        <v>87</v>
      </c>
      <c r="M95" s="208">
        <v>1506.84</v>
      </c>
      <c r="N95" s="211">
        <v>1184.7696622970655</v>
      </c>
      <c r="O95" s="90">
        <f t="shared" si="6"/>
        <v>5.0411949130740075</v>
      </c>
      <c r="P95" s="90">
        <f t="shared" si="7"/>
        <v>5.1402736884182696</v>
      </c>
      <c r="Q95" s="220">
        <f t="shared" ref="Q95:Q98" si="10">P95/H95</f>
        <v>1.2850684221045676</v>
      </c>
      <c r="R95" s="90">
        <f t="shared" si="8"/>
        <v>0.29678254552068528</v>
      </c>
      <c r="S95" s="90">
        <f t="shared" si="9"/>
        <v>5.1402736884182696</v>
      </c>
      <c r="T95" s="46"/>
      <c r="U95" s="46"/>
      <c r="V95" s="46"/>
      <c r="W95" s="46"/>
      <c r="X95" s="46"/>
      <c r="Y95" s="39"/>
      <c r="Z95" s="40"/>
      <c r="AA95" s="50">
        <v>0</v>
      </c>
    </row>
    <row r="96" spans="1:27" ht="15" thickBot="1" x14ac:dyDescent="0.4">
      <c r="A96" s="205" t="s">
        <v>344</v>
      </c>
      <c r="B96" s="205" t="s">
        <v>187</v>
      </c>
      <c r="C96" s="207">
        <v>23.55</v>
      </c>
      <c r="D96" s="206">
        <v>24.03</v>
      </c>
      <c r="E96" s="207">
        <v>241.4</v>
      </c>
      <c r="F96" s="207">
        <v>672.84000000000015</v>
      </c>
      <c r="G96" s="207">
        <v>914.24000000000012</v>
      </c>
      <c r="H96" s="208">
        <v>38.250530785562638</v>
      </c>
      <c r="I96" s="208">
        <v>3.1875442321302199</v>
      </c>
      <c r="J96" s="209">
        <v>4.33</v>
      </c>
      <c r="K96" s="209">
        <v>165.62479830148624</v>
      </c>
      <c r="L96" s="206">
        <v>37</v>
      </c>
      <c r="M96" s="208">
        <v>6128.1175371549907</v>
      </c>
      <c r="N96" s="211">
        <v>4818.3003802738467</v>
      </c>
      <c r="O96" s="90">
        <f t="shared" si="6"/>
        <v>20.501868118065193</v>
      </c>
      <c r="P96" s="90">
        <f t="shared" si="7"/>
        <v>20.904808298009325</v>
      </c>
      <c r="Q96" s="220">
        <f t="shared" si="10"/>
        <v>0.54652335192952883</v>
      </c>
      <c r="R96" s="90">
        <f t="shared" si="8"/>
        <v>0.12621786418695813</v>
      </c>
      <c r="S96" s="90">
        <f t="shared" si="9"/>
        <v>20.904808298009325</v>
      </c>
      <c r="T96" s="39"/>
      <c r="U96" s="39"/>
      <c r="V96" s="39"/>
      <c r="W96" s="39"/>
      <c r="X96" s="39"/>
      <c r="Y96" s="39"/>
      <c r="Z96" s="40"/>
      <c r="AA96" s="50">
        <v>0</v>
      </c>
    </row>
    <row r="97" spans="1:27" ht="15" thickBot="1" x14ac:dyDescent="0.4">
      <c r="A97" s="205" t="s">
        <v>345</v>
      </c>
      <c r="B97" s="205" t="s">
        <v>188</v>
      </c>
      <c r="C97" s="207">
        <v>30.05</v>
      </c>
      <c r="D97" s="206">
        <v>30.79</v>
      </c>
      <c r="E97" s="207">
        <v>4079.3</v>
      </c>
      <c r="F97" s="207">
        <v>13047.29</v>
      </c>
      <c r="G97" s="207">
        <v>17126.59</v>
      </c>
      <c r="H97" s="208">
        <v>559.50130912050349</v>
      </c>
      <c r="I97" s="208">
        <v>46.625109093375293</v>
      </c>
      <c r="J97" s="209">
        <v>4.33</v>
      </c>
      <c r="K97" s="209">
        <v>2422.6406684917802</v>
      </c>
      <c r="L97" s="206">
        <v>47</v>
      </c>
      <c r="M97" s="208">
        <v>113864.11141911367</v>
      </c>
      <c r="N97" s="211">
        <v>89526.920465197851</v>
      </c>
      <c r="O97" s="90">
        <f t="shared" si="6"/>
        <v>380.9370465794164</v>
      </c>
      <c r="P97" s="90">
        <f t="shared" si="7"/>
        <v>388.42391759098263</v>
      </c>
      <c r="Q97" s="220">
        <f t="shared" si="10"/>
        <v>0.69423236596453641</v>
      </c>
      <c r="R97" s="90">
        <f t="shared" si="8"/>
        <v>0.16033080045370357</v>
      </c>
      <c r="S97" s="90">
        <f t="shared" si="9"/>
        <v>388.42391759098263</v>
      </c>
      <c r="T97" s="39"/>
      <c r="U97" s="39"/>
      <c r="V97" s="39"/>
      <c r="W97" s="39"/>
      <c r="X97" s="39"/>
      <c r="Y97" s="52">
        <v>1.25</v>
      </c>
      <c r="Z97" s="40"/>
      <c r="AA97" s="50">
        <v>0</v>
      </c>
    </row>
    <row r="98" spans="1:27" x14ac:dyDescent="0.35">
      <c r="A98" s="205" t="s">
        <v>346</v>
      </c>
      <c r="B98" s="205" t="s">
        <v>189</v>
      </c>
      <c r="C98" s="207">
        <v>60.1</v>
      </c>
      <c r="D98" s="206">
        <v>61.57</v>
      </c>
      <c r="E98" s="207">
        <v>480.8</v>
      </c>
      <c r="F98" s="207">
        <v>1108.26</v>
      </c>
      <c r="G98" s="207">
        <v>1589.06</v>
      </c>
      <c r="H98" s="208">
        <v>26</v>
      </c>
      <c r="I98" s="208">
        <v>2.1666666666666665</v>
      </c>
      <c r="J98" s="209">
        <v>4.33</v>
      </c>
      <c r="K98" s="209">
        <v>112.57999999999998</v>
      </c>
      <c r="L98" s="206">
        <v>94</v>
      </c>
      <c r="M98" s="208">
        <v>10582.519999999999</v>
      </c>
      <c r="N98" s="211">
        <v>8320.6237202701941</v>
      </c>
      <c r="O98" s="90">
        <f t="shared" si="6"/>
        <v>35.404253929749636</v>
      </c>
      <c r="P98" s="90">
        <f t="shared" si="7"/>
        <v>36.100083030155893</v>
      </c>
      <c r="Q98" s="220">
        <f t="shared" si="10"/>
        <v>1.3884647319290728</v>
      </c>
      <c r="R98" s="90">
        <f t="shared" si="8"/>
        <v>0.32066160090740714</v>
      </c>
      <c r="S98" s="90">
        <f t="shared" si="9"/>
        <v>36.100083030155893</v>
      </c>
      <c r="T98" s="39"/>
      <c r="U98" s="39"/>
      <c r="V98" s="39"/>
      <c r="W98" s="39"/>
      <c r="X98" s="39"/>
      <c r="Y98" s="39"/>
      <c r="Z98" s="40"/>
      <c r="AA98" s="50">
        <v>0</v>
      </c>
    </row>
    <row r="99" spans="1:27" x14ac:dyDescent="0.35">
      <c r="A99" s="205" t="s">
        <v>347</v>
      </c>
      <c r="B99" s="205" t="s">
        <v>251</v>
      </c>
      <c r="C99" s="202"/>
      <c r="D99" s="202"/>
      <c r="E99" s="207">
        <v>2.1700000000000004</v>
      </c>
      <c r="F99" s="207">
        <v>16.600000000000001</v>
      </c>
      <c r="G99" s="207">
        <v>18.770000000000003</v>
      </c>
      <c r="H99" s="208"/>
      <c r="I99" s="208"/>
      <c r="J99" s="202"/>
      <c r="K99" s="202"/>
      <c r="L99" s="202"/>
      <c r="M99" s="202"/>
      <c r="N99" s="202"/>
      <c r="O99" s="60"/>
      <c r="P99" s="60"/>
      <c r="Q99" s="60"/>
      <c r="R99" s="60"/>
      <c r="S99" s="60"/>
      <c r="T99" s="38"/>
      <c r="U99" s="38"/>
      <c r="V99" s="38"/>
      <c r="W99" s="38"/>
      <c r="X99" s="38"/>
      <c r="Y99" s="38"/>
      <c r="Z99" s="46"/>
      <c r="AA99" s="50">
        <v>0</v>
      </c>
    </row>
    <row r="100" spans="1:27" x14ac:dyDescent="0.35">
      <c r="A100" s="205" t="s">
        <v>348</v>
      </c>
      <c r="B100" s="205" t="s">
        <v>349</v>
      </c>
      <c r="C100" s="202"/>
      <c r="D100" s="202"/>
      <c r="E100" s="207">
        <v>1204.73</v>
      </c>
      <c r="F100" s="207">
        <v>3636.9</v>
      </c>
      <c r="G100" s="207">
        <v>4841.63</v>
      </c>
      <c r="H100" s="208"/>
      <c r="I100" s="208"/>
      <c r="J100" s="202"/>
      <c r="K100" s="202"/>
      <c r="L100" s="202"/>
      <c r="M100" s="202"/>
      <c r="N100" s="202"/>
      <c r="O100" s="60"/>
      <c r="P100" s="60"/>
      <c r="Q100" s="60"/>
      <c r="R100" s="60"/>
      <c r="S100" s="60"/>
      <c r="T100" s="46"/>
      <c r="U100" s="46"/>
      <c r="V100" s="46"/>
      <c r="W100" s="46"/>
      <c r="X100" s="46"/>
      <c r="Y100" s="38"/>
      <c r="Z100" s="46"/>
      <c r="AA100" s="50">
        <v>0</v>
      </c>
    </row>
    <row r="101" spans="1:27" x14ac:dyDescent="0.35">
      <c r="A101" s="205" t="s">
        <v>350</v>
      </c>
      <c r="B101" s="205" t="s">
        <v>351</v>
      </c>
      <c r="C101" s="202"/>
      <c r="D101" s="202"/>
      <c r="E101" s="207">
        <v>12.32</v>
      </c>
      <c r="F101" s="207">
        <v>117.6</v>
      </c>
      <c r="G101" s="207">
        <v>129.91999999999999</v>
      </c>
      <c r="H101" s="208"/>
      <c r="I101" s="208"/>
      <c r="J101" s="202"/>
      <c r="K101" s="202"/>
      <c r="L101" s="202"/>
      <c r="M101" s="202"/>
      <c r="N101" s="202"/>
      <c r="O101" s="60"/>
      <c r="P101" s="60"/>
      <c r="Q101" s="60"/>
      <c r="R101" s="60"/>
      <c r="S101" s="60"/>
      <c r="T101" s="38"/>
      <c r="U101" s="38"/>
      <c r="V101" s="38"/>
      <c r="W101" s="38"/>
      <c r="X101" s="38"/>
      <c r="Y101" s="38"/>
      <c r="Z101" s="46"/>
      <c r="AA101" s="50">
        <v>0</v>
      </c>
    </row>
    <row r="102" spans="1:27" x14ac:dyDescent="0.35">
      <c r="A102" s="205" t="s">
        <v>352</v>
      </c>
      <c r="B102" s="205" t="s">
        <v>353</v>
      </c>
      <c r="C102" s="202"/>
      <c r="D102" s="202"/>
      <c r="E102" s="207">
        <v>76.23</v>
      </c>
      <c r="F102" s="207">
        <v>258.06000000000006</v>
      </c>
      <c r="G102" s="207">
        <v>334.29000000000008</v>
      </c>
      <c r="H102" s="208"/>
      <c r="I102" s="208"/>
      <c r="J102" s="202"/>
      <c r="K102" s="202"/>
      <c r="L102" s="202"/>
      <c r="M102" s="202"/>
      <c r="N102" s="202"/>
      <c r="O102" s="60"/>
      <c r="P102" s="60"/>
      <c r="Q102" s="60"/>
      <c r="R102" s="60"/>
      <c r="S102" s="60"/>
      <c r="T102" s="38"/>
      <c r="U102" s="38"/>
      <c r="V102" s="38"/>
      <c r="W102" s="38"/>
      <c r="X102" s="38"/>
      <c r="Y102" s="38"/>
      <c r="Z102" s="46"/>
      <c r="AA102" s="50">
        <v>0</v>
      </c>
    </row>
    <row r="103" spans="1:27" x14ac:dyDescent="0.35">
      <c r="A103" s="205" t="s">
        <v>354</v>
      </c>
      <c r="B103" s="205" t="s">
        <v>355</v>
      </c>
      <c r="C103" s="202"/>
      <c r="D103" s="202"/>
      <c r="E103" s="207">
        <v>16.799999999999997</v>
      </c>
      <c r="F103" s="207">
        <v>16.799999999999997</v>
      </c>
      <c r="G103" s="207">
        <v>33.599999999999994</v>
      </c>
      <c r="H103" s="208"/>
      <c r="I103" s="208"/>
      <c r="J103" s="202"/>
      <c r="K103" s="202"/>
      <c r="L103" s="202"/>
      <c r="M103" s="202"/>
      <c r="N103" s="202"/>
      <c r="O103" s="60"/>
      <c r="P103" s="60"/>
      <c r="Q103" s="60"/>
      <c r="R103" s="60"/>
      <c r="S103" s="60"/>
      <c r="T103" s="39"/>
      <c r="U103" s="39"/>
      <c r="V103" s="39"/>
      <c r="W103" s="39"/>
      <c r="X103" s="39"/>
      <c r="Y103" s="39"/>
      <c r="Z103" s="40"/>
      <c r="AA103" s="50">
        <v>0</v>
      </c>
    </row>
    <row r="104" spans="1:27" x14ac:dyDescent="0.35">
      <c r="A104" s="205" t="s">
        <v>356</v>
      </c>
      <c r="B104" s="205" t="s">
        <v>357</v>
      </c>
      <c r="C104" s="202"/>
      <c r="D104" s="202"/>
      <c r="E104" s="207">
        <v>0</v>
      </c>
      <c r="F104" s="207">
        <v>19.04</v>
      </c>
      <c r="G104" s="207">
        <v>19.04</v>
      </c>
      <c r="H104" s="208"/>
      <c r="I104" s="208"/>
      <c r="J104" s="202"/>
      <c r="K104" s="202"/>
      <c r="L104" s="202"/>
      <c r="M104" s="202"/>
      <c r="N104" s="202"/>
      <c r="O104" s="60"/>
      <c r="P104" s="60"/>
      <c r="Q104" s="60"/>
      <c r="R104" s="60"/>
      <c r="S104" s="60"/>
      <c r="T104" s="39"/>
      <c r="U104" s="39"/>
      <c r="V104" s="39"/>
      <c r="W104" s="39"/>
      <c r="X104" s="39"/>
      <c r="Y104" s="39"/>
      <c r="Z104" s="40"/>
      <c r="AA104" s="50">
        <v>0</v>
      </c>
    </row>
    <row r="105" spans="1:27" x14ac:dyDescent="0.35">
      <c r="A105" s="205" t="s">
        <v>358</v>
      </c>
      <c r="B105" s="205" t="s">
        <v>359</v>
      </c>
      <c r="C105" s="202"/>
      <c r="D105" s="202"/>
      <c r="E105" s="207">
        <v>260.92</v>
      </c>
      <c r="F105" s="207">
        <v>2625.7</v>
      </c>
      <c r="G105" s="207">
        <v>2886.62</v>
      </c>
      <c r="H105" s="208"/>
      <c r="I105" s="208"/>
      <c r="J105" s="202"/>
      <c r="K105" s="202"/>
      <c r="L105" s="202"/>
      <c r="M105" s="202"/>
      <c r="N105" s="202"/>
      <c r="O105" s="60"/>
      <c r="P105" s="60"/>
      <c r="Q105" s="60"/>
      <c r="R105" s="60"/>
      <c r="S105" s="60"/>
      <c r="T105" s="39"/>
      <c r="U105" s="39"/>
      <c r="V105" s="39"/>
      <c r="W105" s="39"/>
      <c r="X105" s="39"/>
      <c r="Y105" s="39"/>
      <c r="Z105" s="40"/>
      <c r="AA105" s="50">
        <v>0</v>
      </c>
    </row>
    <row r="106" spans="1:27" x14ac:dyDescent="0.35">
      <c r="A106" s="205" t="s">
        <v>360</v>
      </c>
      <c r="B106" s="205" t="s">
        <v>361</v>
      </c>
      <c r="C106" s="202"/>
      <c r="D106" s="202"/>
      <c r="E106" s="207">
        <v>7.7</v>
      </c>
      <c r="F106" s="207">
        <v>161.69999999999999</v>
      </c>
      <c r="G106" s="207">
        <v>169.39999999999998</v>
      </c>
      <c r="H106" s="208"/>
      <c r="I106" s="208"/>
      <c r="J106" s="202"/>
      <c r="K106" s="202"/>
      <c r="L106" s="202"/>
      <c r="M106" s="202"/>
      <c r="N106" s="202"/>
      <c r="O106" s="60"/>
      <c r="P106" s="60"/>
      <c r="Q106" s="60"/>
      <c r="R106" s="60"/>
      <c r="S106" s="60"/>
      <c r="T106" s="39"/>
      <c r="U106" s="39"/>
      <c r="V106" s="39"/>
      <c r="W106" s="39"/>
      <c r="X106" s="39"/>
      <c r="Y106" s="39"/>
      <c r="Z106" s="40"/>
      <c r="AA106" s="50">
        <v>0</v>
      </c>
    </row>
    <row r="107" spans="1:27" x14ac:dyDescent="0.35">
      <c r="A107" s="205" t="s">
        <v>362</v>
      </c>
      <c r="B107" s="205" t="s">
        <v>363</v>
      </c>
      <c r="C107" s="202"/>
      <c r="D107" s="202"/>
      <c r="E107" s="207">
        <v>0</v>
      </c>
      <c r="F107" s="207">
        <v>15.4</v>
      </c>
      <c r="G107" s="207">
        <v>15.4</v>
      </c>
      <c r="H107" s="208"/>
      <c r="I107" s="208"/>
      <c r="J107" s="202"/>
      <c r="K107" s="202"/>
      <c r="L107" s="202"/>
      <c r="M107" s="202"/>
      <c r="N107" s="202"/>
      <c r="O107" s="60"/>
      <c r="P107" s="60"/>
      <c r="Q107" s="60"/>
      <c r="R107" s="60"/>
      <c r="S107" s="60"/>
      <c r="T107" s="39"/>
      <c r="U107" s="39"/>
      <c r="V107" s="39"/>
      <c r="W107" s="39"/>
      <c r="X107" s="39"/>
      <c r="Y107" s="39"/>
      <c r="Z107" s="40"/>
      <c r="AA107" s="50">
        <v>0</v>
      </c>
    </row>
    <row r="108" spans="1:27" x14ac:dyDescent="0.35">
      <c r="A108" s="205" t="s">
        <v>364</v>
      </c>
      <c r="B108" s="205" t="s">
        <v>365</v>
      </c>
      <c r="C108" s="202"/>
      <c r="D108" s="202"/>
      <c r="E108" s="207">
        <v>46.2</v>
      </c>
      <c r="F108" s="207">
        <v>77</v>
      </c>
      <c r="G108" s="207">
        <v>123.2</v>
      </c>
      <c r="H108" s="208"/>
      <c r="I108" s="208"/>
      <c r="J108" s="202"/>
      <c r="K108" s="202"/>
      <c r="L108" s="202"/>
      <c r="M108" s="202"/>
      <c r="N108" s="202"/>
      <c r="O108" s="60"/>
      <c r="P108" s="60"/>
      <c r="Q108" s="60"/>
      <c r="R108" s="60"/>
      <c r="S108" s="60"/>
      <c r="T108" s="39"/>
      <c r="U108" s="39"/>
      <c r="V108" s="39"/>
      <c r="W108" s="39"/>
      <c r="X108" s="39"/>
      <c r="Y108" s="39"/>
      <c r="Z108" s="40"/>
      <c r="AA108" s="50">
        <v>0</v>
      </c>
    </row>
    <row r="109" spans="1:27" x14ac:dyDescent="0.35">
      <c r="A109" s="205" t="s">
        <v>366</v>
      </c>
      <c r="B109" s="205" t="s">
        <v>367</v>
      </c>
      <c r="C109" s="202"/>
      <c r="D109" s="202"/>
      <c r="E109" s="207">
        <v>0</v>
      </c>
      <c r="F109" s="207">
        <v>125.46000000000001</v>
      </c>
      <c r="G109" s="207">
        <v>125.46000000000001</v>
      </c>
      <c r="H109" s="208"/>
      <c r="I109" s="208"/>
      <c r="J109" s="202"/>
      <c r="K109" s="202"/>
      <c r="L109" s="202"/>
      <c r="M109" s="202"/>
      <c r="N109" s="202"/>
      <c r="O109" s="60"/>
      <c r="P109" s="60"/>
      <c r="Q109" s="60"/>
      <c r="R109" s="60"/>
      <c r="S109" s="60"/>
      <c r="T109" s="46"/>
      <c r="U109" s="46"/>
      <c r="V109" s="46"/>
      <c r="W109" s="46"/>
      <c r="X109" s="46"/>
      <c r="Y109" s="39"/>
      <c r="Z109" s="46"/>
      <c r="AA109" s="50">
        <v>0</v>
      </c>
    </row>
    <row r="110" spans="1:27" x14ac:dyDescent="0.35">
      <c r="A110" s="205" t="s">
        <v>368</v>
      </c>
      <c r="B110" s="205" t="s">
        <v>369</v>
      </c>
      <c r="C110" s="202"/>
      <c r="D110" s="202"/>
      <c r="E110" s="207">
        <v>742.1</v>
      </c>
      <c r="F110" s="207">
        <v>653.54</v>
      </c>
      <c r="G110" s="207">
        <v>1395.6399999999999</v>
      </c>
      <c r="H110" s="208"/>
      <c r="I110" s="208"/>
      <c r="J110" s="202"/>
      <c r="K110" s="202"/>
      <c r="L110" s="202"/>
      <c r="M110" s="202"/>
      <c r="N110" s="202"/>
      <c r="O110" s="60"/>
      <c r="P110" s="60"/>
      <c r="Q110" s="60"/>
      <c r="R110" s="60"/>
      <c r="S110" s="60"/>
      <c r="T110" s="46"/>
      <c r="U110" s="46"/>
      <c r="V110" s="46"/>
      <c r="W110" s="46"/>
      <c r="X110" s="46"/>
      <c r="Y110" s="39"/>
      <c r="Z110" s="46"/>
      <c r="AA110" s="50">
        <v>0</v>
      </c>
    </row>
    <row r="111" spans="1:27" x14ac:dyDescent="0.35">
      <c r="A111" s="205" t="s">
        <v>370</v>
      </c>
      <c r="B111" s="205" t="s">
        <v>371</v>
      </c>
      <c r="C111" s="202"/>
      <c r="D111" s="202"/>
      <c r="E111" s="207">
        <v>18.059999999999999</v>
      </c>
      <c r="F111" s="207">
        <v>216.72</v>
      </c>
      <c r="G111" s="207">
        <v>234.78</v>
      </c>
      <c r="H111" s="208"/>
      <c r="I111" s="208"/>
      <c r="J111" s="202"/>
      <c r="K111" s="202"/>
      <c r="L111" s="202"/>
      <c r="M111" s="202"/>
      <c r="N111" s="202"/>
      <c r="O111" s="60"/>
      <c r="P111" s="60"/>
      <c r="Q111" s="60"/>
      <c r="R111" s="60"/>
      <c r="S111" s="60"/>
      <c r="T111" s="46"/>
      <c r="U111" s="46"/>
      <c r="V111" s="46"/>
      <c r="W111" s="46"/>
      <c r="X111" s="46"/>
      <c r="Y111" s="39"/>
      <c r="Z111" s="46"/>
      <c r="AA111" s="50">
        <v>0</v>
      </c>
    </row>
    <row r="112" spans="1:27" x14ac:dyDescent="0.35">
      <c r="A112" s="205" t="s">
        <v>372</v>
      </c>
      <c r="B112" s="205" t="s">
        <v>373</v>
      </c>
      <c r="C112" s="202"/>
      <c r="D112" s="202"/>
      <c r="E112" s="207">
        <v>0</v>
      </c>
      <c r="F112" s="207">
        <v>81</v>
      </c>
      <c r="G112" s="207">
        <v>81</v>
      </c>
      <c r="H112" s="208"/>
      <c r="I112" s="208"/>
      <c r="J112" s="202"/>
      <c r="K112" s="202"/>
      <c r="L112" s="202"/>
      <c r="M112" s="202"/>
      <c r="N112" s="202"/>
      <c r="O112" s="60"/>
      <c r="P112" s="60"/>
      <c r="Q112" s="60"/>
      <c r="R112" s="60"/>
      <c r="S112" s="60"/>
      <c r="T112" s="46"/>
      <c r="U112" s="46"/>
      <c r="V112" s="46"/>
      <c r="W112" s="46"/>
      <c r="X112" s="46"/>
      <c r="Y112" s="39"/>
      <c r="Z112" s="46"/>
      <c r="AA112" s="50">
        <v>0</v>
      </c>
    </row>
    <row r="113" spans="1:27" x14ac:dyDescent="0.35">
      <c r="A113" s="205" t="s">
        <v>374</v>
      </c>
      <c r="B113" s="205" t="s">
        <v>375</v>
      </c>
      <c r="C113" s="202"/>
      <c r="D113" s="202"/>
      <c r="E113" s="207">
        <v>0</v>
      </c>
      <c r="F113" s="207">
        <v>26.400000000000002</v>
      </c>
      <c r="G113" s="207">
        <v>26.400000000000002</v>
      </c>
      <c r="H113" s="208"/>
      <c r="I113" s="208"/>
      <c r="J113" s="202"/>
      <c r="K113" s="202"/>
      <c r="L113" s="202"/>
      <c r="M113" s="202"/>
      <c r="N113" s="202"/>
      <c r="O113" s="60"/>
      <c r="P113" s="60"/>
      <c r="Q113" s="60"/>
      <c r="R113" s="60"/>
      <c r="S113" s="60"/>
      <c r="T113" s="46"/>
      <c r="U113" s="46"/>
      <c r="V113" s="46"/>
      <c r="W113" s="46"/>
      <c r="X113" s="46"/>
      <c r="Y113" s="39"/>
      <c r="Z113" s="46"/>
      <c r="AA113" s="50">
        <v>0</v>
      </c>
    </row>
    <row r="114" spans="1:27" x14ac:dyDescent="0.35">
      <c r="A114" s="205" t="s">
        <v>376</v>
      </c>
      <c r="B114" s="205" t="s">
        <v>377</v>
      </c>
      <c r="C114" s="202"/>
      <c r="D114" s="202"/>
      <c r="E114" s="207">
        <v>4.9499999999999993</v>
      </c>
      <c r="F114" s="207">
        <v>28.050000000000004</v>
      </c>
      <c r="G114" s="207">
        <v>33</v>
      </c>
      <c r="H114" s="208"/>
      <c r="I114" s="208"/>
      <c r="J114" s="202"/>
      <c r="K114" s="202"/>
      <c r="L114" s="202"/>
      <c r="M114" s="202"/>
      <c r="N114" s="202"/>
      <c r="O114" s="60"/>
      <c r="P114" s="60"/>
      <c r="Q114" s="60"/>
      <c r="R114" s="60"/>
      <c r="S114" s="60"/>
      <c r="T114" s="39"/>
      <c r="U114" s="39"/>
      <c r="V114" s="39"/>
      <c r="W114" s="39"/>
      <c r="X114" s="39"/>
      <c r="Y114" s="39"/>
      <c r="Z114" s="40"/>
      <c r="AA114" s="50">
        <v>0</v>
      </c>
    </row>
    <row r="115" spans="1:27" x14ac:dyDescent="0.35">
      <c r="A115" s="205" t="s">
        <v>378</v>
      </c>
      <c r="B115" s="205" t="s">
        <v>379</v>
      </c>
      <c r="C115" s="202"/>
      <c r="D115" s="202"/>
      <c r="E115" s="207">
        <v>47.339999999999996</v>
      </c>
      <c r="F115" s="207">
        <v>142.01999999999998</v>
      </c>
      <c r="G115" s="207">
        <v>189.35999999999999</v>
      </c>
      <c r="H115" s="208"/>
      <c r="I115" s="208"/>
      <c r="J115" s="202"/>
      <c r="K115" s="202"/>
      <c r="L115" s="202"/>
      <c r="M115" s="202"/>
      <c r="N115" s="202"/>
      <c r="O115" s="60"/>
      <c r="P115" s="60"/>
      <c r="Q115" s="60"/>
      <c r="R115" s="60"/>
      <c r="S115" s="60"/>
      <c r="T115" s="39"/>
      <c r="U115" s="39"/>
      <c r="V115" s="39"/>
      <c r="W115" s="39"/>
      <c r="X115" s="39"/>
      <c r="Y115" s="39"/>
      <c r="Z115" s="40"/>
      <c r="AA115" s="50">
        <v>0</v>
      </c>
    </row>
    <row r="116" spans="1:27" x14ac:dyDescent="0.35">
      <c r="A116" s="205" t="s">
        <v>380</v>
      </c>
      <c r="B116" s="205" t="s">
        <v>381</v>
      </c>
      <c r="C116" s="202"/>
      <c r="D116" s="202"/>
      <c r="E116" s="207">
        <v>28.74</v>
      </c>
      <c r="F116" s="207">
        <v>14.369999999999997</v>
      </c>
      <c r="G116" s="207">
        <v>43.11</v>
      </c>
      <c r="H116" s="208"/>
      <c r="I116" s="208"/>
      <c r="J116" s="202"/>
      <c r="K116" s="202"/>
      <c r="L116" s="202"/>
      <c r="M116" s="202"/>
      <c r="N116" s="202"/>
      <c r="O116" s="60"/>
      <c r="P116" s="60"/>
      <c r="Q116" s="60"/>
      <c r="R116" s="60"/>
      <c r="S116" s="60"/>
      <c r="T116" s="35"/>
      <c r="U116" s="35"/>
      <c r="V116" s="35"/>
      <c r="W116" s="35"/>
      <c r="X116" s="35"/>
      <c r="Y116" s="35"/>
      <c r="Z116" s="35"/>
      <c r="AA116" s="50">
        <v>0</v>
      </c>
    </row>
    <row r="117" spans="1:27" x14ac:dyDescent="0.35">
      <c r="A117" s="205" t="s">
        <v>382</v>
      </c>
      <c r="B117" s="205" t="s">
        <v>383</v>
      </c>
      <c r="C117" s="202"/>
      <c r="D117" s="202"/>
      <c r="E117" s="207">
        <v>11</v>
      </c>
      <c r="F117" s="207">
        <v>67.25</v>
      </c>
      <c r="G117" s="207">
        <v>78.25</v>
      </c>
      <c r="H117" s="208"/>
      <c r="I117" s="208"/>
      <c r="J117" s="202"/>
      <c r="K117" s="202"/>
      <c r="L117" s="202"/>
      <c r="M117" s="202"/>
      <c r="N117" s="202"/>
      <c r="O117" s="60"/>
      <c r="P117" s="60"/>
      <c r="Q117" s="60"/>
      <c r="R117" s="60"/>
      <c r="S117" s="60"/>
      <c r="T117" s="35"/>
      <c r="U117" s="35"/>
      <c r="V117" s="35"/>
      <c r="W117" s="35"/>
      <c r="X117" s="35"/>
      <c r="Y117" s="35"/>
      <c r="Z117" s="35"/>
      <c r="AA117" s="50">
        <v>0</v>
      </c>
    </row>
    <row r="118" spans="1:27" x14ac:dyDescent="0.35">
      <c r="A118" s="205" t="s">
        <v>384</v>
      </c>
      <c r="B118" s="205" t="s">
        <v>385</v>
      </c>
      <c r="C118" s="202"/>
      <c r="D118" s="202"/>
      <c r="E118" s="207">
        <v>72.75</v>
      </c>
      <c r="F118" s="207">
        <v>257.05</v>
      </c>
      <c r="G118" s="207">
        <v>329.8</v>
      </c>
      <c r="H118" s="208"/>
      <c r="I118" s="208"/>
      <c r="J118" s="202"/>
      <c r="K118" s="202"/>
      <c r="L118" s="202"/>
      <c r="M118" s="202"/>
      <c r="N118" s="202"/>
      <c r="O118" s="60"/>
      <c r="P118" s="60"/>
      <c r="Q118" s="60"/>
      <c r="R118" s="60"/>
      <c r="S118" s="60"/>
      <c r="T118" s="59"/>
      <c r="U118" s="59"/>
      <c r="V118" s="59"/>
      <c r="W118" s="59"/>
      <c r="X118" s="59"/>
    </row>
    <row r="119" spans="1:27" x14ac:dyDescent="0.35">
      <c r="A119" s="205" t="s">
        <v>386</v>
      </c>
      <c r="B119" s="205" t="s">
        <v>387</v>
      </c>
      <c r="C119" s="202"/>
      <c r="D119" s="202"/>
      <c r="E119" s="207">
        <v>0</v>
      </c>
      <c r="F119" s="207">
        <v>10.94</v>
      </c>
      <c r="G119" s="207">
        <v>10.94</v>
      </c>
      <c r="H119" s="208"/>
      <c r="I119" s="208"/>
      <c r="J119" s="202"/>
      <c r="K119" s="202"/>
      <c r="L119" s="202"/>
      <c r="M119" s="202"/>
      <c r="N119" s="202"/>
      <c r="O119" s="60"/>
      <c r="P119" s="60"/>
      <c r="Q119" s="60"/>
      <c r="R119" s="60"/>
      <c r="S119" s="60"/>
      <c r="T119" s="59"/>
      <c r="U119" s="59"/>
      <c r="V119" s="59"/>
      <c r="W119" s="59"/>
      <c r="X119" s="59"/>
    </row>
    <row r="120" spans="1:27" x14ac:dyDescent="0.35">
      <c r="A120" s="205" t="s">
        <v>388</v>
      </c>
      <c r="B120" s="205" t="s">
        <v>389</v>
      </c>
      <c r="C120" s="202"/>
      <c r="D120" s="202"/>
      <c r="E120" s="207">
        <v>32.74</v>
      </c>
      <c r="F120" s="207">
        <v>129.33000000000001</v>
      </c>
      <c r="G120" s="207">
        <v>162.07000000000002</v>
      </c>
      <c r="H120" s="208"/>
      <c r="I120" s="208"/>
      <c r="J120" s="202"/>
      <c r="K120" s="202"/>
      <c r="L120" s="202"/>
      <c r="M120" s="202"/>
      <c r="N120" s="202"/>
      <c r="O120" s="60"/>
      <c r="P120" s="60"/>
      <c r="Q120" s="60"/>
      <c r="R120" s="60"/>
      <c r="S120" s="60"/>
      <c r="T120" s="59"/>
      <c r="U120" s="59"/>
      <c r="V120" s="59"/>
      <c r="W120" s="59"/>
      <c r="X120" s="59"/>
    </row>
    <row r="121" spans="1:27" x14ac:dyDescent="0.35">
      <c r="A121" s="205" t="s">
        <v>390</v>
      </c>
      <c r="B121" s="205" t="s">
        <v>391</v>
      </c>
      <c r="C121" s="202"/>
      <c r="D121" s="202"/>
      <c r="E121" s="207">
        <v>0</v>
      </c>
      <c r="F121" s="207">
        <v>122.76</v>
      </c>
      <c r="G121" s="207">
        <v>122.76</v>
      </c>
      <c r="H121" s="208"/>
      <c r="I121" s="208"/>
      <c r="J121" s="202"/>
      <c r="K121" s="202"/>
      <c r="L121" s="202"/>
      <c r="M121" s="202"/>
      <c r="N121" s="202"/>
      <c r="O121" s="60"/>
      <c r="P121" s="60"/>
      <c r="Q121" s="60"/>
      <c r="R121" s="60"/>
      <c r="S121" s="60"/>
      <c r="T121" s="59"/>
      <c r="U121" s="59"/>
      <c r="V121" s="59"/>
      <c r="W121" s="59"/>
      <c r="X121" s="59"/>
    </row>
    <row r="122" spans="1:27" x14ac:dyDescent="0.35">
      <c r="A122" s="205" t="s">
        <v>392</v>
      </c>
      <c r="B122" s="205" t="s">
        <v>393</v>
      </c>
      <c r="C122" s="202"/>
      <c r="D122" s="202"/>
      <c r="E122" s="207">
        <v>184.56</v>
      </c>
      <c r="F122" s="207">
        <v>123.04</v>
      </c>
      <c r="G122" s="207">
        <v>307.60000000000002</v>
      </c>
      <c r="H122" s="208"/>
      <c r="I122" s="208"/>
      <c r="J122" s="202"/>
      <c r="K122" s="202"/>
      <c r="L122" s="202"/>
      <c r="M122" s="202"/>
      <c r="N122" s="202"/>
      <c r="O122" s="60"/>
      <c r="P122" s="60"/>
      <c r="Q122" s="60"/>
      <c r="R122" s="60"/>
      <c r="S122" s="60"/>
      <c r="T122" s="59"/>
      <c r="U122" s="59"/>
      <c r="V122" s="59"/>
      <c r="W122" s="59"/>
      <c r="X122" s="59"/>
    </row>
    <row r="123" spans="1:27" x14ac:dyDescent="0.35">
      <c r="A123" s="205" t="s">
        <v>394</v>
      </c>
      <c r="B123" s="205" t="s">
        <v>395</v>
      </c>
      <c r="C123" s="202"/>
      <c r="D123" s="202"/>
      <c r="E123" s="207">
        <v>6.15</v>
      </c>
      <c r="F123" s="207">
        <v>36.900000000000006</v>
      </c>
      <c r="G123" s="207">
        <v>43.050000000000004</v>
      </c>
      <c r="H123" s="208"/>
      <c r="I123" s="208"/>
      <c r="J123" s="202"/>
      <c r="K123" s="202"/>
      <c r="L123" s="202"/>
      <c r="M123" s="202"/>
      <c r="N123" s="202"/>
      <c r="O123" s="60"/>
      <c r="P123" s="60"/>
      <c r="Q123" s="60"/>
      <c r="R123" s="60"/>
      <c r="S123" s="60"/>
      <c r="T123" s="59"/>
      <c r="U123" s="59"/>
      <c r="V123" s="59"/>
      <c r="W123" s="59"/>
      <c r="X123" s="59"/>
    </row>
    <row r="124" spans="1:27" x14ac:dyDescent="0.35">
      <c r="A124" s="205" t="s">
        <v>396</v>
      </c>
      <c r="B124" s="205" t="s">
        <v>397</v>
      </c>
      <c r="C124" s="202"/>
      <c r="D124" s="202"/>
      <c r="E124" s="207">
        <v>0</v>
      </c>
      <c r="F124" s="207">
        <v>366</v>
      </c>
      <c r="G124" s="207">
        <v>366</v>
      </c>
      <c r="H124" s="208"/>
      <c r="I124" s="208"/>
      <c r="J124" s="202"/>
      <c r="K124" s="202"/>
      <c r="L124" s="202"/>
      <c r="M124" s="202"/>
      <c r="N124" s="202"/>
      <c r="O124" s="60"/>
      <c r="P124" s="60"/>
      <c r="Q124" s="60"/>
      <c r="R124" s="60"/>
      <c r="S124" s="60"/>
      <c r="T124" s="59"/>
      <c r="U124" s="59"/>
      <c r="V124" s="59"/>
      <c r="W124" s="59"/>
      <c r="X124" s="59"/>
    </row>
    <row r="125" spans="1:27" x14ac:dyDescent="0.35">
      <c r="A125" s="205" t="s">
        <v>398</v>
      </c>
      <c r="B125" s="205" t="s">
        <v>399</v>
      </c>
      <c r="C125" s="202"/>
      <c r="D125" s="202"/>
      <c r="E125" s="207">
        <v>1602.87</v>
      </c>
      <c r="F125" s="207">
        <v>5377.8499999999995</v>
      </c>
      <c r="G125" s="207">
        <v>6980.7199999999993</v>
      </c>
      <c r="H125" s="208"/>
      <c r="I125" s="208"/>
      <c r="J125" s="202"/>
      <c r="K125" s="202"/>
      <c r="L125" s="202"/>
      <c r="M125" s="202"/>
      <c r="N125" s="202"/>
      <c r="O125" s="60"/>
      <c r="P125" s="60"/>
      <c r="Q125" s="60"/>
      <c r="R125" s="60"/>
      <c r="S125" s="60"/>
      <c r="T125" s="59"/>
      <c r="U125" s="59"/>
      <c r="V125" s="59"/>
      <c r="W125" s="59"/>
      <c r="X125" s="59"/>
    </row>
    <row r="126" spans="1:27" ht="15" thickBot="1" x14ac:dyDescent="0.4">
      <c r="A126" s="202"/>
      <c r="B126" s="202"/>
      <c r="C126" s="202"/>
      <c r="D126" s="202"/>
      <c r="E126" s="216"/>
      <c r="F126" s="216"/>
      <c r="G126" s="212">
        <v>981054.7899999998</v>
      </c>
      <c r="H126" s="202"/>
      <c r="I126" s="202"/>
      <c r="J126" s="202"/>
      <c r="K126" s="202"/>
      <c r="L126" s="202"/>
      <c r="M126" s="212">
        <v>8377750.6991532706</v>
      </c>
      <c r="N126" s="212">
        <v>6587099.4044787949</v>
      </c>
      <c r="O126" s="63"/>
      <c r="P126" s="64">
        <f>SUM(P46:P125)</f>
        <v>28578.967565889758</v>
      </c>
      <c r="Q126" s="63"/>
      <c r="R126" s="63"/>
      <c r="S126" s="64">
        <f>SUM(S46:S125)</f>
        <v>28578.967565889758</v>
      </c>
      <c r="T126" s="59"/>
      <c r="U126" s="59"/>
      <c r="V126" s="59"/>
      <c r="W126" s="59"/>
      <c r="X126" s="59"/>
    </row>
    <row r="127" spans="1:27" x14ac:dyDescent="0.35">
      <c r="A127" s="202"/>
      <c r="B127" s="202"/>
      <c r="C127" s="202"/>
      <c r="D127" s="202"/>
      <c r="E127" s="207"/>
      <c r="F127" s="207"/>
      <c r="G127" s="202"/>
      <c r="H127" s="202"/>
      <c r="I127" s="202"/>
      <c r="J127" s="202"/>
      <c r="K127" s="202"/>
      <c r="L127" s="202"/>
      <c r="M127" s="202"/>
      <c r="N127" s="202"/>
      <c r="O127" s="60"/>
      <c r="P127" s="60"/>
      <c r="Q127" s="60"/>
      <c r="R127" s="60"/>
      <c r="S127" s="60"/>
      <c r="T127" s="59"/>
      <c r="U127" s="59"/>
      <c r="V127" s="59"/>
      <c r="W127" s="59"/>
      <c r="X127" s="59"/>
    </row>
    <row r="128" spans="1:27" ht="15" thickBot="1" x14ac:dyDescent="0.4">
      <c r="A128" s="201"/>
      <c r="B128" s="201"/>
      <c r="C128" s="201"/>
      <c r="D128" s="201"/>
      <c r="E128" s="217"/>
      <c r="F128" s="201"/>
      <c r="G128" s="212">
        <v>3083891.5599999996</v>
      </c>
      <c r="H128" s="201"/>
      <c r="I128" s="201"/>
      <c r="J128" s="201"/>
      <c r="K128" s="201"/>
      <c r="L128" s="201"/>
      <c r="M128" s="212">
        <v>22571459.028206278</v>
      </c>
      <c r="N128" s="212">
        <v>17747060.000000004</v>
      </c>
      <c r="O128" s="63"/>
      <c r="P128" s="64">
        <f>P126+P43</f>
        <v>76997.87432766569</v>
      </c>
      <c r="Q128" s="63"/>
      <c r="R128" s="63"/>
      <c r="S128" s="64">
        <f>S126+S43</f>
        <v>76997.874327665675</v>
      </c>
      <c r="T128" s="59"/>
      <c r="U128" s="59"/>
      <c r="V128" s="59"/>
      <c r="W128" s="59"/>
      <c r="X128" s="59"/>
    </row>
    <row r="129" spans="1:24" x14ac:dyDescent="0.35">
      <c r="A129" s="202"/>
      <c r="B129" s="202"/>
      <c r="C129" s="202"/>
      <c r="D129" s="202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60"/>
      <c r="P129" s="62">
        <v>0</v>
      </c>
      <c r="Q129" s="62"/>
      <c r="R129" s="62"/>
      <c r="S129" s="59"/>
      <c r="T129" s="59"/>
      <c r="U129" s="59"/>
      <c r="V129" s="59"/>
      <c r="W129" s="59"/>
      <c r="X129" s="59"/>
    </row>
    <row r="130" spans="1:24" x14ac:dyDescent="0.35">
      <c r="A130" s="202"/>
      <c r="B130" s="202"/>
      <c r="C130" s="202"/>
      <c r="D130" s="202"/>
      <c r="E130" s="202"/>
      <c r="F130" s="202"/>
      <c r="G130" s="202"/>
      <c r="H130" s="202"/>
      <c r="I130" s="202"/>
      <c r="J130" s="202"/>
      <c r="K130" s="218"/>
      <c r="L130" s="218" t="s">
        <v>400</v>
      </c>
      <c r="M130" s="207">
        <v>17747060</v>
      </c>
      <c r="N130" s="202"/>
      <c r="O130" s="60"/>
      <c r="P130" s="60"/>
      <c r="Q130" s="60"/>
      <c r="R130" s="60"/>
      <c r="S130" s="59"/>
      <c r="T130" s="59"/>
      <c r="U130" s="59"/>
      <c r="V130" s="59"/>
      <c r="W130" s="59"/>
      <c r="X130" s="59"/>
    </row>
    <row r="131" spans="1:24" x14ac:dyDescent="0.35">
      <c r="A131" s="202"/>
      <c r="B131" s="20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19">
        <v>0.78626109095661478</v>
      </c>
      <c r="N131" s="202"/>
      <c r="O131" s="60"/>
      <c r="P131" s="60"/>
      <c r="Q131" s="60"/>
      <c r="R131" s="60"/>
      <c r="S131" s="59"/>
      <c r="T131" s="59"/>
      <c r="U131" s="59"/>
      <c r="V131" s="59"/>
      <c r="W131" s="59"/>
      <c r="X131" s="59"/>
    </row>
  </sheetData>
  <mergeCells count="2">
    <mergeCell ref="C45:D45"/>
    <mergeCell ref="A5:B5"/>
  </mergeCells>
  <pageMargins left="0.7" right="0.7" top="0.75" bottom="0.75" header="0.3" footer="0.3"/>
  <pageSetup scale="31" fitToHeight="0" orientation="landscape" r:id="rId1"/>
  <headerFooter>
    <oddHeader>&amp;C&amp;"-,Bold"Murrey's Disposal Co, Inc
dba Olympic Disposal&amp;"-,Regular"
Company Provided Priceout</oddHeader>
    <oddFooter>&amp;L&amp;F - &amp;A&amp;C&amp;D&amp;R&amp;P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8CAF38FA060CB46BDD29BC415CD9640" ma:contentTypeVersion="119" ma:contentTypeDescription="" ma:contentTypeScope="" ma:versionID="126ed718f30e76fe443a5725656895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2015-11-04T08:00:00+00:00</OpenedDate>
    <Date1 xmlns="dc463f71-b30c-4ab2-9473-d307f9d35888">2015-11-04T08:00:00+00:00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152094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C8E674-6ACF-4135-8964-CEBEA6F19721}"/>
</file>

<file path=customXml/itemProps2.xml><?xml version="1.0" encoding="utf-8"?>
<ds:datastoreItem xmlns:ds="http://schemas.openxmlformats.org/officeDocument/2006/customXml" ds:itemID="{21F780DB-56E6-4969-BF22-E2AF9D5C708E}"/>
</file>

<file path=customXml/itemProps3.xml><?xml version="1.0" encoding="utf-8"?>
<ds:datastoreItem xmlns:ds="http://schemas.openxmlformats.org/officeDocument/2006/customXml" ds:itemID="{9508D312-16CB-4213-AC92-1D35953B5019}"/>
</file>

<file path=customXml/itemProps4.xml><?xml version="1.0" encoding="utf-8"?>
<ds:datastoreItem xmlns:ds="http://schemas.openxmlformats.org/officeDocument/2006/customXml" ds:itemID="{B0EE7DAF-8B70-4F89-8AEE-BB08A23E31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References</vt:lpstr>
      <vt:lpstr>Staff Calcs </vt:lpstr>
      <vt:lpstr>Proposed Rates</vt:lpstr>
      <vt:lpstr>Co Provided Price Out</vt:lpstr>
      <vt:lpstr>'Proposed Rates'!Print_Area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Wyse, Lisa (UTC)</cp:lastModifiedBy>
  <cp:lastPrinted>2015-11-03T22:46:47Z</cp:lastPrinted>
  <dcterms:created xsi:type="dcterms:W3CDTF">2013-10-29T22:33:54Z</dcterms:created>
  <dcterms:modified xsi:type="dcterms:W3CDTF">2015-11-04T23:04:42Z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0x0101006E56B4D1795A2E4DB2F0B01679ED314A0058CAF38FA060CB46BDD29BC415CD9640</vt:lpwstr>
  </property>
  <property fmtid="{D5CDD505-2E9C-101B-9397-08002B2CF9AE}" pid="3" name="_docset_NoMedatataSyncRequired">
    <vt:lpwstr>False</vt:lpwstr>
  </property>
</Properties>
</file>