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0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externalLinks/externalLink1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yse\Documents\"/>
    </mc:Choice>
  </mc:AlternateContent>
  <bookViews>
    <workbookView xWindow="120" yWindow="110" windowWidth="19320" windowHeight="10920" activeTab="2"/>
  </bookViews>
  <sheets>
    <sheet name="References" sheetId="2" r:id="rId1"/>
    <sheet name="DF Calc" sheetId="1" r:id="rId2"/>
    <sheet name="Rates" sheetId="3" r:id="rId3"/>
    <sheet name="Rev Inc %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YA1">[1]Hidden!$N$11</definedName>
    <definedName name="__CYA10">[1]Hidden!$E$11</definedName>
    <definedName name="__CYA11">[1]Hidden!$P$11</definedName>
    <definedName name="__CYA2">[1]Hidden!$M$11</definedName>
    <definedName name="__CYA3">[1]Hidden!$L$11</definedName>
    <definedName name="__CYA4">[1]Hidden!$K$11</definedName>
    <definedName name="__CYA5">[1]Hidden!$J$11</definedName>
    <definedName name="__CYA6">[1]Hidden!$I$11</definedName>
    <definedName name="__CYA7">[1]Hidden!$H$11</definedName>
    <definedName name="__CYA8">[1]Hidden!$G$11</definedName>
    <definedName name="__CYA9">[1]Hidden!$F$11</definedName>
    <definedName name="__LYA12">[1]Hidden!$O$11</definedName>
    <definedName name="_ACT1">[2]Hidden!#REF!</definedName>
    <definedName name="_ACT2">[2]Hidden!#REF!</definedName>
    <definedName name="_ACT3">[2]Hidden!#REF!</definedName>
    <definedName name="_CYA1">[1]Hidden!$N$11</definedName>
    <definedName name="_CYA10">[1]Hidden!$E$11</definedName>
    <definedName name="_CYA11">[1]Hidden!$P$11</definedName>
    <definedName name="_CYA2">[1]Hidden!$M$11</definedName>
    <definedName name="_CYA3">[1]Hidden!$L$11</definedName>
    <definedName name="_CYA4">[1]Hidden!$K$11</definedName>
    <definedName name="_CYA5">[1]Hidden!$J$11</definedName>
    <definedName name="_CYA6">[1]Hidden!$I$11</definedName>
    <definedName name="_CYA7">[1]Hidden!$H$11</definedName>
    <definedName name="_CYA8">[1]Hidden!$G$11</definedName>
    <definedName name="_CYA9">[1]Hidden!$F$11</definedName>
    <definedName name="_LYA12">[1]Hidden!$O$11</definedName>
    <definedName name="ACCT" localSheetId="1">[2]Hidden!#REF!</definedName>
    <definedName name="ACCT">[1]Hidden!$D$11</definedName>
    <definedName name="ACCT.ConsolSum">[1]Hidden!$Q$11</definedName>
    <definedName name="ACT_CUR">[2]Hidden!#REF!</definedName>
    <definedName name="ACT_YTD">[2]Hidden!#REF!</definedName>
    <definedName name="AmountCount">#REF!</definedName>
    <definedName name="AmountTotal">#REF!</definedName>
    <definedName name="BookRev">'[3]Pacific Regulated - Price Out'!$F$50</definedName>
    <definedName name="BookRev_com">'[3]Pacific Regulated - Price Out'!$F$214</definedName>
    <definedName name="BookRev_mfr">'[3]Pacific Regulated - Price Out'!$F$222</definedName>
    <definedName name="BookRev_ro">'[3]Pacific Regulated - Price Out'!$F$282</definedName>
    <definedName name="BookRev_rr">'[3]Pacific Regulated - Price Out'!$F$59</definedName>
    <definedName name="BookRev_yw">'[3]Pacific Regulated - Price Out'!$F$70</definedName>
    <definedName name="BREMAIR_COST_of_SERVICE_STUDY" localSheetId="1">#REF!</definedName>
    <definedName name="BREMAIR_COST_of_SERVICE_STUDY">#REF!</definedName>
    <definedName name="BUD_CUR">[2]Hidden!#REF!</definedName>
    <definedName name="BUD_YTD">[2]Hidden!#REF!</definedName>
    <definedName name="CalRecyTons">'[4]Recycl Tons, Commodity Value'!$L$23</definedName>
    <definedName name="CheckTotals" localSheetId="1">#REF!</definedName>
    <definedName name="CheckTotals">#REF!</definedName>
    <definedName name="colgroup">[1]Orientation!$G$6</definedName>
    <definedName name="colsegment">[1]Orientation!$F$6</definedName>
    <definedName name="CRCTable" localSheetId="1">#REF!</definedName>
    <definedName name="CRCTable">#REF!</definedName>
    <definedName name="CRCTableOLD" localSheetId="1">#REF!</definedName>
    <definedName name="CRCTableOLD">#REF!</definedName>
    <definedName name="CriteriaType">[5]ControlPanel!$Z$2:$Z$5</definedName>
    <definedName name="Cutomers">#REF!</definedName>
    <definedName name="_xlnm.Database" localSheetId="1">#REF!</definedName>
    <definedName name="_xlnm.Database">#REF!</definedName>
    <definedName name="Database1" localSheetId="1">#REF!</definedName>
    <definedName name="Database1">#REF!</definedName>
    <definedName name="DEPT">[2]Hidden!#REF!</definedName>
    <definedName name="District">'[6]Vashon BS'!#REF!</definedName>
    <definedName name="DistrictNum" localSheetId="1">#REF!</definedName>
    <definedName name="DistrictNum">#REF!</definedName>
    <definedName name="drlFilter">[1]Settings!$D$27</definedName>
    <definedName name="End" localSheetId="1">#REF!</definedName>
    <definedName name="End">#REF!</definedName>
    <definedName name="ExcludeIC">'[6]Vashon BS'!#REF!</definedName>
    <definedName name="FBTable" localSheetId="1">#REF!</definedName>
    <definedName name="FBTable">#REF!</definedName>
    <definedName name="FBTableOld" localSheetId="1">#REF!</definedName>
    <definedName name="FBTableOld">#REF!</definedName>
    <definedName name="filter">[1]Settings!$B$14:$H$25</definedName>
    <definedName name="GLMappingStart">#REF!</definedName>
    <definedName name="IncomeStmnt">#REF!</definedName>
    <definedName name="INPUT" localSheetId="1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 localSheetId="1">#REF!</definedName>
    <definedName name="master_def">#REF!</definedName>
    <definedName name="MemoAttachment" localSheetId="1">#REF!</definedName>
    <definedName name="MemoAttachment">#REF!</definedName>
    <definedName name="MetaSet">[1]Orientation!$C$22</definedName>
    <definedName name="NewOnlyOrg">#N/A</definedName>
    <definedName name="NOTES" localSheetId="1">#REF!</definedName>
    <definedName name="NOTES">#REF!</definedName>
    <definedName name="NR" localSheetId="1">#REF!</definedName>
    <definedName name="NR">#REF!</definedName>
    <definedName name="OfficerSalary">#N/A</definedName>
    <definedName name="OffsetAcctBil">[7]JEexport!$L$10</definedName>
    <definedName name="OffsetAcctPmt">[7]JEexport!$L$9</definedName>
    <definedName name="Org11_13">#N/A</definedName>
    <definedName name="Org7_10">#N/A</definedName>
    <definedName name="p">#REF!</definedName>
    <definedName name="PAGE_1" localSheetId="1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primtbl">[1]Orientation!$C$23</definedName>
    <definedName name="_xlnm.Print_Area" localSheetId="1">'DF Calc'!$A$1:$N$92</definedName>
    <definedName name="_xlnm.Print_Area">#REF!</definedName>
    <definedName name="Print_Area_MI" localSheetId="1">#REF!</definedName>
    <definedName name="Print_Area_MI">#REF!</definedName>
    <definedName name="Print_Area1" localSheetId="1">#REF!</definedName>
    <definedName name="Print_Area1">#REF!</definedName>
    <definedName name="Print_Area2" localSheetId="1">#REF!</definedName>
    <definedName name="Print_Area2">#REF!</definedName>
    <definedName name="Print_Area3" localSheetId="1">#REF!</definedName>
    <definedName name="Print_Area3">#REF!</definedName>
    <definedName name="Print_Area5" localSheetId="1">#REF!</definedName>
    <definedName name="Print_Area5">#REF!</definedName>
    <definedName name="_xlnm.Print_Titles" localSheetId="1">'DF Calc'!$A:$A,'DF Calc'!$5:$5</definedName>
    <definedName name="Print1" localSheetId="1">#REF!</definedName>
    <definedName name="Print1">#REF!</definedName>
    <definedName name="Print2" localSheetId="1">#REF!</definedName>
    <definedName name="Print2">#REF!</definedName>
    <definedName name="Print5" localSheetId="1">#REF!</definedName>
    <definedName name="Print5">#REF!</definedName>
    <definedName name="ProRev">'[3]Pacific Regulated - Price Out'!$M$49</definedName>
    <definedName name="ProRev_com">'[3]Pacific Regulated - Price Out'!$M$213</definedName>
    <definedName name="ProRev_mfr">'[3]Pacific Regulated - Price Out'!$M$221</definedName>
    <definedName name="ProRev_ro">'[3]Pacific Regulated - Price Out'!$M$281</definedName>
    <definedName name="ProRev_rr">'[3]Pacific Regulated - Price Out'!$M$58</definedName>
    <definedName name="ProRev_yw">'[3]Pacific Regulated - Price Out'!$M$69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_type">[1]Orientation!$C$24</definedName>
    <definedName name="ReportNames" localSheetId="1">[5]ControlPanel!$X$2:$X$8</definedName>
    <definedName name="ReportNames">[8]ControlPanel!$S$2:$S$16</definedName>
    <definedName name="ReportVersion">[1]Settings!$D$5</definedName>
    <definedName name="RetainedEarnings">#REF!</definedName>
    <definedName name="RevCust" localSheetId="1">[9]RevenuesCust!#REF!</definedName>
    <definedName name="RevCust">[9]RevenuesCust!#REF!</definedName>
    <definedName name="rngCreateLog">[1]Delivery!$B$12</definedName>
    <definedName name="rngFilePassword">[1]Delivery!$B$6</definedName>
    <definedName name="rngSourceTab">[1]Delivery!$E$8</definedName>
    <definedName name="rowgroup">[1]Orientation!$C$17</definedName>
    <definedName name="rowsegment">[1]Orientation!$B$17</definedName>
    <definedName name="Sequential_Group">[1]Settings!$J$6</definedName>
    <definedName name="Sequential_Segment">[1]Settings!$I$6</definedName>
    <definedName name="Sequential_sort">[1]Settings!$I$10:$J$11</definedName>
    <definedName name="sortcol" localSheetId="1">#REF!</definedName>
    <definedName name="sortcol">#REF!</definedName>
    <definedName name="sSRCDate">'[10]Feb''12 FAR Data'!#REF!</definedName>
    <definedName name="Supplemental_filter">[1]Settings!$C$31</definedName>
    <definedName name="SWDisposal">#N/A</definedName>
    <definedName name="System">[11]BS_Close!$V$8</definedName>
    <definedName name="TemplateEnd">#REF!</definedName>
    <definedName name="TemplateStart">#REF!</definedName>
    <definedName name="TheTable" localSheetId="1">#REF!</definedName>
    <definedName name="TheTable">#REF!</definedName>
    <definedName name="TheTableOLD" localSheetId="1">#REF!</definedName>
    <definedName name="TheTableOLD">#REF!</definedName>
    <definedName name="timeseries">[1]Orientation!$B$6:$C$13</definedName>
    <definedName name="Total_Comm">'[4]Tariff Rate Sheet'!$L$214</definedName>
    <definedName name="Total_DB">'[4]Tariff Rate Sheet'!$L$278</definedName>
    <definedName name="Total_Resi">'[4]Tariff Rate Sheet'!$L$107</definedName>
    <definedName name="Transactions">#REF!</definedName>
    <definedName name="WTable" localSheetId="1">#REF!</definedName>
    <definedName name="WTable">#REF!</definedName>
    <definedName name="WTableOld" localSheetId="1">#REF!</definedName>
    <definedName name="WTableOld">#REF!</definedName>
    <definedName name="ww">#REF!</definedName>
    <definedName name="xperiod">[1]Orientation!$G$15</definedName>
    <definedName name="xtabin">[2]Hidden!#REF!</definedName>
    <definedName name="xx" localSheetId="1">#REF!</definedName>
    <definedName name="xx">#REF!</definedName>
    <definedName name="xxx" localSheetId="1">#REF!</definedName>
    <definedName name="xxx">#REF!</definedName>
    <definedName name="xxxx" localSheetId="1">#REF!</definedName>
    <definedName name="xxxx">#REF!</definedName>
    <definedName name="YearMonth">'[6]Vashon BS'!#REF!</definedName>
    <definedName name="YWMedWasteDisp">#N/A</definedName>
  </definedNames>
  <calcPr calcId="152511"/>
</workbook>
</file>

<file path=xl/calcChain.xml><?xml version="1.0" encoding="utf-8"?>
<calcChain xmlns="http://schemas.openxmlformats.org/spreadsheetml/2006/main">
  <c r="B19" i="4" l="1"/>
  <c r="Y39" i="1" l="1"/>
  <c r="Y33" i="1"/>
  <c r="Y27" i="1"/>
  <c r="Y20" i="1"/>
  <c r="X39" i="1"/>
  <c r="X33" i="1"/>
  <c r="X27" i="1"/>
  <c r="X20" i="1"/>
  <c r="F83" i="1" l="1"/>
  <c r="F82" i="1"/>
  <c r="F80" i="1"/>
  <c r="F79" i="1"/>
  <c r="F78" i="1"/>
  <c r="F77" i="1"/>
  <c r="F76" i="1"/>
  <c r="F75" i="1"/>
  <c r="F74" i="1"/>
  <c r="F73" i="1"/>
  <c r="F72" i="1"/>
  <c r="F71" i="1"/>
  <c r="F68" i="1"/>
  <c r="F66" i="1"/>
  <c r="F65" i="1"/>
  <c r="F63" i="1"/>
  <c r="F62" i="1"/>
  <c r="F60" i="1"/>
  <c r="F81" i="1" l="1"/>
  <c r="L81" i="1"/>
  <c r="L82" i="1"/>
  <c r="L83" i="1"/>
  <c r="L80" i="1"/>
  <c r="L77" i="1"/>
  <c r="L78" i="1"/>
  <c r="L79" i="1"/>
  <c r="L76" i="1"/>
  <c r="D83" i="1"/>
  <c r="D82" i="1"/>
  <c r="D81" i="1"/>
  <c r="D77" i="1"/>
  <c r="G77" i="1" s="1"/>
  <c r="D80" i="1"/>
  <c r="G80" i="1" s="1"/>
  <c r="D79" i="1"/>
  <c r="D78" i="1"/>
  <c r="D76" i="1"/>
  <c r="G76" i="1" s="1"/>
  <c r="D75" i="1"/>
  <c r="G75" i="1" s="1"/>
  <c r="D74" i="1"/>
  <c r="D73" i="1"/>
  <c r="D72" i="1"/>
  <c r="L72" i="1"/>
  <c r="L73" i="1"/>
  <c r="L74" i="1"/>
  <c r="L75" i="1"/>
  <c r="L71" i="1"/>
  <c r="D71" i="1"/>
  <c r="G71" i="1" s="1"/>
  <c r="L68" i="1"/>
  <c r="L66" i="1"/>
  <c r="L65" i="1"/>
  <c r="D66" i="1"/>
  <c r="D65" i="1"/>
  <c r="L63" i="1"/>
  <c r="L62" i="1"/>
  <c r="D63" i="1"/>
  <c r="D62" i="1"/>
  <c r="L60" i="1"/>
  <c r="D60" i="1"/>
  <c r="G81" i="1" l="1"/>
  <c r="G60" i="1"/>
  <c r="G83" i="1"/>
  <c r="G82" i="1"/>
  <c r="G72" i="1"/>
  <c r="G79" i="1"/>
  <c r="G73" i="1"/>
  <c r="G78" i="1"/>
  <c r="G74" i="1"/>
  <c r="G63" i="1"/>
  <c r="G66" i="1"/>
  <c r="G62" i="1"/>
  <c r="G65" i="1" l="1"/>
  <c r="E54" i="1"/>
  <c r="E53" i="1"/>
  <c r="E52" i="1"/>
  <c r="E50" i="1"/>
  <c r="E49" i="1"/>
  <c r="E48" i="1"/>
  <c r="E46" i="1"/>
  <c r="E42" i="1"/>
  <c r="E41" i="1"/>
  <c r="E38" i="1"/>
  <c r="E37" i="1"/>
  <c r="E36" i="1"/>
  <c r="E35" i="1"/>
  <c r="E34" i="1"/>
  <c r="E32" i="1"/>
  <c r="E31" i="1"/>
  <c r="E30" i="1"/>
  <c r="E29" i="1"/>
  <c r="E28" i="1"/>
  <c r="E26" i="1"/>
  <c r="E25" i="1"/>
  <c r="E24" i="1"/>
  <c r="E23" i="1"/>
  <c r="E22" i="1"/>
  <c r="E21" i="1"/>
  <c r="E8" i="1"/>
  <c r="E9" i="1"/>
  <c r="E10" i="1"/>
  <c r="E11" i="1"/>
  <c r="E12" i="1"/>
  <c r="E13" i="1"/>
  <c r="E14" i="1"/>
  <c r="E15" i="1"/>
  <c r="E16" i="1"/>
  <c r="E17" i="1"/>
  <c r="E18" i="1"/>
  <c r="E19" i="1"/>
  <c r="E7" i="1"/>
  <c r="E43" i="1" l="1"/>
  <c r="E56" i="1"/>
  <c r="L49" i="1" l="1"/>
  <c r="L50" i="1"/>
  <c r="L48" i="1"/>
  <c r="L46" i="1"/>
  <c r="X46" i="1" s="1"/>
  <c r="L41" i="1"/>
  <c r="L40" i="1"/>
  <c r="X40" i="1" s="1"/>
  <c r="L36" i="1"/>
  <c r="X36" i="1" s="1"/>
  <c r="L37" i="1"/>
  <c r="X37" i="1" s="1"/>
  <c r="L38" i="1"/>
  <c r="X38" i="1" s="1"/>
  <c r="L35" i="1"/>
  <c r="X35" i="1" s="1"/>
  <c r="L34" i="1"/>
  <c r="X34" i="1" s="1"/>
  <c r="L30" i="1"/>
  <c r="X30" i="1" s="1"/>
  <c r="L31" i="1"/>
  <c r="X31" i="1" s="1"/>
  <c r="L32" i="1"/>
  <c r="X32" i="1" s="1"/>
  <c r="L29" i="1"/>
  <c r="X29" i="1" s="1"/>
  <c r="L28" i="1"/>
  <c r="X28" i="1" s="1"/>
  <c r="L24" i="1"/>
  <c r="X24" i="1" s="1"/>
  <c r="L25" i="1"/>
  <c r="X25" i="1" s="1"/>
  <c r="L26" i="1"/>
  <c r="X26" i="1" s="1"/>
  <c r="L23" i="1"/>
  <c r="X23" i="1" s="1"/>
  <c r="L22" i="1"/>
  <c r="X22" i="1" s="1"/>
  <c r="L21" i="1"/>
  <c r="X21" i="1" s="1"/>
  <c r="L18" i="1"/>
  <c r="X18" i="1" s="1"/>
  <c r="L19" i="1"/>
  <c r="X19" i="1" s="1"/>
  <c r="L17" i="1"/>
  <c r="X17" i="1" s="1"/>
  <c r="L15" i="1"/>
  <c r="L14" i="1"/>
  <c r="X14" i="1" s="1"/>
  <c r="L9" i="1"/>
  <c r="X9" i="1" s="1"/>
  <c r="L10" i="1"/>
  <c r="X10" i="1" s="1"/>
  <c r="L11" i="1"/>
  <c r="X11" i="1" s="1"/>
  <c r="L12" i="1"/>
  <c r="X12" i="1" s="1"/>
  <c r="L13" i="1"/>
  <c r="X13" i="1" s="1"/>
  <c r="L8" i="1"/>
  <c r="X8" i="1" s="1"/>
  <c r="L7" i="1"/>
  <c r="X7" i="1" s="1"/>
  <c r="L52" i="1" l="1"/>
  <c r="L16" i="1"/>
  <c r="X16" i="1" s="1"/>
  <c r="X15" i="1"/>
  <c r="L54" i="1"/>
  <c r="L42" i="1"/>
  <c r="X42" i="1" s="1"/>
  <c r="X41" i="1"/>
  <c r="L53" i="1"/>
  <c r="F54" i="1"/>
  <c r="F53" i="1"/>
  <c r="F52" i="1"/>
  <c r="F50" i="1"/>
  <c r="F49" i="1"/>
  <c r="H87" i="1"/>
  <c r="B55" i="2"/>
  <c r="F48" i="1"/>
  <c r="F46" i="1"/>
  <c r="F36" i="1"/>
  <c r="F30" i="1"/>
  <c r="F24" i="1"/>
  <c r="F19" i="1"/>
  <c r="F38" i="1" s="1"/>
  <c r="F18" i="1"/>
  <c r="F37" i="1" s="1"/>
  <c r="F16" i="1"/>
  <c r="F14" i="1"/>
  <c r="F23" i="1" s="1"/>
  <c r="F9" i="1"/>
  <c r="F22" i="1" s="1"/>
  <c r="F10" i="1"/>
  <c r="F11" i="1"/>
  <c r="F12" i="1"/>
  <c r="F13" i="1"/>
  <c r="F8" i="1"/>
  <c r="F28" i="1" s="1"/>
  <c r="F7" i="1"/>
  <c r="C18" i="1"/>
  <c r="D18" i="1" s="1"/>
  <c r="G54" i="2"/>
  <c r="C54" i="2"/>
  <c r="G53" i="2"/>
  <c r="C53" i="2"/>
  <c r="B11" i="2"/>
  <c r="B10" i="2"/>
  <c r="E10" i="2" s="1"/>
  <c r="B9" i="2"/>
  <c r="B8" i="2"/>
  <c r="G8" i="2" s="1"/>
  <c r="B7" i="2"/>
  <c r="F7" i="2" s="1"/>
  <c r="B6" i="2"/>
  <c r="E6" i="2" s="1"/>
  <c r="B5" i="2"/>
  <c r="H5" i="2" s="1"/>
  <c r="G56" i="2" l="1"/>
  <c r="G58" i="2" s="1"/>
  <c r="X43" i="1"/>
  <c r="B6" i="4" s="1"/>
  <c r="D55" i="2"/>
  <c r="C69" i="3"/>
  <c r="D69" i="3" s="1"/>
  <c r="F11" i="2"/>
  <c r="C22" i="1"/>
  <c r="D22" i="1" s="1"/>
  <c r="C26" i="1"/>
  <c r="D26" i="1" s="1"/>
  <c r="H9" i="2"/>
  <c r="C7" i="1"/>
  <c r="D7" i="1" s="1"/>
  <c r="G7" i="1" s="1"/>
  <c r="C52" i="1"/>
  <c r="D52" i="1" s="1"/>
  <c r="X52" i="1" s="1"/>
  <c r="C53" i="1"/>
  <c r="D53" i="1" s="1"/>
  <c r="G53" i="1" s="1"/>
  <c r="C9" i="2"/>
  <c r="G9" i="2"/>
  <c r="C10" i="1"/>
  <c r="D10" i="1" s="1"/>
  <c r="G10" i="1" s="1"/>
  <c r="C31" i="1"/>
  <c r="D31" i="1" s="1"/>
  <c r="F56" i="1"/>
  <c r="C11" i="1"/>
  <c r="D11" i="1" s="1"/>
  <c r="G11" i="1" s="1"/>
  <c r="C23" i="1"/>
  <c r="D23" i="1" s="1"/>
  <c r="G23" i="1" s="1"/>
  <c r="C36" i="1"/>
  <c r="D36" i="1" s="1"/>
  <c r="G36" i="1" s="1"/>
  <c r="B65" i="2"/>
  <c r="H95" i="1" s="1"/>
  <c r="C14" i="1"/>
  <c r="D14" i="1" s="1"/>
  <c r="G14" i="1" s="1"/>
  <c r="C24" i="1"/>
  <c r="D24" i="1" s="1"/>
  <c r="G24" i="1" s="1"/>
  <c r="C41" i="1"/>
  <c r="D41" i="1" s="1"/>
  <c r="C68" i="1"/>
  <c r="G18" i="1"/>
  <c r="B58" i="2"/>
  <c r="B59" i="2" s="1"/>
  <c r="B61" i="2" s="1"/>
  <c r="G22" i="1"/>
  <c r="C15" i="1"/>
  <c r="D15" i="1" s="1"/>
  <c r="G15" i="1" s="1"/>
  <c r="C19" i="1"/>
  <c r="D19" i="1" s="1"/>
  <c r="G19" i="1" s="1"/>
  <c r="C28" i="1"/>
  <c r="D28" i="1" s="1"/>
  <c r="G28" i="1" s="1"/>
  <c r="C32" i="1"/>
  <c r="D32" i="1" s="1"/>
  <c r="C37" i="1"/>
  <c r="D37" i="1" s="1"/>
  <c r="G37" i="1" s="1"/>
  <c r="C42" i="1"/>
  <c r="D42" i="1" s="1"/>
  <c r="C48" i="1"/>
  <c r="D48" i="1" s="1"/>
  <c r="C54" i="1"/>
  <c r="D54" i="1" s="1"/>
  <c r="G54" i="1" s="1"/>
  <c r="C13" i="1"/>
  <c r="D13" i="1" s="1"/>
  <c r="G13" i="1" s="1"/>
  <c r="C17" i="1"/>
  <c r="D17" i="1" s="1"/>
  <c r="G17" i="1" s="1"/>
  <c r="C30" i="1"/>
  <c r="D30" i="1" s="1"/>
  <c r="G30" i="1" s="1"/>
  <c r="C35" i="1"/>
  <c r="D35" i="1" s="1"/>
  <c r="C40" i="1"/>
  <c r="D40" i="1" s="1"/>
  <c r="C46" i="1"/>
  <c r="D46" i="1" s="1"/>
  <c r="C50" i="1"/>
  <c r="G5" i="2"/>
  <c r="C9" i="1"/>
  <c r="D9" i="1" s="1"/>
  <c r="G9" i="1" s="1"/>
  <c r="C5" i="2"/>
  <c r="C8" i="1"/>
  <c r="D8" i="1" s="1"/>
  <c r="G8" i="1" s="1"/>
  <c r="C12" i="1"/>
  <c r="D12" i="1" s="1"/>
  <c r="G12" i="1" s="1"/>
  <c r="C16" i="1"/>
  <c r="D16" i="1" s="1"/>
  <c r="G16" i="1" s="1"/>
  <c r="C21" i="1"/>
  <c r="D21" i="1" s="1"/>
  <c r="C25" i="1"/>
  <c r="D25" i="1" s="1"/>
  <c r="C29" i="1"/>
  <c r="D29" i="1" s="1"/>
  <c r="C34" i="1"/>
  <c r="D34" i="1" s="1"/>
  <c r="C38" i="1"/>
  <c r="D38" i="1" s="1"/>
  <c r="G38" i="1" s="1"/>
  <c r="C49" i="1"/>
  <c r="D49" i="1" s="1"/>
  <c r="F26" i="1"/>
  <c r="F32" i="1"/>
  <c r="F42" i="1"/>
  <c r="F21" i="1"/>
  <c r="F25" i="1"/>
  <c r="F35" i="1"/>
  <c r="F41" i="1"/>
  <c r="F29" i="1"/>
  <c r="F34" i="1"/>
  <c r="F31" i="1"/>
  <c r="G7" i="2"/>
  <c r="G11" i="2"/>
  <c r="E7" i="2"/>
  <c r="H8" i="2"/>
  <c r="E11" i="2"/>
  <c r="C55" i="2"/>
  <c r="E5" i="2"/>
  <c r="C7" i="2"/>
  <c r="D8" i="2"/>
  <c r="E9" i="2"/>
  <c r="C11" i="2"/>
  <c r="F6" i="2"/>
  <c r="F10" i="2"/>
  <c r="D6" i="2"/>
  <c r="H6" i="2"/>
  <c r="F8" i="2"/>
  <c r="D10" i="2"/>
  <c r="H10" i="2"/>
  <c r="F5" i="2"/>
  <c r="C6" i="2"/>
  <c r="G6" i="2"/>
  <c r="D7" i="2"/>
  <c r="H7" i="2"/>
  <c r="E8" i="2"/>
  <c r="F9" i="2"/>
  <c r="C10" i="2"/>
  <c r="G10" i="2"/>
  <c r="D11" i="2"/>
  <c r="H11" i="2"/>
  <c r="D5" i="2"/>
  <c r="C8" i="2"/>
  <c r="D9" i="2"/>
  <c r="G52" i="1" l="1"/>
  <c r="G31" i="1"/>
  <c r="G48" i="1"/>
  <c r="X48" i="1"/>
  <c r="G49" i="1"/>
  <c r="X49" i="1"/>
  <c r="G26" i="1"/>
  <c r="X54" i="1"/>
  <c r="X53" i="1"/>
  <c r="G46" i="1"/>
  <c r="D68" i="1"/>
  <c r="G68" i="1" s="1"/>
  <c r="G41" i="1"/>
  <c r="G21" i="1"/>
  <c r="G42" i="1"/>
  <c r="G25" i="1"/>
  <c r="G32" i="1"/>
  <c r="G35" i="1"/>
  <c r="G29" i="1"/>
  <c r="G34" i="1"/>
  <c r="G43" i="1" l="1"/>
  <c r="O68" i="1" l="1"/>
  <c r="O53" i="1"/>
  <c r="O52" i="1"/>
  <c r="B50" i="1"/>
  <c r="B56" i="1" s="1"/>
  <c r="O48" i="1"/>
  <c r="B43" i="1"/>
  <c r="O41" i="1"/>
  <c r="O38" i="1"/>
  <c r="O36" i="1"/>
  <c r="O34" i="1"/>
  <c r="O31" i="1"/>
  <c r="O29" i="1"/>
  <c r="O28" i="1"/>
  <c r="O25" i="1"/>
  <c r="O24" i="1"/>
  <c r="O22" i="1"/>
  <c r="O21" i="1"/>
  <c r="O19" i="1"/>
  <c r="O17" i="1"/>
  <c r="O15" i="1"/>
  <c r="O14" i="1"/>
  <c r="O8" i="1"/>
  <c r="D50" i="1" l="1"/>
  <c r="X50" i="1" s="1"/>
  <c r="X56" i="1" s="1"/>
  <c r="O50" i="1"/>
  <c r="M40" i="1"/>
  <c r="O12" i="1"/>
  <c r="O9" i="1"/>
  <c r="O13" i="1"/>
  <c r="O18" i="1"/>
  <c r="O10" i="1"/>
  <c r="O42" i="1"/>
  <c r="O11" i="1"/>
  <c r="O16" i="1"/>
  <c r="O23" i="1"/>
  <c r="O26" i="1"/>
  <c r="O37" i="1"/>
  <c r="O35" i="1"/>
  <c r="O30" i="1"/>
  <c r="O32" i="1"/>
  <c r="O49" i="1"/>
  <c r="O54" i="1"/>
  <c r="B8" i="4" l="1"/>
  <c r="B10" i="4" s="1"/>
  <c r="X57" i="1"/>
  <c r="N40" i="1"/>
  <c r="O40" i="1" s="1"/>
  <c r="Y40" i="1"/>
  <c r="G50" i="1"/>
  <c r="G56" i="1" s="1"/>
  <c r="D56" i="1"/>
  <c r="O7" i="1"/>
  <c r="O46" i="1" l="1"/>
  <c r="O56" i="1" s="1"/>
  <c r="T52" i="1" l="1"/>
  <c r="U52" i="1" s="1"/>
  <c r="V52" i="1" s="1"/>
  <c r="T49" i="1"/>
  <c r="U49" i="1" s="1"/>
  <c r="V49" i="1" s="1"/>
  <c r="T48" i="1"/>
  <c r="U48" i="1" s="1"/>
  <c r="V48" i="1" s="1"/>
  <c r="T54" i="1"/>
  <c r="U54" i="1" s="1"/>
  <c r="V54" i="1" s="1"/>
  <c r="T50" i="1"/>
  <c r="U50" i="1" s="1"/>
  <c r="V50" i="1" s="1"/>
  <c r="T53" i="1"/>
  <c r="U53" i="1" s="1"/>
  <c r="V53" i="1" s="1"/>
  <c r="T68" i="1"/>
  <c r="U68" i="1" s="1"/>
  <c r="T46" i="1" l="1"/>
  <c r="T56" i="1" l="1"/>
  <c r="U46" i="1"/>
  <c r="U56" i="1" l="1"/>
  <c r="V46" i="1"/>
  <c r="D43" i="1"/>
  <c r="F43" i="1" l="1"/>
  <c r="U86" i="1" l="1"/>
  <c r="P40" i="1" l="1"/>
  <c r="Q40" i="1" s="1"/>
  <c r="R40" i="1" s="1"/>
  <c r="P68" i="1" l="1"/>
  <c r="Q68" i="1" s="1"/>
  <c r="P54" i="1"/>
  <c r="Q54" i="1" s="1"/>
  <c r="R54" i="1" s="1"/>
  <c r="P36" i="1"/>
  <c r="Q36" i="1" s="1"/>
  <c r="R36" i="1" s="1"/>
  <c r="P35" i="1"/>
  <c r="Q35" i="1" s="1"/>
  <c r="R35" i="1" s="1"/>
  <c r="P32" i="1"/>
  <c r="Q32" i="1" s="1"/>
  <c r="R32" i="1" s="1"/>
  <c r="P41" i="1"/>
  <c r="Q41" i="1" s="1"/>
  <c r="R41" i="1" s="1"/>
  <c r="P53" i="1"/>
  <c r="Q53" i="1" s="1"/>
  <c r="R53" i="1" s="1"/>
  <c r="P8" i="1"/>
  <c r="Q8" i="1" s="1"/>
  <c r="R8" i="1" s="1"/>
  <c r="P30" i="1"/>
  <c r="Q30" i="1" s="1"/>
  <c r="R30" i="1" s="1"/>
  <c r="P12" i="1" l="1"/>
  <c r="Q12" i="1" s="1"/>
  <c r="R12" i="1" s="1"/>
  <c r="P50" i="1"/>
  <c r="Q50" i="1" s="1"/>
  <c r="R50" i="1" s="1"/>
  <c r="P14" i="1"/>
  <c r="Q14" i="1" s="1"/>
  <c r="R14" i="1" s="1"/>
  <c r="P13" i="1"/>
  <c r="Q13" i="1" s="1"/>
  <c r="R13" i="1" s="1"/>
  <c r="P28" i="1"/>
  <c r="Q28" i="1" s="1"/>
  <c r="R28" i="1" s="1"/>
  <c r="P37" i="1"/>
  <c r="Q37" i="1" s="1"/>
  <c r="R37" i="1" s="1"/>
  <c r="P15" i="1"/>
  <c r="Q15" i="1" s="1"/>
  <c r="R15" i="1" s="1"/>
  <c r="P9" i="1"/>
  <c r="Q9" i="1" s="1"/>
  <c r="R9" i="1" s="1"/>
  <c r="P31" i="1"/>
  <c r="Q31" i="1" s="1"/>
  <c r="R31" i="1" s="1"/>
  <c r="P19" i="1"/>
  <c r="Q19" i="1" s="1"/>
  <c r="R19" i="1" s="1"/>
  <c r="P49" i="1"/>
  <c r="Q49" i="1" s="1"/>
  <c r="R49" i="1" s="1"/>
  <c r="P18" i="1"/>
  <c r="Q18" i="1" s="1"/>
  <c r="R18" i="1" s="1"/>
  <c r="P52" i="1"/>
  <c r="Q52" i="1" s="1"/>
  <c r="R52" i="1" s="1"/>
  <c r="P38" i="1"/>
  <c r="Q38" i="1" s="1"/>
  <c r="R38" i="1" s="1"/>
  <c r="P11" i="1"/>
  <c r="Q11" i="1" s="1"/>
  <c r="R11" i="1" s="1"/>
  <c r="P42" i="1"/>
  <c r="Q42" i="1" s="1"/>
  <c r="R42" i="1" s="1"/>
  <c r="P29" i="1"/>
  <c r="Q29" i="1" s="1"/>
  <c r="R29" i="1" s="1"/>
  <c r="P48" i="1"/>
  <c r="Q48" i="1" s="1"/>
  <c r="R48" i="1" s="1"/>
  <c r="P10" i="1"/>
  <c r="Q10" i="1" s="1"/>
  <c r="R10" i="1" s="1"/>
  <c r="P34" i="1"/>
  <c r="Q34" i="1" s="1"/>
  <c r="R34" i="1" s="1"/>
  <c r="P46" i="1" l="1"/>
  <c r="P7" i="1"/>
  <c r="P56" i="1" l="1"/>
  <c r="Q46" i="1"/>
  <c r="Q7" i="1"/>
  <c r="R7" i="1" l="1"/>
  <c r="Q56" i="1"/>
  <c r="R46" i="1"/>
  <c r="Q86" i="1" l="1"/>
  <c r="U88" i="1" s="1"/>
  <c r="H88" i="1" l="1"/>
  <c r="H81" i="1" l="1"/>
  <c r="I81" i="1" s="1"/>
  <c r="J81" i="1" s="1"/>
  <c r="K81" i="1" s="1"/>
  <c r="H83" i="1"/>
  <c r="I83" i="1" s="1"/>
  <c r="J83" i="1" s="1"/>
  <c r="H82" i="1"/>
  <c r="I82" i="1" s="1"/>
  <c r="J82" i="1" s="1"/>
  <c r="H65" i="1"/>
  <c r="I65" i="1" s="1"/>
  <c r="J65" i="1" s="1"/>
  <c r="K65" i="1" s="1"/>
  <c r="C53" i="3" s="1"/>
  <c r="D53" i="3" s="1"/>
  <c r="H71" i="1"/>
  <c r="I71" i="1" s="1"/>
  <c r="J71" i="1" s="1"/>
  <c r="K71" i="1" s="1"/>
  <c r="H80" i="1"/>
  <c r="I80" i="1" s="1"/>
  <c r="J80" i="1" s="1"/>
  <c r="H75" i="1"/>
  <c r="I75" i="1" s="1"/>
  <c r="J75" i="1" s="1"/>
  <c r="K75" i="1" s="1"/>
  <c r="H77" i="1"/>
  <c r="I77" i="1" s="1"/>
  <c r="J77" i="1" s="1"/>
  <c r="H76" i="1"/>
  <c r="I76" i="1" s="1"/>
  <c r="J76" i="1" s="1"/>
  <c r="K76" i="1" s="1"/>
  <c r="H72" i="1"/>
  <c r="I72" i="1" s="1"/>
  <c r="J72" i="1" s="1"/>
  <c r="K72" i="1" s="1"/>
  <c r="H74" i="1"/>
  <c r="I74" i="1" s="1"/>
  <c r="J74" i="1" s="1"/>
  <c r="K74" i="1" s="1"/>
  <c r="H73" i="1"/>
  <c r="I73" i="1" s="1"/>
  <c r="J73" i="1" s="1"/>
  <c r="K73" i="1" s="1"/>
  <c r="H78" i="1"/>
  <c r="I78" i="1" s="1"/>
  <c r="J78" i="1" s="1"/>
  <c r="K78" i="1" s="1"/>
  <c r="H79" i="1"/>
  <c r="I79" i="1" s="1"/>
  <c r="J79" i="1" s="1"/>
  <c r="K79" i="1" s="1"/>
  <c r="H68" i="1"/>
  <c r="I68" i="1" s="1"/>
  <c r="J68" i="1" s="1"/>
  <c r="K68" i="1" s="1"/>
  <c r="H66" i="1"/>
  <c r="I66" i="1" s="1"/>
  <c r="J66" i="1" s="1"/>
  <c r="K66" i="1" s="1"/>
  <c r="H60" i="1"/>
  <c r="I60" i="1" s="1"/>
  <c r="J60" i="1" s="1"/>
  <c r="K60" i="1" s="1"/>
  <c r="H53" i="1"/>
  <c r="I53" i="1" s="1"/>
  <c r="J53" i="1" s="1"/>
  <c r="K53" i="1" s="1"/>
  <c r="H50" i="1"/>
  <c r="I50" i="1" s="1"/>
  <c r="J50" i="1" s="1"/>
  <c r="K50" i="1" s="1"/>
  <c r="C75" i="3" s="1"/>
  <c r="D75" i="3" s="1"/>
  <c r="H48" i="1"/>
  <c r="I48" i="1" s="1"/>
  <c r="J48" i="1" s="1"/>
  <c r="K48" i="1" s="1"/>
  <c r="C73" i="3" s="1"/>
  <c r="H42" i="1"/>
  <c r="I42" i="1" s="1"/>
  <c r="J42" i="1" s="1"/>
  <c r="K42" i="1" s="1"/>
  <c r="H38" i="1"/>
  <c r="I38" i="1" s="1"/>
  <c r="J38" i="1" s="1"/>
  <c r="K38" i="1" s="1"/>
  <c r="H36" i="1"/>
  <c r="I36" i="1" s="1"/>
  <c r="J36" i="1" s="1"/>
  <c r="K36" i="1" s="1"/>
  <c r="H34" i="1"/>
  <c r="I34" i="1" s="1"/>
  <c r="J34" i="1" s="1"/>
  <c r="K34" i="1" s="1"/>
  <c r="H31" i="1"/>
  <c r="I31" i="1" s="1"/>
  <c r="J31" i="1" s="1"/>
  <c r="K31" i="1" s="1"/>
  <c r="H29" i="1"/>
  <c r="I29" i="1" s="1"/>
  <c r="J29" i="1" s="1"/>
  <c r="K29" i="1" s="1"/>
  <c r="H26" i="1"/>
  <c r="I26" i="1" s="1"/>
  <c r="J26" i="1" s="1"/>
  <c r="K26" i="1" s="1"/>
  <c r="H24" i="1"/>
  <c r="I24" i="1" s="1"/>
  <c r="J24" i="1" s="1"/>
  <c r="K24" i="1" s="1"/>
  <c r="H22" i="1"/>
  <c r="I22" i="1" s="1"/>
  <c r="J22" i="1" s="1"/>
  <c r="K22" i="1" s="1"/>
  <c r="H19" i="1"/>
  <c r="I19" i="1" s="1"/>
  <c r="J19" i="1" s="1"/>
  <c r="K19" i="1" s="1"/>
  <c r="H17" i="1"/>
  <c r="I17" i="1" s="1"/>
  <c r="J17" i="1" s="1"/>
  <c r="K17" i="1" s="1"/>
  <c r="H15" i="1"/>
  <c r="I15" i="1" s="1"/>
  <c r="J15" i="1" s="1"/>
  <c r="K15" i="1" s="1"/>
  <c r="H13" i="1"/>
  <c r="I13" i="1" s="1"/>
  <c r="J13" i="1" s="1"/>
  <c r="K13" i="1" s="1"/>
  <c r="H11" i="1"/>
  <c r="I11" i="1" s="1"/>
  <c r="J11" i="1" s="1"/>
  <c r="K11" i="1" s="1"/>
  <c r="H9" i="1"/>
  <c r="I9" i="1" s="1"/>
  <c r="J9" i="1" s="1"/>
  <c r="K9" i="1" s="1"/>
  <c r="H7" i="1"/>
  <c r="H62" i="1"/>
  <c r="I62" i="1" s="1"/>
  <c r="J62" i="1" s="1"/>
  <c r="K62" i="1" s="1"/>
  <c r="H63" i="1"/>
  <c r="I63" i="1" s="1"/>
  <c r="J63" i="1" s="1"/>
  <c r="K63" i="1" s="1"/>
  <c r="H54" i="1"/>
  <c r="I54" i="1" s="1"/>
  <c r="J54" i="1" s="1"/>
  <c r="K54" i="1" s="1"/>
  <c r="H52" i="1"/>
  <c r="I52" i="1" s="1"/>
  <c r="J52" i="1" s="1"/>
  <c r="K52" i="1" s="1"/>
  <c r="H49" i="1"/>
  <c r="I49" i="1" s="1"/>
  <c r="J49" i="1" s="1"/>
  <c r="K49" i="1" s="1"/>
  <c r="C74" i="3" s="1"/>
  <c r="D74" i="3" s="1"/>
  <c r="H46" i="1"/>
  <c r="H41" i="1"/>
  <c r="I41" i="1" s="1"/>
  <c r="J41" i="1" s="1"/>
  <c r="K41" i="1" s="1"/>
  <c r="H37" i="1"/>
  <c r="I37" i="1" s="1"/>
  <c r="J37" i="1" s="1"/>
  <c r="K37" i="1" s="1"/>
  <c r="H35" i="1"/>
  <c r="I35" i="1" s="1"/>
  <c r="J35" i="1" s="1"/>
  <c r="K35" i="1" s="1"/>
  <c r="H32" i="1"/>
  <c r="I32" i="1" s="1"/>
  <c r="J32" i="1" s="1"/>
  <c r="K32" i="1" s="1"/>
  <c r="H30" i="1"/>
  <c r="I30" i="1" s="1"/>
  <c r="J30" i="1" s="1"/>
  <c r="K30" i="1" s="1"/>
  <c r="H28" i="1"/>
  <c r="I28" i="1" s="1"/>
  <c r="J28" i="1" s="1"/>
  <c r="K28" i="1" s="1"/>
  <c r="H25" i="1"/>
  <c r="I25" i="1" s="1"/>
  <c r="J25" i="1" s="1"/>
  <c r="K25" i="1" s="1"/>
  <c r="H23" i="1"/>
  <c r="I23" i="1" s="1"/>
  <c r="J23" i="1" s="1"/>
  <c r="K23" i="1" s="1"/>
  <c r="H21" i="1"/>
  <c r="I21" i="1" s="1"/>
  <c r="J21" i="1" s="1"/>
  <c r="K21" i="1" s="1"/>
  <c r="H18" i="1"/>
  <c r="I18" i="1" s="1"/>
  <c r="J18" i="1" s="1"/>
  <c r="K18" i="1" s="1"/>
  <c r="H16" i="1"/>
  <c r="I16" i="1" s="1"/>
  <c r="J16" i="1" s="1"/>
  <c r="K16" i="1" s="1"/>
  <c r="H14" i="1"/>
  <c r="I14" i="1" s="1"/>
  <c r="J14" i="1" s="1"/>
  <c r="K14" i="1" s="1"/>
  <c r="H12" i="1"/>
  <c r="I12" i="1" s="1"/>
  <c r="J12" i="1" s="1"/>
  <c r="K12" i="1" s="1"/>
  <c r="H10" i="1"/>
  <c r="I10" i="1" s="1"/>
  <c r="J10" i="1" s="1"/>
  <c r="K10" i="1" s="1"/>
  <c r="H8" i="1"/>
  <c r="I8" i="1" s="1"/>
  <c r="J8" i="1" s="1"/>
  <c r="K8" i="1" s="1"/>
  <c r="M65" i="1" l="1"/>
  <c r="M79" i="1"/>
  <c r="C95" i="3"/>
  <c r="D95" i="3" s="1"/>
  <c r="M72" i="1"/>
  <c r="C80" i="3"/>
  <c r="C87" i="3" s="1"/>
  <c r="K80" i="1"/>
  <c r="C97" i="3" s="1"/>
  <c r="M74" i="1"/>
  <c r="C82" i="3"/>
  <c r="C89" i="3" s="1"/>
  <c r="C98" i="3"/>
  <c r="M81" i="1"/>
  <c r="M73" i="1"/>
  <c r="C81" i="3"/>
  <c r="C88" i="3" s="1"/>
  <c r="K77" i="1"/>
  <c r="C93" i="3" s="1"/>
  <c r="D93" i="3" s="1"/>
  <c r="K83" i="1"/>
  <c r="C100" i="3" s="1"/>
  <c r="M75" i="1"/>
  <c r="C83" i="3"/>
  <c r="C90" i="3" s="1"/>
  <c r="M78" i="1"/>
  <c r="C94" i="3"/>
  <c r="D94" i="3" s="1"/>
  <c r="M76" i="1"/>
  <c r="C92" i="3"/>
  <c r="D92" i="3" s="1"/>
  <c r="M71" i="1"/>
  <c r="C79" i="3"/>
  <c r="K82" i="1"/>
  <c r="C99" i="3" s="1"/>
  <c r="C62" i="3"/>
  <c r="D62" i="3" s="1"/>
  <c r="C58" i="3"/>
  <c r="D58" i="3" s="1"/>
  <c r="C60" i="3"/>
  <c r="D60" i="3" s="1"/>
  <c r="C57" i="3"/>
  <c r="M68" i="1"/>
  <c r="D73" i="3"/>
  <c r="N12" i="1"/>
  <c r="M12" i="1"/>
  <c r="Y12" i="1" s="1"/>
  <c r="C17" i="3"/>
  <c r="D17" i="3" s="1"/>
  <c r="C14" i="3"/>
  <c r="D14" i="3" s="1"/>
  <c r="N9" i="1"/>
  <c r="M9" i="1"/>
  <c r="Y9" i="1" s="1"/>
  <c r="N14" i="1"/>
  <c r="M14" i="1"/>
  <c r="Y14" i="1" s="1"/>
  <c r="C26" i="3"/>
  <c r="D26" i="3" s="1"/>
  <c r="N23" i="1"/>
  <c r="M23" i="1"/>
  <c r="Y23" i="1" s="1"/>
  <c r="C30" i="3"/>
  <c r="D30" i="3" s="1"/>
  <c r="N32" i="1"/>
  <c r="M32" i="1"/>
  <c r="Y32" i="1" s="1"/>
  <c r="C37" i="3"/>
  <c r="H56" i="1"/>
  <c r="I46" i="1"/>
  <c r="M63" i="1"/>
  <c r="C50" i="3"/>
  <c r="D50" i="3" s="1"/>
  <c r="C16" i="3"/>
  <c r="D16" i="3" s="1"/>
  <c r="N11" i="1"/>
  <c r="M11" i="1"/>
  <c r="Y11" i="1" s="1"/>
  <c r="N19" i="1"/>
  <c r="M19" i="1"/>
  <c r="Y19" i="1" s="1"/>
  <c r="C29" i="3"/>
  <c r="D29" i="3" s="1"/>
  <c r="C34" i="3"/>
  <c r="N29" i="1"/>
  <c r="M29" i="1"/>
  <c r="Y29" i="1" s="1"/>
  <c r="N38" i="1"/>
  <c r="M38" i="1"/>
  <c r="Y38" i="1" s="1"/>
  <c r="C46" i="3"/>
  <c r="D46" i="3" s="1"/>
  <c r="N53" i="1"/>
  <c r="M53" i="1"/>
  <c r="Y53" i="1" s="1"/>
  <c r="N30" i="1"/>
  <c r="M30" i="1"/>
  <c r="Y30" i="1" s="1"/>
  <c r="C35" i="3"/>
  <c r="N17" i="1"/>
  <c r="M17" i="1"/>
  <c r="Y17" i="1" s="1"/>
  <c r="C27" i="3"/>
  <c r="D27" i="3" s="1"/>
  <c r="N26" i="1"/>
  <c r="M26" i="1"/>
  <c r="Y26" i="1" s="1"/>
  <c r="C33" i="3"/>
  <c r="D33" i="3" s="1"/>
  <c r="N36" i="1"/>
  <c r="M36" i="1"/>
  <c r="Y36" i="1" s="1"/>
  <c r="C44" i="3"/>
  <c r="D44" i="3" s="1"/>
  <c r="N50" i="1"/>
  <c r="M50" i="1"/>
  <c r="Y50" i="1" s="1"/>
  <c r="N41" i="1"/>
  <c r="M41" i="1"/>
  <c r="Y41" i="1" s="1"/>
  <c r="C40" i="3"/>
  <c r="D40" i="3" s="1"/>
  <c r="N10" i="1"/>
  <c r="M10" i="1"/>
  <c r="Y10" i="1" s="1"/>
  <c r="C15" i="3"/>
  <c r="D15" i="3" s="1"/>
  <c r="N28" i="1"/>
  <c r="M28" i="1"/>
  <c r="Y28" i="1" s="1"/>
  <c r="C22" i="3"/>
  <c r="D22" i="3" s="1"/>
  <c r="N52" i="1"/>
  <c r="M52" i="1"/>
  <c r="Y52" i="1" s="1"/>
  <c r="H43" i="1"/>
  <c r="I7" i="1"/>
  <c r="N15" i="1"/>
  <c r="M15" i="1"/>
  <c r="Y15" i="1" s="1"/>
  <c r="C19" i="3"/>
  <c r="D19" i="3" s="1"/>
  <c r="N24" i="1"/>
  <c r="M24" i="1"/>
  <c r="Y24" i="1" s="1"/>
  <c r="C31" i="3"/>
  <c r="D31" i="3" s="1"/>
  <c r="N34" i="1"/>
  <c r="M34" i="1"/>
  <c r="Y34" i="1" s="1"/>
  <c r="C41" i="3"/>
  <c r="D41" i="3" s="1"/>
  <c r="N48" i="1"/>
  <c r="M48" i="1"/>
  <c r="Y48" i="1" s="1"/>
  <c r="M66" i="1"/>
  <c r="C54" i="3"/>
  <c r="D54" i="3" s="1"/>
  <c r="N21" i="1"/>
  <c r="M21" i="1"/>
  <c r="Y21" i="1" s="1"/>
  <c r="C20" i="3"/>
  <c r="D20" i="3" s="1"/>
  <c r="N54" i="1"/>
  <c r="M54" i="1"/>
  <c r="Y54" i="1" s="1"/>
  <c r="N18" i="1"/>
  <c r="M18" i="1"/>
  <c r="Y18" i="1" s="1"/>
  <c r="C28" i="3"/>
  <c r="D28" i="3" s="1"/>
  <c r="N37" i="1"/>
  <c r="M37" i="1"/>
  <c r="Y37" i="1" s="1"/>
  <c r="C45" i="3"/>
  <c r="D45" i="3" s="1"/>
  <c r="N8" i="1"/>
  <c r="M8" i="1"/>
  <c r="Y8" i="1" s="1"/>
  <c r="C13" i="3"/>
  <c r="D13" i="3" s="1"/>
  <c r="N16" i="1"/>
  <c r="M16" i="1"/>
  <c r="Y16" i="1" s="1"/>
  <c r="N25" i="1"/>
  <c r="M25" i="1"/>
  <c r="Y25" i="1" s="1"/>
  <c r="C32" i="3"/>
  <c r="D32" i="3" s="1"/>
  <c r="N35" i="1"/>
  <c r="M35" i="1"/>
  <c r="Y35" i="1" s="1"/>
  <c r="C43" i="3"/>
  <c r="D43" i="3" s="1"/>
  <c r="N49" i="1"/>
  <c r="M49" i="1"/>
  <c r="Y49" i="1" s="1"/>
  <c r="C49" i="3"/>
  <c r="D49" i="3" s="1"/>
  <c r="M62" i="1"/>
  <c r="C18" i="3"/>
  <c r="D18" i="3" s="1"/>
  <c r="N13" i="1"/>
  <c r="M13" i="1"/>
  <c r="Y13" i="1" s="1"/>
  <c r="N22" i="1"/>
  <c r="M22" i="1"/>
  <c r="Y22" i="1" s="1"/>
  <c r="C21" i="3"/>
  <c r="D21" i="3" s="1"/>
  <c r="C36" i="3"/>
  <c r="N31" i="1"/>
  <c r="M31" i="1"/>
  <c r="Y31" i="1" s="1"/>
  <c r="N42" i="1"/>
  <c r="M42" i="1"/>
  <c r="Y42" i="1" s="1"/>
  <c r="C10" i="3"/>
  <c r="D10" i="3" s="1"/>
  <c r="M60" i="1"/>
  <c r="M82" i="1" l="1"/>
  <c r="M83" i="1"/>
  <c r="M80" i="1"/>
  <c r="M77" i="1"/>
  <c r="C86" i="3"/>
  <c r="D86" i="3" s="1"/>
  <c r="D79" i="3"/>
  <c r="C65" i="3"/>
  <c r="C66" i="3"/>
  <c r="D66" i="3" s="1"/>
  <c r="D57" i="3"/>
  <c r="I56" i="1"/>
  <c r="J46" i="1"/>
  <c r="D34" i="3"/>
  <c r="D37" i="3"/>
  <c r="D36" i="3"/>
  <c r="I43" i="1"/>
  <c r="J7" i="1"/>
  <c r="D35" i="3"/>
  <c r="C76" i="3" l="1"/>
  <c r="D76" i="3" s="1"/>
  <c r="D65" i="3"/>
  <c r="K7" i="1"/>
  <c r="J43" i="1"/>
  <c r="H91" i="1" s="1"/>
  <c r="D83" i="3"/>
  <c r="D90" i="3"/>
  <c r="D100" i="3"/>
  <c r="J56" i="1"/>
  <c r="K46" i="1"/>
  <c r="D81" i="3"/>
  <c r="D88" i="3"/>
  <c r="D98" i="3"/>
  <c r="D82" i="3"/>
  <c r="D89" i="3"/>
  <c r="D99" i="3"/>
  <c r="D80" i="3"/>
  <c r="D87" i="3"/>
  <c r="D97" i="3"/>
  <c r="N7" i="1" l="1"/>
  <c r="N43" i="1" s="1"/>
  <c r="M7" i="1"/>
  <c r="Y7" i="1" s="1"/>
  <c r="Y43" i="1" s="1"/>
  <c r="C23" i="3"/>
  <c r="D23" i="3" s="1"/>
  <c r="J57" i="1"/>
  <c r="H92" i="1"/>
  <c r="H93" i="1" s="1"/>
  <c r="B62" i="2" s="1"/>
  <c r="N46" i="1"/>
  <c r="N56" i="1" s="1"/>
  <c r="M46" i="1"/>
  <c r="Y46" i="1" s="1"/>
  <c r="Y56" i="1" s="1"/>
  <c r="Z56" i="1" s="1"/>
  <c r="C8" i="4" s="1"/>
  <c r="C17" i="4" s="1"/>
  <c r="E17" i="4" l="1"/>
  <c r="D17" i="4"/>
  <c r="E8" i="4"/>
  <c r="D8" i="4"/>
  <c r="Z43" i="1"/>
  <c r="C6" i="4" s="1"/>
  <c r="C15" i="4" s="1"/>
  <c r="Y57" i="1"/>
  <c r="Z57" i="1" s="1"/>
  <c r="N57" i="1"/>
  <c r="E15" i="4" l="1"/>
  <c r="C19" i="4"/>
  <c r="E19" i="4" s="1"/>
  <c r="D15" i="4"/>
  <c r="D19" i="4" s="1"/>
  <c r="E6" i="4"/>
  <c r="C10" i="4"/>
  <c r="E10" i="4" s="1"/>
  <c r="D6" i="4"/>
  <c r="D10" i="4" s="1"/>
</calcChain>
</file>

<file path=xl/comments1.xml><?xml version="1.0" encoding="utf-8"?>
<comments xmlns="http://schemas.openxmlformats.org/spreadsheetml/2006/main">
  <authors>
    <author>WCNX</author>
  </authors>
  <commentList>
    <comment ref="B5" authorId="0" shape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From the Cost of Service in TG-121791 (last general rate filing).
</t>
        </r>
      </text>
    </comment>
    <comment ref="F15" authorId="0" shape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Used in TG-121791.</t>
        </r>
      </text>
    </comment>
    <comment ref="F17" authorId="0" shapeId="0">
      <text>
        <r>
          <rPr>
            <b/>
            <sz val="8"/>
            <color indexed="81"/>
            <rFont val="Tahoma"/>
            <family val="2"/>
          </rPr>
          <t>WCNX:</t>
        </r>
        <r>
          <rPr>
            <sz val="8"/>
            <color indexed="81"/>
            <rFont val="Tahoma"/>
            <family val="2"/>
          </rPr>
          <t xml:space="preserve">
Used in TG-121791.</t>
        </r>
      </text>
    </comment>
  </commentList>
</comments>
</file>

<file path=xl/sharedStrings.xml><?xml version="1.0" encoding="utf-8"?>
<sst xmlns="http://schemas.openxmlformats.org/spreadsheetml/2006/main" count="305" uniqueCount="238">
  <si>
    <t>Mason County Garbage</t>
  </si>
  <si>
    <t>Revenue Check:</t>
  </si>
  <si>
    <t xml:space="preserve"> </t>
  </si>
  <si>
    <t>Current Tariff Rate</t>
  </si>
  <si>
    <t>RESIDENTIAL - Mason</t>
  </si>
  <si>
    <t>1-20 gal Mini Can Wkly</t>
  </si>
  <si>
    <t>1-32 gal Can Wkly</t>
  </si>
  <si>
    <t>2-32 g Can Wkly</t>
  </si>
  <si>
    <t>3-32 g Can Wkly</t>
  </si>
  <si>
    <t>4-32 g Can Wkly</t>
  </si>
  <si>
    <t>5-32 g Can Wkly</t>
  </si>
  <si>
    <t>6-32 g Can Wkly</t>
  </si>
  <si>
    <t>1-35 gal Cart Wkly</t>
  </si>
  <si>
    <t>1-45 gal Cart Wkly</t>
  </si>
  <si>
    <t>2-45 gal Cart Wkly</t>
  </si>
  <si>
    <t>1-48 gal Cart Wkly</t>
  </si>
  <si>
    <t>1-64 gal Cart Wkly</t>
  </si>
  <si>
    <t>1-96 gal Cart Wkly</t>
  </si>
  <si>
    <t>1-32 gal Can EOW</t>
  </si>
  <si>
    <t>2-32 g Can EOW</t>
  </si>
  <si>
    <t>1-35 gal Cart EOW</t>
  </si>
  <si>
    <t>1-48 gal Cart EOW</t>
  </si>
  <si>
    <t>1-64 gal Cart EOW</t>
  </si>
  <si>
    <t>1-96 gal Cart EOW</t>
  </si>
  <si>
    <t>1-32 gal Can Monthly</t>
  </si>
  <si>
    <t>1-35 gal Cart Monthly</t>
  </si>
  <si>
    <t>1-48 gal Cart Monthly</t>
  </si>
  <si>
    <t>1-64 gal Cart Monthly</t>
  </si>
  <si>
    <t>1-96 gal Cart Monthly</t>
  </si>
  <si>
    <t>1-32 gal Can On Call Svc</t>
  </si>
  <si>
    <t>1-35 gal Cart On Call Svc</t>
  </si>
  <si>
    <t>1-48 gal Cart On Call Svc</t>
  </si>
  <si>
    <t>1-64 gal Cart On Call Svc</t>
  </si>
  <si>
    <t>1-96 gal Cart On Call Svc</t>
  </si>
  <si>
    <t>Oversized Cans</t>
  </si>
  <si>
    <t>Extra Can, Bag, Box etc</t>
  </si>
  <si>
    <t>Extra Pickup</t>
  </si>
  <si>
    <t>Sub Total</t>
  </si>
  <si>
    <t>Total</t>
  </si>
  <si>
    <t>COMMERCIAL - Mason</t>
  </si>
  <si>
    <t>Extra Can</t>
  </si>
  <si>
    <t>1 Yard Wkly</t>
  </si>
  <si>
    <t>1.50 Yard Wkly</t>
  </si>
  <si>
    <t>2 Yard Wkly</t>
  </si>
  <si>
    <t>1 Yard EOW</t>
  </si>
  <si>
    <t>1.50 Yard EOW</t>
  </si>
  <si>
    <t>2 Yard EOW</t>
  </si>
  <si>
    <t>Extra Yardage</t>
  </si>
  <si>
    <t>Net Impact</t>
  </si>
  <si>
    <t>Monthly Factor</t>
  </si>
  <si>
    <t>Pickups:</t>
  </si>
  <si>
    <t>1 unit</t>
  </si>
  <si>
    <t>2 units</t>
  </si>
  <si>
    <t>3 units</t>
  </si>
  <si>
    <t>4 units</t>
  </si>
  <si>
    <t>5 units</t>
  </si>
  <si>
    <t>6 units</t>
  </si>
  <si>
    <t>7 unit</t>
  </si>
  <si>
    <t>5 Times per Week</t>
  </si>
  <si>
    <t>4 Times per Week</t>
  </si>
  <si>
    <t>3 Times per Week</t>
  </si>
  <si>
    <t>2 Times per Week</t>
  </si>
  <si>
    <t>Weekly Pickup (WG)</t>
  </si>
  <si>
    <t>Every Other Week (EOWG)</t>
  </si>
  <si>
    <t>Monthly (MG)</t>
  </si>
  <si>
    <t>Meeks Weights</t>
  </si>
  <si>
    <t>Res'l</t>
  </si>
  <si>
    <t>Pounds per Pickup</t>
  </si>
  <si>
    <t>20 gal minican</t>
  </si>
  <si>
    <t>1 can</t>
  </si>
  <si>
    <t>2 cans</t>
  </si>
  <si>
    <t>3 cans</t>
  </si>
  <si>
    <t>Lbs. per ton</t>
  </si>
  <si>
    <t>4 cans</t>
  </si>
  <si>
    <t>Yds. Per ton</t>
  </si>
  <si>
    <t>n/a</t>
  </si>
  <si>
    <t>5 cans</t>
  </si>
  <si>
    <t>6 cans</t>
  </si>
  <si>
    <t>35 gallon Can</t>
  </si>
  <si>
    <t>Supercan 60</t>
  </si>
  <si>
    <t>Supercan 90</t>
  </si>
  <si>
    <t>Once a month</t>
  </si>
  <si>
    <t>Extras</t>
  </si>
  <si>
    <t>Com'l</t>
  </si>
  <si>
    <t>Cans</t>
  </si>
  <si>
    <t>1 yd container</t>
  </si>
  <si>
    <t>1.5 yd container</t>
  </si>
  <si>
    <t>1.5 yd container (2)</t>
  </si>
  <si>
    <t>*</t>
  </si>
  <si>
    <t>2 yd container</t>
  </si>
  <si>
    <t>3 yd container</t>
  </si>
  <si>
    <t>3 yd container (2)</t>
  </si>
  <si>
    <t>4 yd container</t>
  </si>
  <si>
    <t>4 yd container (2)</t>
  </si>
  <si>
    <t>6 yd container</t>
  </si>
  <si>
    <t>6 yd container (2)</t>
  </si>
  <si>
    <t>8 yd container</t>
  </si>
  <si>
    <t>1 yd packer/compactor</t>
  </si>
  <si>
    <t>1.5 yd packer/compactor</t>
  </si>
  <si>
    <t>2 yd packer/compactor</t>
  </si>
  <si>
    <t>3 yd packer/compactor</t>
  </si>
  <si>
    <t>4 yd packer/compactor</t>
  </si>
  <si>
    <t>5 yd packer/compactor</t>
  </si>
  <si>
    <t>6 yd packer/compactor</t>
  </si>
  <si>
    <t>8 yd packer/compactor</t>
  </si>
  <si>
    <t>Yards</t>
  </si>
  <si>
    <t>* not on meeks - calculated by staff</t>
  </si>
  <si>
    <t>Per Ton</t>
  </si>
  <si>
    <t>Per Pound</t>
  </si>
  <si>
    <t>Gross Up Factors</t>
  </si>
  <si>
    <t xml:space="preserve">Current Rate </t>
  </si>
  <si>
    <t>B&amp;O tax</t>
  </si>
  <si>
    <t>New Rate per ton</t>
  </si>
  <si>
    <t>WUTC fees</t>
  </si>
  <si>
    <t>Increase</t>
  </si>
  <si>
    <t>Bad Debts</t>
  </si>
  <si>
    <t>Transfer Station</t>
  </si>
  <si>
    <t>Increase per ton</t>
  </si>
  <si>
    <t>Factor</t>
  </si>
  <si>
    <t>Grossed Up Increase per ton</t>
  </si>
  <si>
    <t>Tons Collected</t>
  </si>
  <si>
    <t>provided by wcn</t>
  </si>
  <si>
    <t>Annual Pick-Up's</t>
  </si>
  <si>
    <t>Calculated Annual Lbs</t>
  </si>
  <si>
    <t>Adjusted Annual Lbs</t>
  </si>
  <si>
    <t>Mason County</t>
  </si>
  <si>
    <t xml:space="preserve">Actual Mason Co. Lbs Collected = </t>
  </si>
  <si>
    <t>(Taken from TG-121791).</t>
  </si>
  <si>
    <t>Factor %</t>
  </si>
  <si>
    <t>Grossed-Up for Taxes</t>
  </si>
  <si>
    <t>Mason Resi</t>
  </si>
  <si>
    <t>Mason Comm</t>
  </si>
  <si>
    <t>Check</t>
  </si>
  <si>
    <t>Tariff Rate Increase</t>
  </si>
  <si>
    <t>Mason County Garbage Co., Inc G-88</t>
  </si>
  <si>
    <t>Current</t>
  </si>
  <si>
    <t>Proposed</t>
  </si>
  <si>
    <t>Type of Service</t>
  </si>
  <si>
    <t>Tariff Rate</t>
  </si>
  <si>
    <t>Rate</t>
  </si>
  <si>
    <t>per Month</t>
  </si>
  <si>
    <t>Residential Cans:</t>
  </si>
  <si>
    <t>Over-weight cans</t>
  </si>
  <si>
    <t>Item 100, pg 21</t>
  </si>
  <si>
    <t xml:space="preserve"> 1 can</t>
  </si>
  <si>
    <t xml:space="preserve"> 2 can</t>
  </si>
  <si>
    <t xml:space="preserve"> 3 can</t>
  </si>
  <si>
    <t xml:space="preserve"> 4 can</t>
  </si>
  <si>
    <t xml:space="preserve"> 5 can</t>
  </si>
  <si>
    <t xml:space="preserve"> 6 can</t>
  </si>
  <si>
    <t xml:space="preserve"> 45-gallon can</t>
  </si>
  <si>
    <t xml:space="preserve"> 1 can every-other-week</t>
  </si>
  <si>
    <t xml:space="preserve"> 2 can every-other-week</t>
  </si>
  <si>
    <t xml:space="preserve"> 1 can once-per-month</t>
  </si>
  <si>
    <t xml:space="preserve"> Mini</t>
  </si>
  <si>
    <t>Automated Service:</t>
  </si>
  <si>
    <t xml:space="preserve"> 35-gallon tote</t>
  </si>
  <si>
    <t xml:space="preserve"> 48-gallon tote</t>
  </si>
  <si>
    <t xml:space="preserve"> 64-gallon tote</t>
  </si>
  <si>
    <t xml:space="preserve"> 96-gallon tote</t>
  </si>
  <si>
    <t xml:space="preserve"> 35-gal tote every-other-week</t>
  </si>
  <si>
    <t xml:space="preserve"> 48-gal tote every-other-week</t>
  </si>
  <si>
    <t xml:space="preserve"> 64-gal tote every-other-week</t>
  </si>
  <si>
    <t xml:space="preserve"> 96-gal tote every-other-week</t>
  </si>
  <si>
    <t xml:space="preserve"> 35-gal tote once-per-month</t>
  </si>
  <si>
    <t xml:space="preserve"> 48-gal tote once-per-month</t>
  </si>
  <si>
    <t xml:space="preserve"> 64-gal tote once-per-month</t>
  </si>
  <si>
    <t xml:space="preserve"> 96-gal tote once-per-month</t>
  </si>
  <si>
    <t>Item 100, pg 22</t>
  </si>
  <si>
    <t xml:space="preserve"> Occasional extra unit (All Sizes)</t>
  </si>
  <si>
    <t>32 gal can on call</t>
  </si>
  <si>
    <t xml:space="preserve"> 35-gal tote on call</t>
  </si>
  <si>
    <t xml:space="preserve"> 48-gal tote on call</t>
  </si>
  <si>
    <t xml:space="preserve"> 64-gal tote on call</t>
  </si>
  <si>
    <t xml:space="preserve"> 96-gal tote on call</t>
  </si>
  <si>
    <t>Item 120, pg 28</t>
  </si>
  <si>
    <t>Drum</t>
  </si>
  <si>
    <t>Special PU</t>
  </si>
  <si>
    <t>Item 130, pg 28</t>
  </si>
  <si>
    <t>Litter Toter, per pu</t>
  </si>
  <si>
    <t>Litter Toter, per month</t>
  </si>
  <si>
    <t>Item 150, pg 28</t>
  </si>
  <si>
    <t>Bulky</t>
  </si>
  <si>
    <t>Loose</t>
  </si>
  <si>
    <t>Additional yard</t>
  </si>
  <si>
    <t>Minimum</t>
  </si>
  <si>
    <t>Item 207, pg 32</t>
  </si>
  <si>
    <t>All container per yard</t>
  </si>
  <si>
    <t>All Drop boxes per yard</t>
  </si>
  <si>
    <t>Item 230, pg 34</t>
  </si>
  <si>
    <t>Mason County Transfer Station</t>
  </si>
  <si>
    <t>MSW</t>
  </si>
  <si>
    <t>Item 240, pg 35</t>
  </si>
  <si>
    <t>1 yard</t>
  </si>
  <si>
    <t>1.5 yard</t>
  </si>
  <si>
    <t>2 yard</t>
  </si>
  <si>
    <t>Note 4</t>
  </si>
  <si>
    <t>Item 245, pg 36</t>
  </si>
  <si>
    <t xml:space="preserve"> 35-gal cart </t>
  </si>
  <si>
    <t xml:space="preserve"> 48-gal cart </t>
  </si>
  <si>
    <t xml:space="preserve"> 64-gal cart</t>
  </si>
  <si>
    <t xml:space="preserve"> 96-gal cart</t>
  </si>
  <si>
    <t>Note 2</t>
  </si>
  <si>
    <t>Note 3</t>
  </si>
  <si>
    <t>Note 5</t>
  </si>
  <si>
    <t>Pickup Frequency</t>
  </si>
  <si>
    <t>Annual Revenue from TG-121791</t>
  </si>
  <si>
    <t>TOTAL Mason</t>
  </si>
  <si>
    <t>No. of Customers from TG-121791</t>
  </si>
  <si>
    <t>Disposal Fee Rev Inc Resi/Comm</t>
  </si>
  <si>
    <t>RO Tons</t>
  </si>
  <si>
    <t>RO Increase</t>
  </si>
  <si>
    <t>NO CUSTOMERS - Mason</t>
  </si>
  <si>
    <t>Oversized Can</t>
  </si>
  <si>
    <t>Drum - Special Pick-Up</t>
  </si>
  <si>
    <t>Item 55, page 16</t>
  </si>
  <si>
    <t>Commercial Cans - No Cust</t>
  </si>
  <si>
    <t>Note 2 - Each Addn'l Unit</t>
  </si>
  <si>
    <t>Note 4 - Grouped Cans</t>
  </si>
  <si>
    <t>Note 4 - Non-Grouped Cans</t>
  </si>
  <si>
    <t>Note 5 - 35 Gal Mo. Min</t>
  </si>
  <si>
    <t>Note 5 - 48 Gal Mo. Min</t>
  </si>
  <si>
    <t>Note 5 - 64 Gal Mo. Min</t>
  </si>
  <si>
    <t>Note 5 - 96 Gal Mo. Min</t>
  </si>
  <si>
    <t>Note 3 - Monthly Min.</t>
  </si>
  <si>
    <t>Increase:</t>
  </si>
  <si>
    <t>Residential</t>
  </si>
  <si>
    <t>Commercial</t>
  </si>
  <si>
    <t>Current Revenue</t>
  </si>
  <si>
    <t>Projected Revenue</t>
  </si>
  <si>
    <t>Revenue IS:</t>
  </si>
  <si>
    <t>From  DF Calc:</t>
  </si>
  <si>
    <t>Mason RO</t>
  </si>
  <si>
    <t>Effective 1/1/2016</t>
  </si>
  <si>
    <t>1/1/2016 Tariff Rate</t>
  </si>
  <si>
    <t xml:space="preserve">Mason County </t>
  </si>
  <si>
    <t>Mason County Garbage, Inc.</t>
  </si>
  <si>
    <t>Mason County DF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</si>
</sst>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General_)"/>
    <numFmt numFmtId="167" formatCode="_(&quot;$&quot;* #,##0.000_);_(&quot;$&quot;* \(#,##0.000\);_(&quot;$&quot;* &quot;-&quot;??_);_(@_)"/>
    <numFmt numFmtId="168" formatCode="_(* #,##0.000000_);_(* \(#,##0.000000\);_(* &quot;-&quot;??_);_(@_)"/>
    <numFmt numFmtId="169" formatCode="_(&quot;$&quot;* #,##0.000000_);_(&quot;$&quot;* \(#,##0.000000\);_(&quot;$&quot;* &quot;-&quot;??_);_(@_)"/>
    <numFmt numFmtId="170" formatCode="0.0000%"/>
    <numFmt numFmtId="171" formatCode="0.000000"/>
    <numFmt numFmtId="172" formatCode="_(&quot;$&quot;* #,##0_);_(&quot;$&quot;* \(#,##0\);_(&quot;$&quot;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WISS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0"/>
      <name val="Times New Roman"/>
      <family val="1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name val="Arial MT"/>
    </font>
    <font>
      <b/>
      <u/>
      <sz val="11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name val="SWISS"/>
    </font>
    <font>
      <sz val="9"/>
      <name val="SWISS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4">
    <xf numFmtId="0" fontId="0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0" applyProtection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9" borderId="0" applyNumberFormat="0" applyBorder="0" applyAlignment="0" applyProtection="0"/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41" fontId="9" fillId="0" borderId="0"/>
    <xf numFmtId="0" fontId="14" fillId="7" borderId="0" applyNumberFormat="0" applyBorder="0" applyAlignment="0" applyProtection="0"/>
    <xf numFmtId="3" fontId="9" fillId="0" borderId="0"/>
    <xf numFmtId="0" fontId="15" fillId="25" borderId="4" applyNumberFormat="0" applyAlignment="0" applyProtection="0"/>
    <xf numFmtId="0" fontId="15" fillId="5" borderId="4" applyNumberFormat="0" applyAlignment="0" applyProtection="0"/>
    <xf numFmtId="0" fontId="16" fillId="26" borderId="5" applyNumberFormat="0" applyAlignment="0" applyProtection="0"/>
    <xf numFmtId="0" fontId="9" fillId="3" borderId="0">
      <alignment horizont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17" fillId="0" borderId="0"/>
    <xf numFmtId="0" fontId="18" fillId="0" borderId="0"/>
    <xf numFmtId="0" fontId="18" fillId="0" borderId="0"/>
    <xf numFmtId="0" fontId="19" fillId="27" borderId="1" applyAlignment="0">
      <alignment horizontal="right"/>
      <protection locked="0"/>
    </xf>
    <xf numFmtId="44" fontId="2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2" fillId="28" borderId="0">
      <alignment horizontal="right"/>
      <protection locked="0"/>
    </xf>
    <xf numFmtId="14" fontId="9" fillId="0" borderId="0"/>
    <xf numFmtId="0" fontId="23" fillId="0" borderId="0" applyNumberFormat="0" applyFill="0" applyBorder="0" applyAlignment="0" applyProtection="0"/>
    <xf numFmtId="2" fontId="22" fillId="28" borderId="0">
      <alignment horizontal="right"/>
      <protection locked="0"/>
    </xf>
    <xf numFmtId="1" fontId="9" fillId="0" borderId="0">
      <alignment horizontal="center"/>
    </xf>
    <xf numFmtId="0" fontId="24" fillId="8" borderId="0" applyNumberFormat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11" borderId="4" applyNumberFormat="0" applyAlignment="0" applyProtection="0"/>
    <xf numFmtId="3" fontId="34" fillId="29" borderId="0">
      <protection locked="0"/>
    </xf>
    <xf numFmtId="4" fontId="34" fillId="29" borderId="0">
      <protection locked="0"/>
    </xf>
    <xf numFmtId="0" fontId="35" fillId="0" borderId="11" applyNumberFormat="0" applyFill="0" applyAlignment="0" applyProtection="0"/>
    <xf numFmtId="0" fontId="36" fillId="15" borderId="0" applyNumberFormat="0" applyBorder="0" applyAlignment="0" applyProtection="0"/>
    <xf numFmtId="43" fontId="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3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9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30" borderId="12" applyNumberFormat="0" applyFont="0" applyAlignment="0" applyProtection="0"/>
    <xf numFmtId="0" fontId="6" fillId="30" borderId="12" applyNumberFormat="0" applyFont="0" applyAlignment="0" applyProtection="0"/>
    <xf numFmtId="165" fontId="38" fillId="0" borderId="0" applyNumberFormat="0"/>
    <xf numFmtId="0" fontId="39" fillId="5" borderId="13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/>
    <xf numFmtId="0" fontId="40" fillId="0" borderId="0" applyNumberFormat="0" applyFont="0" applyFill="0" applyBorder="0" applyAlignment="0" applyProtection="0">
      <alignment horizontal="left"/>
    </xf>
    <xf numFmtId="0" fontId="41" fillId="0" borderId="2">
      <alignment horizont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7" fillId="0" borderId="0">
      <alignment vertical="top"/>
    </xf>
    <xf numFmtId="0" fontId="17" fillId="0" borderId="0" applyNumberFormat="0" applyBorder="0" applyAlignment="0"/>
    <xf numFmtId="37" fontId="43" fillId="0" borderId="0"/>
    <xf numFmtId="37" fontId="8" fillId="0" borderId="0"/>
    <xf numFmtId="0" fontId="44" fillId="0" borderId="14" applyNumberFormat="0" applyFill="0" applyAlignment="0" applyProtection="0"/>
    <xf numFmtId="0" fontId="44" fillId="0" borderId="15" applyNumberFormat="0" applyFill="0" applyAlignment="0" applyProtection="0"/>
    <xf numFmtId="0" fontId="45" fillId="0" borderId="0" applyNumberFormat="0" applyFill="0" applyBorder="0" applyAlignment="0" applyProtection="0"/>
  </cellStyleXfs>
  <cellXfs count="150">
    <xf numFmtId="0" fontId="0" fillId="0" borderId="0" xfId="0"/>
    <xf numFmtId="0" fontId="5" fillId="0" borderId="0" xfId="4" applyNumberFormat="1" applyFont="1" applyFill="1"/>
    <xf numFmtId="0" fontId="6" fillId="0" borderId="0" xfId="4" applyNumberFormat="1" applyFont="1" applyFill="1"/>
    <xf numFmtId="44" fontId="6" fillId="0" borderId="0" xfId="5" applyFont="1" applyFill="1"/>
    <xf numFmtId="37" fontId="6" fillId="0" borderId="0" xfId="4" applyNumberFormat="1" applyFont="1" applyFill="1"/>
    <xf numFmtId="164" fontId="6" fillId="0" borderId="0" xfId="4" applyNumberFormat="1" applyFont="1" applyFill="1"/>
    <xf numFmtId="164" fontId="6" fillId="0" borderId="0" xfId="1" applyNumberFormat="1" applyFont="1" applyFill="1"/>
    <xf numFmtId="43" fontId="6" fillId="0" borderId="0" xfId="4" applyNumberFormat="1" applyFont="1" applyFill="1"/>
    <xf numFmtId="0" fontId="6" fillId="0" borderId="0" xfId="4" applyNumberFormat="1" applyFont="1" applyFill="1" applyBorder="1" applyAlignment="1">
      <alignment wrapText="1"/>
    </xf>
    <xf numFmtId="0" fontId="6" fillId="0" borderId="0" xfId="4" applyNumberFormat="1" applyFont="1" applyFill="1" applyAlignment="1">
      <alignment wrapText="1"/>
    </xf>
    <xf numFmtId="0" fontId="5" fillId="0" borderId="3" xfId="4" applyNumberFormat="1" applyFont="1" applyFill="1" applyBorder="1"/>
    <xf numFmtId="10" fontId="6" fillId="0" borderId="0" xfId="9" applyNumberFormat="1" applyFont="1" applyFill="1"/>
    <xf numFmtId="0" fontId="6" fillId="4" borderId="0" xfId="10" applyNumberFormat="1" applyFont="1" applyFill="1" applyAlignment="1">
      <alignment horizontal="left"/>
    </xf>
    <xf numFmtId="164" fontId="6" fillId="4" borderId="0" xfId="6" applyNumberFormat="1" applyFont="1" applyFill="1" applyAlignment="1">
      <alignment vertical="center"/>
    </xf>
    <xf numFmtId="44" fontId="6" fillId="4" borderId="0" xfId="5" applyFont="1" applyFill="1" applyAlignment="1" applyProtection="1">
      <alignment vertical="center"/>
    </xf>
    <xf numFmtId="43" fontId="6" fillId="4" borderId="0" xfId="6" applyNumberFormat="1" applyFont="1" applyFill="1" applyAlignment="1">
      <alignment vertical="center"/>
    </xf>
    <xf numFmtId="0" fontId="6" fillId="4" borderId="0" xfId="10" applyNumberFormat="1" applyFont="1" applyFill="1" applyBorder="1" applyAlignment="1">
      <alignment horizontal="left"/>
    </xf>
    <xf numFmtId="0" fontId="5" fillId="4" borderId="0" xfId="4" applyNumberFormat="1" applyFont="1" applyFill="1"/>
    <xf numFmtId="164" fontId="5" fillId="4" borderId="0" xfId="6" applyNumberFormat="1" applyFont="1" applyFill="1" applyAlignment="1">
      <alignment vertical="center"/>
    </xf>
    <xf numFmtId="37" fontId="5" fillId="0" borderId="0" xfId="4" applyNumberFormat="1" applyFont="1" applyFill="1"/>
    <xf numFmtId="164" fontId="5" fillId="0" borderId="0" xfId="4" applyNumberFormat="1" applyFont="1" applyFill="1"/>
    <xf numFmtId="10" fontId="5" fillId="0" borderId="0" xfId="9" applyNumberFormat="1" applyFont="1" applyFill="1"/>
    <xf numFmtId="164" fontId="6" fillId="0" borderId="0" xfId="6" applyNumberFormat="1" applyFont="1" applyFill="1" applyAlignment="1">
      <alignment vertical="center"/>
    </xf>
    <xf numFmtId="44" fontId="6" fillId="0" borderId="0" xfId="5" applyFont="1" applyFill="1" applyAlignment="1">
      <alignment vertical="center"/>
    </xf>
    <xf numFmtId="43" fontId="6" fillId="0" borderId="0" xfId="11" applyFont="1" applyFill="1"/>
    <xf numFmtId="165" fontId="6" fillId="0" borderId="0" xfId="8" applyNumberFormat="1" applyFont="1" applyFill="1"/>
    <xf numFmtId="164" fontId="5" fillId="2" borderId="1" xfId="6" applyNumberFormat="1" applyFont="1" applyFill="1" applyBorder="1" applyAlignment="1">
      <alignment vertical="center"/>
    </xf>
    <xf numFmtId="0" fontId="10" fillId="0" borderId="0" xfId="4" applyNumberFormat="1" applyFont="1" applyFill="1"/>
    <xf numFmtId="37" fontId="10" fillId="0" borderId="0" xfId="4" applyNumberFormat="1" applyFont="1" applyFill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1" applyFont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3" fillId="0" borderId="0" xfId="0" applyFont="1"/>
    <xf numFmtId="43" fontId="0" fillId="0" borderId="0" xfId="1" applyFont="1" applyAlignment="1">
      <alignment horizontal="center"/>
    </xf>
    <xf numFmtId="0" fontId="0" fillId="0" borderId="0" xfId="0" applyFont="1" applyAlignment="1">
      <alignment horizontal="left" indent="1"/>
    </xf>
    <xf numFmtId="164" fontId="0" fillId="0" borderId="0" xfId="1" applyNumberFormat="1" applyFont="1"/>
    <xf numFmtId="0" fontId="0" fillId="32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31" borderId="1" xfId="0" applyFont="1" applyFill="1" applyBorder="1"/>
    <xf numFmtId="0" fontId="0" fillId="31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4" fontId="0" fillId="33" borderId="0" xfId="2" applyFont="1" applyFill="1"/>
    <xf numFmtId="167" fontId="0" fillId="33" borderId="0" xfId="2" applyNumberFormat="1" applyFont="1" applyFill="1"/>
    <xf numFmtId="168" fontId="0" fillId="0" borderId="0" xfId="1" applyNumberFormat="1" applyFont="1"/>
    <xf numFmtId="44" fontId="0" fillId="33" borderId="1" xfId="2" applyFont="1" applyFill="1" applyBorder="1"/>
    <xf numFmtId="167" fontId="0" fillId="33" borderId="1" xfId="2" applyNumberFormat="1" applyFont="1" applyFill="1" applyBorder="1"/>
    <xf numFmtId="168" fontId="0" fillId="0" borderId="0" xfId="1" applyNumberFormat="1" applyFont="1" applyBorder="1"/>
    <xf numFmtId="169" fontId="0" fillId="33" borderId="0" xfId="2" applyNumberFormat="1" applyFont="1" applyFill="1"/>
    <xf numFmtId="168" fontId="0" fillId="0" borderId="1" xfId="1" applyNumberFormat="1" applyFont="1" applyBorder="1"/>
    <xf numFmtId="170" fontId="0" fillId="0" borderId="0" xfId="0" applyNumberFormat="1" applyFont="1"/>
    <xf numFmtId="0" fontId="0" fillId="31" borderId="1" xfId="0" applyFont="1" applyFill="1" applyBorder="1"/>
    <xf numFmtId="44" fontId="0" fillId="0" borderId="0" xfId="0" applyNumberFormat="1" applyFont="1"/>
    <xf numFmtId="171" fontId="0" fillId="0" borderId="0" xfId="0" applyNumberFormat="1" applyFont="1"/>
    <xf numFmtId="164" fontId="0" fillId="0" borderId="1" xfId="1" applyNumberFormat="1" applyFont="1" applyBorder="1"/>
    <xf numFmtId="44" fontId="3" fillId="0" borderId="0" xfId="0" applyNumberFormat="1" applyFont="1"/>
    <xf numFmtId="43" fontId="0" fillId="0" borderId="0" xfId="0" applyNumberFormat="1"/>
    <xf numFmtId="0" fontId="6" fillId="0" borderId="0" xfId="4" applyNumberFormat="1" applyFont="1" applyFill="1" applyAlignment="1">
      <alignment horizontal="right"/>
    </xf>
    <xf numFmtId="164" fontId="6" fillId="4" borderId="0" xfId="1" applyNumberFormat="1" applyFont="1" applyFill="1" applyAlignment="1">
      <alignment vertical="center"/>
    </xf>
    <xf numFmtId="10" fontId="6" fillId="0" borderId="0" xfId="3" applyNumberFormat="1" applyFont="1" applyFill="1"/>
    <xf numFmtId="0" fontId="46" fillId="0" borderId="0" xfId="0" applyFont="1"/>
    <xf numFmtId="0" fontId="5" fillId="0" borderId="0" xfId="4" applyNumberFormat="1" applyFont="1" applyFill="1" applyAlignment="1">
      <alignment horizontal="right"/>
    </xf>
    <xf numFmtId="172" fontId="5" fillId="0" borderId="0" xfId="2" applyNumberFormat="1" applyFont="1" applyFill="1"/>
    <xf numFmtId="172" fontId="5" fillId="0" borderId="1" xfId="2" applyNumberFormat="1" applyFont="1" applyFill="1" applyBorder="1"/>
    <xf numFmtId="44" fontId="6" fillId="4" borderId="0" xfId="2" applyFont="1" applyFill="1" applyAlignment="1">
      <alignment vertical="center"/>
    </xf>
    <xf numFmtId="10" fontId="0" fillId="0" borderId="0" xfId="3" applyNumberFormat="1" applyFont="1"/>
    <xf numFmtId="44" fontId="5" fillId="4" borderId="0" xfId="2" applyFont="1" applyFill="1" applyAlignment="1">
      <alignment vertical="center"/>
    </xf>
    <xf numFmtId="0" fontId="5" fillId="0" borderId="0" xfId="4" applyNumberFormat="1" applyFont="1" applyFill="1" applyAlignment="1">
      <alignment horizontal="center" wrapText="1"/>
    </xf>
    <xf numFmtId="2" fontId="5" fillId="0" borderId="0" xfId="4" applyNumberFormat="1" applyFont="1" applyFill="1" applyAlignment="1">
      <alignment horizontal="center" wrapText="1"/>
    </xf>
    <xf numFmtId="44" fontId="5" fillId="0" borderId="0" xfId="5" applyFont="1" applyFill="1" applyAlignment="1">
      <alignment horizontal="center" wrapText="1"/>
    </xf>
    <xf numFmtId="0" fontId="6" fillId="34" borderId="0" xfId="12" applyFont="1" applyFill="1"/>
    <xf numFmtId="164" fontId="6" fillId="34" borderId="0" xfId="6" applyNumberFormat="1" applyFont="1" applyFill="1" applyAlignment="1">
      <alignment vertical="center"/>
    </xf>
    <xf numFmtId="43" fontId="6" fillId="34" borderId="0" xfId="6" applyNumberFormat="1" applyFont="1" applyFill="1" applyAlignment="1">
      <alignment vertical="center"/>
    </xf>
    <xf numFmtId="44" fontId="6" fillId="34" borderId="0" xfId="2" applyFont="1" applyFill="1" applyAlignment="1">
      <alignment vertical="center"/>
    </xf>
    <xf numFmtId="164" fontId="6" fillId="34" borderId="0" xfId="1" applyNumberFormat="1" applyFont="1" applyFill="1" applyAlignment="1">
      <alignment vertical="center"/>
    </xf>
    <xf numFmtId="43" fontId="6" fillId="34" borderId="0" xfId="1" applyFont="1" applyFill="1" applyAlignment="1">
      <alignment vertical="center"/>
    </xf>
    <xf numFmtId="44" fontId="6" fillId="34" borderId="0" xfId="5" applyFont="1" applyFill="1" applyAlignment="1" applyProtection="1">
      <alignment vertical="center"/>
    </xf>
    <xf numFmtId="164" fontId="6" fillId="34" borderId="0" xfId="6" applyNumberFormat="1" applyFont="1" applyFill="1" applyBorder="1" applyAlignment="1">
      <alignment vertical="center"/>
    </xf>
    <xf numFmtId="44" fontId="6" fillId="34" borderId="0" xfId="2" applyFont="1" applyFill="1" applyBorder="1" applyAlignment="1">
      <alignment vertical="center"/>
    </xf>
    <xf numFmtId="0" fontId="5" fillId="34" borderId="1" xfId="12" applyFont="1" applyFill="1" applyBorder="1"/>
    <xf numFmtId="164" fontId="5" fillId="34" borderId="1" xfId="6" applyNumberFormat="1" applyFont="1" applyFill="1" applyBorder="1" applyAlignment="1">
      <alignment vertical="center"/>
    </xf>
    <xf numFmtId="44" fontId="5" fillId="34" borderId="1" xfId="2" applyFont="1" applyFill="1" applyBorder="1" applyAlignment="1">
      <alignment vertical="center"/>
    </xf>
    <xf numFmtId="44" fontId="5" fillId="34" borderId="1" xfId="5" applyFont="1" applyFill="1" applyBorder="1" applyAlignment="1" applyProtection="1">
      <alignment vertical="center"/>
    </xf>
    <xf numFmtId="0" fontId="5" fillId="0" borderId="0" xfId="12" applyFont="1" applyFill="1" applyBorder="1"/>
    <xf numFmtId="164" fontId="5" fillId="0" borderId="0" xfId="6" applyNumberFormat="1" applyFont="1" applyFill="1" applyBorder="1" applyAlignment="1">
      <alignment vertical="center"/>
    </xf>
    <xf numFmtId="44" fontId="5" fillId="0" borderId="0" xfId="2" applyFont="1" applyFill="1" applyBorder="1" applyAlignment="1">
      <alignment vertical="center"/>
    </xf>
    <xf numFmtId="44" fontId="5" fillId="0" borderId="0" xfId="5" applyFont="1" applyFill="1" applyBorder="1" applyAlignment="1" applyProtection="1">
      <alignment vertical="center"/>
    </xf>
    <xf numFmtId="0" fontId="5" fillId="0" borderId="0" xfId="4" applyNumberFormat="1" applyFont="1" applyFill="1" applyBorder="1"/>
    <xf numFmtId="43" fontId="6" fillId="0" borderId="0" xfId="1" applyFont="1" applyFill="1"/>
    <xf numFmtId="0" fontId="47" fillId="0" borderId="0" xfId="0" applyFont="1"/>
    <xf numFmtId="0" fontId="0" fillId="0" borderId="0" xfId="0" applyFont="1" applyBorder="1"/>
    <xf numFmtId="44" fontId="0" fillId="0" borderId="0" xfId="2" applyFont="1" applyBorder="1"/>
    <xf numFmtId="0" fontId="0" fillId="0" borderId="0" xfId="0" applyFont="1" applyBorder="1" applyAlignment="1">
      <alignment horizontal="left"/>
    </xf>
    <xf numFmtId="44" fontId="6" fillId="0" borderId="0" xfId="4" applyNumberFormat="1" applyFont="1" applyFill="1"/>
    <xf numFmtId="3" fontId="6" fillId="0" borderId="0" xfId="4" applyNumberFormat="1" applyFont="1" applyFill="1"/>
    <xf numFmtId="3" fontId="5" fillId="0" borderId="0" xfId="4" applyNumberFormat="1" applyFont="1" applyFill="1"/>
    <xf numFmtId="0" fontId="5" fillId="0" borderId="0" xfId="4" applyNumberFormat="1" applyFont="1" applyFill="1" applyBorder="1" applyAlignment="1">
      <alignment wrapText="1"/>
    </xf>
    <xf numFmtId="3" fontId="0" fillId="0" borderId="0" xfId="0" applyNumberFormat="1"/>
    <xf numFmtId="42" fontId="0" fillId="0" borderId="0" xfId="0" applyNumberFormat="1"/>
    <xf numFmtId="42" fontId="3" fillId="0" borderId="0" xfId="0" applyNumberFormat="1" applyFont="1"/>
    <xf numFmtId="10" fontId="0" fillId="0" borderId="0" xfId="0" applyNumberFormat="1"/>
    <xf numFmtId="10" fontId="0" fillId="0" borderId="0" xfId="0" applyNumberFormat="1" applyFont="1"/>
    <xf numFmtId="172" fontId="0" fillId="0" borderId="0" xfId="0" applyNumberFormat="1" applyFont="1"/>
    <xf numFmtId="0" fontId="3" fillId="35" borderId="0" xfId="0" applyFont="1" applyFill="1"/>
    <xf numFmtId="42" fontId="5" fillId="0" borderId="0" xfId="4" applyNumberFormat="1" applyFont="1" applyFill="1"/>
    <xf numFmtId="44" fontId="0" fillId="0" borderId="0" xfId="0" applyNumberFormat="1"/>
    <xf numFmtId="42" fontId="0" fillId="0" borderId="0" xfId="0" applyNumberFormat="1" applyFill="1"/>
    <xf numFmtId="0" fontId="48" fillId="0" borderId="19" xfId="144" applyFont="1" applyBorder="1" applyAlignment="1"/>
    <xf numFmtId="2" fontId="49" fillId="0" borderId="20" xfId="144" applyNumberFormat="1" applyFont="1" applyFill="1" applyBorder="1" applyAlignment="1"/>
    <xf numFmtId="2" fontId="48" fillId="0" borderId="21" xfId="144" applyNumberFormat="1" applyFont="1" applyBorder="1" applyAlignment="1"/>
    <xf numFmtId="0" fontId="48" fillId="0" borderId="17" xfId="144" applyFont="1" applyBorder="1" applyAlignment="1">
      <alignment horizontal="center"/>
    </xf>
    <xf numFmtId="0" fontId="48" fillId="0" borderId="16" xfId="144" applyNumberFormat="1" applyFont="1" applyBorder="1" applyAlignment="1" applyProtection="1">
      <protection locked="0"/>
    </xf>
    <xf numFmtId="0" fontId="50" fillId="0" borderId="0" xfId="0" applyFont="1"/>
    <xf numFmtId="0" fontId="48" fillId="0" borderId="22" xfId="144" applyFont="1" applyBorder="1" applyAlignment="1"/>
    <xf numFmtId="2" fontId="48" fillId="0" borderId="16" xfId="144" applyNumberFormat="1" applyFont="1" applyFill="1" applyBorder="1" applyAlignment="1"/>
    <xf numFmtId="2" fontId="49" fillId="0" borderId="16" xfId="144" applyNumberFormat="1" applyFont="1" applyFill="1" applyBorder="1" applyAlignment="1"/>
    <xf numFmtId="2" fontId="48" fillId="0" borderId="23" xfId="144" applyNumberFormat="1" applyFont="1" applyBorder="1" applyAlignment="1">
      <alignment horizontal="center"/>
    </xf>
    <xf numFmtId="2" fontId="49" fillId="0" borderId="23" xfId="144" applyNumberFormat="1" applyFont="1" applyBorder="1" applyAlignment="1"/>
    <xf numFmtId="0" fontId="49" fillId="0" borderId="17" xfId="144" applyFont="1" applyBorder="1" applyAlignment="1"/>
    <xf numFmtId="0" fontId="49" fillId="0" borderId="22" xfId="144" applyFont="1" applyBorder="1" applyAlignment="1"/>
    <xf numFmtId="2" fontId="48" fillId="0" borderId="16" xfId="144" applyNumberFormat="1" applyFont="1" applyFill="1" applyBorder="1" applyAlignment="1">
      <alignment horizontal="center"/>
    </xf>
    <xf numFmtId="4" fontId="49" fillId="0" borderId="17" xfId="144" applyNumberFormat="1" applyFont="1" applyBorder="1" applyAlignment="1"/>
    <xf numFmtId="4" fontId="48" fillId="0" borderId="16" xfId="144" applyNumberFormat="1" applyFont="1" applyBorder="1" applyAlignment="1" applyProtection="1">
      <protection locked="0"/>
    </xf>
    <xf numFmtId="4" fontId="49" fillId="0" borderId="16" xfId="144" applyNumberFormat="1" applyFont="1" applyFill="1" applyBorder="1" applyAlignment="1"/>
    <xf numFmtId="2" fontId="48" fillId="0" borderId="17" xfId="144" applyNumberFormat="1" applyFont="1" applyBorder="1" applyAlignment="1">
      <alignment horizontal="center"/>
    </xf>
    <xf numFmtId="0" fontId="49" fillId="0" borderId="16" xfId="144" applyFont="1" applyFill="1" applyBorder="1" applyAlignment="1"/>
    <xf numFmtId="2" fontId="49" fillId="0" borderId="25" xfId="144" applyNumberFormat="1" applyFont="1" applyFill="1" applyBorder="1" applyAlignment="1"/>
    <xf numFmtId="2" fontId="49" fillId="0" borderId="18" xfId="144" applyNumberFormat="1" applyFont="1" applyFill="1" applyBorder="1" applyAlignment="1"/>
    <xf numFmtId="0" fontId="48" fillId="0" borderId="16" xfId="144" applyFont="1" applyBorder="1" applyAlignment="1">
      <alignment horizontal="center"/>
    </xf>
    <xf numFmtId="0" fontId="49" fillId="0" borderId="16" xfId="144" applyFont="1" applyBorder="1" applyAlignment="1"/>
    <xf numFmtId="2" fontId="48" fillId="0" borderId="16" xfId="144" applyNumberFormat="1" applyFont="1" applyBorder="1" applyAlignment="1">
      <alignment horizontal="center"/>
    </xf>
    <xf numFmtId="0" fontId="48" fillId="0" borderId="16" xfId="144" applyFont="1" applyBorder="1" applyAlignment="1"/>
    <xf numFmtId="2" fontId="49" fillId="0" borderId="16" xfId="144" applyNumberFormat="1" applyFont="1" applyBorder="1" applyAlignment="1"/>
    <xf numFmtId="4" fontId="49" fillId="0" borderId="16" xfId="144" applyNumberFormat="1" applyFont="1" applyBorder="1" applyAlignment="1"/>
    <xf numFmtId="2" fontId="48" fillId="0" borderId="16" xfId="144" applyNumberFormat="1" applyFont="1" applyFill="1" applyBorder="1" applyAlignment="1" applyProtection="1">
      <protection locked="0"/>
    </xf>
    <xf numFmtId="2" fontId="48" fillId="0" borderId="16" xfId="144" applyNumberFormat="1" applyFont="1" applyBorder="1" applyAlignment="1" applyProtection="1">
      <protection locked="0"/>
    </xf>
    <xf numFmtId="0" fontId="49" fillId="0" borderId="22" xfId="144" applyFont="1" applyFill="1" applyBorder="1" applyAlignment="1"/>
    <xf numFmtId="2" fontId="49" fillId="0" borderId="23" xfId="144" applyNumberFormat="1" applyFont="1" applyFill="1" applyBorder="1" applyAlignment="1"/>
    <xf numFmtId="0" fontId="48" fillId="0" borderId="22" xfId="144" applyFont="1" applyFill="1" applyBorder="1" applyAlignment="1"/>
    <xf numFmtId="2" fontId="48" fillId="0" borderId="23" xfId="144" applyNumberFormat="1" applyFont="1" applyFill="1" applyBorder="1" applyAlignment="1">
      <alignment horizontal="center"/>
    </xf>
    <xf numFmtId="0" fontId="49" fillId="0" borderId="24" xfId="144" applyFont="1" applyFill="1" applyBorder="1" applyAlignment="1"/>
    <xf numFmtId="2" fontId="49" fillId="0" borderId="26" xfId="144" applyNumberFormat="1" applyFont="1" applyFill="1" applyBorder="1" applyAlignment="1"/>
    <xf numFmtId="0" fontId="49" fillId="0" borderId="18" xfId="144" applyFont="1" applyFill="1" applyBorder="1" applyAlignment="1"/>
    <xf numFmtId="2" fontId="48" fillId="0" borderId="18" xfId="144" applyNumberFormat="1" applyFont="1" applyFill="1" applyBorder="1" applyAlignment="1">
      <alignment horizontal="center"/>
    </xf>
    <xf numFmtId="0" fontId="0" fillId="31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3" fillId="31" borderId="1" xfId="0" applyFont="1" applyFill="1" applyBorder="1" applyAlignment="1">
      <alignment horizontal="center"/>
    </xf>
  </cellXfs>
  <cellStyles count="194">
    <cellStyle name="20% - Accent1 2" xfId="13"/>
    <cellStyle name="20% - Accent1 3" xfId="14"/>
    <cellStyle name="20% - Accent2 2" xfId="15"/>
    <cellStyle name="20% - Accent3 2" xfId="16"/>
    <cellStyle name="20% - Accent4 2" xfId="17"/>
    <cellStyle name="20% - Accent4 3" xfId="18"/>
    <cellStyle name="20% - Accent5 2" xfId="19"/>
    <cellStyle name="20% - Accent6 2" xfId="20"/>
    <cellStyle name="40% - Accent1 2" xfId="21"/>
    <cellStyle name="40% - Accent1 3" xfId="22"/>
    <cellStyle name="40% - Accent2 2" xfId="23"/>
    <cellStyle name="40% - Accent3 2" xfId="24"/>
    <cellStyle name="40% - Accent4 2" xfId="25"/>
    <cellStyle name="40% - Accent4 3" xfId="26"/>
    <cellStyle name="40% - Accent5 2" xfId="27"/>
    <cellStyle name="40% - Accent6 2" xfId="28"/>
    <cellStyle name="40% - Accent6 3" xfId="29"/>
    <cellStyle name="60% - Accent1 2" xfId="30"/>
    <cellStyle name="60% - Accent1 3" xfId="31"/>
    <cellStyle name="60% - Accent2 2" xfId="32"/>
    <cellStyle name="60% - Accent3 2" xfId="33"/>
    <cellStyle name="60% - Accent3 3" xfId="34"/>
    <cellStyle name="60% - Accent4 2" xfId="35"/>
    <cellStyle name="60% - Accent4 3" xfId="36"/>
    <cellStyle name="60% - Accent5 2" xfId="37"/>
    <cellStyle name="60% - Accent6 2" xfId="38"/>
    <cellStyle name="Accent1 2" xfId="39"/>
    <cellStyle name="Accent1 3" xfId="40"/>
    <cellStyle name="Accent2 2" xfId="41"/>
    <cellStyle name="Accent3 2" xfId="42"/>
    <cellStyle name="Accent4 2" xfId="43"/>
    <cellStyle name="Accent5 2" xfId="44"/>
    <cellStyle name="Accent6 2" xfId="45"/>
    <cellStyle name="Accounting" xfId="46"/>
    <cellStyle name="Bad 2" xfId="47"/>
    <cellStyle name="Budget" xfId="48"/>
    <cellStyle name="Calculation 2" xfId="49"/>
    <cellStyle name="Calculation 3" xfId="50"/>
    <cellStyle name="Check Cell 2" xfId="51"/>
    <cellStyle name="combo" xfId="52"/>
    <cellStyle name="Comma" xfId="1" builtinId="3"/>
    <cellStyle name="Comma 10" xfId="53"/>
    <cellStyle name="Comma 11" xfId="54"/>
    <cellStyle name="Comma 12" xfId="55"/>
    <cellStyle name="Comma 13" xfId="56"/>
    <cellStyle name="Comma 14" xfId="57"/>
    <cellStyle name="Comma 15" xfId="58"/>
    <cellStyle name="Comma 16" xfId="59"/>
    <cellStyle name="Comma 17" xfId="60"/>
    <cellStyle name="Comma 18" xfId="61"/>
    <cellStyle name="Comma 2" xfId="62"/>
    <cellStyle name="Comma 2 2" xfId="6"/>
    <cellStyle name="Comma 2 2 2" xfId="63"/>
    <cellStyle name="Comma 2 3" xfId="64"/>
    <cellStyle name="Comma 2 4" xfId="65"/>
    <cellStyle name="Comma 3" xfId="66"/>
    <cellStyle name="Comma 3 2" xfId="67"/>
    <cellStyle name="Comma 3 2 2" xfId="68"/>
    <cellStyle name="Comma 3 3" xfId="69"/>
    <cellStyle name="Comma 3 4" xfId="70"/>
    <cellStyle name="Comma 4" xfId="71"/>
    <cellStyle name="Comma 4 2" xfId="72"/>
    <cellStyle name="Comma 4 3" xfId="73"/>
    <cellStyle name="Comma 4 4" xfId="74"/>
    <cellStyle name="Comma 4 5" xfId="75"/>
    <cellStyle name="Comma 5" xfId="76"/>
    <cellStyle name="Comma 6" xfId="11"/>
    <cellStyle name="Comma 6 2" xfId="77"/>
    <cellStyle name="Comma 7" xfId="78"/>
    <cellStyle name="Comma 8" xfId="79"/>
    <cellStyle name="Comma 9" xfId="80"/>
    <cellStyle name="Comma(2)" xfId="81"/>
    <cellStyle name="Comma0 - Style2" xfId="82"/>
    <cellStyle name="Comma1 - Style1" xfId="83"/>
    <cellStyle name="Comments" xfId="84"/>
    <cellStyle name="Currency" xfId="2" builtinId="4"/>
    <cellStyle name="Currency 2" xfId="85"/>
    <cellStyle name="Currency 2 2" xfId="86"/>
    <cellStyle name="Currency 2 3" xfId="87"/>
    <cellStyle name="Currency 3" xfId="88"/>
    <cellStyle name="Currency 3 2" xfId="89"/>
    <cellStyle name="Currency 4" xfId="90"/>
    <cellStyle name="Currency 5" xfId="91"/>
    <cellStyle name="Currency 6" xfId="92"/>
    <cellStyle name="Currency 7" xfId="93"/>
    <cellStyle name="Currency 8" xfId="94"/>
    <cellStyle name="Currency 9" xfId="5"/>
    <cellStyle name="Data Enter" xfId="95"/>
    <cellStyle name="date" xfId="96"/>
    <cellStyle name="Explanatory Text 2" xfId="97"/>
    <cellStyle name="FactSheet" xfId="98"/>
    <cellStyle name="fish" xfId="99"/>
    <cellStyle name="Good 2" xfId="100"/>
    <cellStyle name="Heading 1 2" xfId="101"/>
    <cellStyle name="Heading 1 3" xfId="102"/>
    <cellStyle name="Heading 2 2" xfId="103"/>
    <cellStyle name="Heading 2 3" xfId="104"/>
    <cellStyle name="Heading 3 2" xfId="105"/>
    <cellStyle name="Heading 3 3" xfId="106"/>
    <cellStyle name="Heading 4 2" xfId="107"/>
    <cellStyle name="Hyperlink 2" xfId="108"/>
    <cellStyle name="Hyperlink 3" xfId="109"/>
    <cellStyle name="Input 2" xfId="110"/>
    <cellStyle name="input(0)" xfId="111"/>
    <cellStyle name="Input(2)" xfId="112"/>
    <cellStyle name="Linked Cell 2" xfId="113"/>
    <cellStyle name="Neutral 2" xfId="114"/>
    <cellStyle name="New_normal" xfId="115"/>
    <cellStyle name="Normal" xfId="0" builtinId="0"/>
    <cellStyle name="Normal - Style1" xfId="116"/>
    <cellStyle name="Normal - Style2" xfId="117"/>
    <cellStyle name="Normal - Style3" xfId="118"/>
    <cellStyle name="Normal - Style4" xfId="119"/>
    <cellStyle name="Normal - Style5" xfId="120"/>
    <cellStyle name="Normal 10" xfId="121"/>
    <cellStyle name="Normal 10 2" xfId="12"/>
    <cellStyle name="Normal 10 2 2" xfId="122"/>
    <cellStyle name="Normal 10_Vashon Payroll 9-30-12 Rev 10-31-2012" xfId="123"/>
    <cellStyle name="Normal 11" xfId="124"/>
    <cellStyle name="Normal 12" xfId="125"/>
    <cellStyle name="Normal 13" xfId="126"/>
    <cellStyle name="Normal 14" xfId="127"/>
    <cellStyle name="Normal 15" xfId="128"/>
    <cellStyle name="Normal 16" xfId="129"/>
    <cellStyle name="Normal 17" xfId="130"/>
    <cellStyle name="Normal 18" xfId="131"/>
    <cellStyle name="Normal 19" xfId="132"/>
    <cellStyle name="Normal 2" xfId="133"/>
    <cellStyle name="Normal 2 2" xfId="134"/>
    <cellStyle name="Normal 2 2 2" xfId="135"/>
    <cellStyle name="Normal 2 2 3" xfId="136"/>
    <cellStyle name="Normal 2 2_IS210PL" xfId="137"/>
    <cellStyle name="Normal 2 3" xfId="138"/>
    <cellStyle name="Normal 2 3 2" xfId="139"/>
    <cellStyle name="Normal 2 3 3" xfId="140"/>
    <cellStyle name="Normal 2 4" xfId="141"/>
    <cellStyle name="Normal 2 5" xfId="142"/>
    <cellStyle name="Normal 2_2180 Payroll Schedule 8-22-2011" xfId="143"/>
    <cellStyle name="Normal 20" xfId="144"/>
    <cellStyle name="Normal 21" xfId="145"/>
    <cellStyle name="Normal 22" xfId="146"/>
    <cellStyle name="Normal 23" xfId="147"/>
    <cellStyle name="Normal 24" xfId="148"/>
    <cellStyle name="Normal 25" xfId="149"/>
    <cellStyle name="Normal 26" xfId="150"/>
    <cellStyle name="Normal 27" xfId="151"/>
    <cellStyle name="Normal 28" xfId="152"/>
    <cellStyle name="Normal 29" xfId="153"/>
    <cellStyle name="Normal 3" xfId="154"/>
    <cellStyle name="Normal 3 2" xfId="155"/>
    <cellStyle name="Normal 3_2149 Depr 9-30-12" xfId="156"/>
    <cellStyle name="Normal 4" xfId="157"/>
    <cellStyle name="Normal 5" xfId="158"/>
    <cellStyle name="Normal 5 2" xfId="159"/>
    <cellStyle name="Normal 5_2183 UTC Depreciation 3 31 2012 Heather 6-6-2012" xfId="160"/>
    <cellStyle name="Normal 6" xfId="161"/>
    <cellStyle name="Normal 7" xfId="162"/>
    <cellStyle name="Normal 8" xfId="163"/>
    <cellStyle name="Normal 9" xfId="164"/>
    <cellStyle name="Normal_CostStudyTCII" xfId="4"/>
    <cellStyle name="Normal_Price out 2" xfId="10"/>
    <cellStyle name="Note 2" xfId="165"/>
    <cellStyle name="Note 3" xfId="166"/>
    <cellStyle name="Notes" xfId="167"/>
    <cellStyle name="Output 2" xfId="168"/>
    <cellStyle name="Percent" xfId="3" builtinId="5"/>
    <cellStyle name="Percent 2" xfId="169"/>
    <cellStyle name="Percent 2 2" xfId="170"/>
    <cellStyle name="Percent 2 3" xfId="171"/>
    <cellStyle name="Percent 3" xfId="172"/>
    <cellStyle name="Percent 4" xfId="9"/>
    <cellStyle name="Percent 4 2" xfId="7"/>
    <cellStyle name="Percent 5" xfId="173"/>
    <cellStyle name="Percent 7" xfId="8"/>
    <cellStyle name="Percent(1)" xfId="174"/>
    <cellStyle name="Percent(2)" xfId="175"/>
    <cellStyle name="PRM" xfId="176"/>
    <cellStyle name="PSChar" xfId="177"/>
    <cellStyle name="PSHeading" xfId="178"/>
    <cellStyle name="STYL0 - Style1" xfId="179"/>
    <cellStyle name="STYL1 - Style2" xfId="180"/>
    <cellStyle name="STYL2 - Style3" xfId="181"/>
    <cellStyle name="STYL3 - Style4" xfId="182"/>
    <cellStyle name="STYL4 - Style5" xfId="183"/>
    <cellStyle name="STYL5 - Style6" xfId="184"/>
    <cellStyle name="STYL6 - Style7" xfId="185"/>
    <cellStyle name="STYL7 - Style8" xfId="186"/>
    <cellStyle name="Style 1" xfId="187"/>
    <cellStyle name="STYLE1" xfId="188"/>
    <cellStyle name="sub heading" xfId="189"/>
    <cellStyle name="title 2" xfId="190"/>
    <cellStyle name="Total 2" xfId="191"/>
    <cellStyle name="Total 3" xfId="192"/>
    <cellStyle name="Warning Text 2" xfId="19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db5_srv\SRC\User\REPORTS\STANDARD%20REPORTS\CUSTOM%20REPORTS\PL_RollingTrend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Master%20Truck%20Schedule/South_LeMay%20Master%20Truck%20Schedule-Shar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RC%20Reports/SRC%20Format/Bonus%20Schedule/PNWR%20SRC%20Bonus%20Schedule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3/ProForma%20Pacific%20Disposal_Staff%20Final%20outcome%208-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Western%20Region/WUTC/WUTC-Mason%202149/Rate%20Filing/General%20Rate%20Filing%2011-13-2012/Audit/FINAL/Staff%20final%20Mason%20Proforma%20Linked%203-13-2013%20%20-%20Company%20Rat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Vashon/Rate%20Incr%201-1-2012/Vashon%20Pro%20Form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b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nnual%20Reports/2180%20LeMay/2009/LeMay%20Annual%20Report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>
        <row r="5">
          <cell r="D5">
            <v>10.71</v>
          </cell>
        </row>
        <row r="14">
          <cell r="C14" t="str">
            <v>dist</v>
          </cell>
          <cell r="E14" t="str">
            <v>=</v>
          </cell>
          <cell r="F14">
            <v>2149</v>
          </cell>
        </row>
      </sheetData>
      <sheetData sheetId="4" refreshError="1">
        <row r="6">
          <cell r="F6" t="str">
            <v>Time Series</v>
          </cell>
        </row>
        <row r="17">
          <cell r="B17" t="str">
            <v>ACCT</v>
          </cell>
          <cell r="C17" t="str">
            <v>-</v>
          </cell>
        </row>
        <row r="22">
          <cell r="C22" t="str">
            <v>Financial</v>
          </cell>
        </row>
        <row r="23">
          <cell r="C23" t="str">
            <v>ALL</v>
          </cell>
        </row>
        <row r="24">
          <cell r="C24" t="str">
            <v>Variable</v>
          </cell>
        </row>
      </sheetData>
      <sheetData sheetId="5" refreshError="1">
        <row r="8">
          <cell r="E8" t="str">
            <v>Report</v>
          </cell>
        </row>
        <row r="12">
          <cell r="B12" t="b">
            <v>0</v>
          </cell>
        </row>
      </sheetData>
      <sheetData sheetId="6" refreshError="1"/>
      <sheetData sheetId="7" refreshError="1">
        <row r="11">
          <cell r="D11">
            <v>10002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 t="str">
            <v>Cash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 IS"/>
      <sheetName val="2183 IS"/>
      <sheetName val="2184 IS"/>
      <sheetName val="2185 IS"/>
      <sheetName val="Consolidated IS"/>
      <sheetName val="Ratios Thurston"/>
      <sheetName val="2183 Pro forma"/>
      <sheetName val="2183 Ratios"/>
      <sheetName val="Restating Expl"/>
      <sheetName val="Pro forma Expl"/>
      <sheetName val="Pacific Regulated - Price Out"/>
      <sheetName val="Total Matrix"/>
      <sheetName val="Packer_RO Matrix"/>
      <sheetName val="COS Packer_RO"/>
      <sheetName val="Res YW Matix"/>
      <sheetName val="Res Recy Matrix"/>
      <sheetName val="MF Recy Matrix"/>
      <sheetName val="COS RR YW MFR"/>
      <sheetName val="Total Pac,Rural"/>
      <sheetName val="Rural"/>
      <sheetName val="LG-Pacific Pckr Rts"/>
      <sheetName val="LG-RO"/>
      <sheetName val="Res Recycl"/>
      <sheetName val="MF Recycl"/>
      <sheetName val="YW"/>
      <sheetName val="Depr Summary 2183"/>
      <sheetName val="Trucks 2183"/>
      <sheetName val="Containers 2183"/>
      <sheetName val="OTHER EQUIP 2183"/>
      <sheetName val="LeMay Global"/>
      <sheetName val="Fuel"/>
      <sheetName val="DF Schedule"/>
      <sheetName val="2183 Payroll"/>
      <sheetName val="2184 Payroll"/>
      <sheetName val="2185 Payroll"/>
      <sheetName val="Cust Cnt"/>
      <sheetName val="Unit Cnt"/>
      <sheetName val="70148 Summary"/>
      <sheetName val="Time Study"/>
      <sheetName val="Corp O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M49">
            <v>8000432.4617248299</v>
          </cell>
        </row>
        <row r="50">
          <cell r="F50">
            <v>8158680.0299999993</v>
          </cell>
        </row>
        <row r="58">
          <cell r="M58">
            <v>2625393.5068796892</v>
          </cell>
        </row>
        <row r="59">
          <cell r="F59">
            <v>2119461.4499999997</v>
          </cell>
        </row>
        <row r="69">
          <cell r="M69">
            <v>1361744.4391882615</v>
          </cell>
        </row>
        <row r="70">
          <cell r="F70">
            <v>1347163.92</v>
          </cell>
        </row>
        <row r="213">
          <cell r="M213">
            <v>4757117.5866496488</v>
          </cell>
        </row>
        <row r="214">
          <cell r="F214">
            <v>4859462.2200000007</v>
          </cell>
        </row>
        <row r="221">
          <cell r="M221">
            <v>395543.82663328515</v>
          </cell>
        </row>
        <row r="222">
          <cell r="F222">
            <v>332798.89999999997</v>
          </cell>
        </row>
        <row r="281">
          <cell r="M281">
            <v>1187221.5155152699</v>
          </cell>
        </row>
        <row r="282">
          <cell r="F282">
            <v>744277.47999999975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Class A IS"/>
      <sheetName val="2149 BS"/>
      <sheetName val="9-30-11 BS"/>
      <sheetName val="2149 IS"/>
      <sheetName val="Consolidated IS"/>
      <sheetName val="Ratios"/>
      <sheetName val="Restating Adj"/>
      <sheetName val="Restating Expl"/>
      <sheetName val="Pro forma Adj"/>
      <sheetName val="Pro-forma"/>
      <sheetName val="LG-Combined"/>
      <sheetName val="LG-Pckr,RO"/>
      <sheetName val="LG-Recycl"/>
      <sheetName val="Price Out"/>
      <sheetName val="Rate Sheet"/>
      <sheetName val="Pckr, RO, Matrix"/>
      <sheetName val="COS Packer,RO "/>
      <sheetName val="Recycl Matrix"/>
      <sheetName val="COS Recycle"/>
      <sheetName val="Legal Exp"/>
      <sheetName val="Disposal Calc"/>
      <sheetName val="Disposal Schedule"/>
      <sheetName val="Fuel"/>
      <sheetName val="PR Summary"/>
      <sheetName val="Depr Summary"/>
      <sheetName val="Depreciation"/>
      <sheetName val="Cust Count"/>
      <sheetName val="Rt Study Summary"/>
      <sheetName val="Recycl Tons, Commodity Value"/>
      <sheetName val="Tribal Cnts"/>
      <sheetName val="Corp OH"/>
      <sheetName val="2012 Capital Structure"/>
      <sheetName val="Corp Debt Equity"/>
      <sheetName val="Balance Sheet"/>
      <sheetName val="P&amp;L"/>
      <sheetName val="70195 JE-WRRA Dues"/>
      <sheetName val="56095 JE"/>
      <sheetName val="Non-Reg Price Out"/>
      <sheetName val="30% Commodity Justification"/>
      <sheetName val="TRC Processing Justfication"/>
      <sheetName val="Orig Price Out"/>
      <sheetName val="Rate Sheet Dec 2012"/>
      <sheetName val="Orig COS Packer,RO "/>
      <sheetName val="LG-Pckr w DF"/>
      <sheetName val="LG-Pckr w-out DF"/>
      <sheetName val="LG-RO"/>
    </sheetNames>
    <sheetDataSet>
      <sheetData sheetId="0">
        <row r="107">
          <cell r="L107">
            <v>1753938.3114074212</v>
          </cell>
        </row>
        <row r="214">
          <cell r="L214">
            <v>852492.14253095828</v>
          </cell>
        </row>
        <row r="278">
          <cell r="L278">
            <v>837580.65530511085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5">
          <cell r="J15">
            <v>2138.64</v>
          </cell>
        </row>
        <row r="16">
          <cell r="J16">
            <v>416631.6</v>
          </cell>
        </row>
        <row r="17">
          <cell r="J17">
            <v>122457.72</v>
          </cell>
        </row>
        <row r="18">
          <cell r="J18">
            <v>11520</v>
          </cell>
        </row>
        <row r="19">
          <cell r="J19">
            <v>1848.48</v>
          </cell>
        </row>
        <row r="20">
          <cell r="J20">
            <v>552.48</v>
          </cell>
        </row>
        <row r="21">
          <cell r="J21">
            <v>1278.96</v>
          </cell>
        </row>
        <row r="22">
          <cell r="J22">
            <v>158639.03999999998</v>
          </cell>
        </row>
        <row r="23">
          <cell r="J23">
            <v>120000</v>
          </cell>
        </row>
        <row r="24">
          <cell r="J24">
            <v>10560</v>
          </cell>
        </row>
        <row r="25">
          <cell r="J25">
            <v>78290.16</v>
          </cell>
        </row>
        <row r="26">
          <cell r="J26">
            <v>82402.92</v>
          </cell>
        </row>
        <row r="27">
          <cell r="J27">
            <v>30695.279999999999</v>
          </cell>
        </row>
        <row r="29">
          <cell r="J29">
            <v>149394.96</v>
          </cell>
        </row>
        <row r="30">
          <cell r="J30">
            <v>23051.760000000002</v>
          </cell>
        </row>
        <row r="31">
          <cell r="J31">
            <v>57799.56</v>
          </cell>
        </row>
        <row r="32">
          <cell r="J32">
            <v>16997.760000000002</v>
          </cell>
        </row>
        <row r="33">
          <cell r="J33">
            <v>18039.36</v>
          </cell>
        </row>
        <row r="34">
          <cell r="J34">
            <v>7814.4000000000005</v>
          </cell>
        </row>
        <row r="36">
          <cell r="J36">
            <v>12306.599999999999</v>
          </cell>
        </row>
        <row r="37">
          <cell r="J37">
            <v>4664.5199999999995</v>
          </cell>
        </row>
        <row r="38">
          <cell r="J38">
            <v>370.56</v>
          </cell>
        </row>
        <row r="39">
          <cell r="J39">
            <v>439.20000000000005</v>
          </cell>
        </row>
        <row r="40">
          <cell r="J40">
            <v>807.84000000000015</v>
          </cell>
        </row>
        <row r="42">
          <cell r="J42">
            <v>15283.079999999998</v>
          </cell>
        </row>
        <row r="43">
          <cell r="J43">
            <v>7255.92</v>
          </cell>
        </row>
        <row r="44">
          <cell r="J44">
            <v>1111.68</v>
          </cell>
        </row>
        <row r="45">
          <cell r="J45">
            <v>1647</v>
          </cell>
        </row>
        <row r="46">
          <cell r="J46">
            <v>807.84000000000015</v>
          </cell>
        </row>
        <row r="49">
          <cell r="J49">
            <v>51969</v>
          </cell>
        </row>
        <row r="50">
          <cell r="J50">
            <v>4896</v>
          </cell>
        </row>
        <row r="117">
          <cell r="J117">
            <v>7630.92</v>
          </cell>
        </row>
        <row r="119">
          <cell r="J119">
            <v>836.52</v>
          </cell>
        </row>
        <row r="120">
          <cell r="J120">
            <v>67770</v>
          </cell>
        </row>
        <row r="121">
          <cell r="J121">
            <v>275592.24</v>
          </cell>
        </row>
        <row r="123">
          <cell r="J123">
            <v>2934.96</v>
          </cell>
        </row>
        <row r="124">
          <cell r="J124">
            <v>81971.28</v>
          </cell>
        </row>
        <row r="125">
          <cell r="J125">
            <v>65164.56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3">
          <cell r="L23">
            <v>2329.3388396454475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A, IS "/>
      <sheetName val="Vashon BS"/>
      <sheetName val="Vashon IS"/>
      <sheetName val="Consolidated IS"/>
      <sheetName val="Restating Adj"/>
      <sheetName val="Prof Adj"/>
      <sheetName val="Price-out"/>
      <sheetName val="LG-Total Comp"/>
      <sheetName val="LG-Packer Rts"/>
      <sheetName val="LG-RO Rts"/>
      <sheetName val="LG-Recycl"/>
      <sheetName val="DF Schedule"/>
      <sheetName val="Depr-Summary"/>
      <sheetName val="2132 Trks"/>
      <sheetName val="2132 Cont, DB"/>
      <sheetName val="2132 Oth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PL_ActReview2"/>
      <sheetName val="BS_Close"/>
      <sheetName val="PL_ActTranx"/>
      <sheetName val="IS200PL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  <row r="3">
          <cell r="S3" t="str">
            <v>P&amp;L Close Report 2</v>
          </cell>
        </row>
        <row r="4">
          <cell r="S4" t="str">
            <v>BS Close Report</v>
          </cell>
        </row>
        <row r="5">
          <cell r="S5" t="str">
            <v>IS 200 - PL Review</v>
          </cell>
        </row>
        <row r="6">
          <cell r="S6" t="str">
            <v>IS 210 - PL Review</v>
          </cell>
        </row>
        <row r="7">
          <cell r="S7" t="str">
            <v>P&amp;L Tranx Report</v>
          </cell>
        </row>
        <row r="8">
          <cell r="S8" t="str">
            <v>JE Review Report</v>
          </cell>
        </row>
        <row r="9">
          <cell r="S9" t="str">
            <v>Corp: Rev/Proj Check</v>
          </cell>
        </row>
        <row r="10">
          <cell r="S10" t="str">
            <v>Corp: 52901 Check</v>
          </cell>
        </row>
        <row r="11">
          <cell r="S11" t="str">
            <v>Corp: BS Check</v>
          </cell>
        </row>
        <row r="12">
          <cell r="S12" t="str">
            <v>Corp: Bad Debt Check</v>
          </cell>
        </row>
        <row r="13">
          <cell r="S13" t="str">
            <v>Corp: IC Check</v>
          </cell>
        </row>
        <row r="14">
          <cell r="S14" t="str">
            <v>Corp: JE Neg Check</v>
          </cell>
        </row>
        <row r="15">
          <cell r="S15" t="str">
            <v>Proj Review Report</v>
          </cell>
        </row>
        <row r="16">
          <cell r="S16" t="str">
            <v>Proj Review Report 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0"/>
  <sheetViews>
    <sheetView topLeftCell="A37" workbookViewId="0">
      <selection activeCell="B59" sqref="B59"/>
    </sheetView>
  </sheetViews>
  <sheetFormatPr defaultColWidth="9.1796875" defaultRowHeight="14.5"/>
  <cols>
    <col min="1" max="1" width="36.26953125" style="29" bestFit="1" customWidth="1"/>
    <col min="2" max="2" width="19" style="29" bestFit="1" customWidth="1"/>
    <col min="3" max="3" width="16" style="29" bestFit="1" customWidth="1"/>
    <col min="4" max="4" width="10.54296875" style="29" bestFit="1" customWidth="1"/>
    <col min="5" max="5" width="7" style="29" bestFit="1" customWidth="1"/>
    <col min="6" max="6" width="11.453125" style="29" bestFit="1" customWidth="1"/>
    <col min="7" max="7" width="10" style="29" bestFit="1" customWidth="1"/>
    <col min="8" max="8" width="8" style="29" bestFit="1" customWidth="1"/>
    <col min="9" max="9" width="15.81640625" style="29" bestFit="1" customWidth="1"/>
    <col min="10" max="10" width="12" style="29" bestFit="1" customWidth="1"/>
    <col min="11" max="16384" width="9.1796875" style="29"/>
  </cols>
  <sheetData>
    <row r="3" spans="1:8">
      <c r="A3" s="147" t="s">
        <v>49</v>
      </c>
      <c r="B3" s="147"/>
      <c r="C3" s="147"/>
      <c r="D3" s="147"/>
      <c r="E3" s="147"/>
      <c r="F3" s="147"/>
      <c r="G3" s="147"/>
      <c r="H3" s="147"/>
    </row>
    <row r="4" spans="1:8">
      <c r="A4" s="29" t="s">
        <v>50</v>
      </c>
      <c r="B4" s="30" t="s">
        <v>51</v>
      </c>
      <c r="C4" s="30" t="s">
        <v>52</v>
      </c>
      <c r="D4" s="30" t="s">
        <v>53</v>
      </c>
      <c r="E4" s="31" t="s">
        <v>54</v>
      </c>
      <c r="F4" s="31" t="s">
        <v>55</v>
      </c>
      <c r="G4" s="31" t="s">
        <v>56</v>
      </c>
      <c r="H4" s="30" t="s">
        <v>57</v>
      </c>
    </row>
    <row r="5" spans="1:8">
      <c r="A5" s="29" t="s">
        <v>58</v>
      </c>
      <c r="B5" s="32">
        <f>52*5/12</f>
        <v>21.666666666666668</v>
      </c>
      <c r="C5" s="33">
        <f>$B$5*2</f>
        <v>43.333333333333336</v>
      </c>
      <c r="D5" s="33">
        <f>$B$5*3</f>
        <v>65</v>
      </c>
      <c r="E5" s="33">
        <f>$B$5*4</f>
        <v>86.666666666666671</v>
      </c>
      <c r="F5" s="33">
        <f>$B$5*5</f>
        <v>108.33333333333334</v>
      </c>
      <c r="G5" s="33">
        <f>$B$5*6</f>
        <v>130</v>
      </c>
      <c r="H5" s="33">
        <f>$B$5*7</f>
        <v>151.66666666666669</v>
      </c>
    </row>
    <row r="6" spans="1:8">
      <c r="A6" s="29" t="s">
        <v>59</v>
      </c>
      <c r="B6" s="32">
        <f>52*4/12</f>
        <v>17.333333333333332</v>
      </c>
      <c r="C6" s="33">
        <f>$B$6*2</f>
        <v>34.666666666666664</v>
      </c>
      <c r="D6" s="33">
        <f>$B$6*3</f>
        <v>52</v>
      </c>
      <c r="E6" s="33">
        <f>$B$6*4</f>
        <v>69.333333333333329</v>
      </c>
      <c r="F6" s="33">
        <f>$B$6*5</f>
        <v>86.666666666666657</v>
      </c>
      <c r="G6" s="33">
        <f>$B$6*6</f>
        <v>104</v>
      </c>
      <c r="H6" s="33">
        <f>$B$6*7</f>
        <v>121.33333333333333</v>
      </c>
    </row>
    <row r="7" spans="1:8">
      <c r="A7" s="29" t="s">
        <v>60</v>
      </c>
      <c r="B7" s="32">
        <f>52*3/12</f>
        <v>13</v>
      </c>
      <c r="C7" s="33">
        <f>$B$7*2</f>
        <v>26</v>
      </c>
      <c r="D7" s="33">
        <f>$B$7*3</f>
        <v>39</v>
      </c>
      <c r="E7" s="33">
        <f>$B$7*4</f>
        <v>52</v>
      </c>
      <c r="F7" s="33">
        <f>$B$7*5</f>
        <v>65</v>
      </c>
      <c r="G7" s="33">
        <f>$B$7*6</f>
        <v>78</v>
      </c>
      <c r="H7" s="33">
        <f>$B$7*7</f>
        <v>91</v>
      </c>
    </row>
    <row r="8" spans="1:8">
      <c r="A8" s="29" t="s">
        <v>61</v>
      </c>
      <c r="B8" s="32">
        <f>52*2/12</f>
        <v>8.6666666666666661</v>
      </c>
      <c r="C8" s="34">
        <f>$B$8*2</f>
        <v>17.333333333333332</v>
      </c>
      <c r="D8" s="34">
        <f>$B$8*3</f>
        <v>26</v>
      </c>
      <c r="E8" s="34">
        <f>$B$8*4</f>
        <v>34.666666666666664</v>
      </c>
      <c r="F8" s="34">
        <f>$B$8*5</f>
        <v>43.333333333333329</v>
      </c>
      <c r="G8" s="34">
        <f>$B$8*6</f>
        <v>52</v>
      </c>
      <c r="H8" s="34">
        <f>$B$8*7</f>
        <v>60.666666666666664</v>
      </c>
    </row>
    <row r="9" spans="1:8">
      <c r="A9" s="29" t="s">
        <v>62</v>
      </c>
      <c r="B9" s="32">
        <f>52/12</f>
        <v>4.333333333333333</v>
      </c>
      <c r="C9" s="34">
        <f>$B$9*2</f>
        <v>8.6666666666666661</v>
      </c>
      <c r="D9" s="34">
        <f>$B$9*3</f>
        <v>13</v>
      </c>
      <c r="E9" s="34">
        <f>$B$9*4</f>
        <v>17.333333333333332</v>
      </c>
      <c r="F9" s="34">
        <f>$B$9*5</f>
        <v>21.666666666666664</v>
      </c>
      <c r="G9" s="34">
        <f>$B$9*6</f>
        <v>26</v>
      </c>
      <c r="H9" s="34">
        <f>$B$9*7</f>
        <v>30.333333333333332</v>
      </c>
    </row>
    <row r="10" spans="1:8">
      <c r="A10" s="29" t="s">
        <v>63</v>
      </c>
      <c r="B10" s="32">
        <f>26/12</f>
        <v>2.1666666666666665</v>
      </c>
      <c r="C10" s="34">
        <f>$B$10*2</f>
        <v>4.333333333333333</v>
      </c>
      <c r="D10" s="34">
        <f>$B$10*3</f>
        <v>6.5</v>
      </c>
      <c r="E10" s="34">
        <f>$B$10*4</f>
        <v>8.6666666666666661</v>
      </c>
      <c r="F10" s="34">
        <f>$B$10*5</f>
        <v>10.833333333333332</v>
      </c>
      <c r="G10" s="34">
        <f>$B$10*6</f>
        <v>13</v>
      </c>
      <c r="H10" s="34">
        <f>$B$10*7</f>
        <v>15.166666666666666</v>
      </c>
    </row>
    <row r="11" spans="1:8">
      <c r="A11" s="29" t="s">
        <v>64</v>
      </c>
      <c r="B11" s="32">
        <f>12/12</f>
        <v>1</v>
      </c>
      <c r="C11" s="34">
        <f>$B$11*2</f>
        <v>2</v>
      </c>
      <c r="D11" s="34">
        <f>$B$11*3</f>
        <v>3</v>
      </c>
      <c r="E11" s="34">
        <f>$B$11*4</f>
        <v>4</v>
      </c>
      <c r="F11" s="34">
        <f>$B$11*5</f>
        <v>5</v>
      </c>
      <c r="G11" s="34">
        <f>$B$11*6</f>
        <v>6</v>
      </c>
      <c r="H11" s="34">
        <f>$B$11*7</f>
        <v>7</v>
      </c>
    </row>
    <row r="12" spans="1:8">
      <c r="B12" s="32"/>
      <c r="C12" s="34"/>
      <c r="D12" s="34"/>
      <c r="E12" s="34"/>
      <c r="F12" s="34"/>
      <c r="G12" s="34"/>
      <c r="H12" s="34"/>
    </row>
    <row r="13" spans="1:8">
      <c r="A13" s="147" t="s">
        <v>65</v>
      </c>
      <c r="B13" s="147"/>
      <c r="C13" s="34"/>
      <c r="D13" s="34"/>
      <c r="E13" s="34"/>
      <c r="F13" s="34"/>
      <c r="G13" s="34"/>
      <c r="H13" s="34"/>
    </row>
    <row r="14" spans="1:8">
      <c r="A14" s="35" t="s">
        <v>66</v>
      </c>
      <c r="B14" s="36" t="s">
        <v>67</v>
      </c>
      <c r="C14" s="34"/>
      <c r="D14" s="34"/>
      <c r="E14" s="34"/>
      <c r="F14" s="34"/>
      <c r="G14" s="34"/>
      <c r="H14" s="34"/>
    </row>
    <row r="15" spans="1:8">
      <c r="A15" s="37" t="s">
        <v>68</v>
      </c>
      <c r="B15" s="38">
        <v>20</v>
      </c>
      <c r="C15" s="34"/>
      <c r="D15" s="34"/>
      <c r="E15" s="34"/>
      <c r="F15" s="34"/>
      <c r="G15" s="34"/>
      <c r="H15" s="34"/>
    </row>
    <row r="16" spans="1:8">
      <c r="A16" s="37" t="s">
        <v>69</v>
      </c>
      <c r="B16" s="38">
        <v>34</v>
      </c>
      <c r="C16" s="34"/>
      <c r="D16" s="34"/>
      <c r="E16" s="34"/>
      <c r="F16" s="34"/>
      <c r="G16" s="34"/>
      <c r="H16" s="34"/>
    </row>
    <row r="17" spans="1:8">
      <c r="A17" s="37" t="s">
        <v>70</v>
      </c>
      <c r="B17" s="38">
        <v>51</v>
      </c>
      <c r="C17" s="34"/>
      <c r="D17" s="34"/>
      <c r="E17" s="34"/>
      <c r="F17" s="34"/>
      <c r="G17" s="34"/>
      <c r="H17" s="34"/>
    </row>
    <row r="18" spans="1:8">
      <c r="A18" s="37" t="s">
        <v>71</v>
      </c>
      <c r="B18" s="38">
        <v>77</v>
      </c>
      <c r="C18" s="34"/>
      <c r="D18" s="34"/>
      <c r="E18" s="34"/>
      <c r="F18" s="29" t="s">
        <v>72</v>
      </c>
      <c r="G18" s="38">
        <v>2000</v>
      </c>
      <c r="H18" s="34"/>
    </row>
    <row r="19" spans="1:8">
      <c r="A19" s="37" t="s">
        <v>73</v>
      </c>
      <c r="B19" s="38">
        <v>97</v>
      </c>
      <c r="C19" s="34"/>
      <c r="D19" s="34"/>
      <c r="E19" s="34"/>
      <c r="F19" s="29" t="s">
        <v>74</v>
      </c>
      <c r="G19" s="39" t="s">
        <v>75</v>
      </c>
      <c r="H19" s="34"/>
    </row>
    <row r="20" spans="1:8">
      <c r="A20" s="37" t="s">
        <v>76</v>
      </c>
      <c r="B20" s="38">
        <v>117</v>
      </c>
      <c r="C20" s="34"/>
      <c r="D20" s="34"/>
      <c r="E20" s="34"/>
      <c r="H20" s="34"/>
    </row>
    <row r="21" spans="1:8">
      <c r="A21" s="37" t="s">
        <v>77</v>
      </c>
      <c r="B21" s="38">
        <v>157</v>
      </c>
      <c r="C21" s="34"/>
      <c r="D21" s="34"/>
      <c r="E21" s="34"/>
      <c r="F21" s="40"/>
      <c r="G21" s="41"/>
      <c r="H21" s="34"/>
    </row>
    <row r="22" spans="1:8">
      <c r="A22" s="37" t="s">
        <v>78</v>
      </c>
      <c r="B22" s="38">
        <v>37</v>
      </c>
      <c r="C22" s="59" t="s">
        <v>121</v>
      </c>
      <c r="D22" s="34"/>
      <c r="E22" s="34"/>
      <c r="F22" s="40"/>
      <c r="G22" s="41"/>
      <c r="H22" s="34"/>
    </row>
    <row r="23" spans="1:8">
      <c r="A23" s="37" t="s">
        <v>79</v>
      </c>
      <c r="B23" s="38">
        <v>47</v>
      </c>
      <c r="C23" s="34"/>
      <c r="D23" s="34"/>
      <c r="E23" s="34"/>
      <c r="F23" s="34"/>
      <c r="G23" s="34"/>
      <c r="H23" s="34"/>
    </row>
    <row r="24" spans="1:8">
      <c r="A24" s="37" t="s">
        <v>80</v>
      </c>
      <c r="B24" s="38">
        <v>68</v>
      </c>
      <c r="C24" s="34"/>
      <c r="D24" s="34"/>
      <c r="E24" s="34"/>
      <c r="F24" s="34"/>
      <c r="G24" s="34"/>
      <c r="H24" s="34"/>
    </row>
    <row r="25" spans="1:8">
      <c r="A25" s="37" t="s">
        <v>81</v>
      </c>
      <c r="B25" s="38">
        <v>34</v>
      </c>
      <c r="C25" s="34"/>
      <c r="D25" s="34"/>
      <c r="E25" s="34"/>
      <c r="F25" s="34"/>
      <c r="G25" s="34"/>
      <c r="H25" s="34"/>
    </row>
    <row r="26" spans="1:8">
      <c r="A26" s="37" t="s">
        <v>82</v>
      </c>
      <c r="B26" s="38">
        <v>34</v>
      </c>
      <c r="C26" s="34"/>
      <c r="D26" s="34"/>
      <c r="E26" s="34"/>
      <c r="F26" s="34"/>
      <c r="G26" s="34"/>
      <c r="H26" s="34"/>
    </row>
    <row r="27" spans="1:8">
      <c r="A27" s="35" t="s">
        <v>83</v>
      </c>
      <c r="B27" s="38"/>
      <c r="C27" s="34"/>
      <c r="D27" s="34"/>
      <c r="E27" s="34"/>
      <c r="F27" s="34"/>
      <c r="G27" s="34"/>
      <c r="H27" s="34"/>
    </row>
    <row r="28" spans="1:8">
      <c r="A28" s="37" t="s">
        <v>84</v>
      </c>
      <c r="B28" s="38">
        <v>29</v>
      </c>
      <c r="C28" s="34"/>
      <c r="D28" s="34"/>
      <c r="E28" s="34"/>
      <c r="F28" s="34"/>
      <c r="G28" s="34"/>
      <c r="H28" s="34"/>
    </row>
    <row r="29" spans="1:8">
      <c r="A29" s="37" t="s">
        <v>85</v>
      </c>
      <c r="B29" s="38">
        <v>175</v>
      </c>
      <c r="C29" s="34"/>
      <c r="D29" s="34"/>
      <c r="E29" s="34"/>
      <c r="F29" s="34"/>
      <c r="G29" s="34"/>
      <c r="H29" s="34"/>
    </row>
    <row r="30" spans="1:8">
      <c r="A30" s="37" t="s">
        <v>86</v>
      </c>
      <c r="B30" s="38">
        <v>250</v>
      </c>
      <c r="C30" s="34"/>
      <c r="D30" s="34"/>
      <c r="E30" s="34"/>
      <c r="F30" s="34"/>
      <c r="G30" s="34"/>
      <c r="H30" s="34"/>
    </row>
    <row r="31" spans="1:8">
      <c r="A31" s="37" t="s">
        <v>87</v>
      </c>
      <c r="B31" s="38">
        <v>375</v>
      </c>
      <c r="C31" s="34" t="s">
        <v>88</v>
      </c>
      <c r="D31" s="34"/>
      <c r="E31" s="34"/>
      <c r="F31" s="34"/>
      <c r="G31" s="34"/>
      <c r="H31" s="34"/>
    </row>
    <row r="32" spans="1:8">
      <c r="A32" s="37" t="s">
        <v>89</v>
      </c>
      <c r="B32" s="38">
        <v>324</v>
      </c>
      <c r="C32" s="34"/>
      <c r="D32" s="34"/>
      <c r="E32" s="34"/>
      <c r="F32" s="34"/>
      <c r="G32" s="34"/>
      <c r="H32" s="34"/>
    </row>
    <row r="33" spans="1:8">
      <c r="A33" s="37" t="s">
        <v>90</v>
      </c>
      <c r="B33" s="38">
        <v>473</v>
      </c>
      <c r="C33" s="34"/>
      <c r="D33" s="34"/>
      <c r="E33" s="34"/>
      <c r="F33" s="34"/>
      <c r="G33" s="34"/>
      <c r="H33" s="34"/>
    </row>
    <row r="34" spans="1:8">
      <c r="A34" s="37" t="s">
        <v>91</v>
      </c>
      <c r="B34" s="38">
        <v>710</v>
      </c>
      <c r="C34" s="34" t="s">
        <v>88</v>
      </c>
      <c r="D34" s="34"/>
      <c r="E34" s="34"/>
      <c r="F34" s="34"/>
      <c r="G34" s="34"/>
      <c r="H34" s="34"/>
    </row>
    <row r="35" spans="1:8">
      <c r="A35" s="37" t="s">
        <v>92</v>
      </c>
      <c r="B35" s="38">
        <v>613</v>
      </c>
      <c r="C35" s="34"/>
      <c r="D35" s="34"/>
      <c r="E35" s="34"/>
      <c r="F35" s="34"/>
      <c r="G35" s="34"/>
      <c r="H35" s="34"/>
    </row>
    <row r="36" spans="1:8">
      <c r="A36" s="37" t="s">
        <v>93</v>
      </c>
      <c r="B36" s="38">
        <v>920</v>
      </c>
      <c r="C36" s="34" t="s">
        <v>88</v>
      </c>
      <c r="D36" s="34"/>
      <c r="E36" s="34"/>
      <c r="F36" s="34"/>
      <c r="G36" s="34"/>
      <c r="H36" s="34"/>
    </row>
    <row r="37" spans="1:8">
      <c r="A37" s="37" t="s">
        <v>94</v>
      </c>
      <c r="B37" s="38">
        <v>840</v>
      </c>
      <c r="C37" s="34"/>
      <c r="D37" s="34"/>
      <c r="E37" s="34"/>
      <c r="F37" s="34"/>
      <c r="G37" s="34"/>
      <c r="H37" s="34"/>
    </row>
    <row r="38" spans="1:8">
      <c r="A38" s="37" t="s">
        <v>95</v>
      </c>
      <c r="B38" s="38">
        <v>1260</v>
      </c>
      <c r="C38" s="34" t="s">
        <v>88</v>
      </c>
      <c r="D38" s="34"/>
      <c r="E38" s="34"/>
      <c r="F38" s="34"/>
      <c r="G38" s="34"/>
      <c r="H38" s="34"/>
    </row>
    <row r="39" spans="1:8">
      <c r="A39" s="37" t="s">
        <v>96</v>
      </c>
      <c r="B39" s="38">
        <v>980</v>
      </c>
      <c r="C39" s="34"/>
      <c r="D39" s="34"/>
      <c r="E39" s="34"/>
      <c r="F39" s="34"/>
      <c r="G39" s="34"/>
      <c r="H39" s="34"/>
    </row>
    <row r="40" spans="1:8">
      <c r="A40" s="37" t="s">
        <v>97</v>
      </c>
      <c r="B40" s="38">
        <v>482</v>
      </c>
      <c r="C40" s="34" t="s">
        <v>88</v>
      </c>
      <c r="D40" s="34"/>
      <c r="E40" s="34"/>
      <c r="F40" s="34"/>
      <c r="G40" s="34"/>
      <c r="H40" s="34"/>
    </row>
    <row r="41" spans="1:8">
      <c r="A41" s="37" t="s">
        <v>98</v>
      </c>
      <c r="B41" s="38">
        <v>689</v>
      </c>
      <c r="C41" s="34" t="s">
        <v>88</v>
      </c>
      <c r="D41" s="34"/>
      <c r="E41" s="34"/>
      <c r="F41" s="34"/>
      <c r="G41" s="34"/>
      <c r="H41" s="34"/>
    </row>
    <row r="42" spans="1:8">
      <c r="A42" s="37" t="s">
        <v>99</v>
      </c>
      <c r="B42" s="38">
        <v>892</v>
      </c>
      <c r="C42" s="34" t="s">
        <v>88</v>
      </c>
      <c r="D42" s="34"/>
      <c r="E42" s="34"/>
      <c r="F42" s="34"/>
      <c r="G42" s="34"/>
      <c r="H42" s="34"/>
    </row>
    <row r="43" spans="1:8">
      <c r="A43" s="37" t="s">
        <v>100</v>
      </c>
      <c r="B43" s="38">
        <v>1301</v>
      </c>
      <c r="C43" s="34"/>
      <c r="D43" s="34"/>
      <c r="E43" s="34"/>
      <c r="F43" s="34"/>
      <c r="G43" s="34"/>
      <c r="H43" s="34"/>
    </row>
    <row r="44" spans="1:8">
      <c r="A44" s="37" t="s">
        <v>101</v>
      </c>
      <c r="B44" s="38">
        <v>1686</v>
      </c>
      <c r="C44" s="34"/>
      <c r="D44" s="34"/>
      <c r="E44" s="34"/>
      <c r="F44" s="34"/>
      <c r="G44" s="34"/>
      <c r="H44" s="34"/>
    </row>
    <row r="45" spans="1:8">
      <c r="A45" s="37" t="s">
        <v>102</v>
      </c>
      <c r="B45" s="38">
        <v>2046</v>
      </c>
      <c r="C45" s="34"/>
      <c r="D45" s="34"/>
      <c r="E45" s="34"/>
      <c r="F45" s="34"/>
      <c r="G45" s="34"/>
      <c r="H45" s="34"/>
    </row>
    <row r="46" spans="1:8">
      <c r="A46" s="37" t="s">
        <v>103</v>
      </c>
      <c r="B46" s="38">
        <v>2310</v>
      </c>
      <c r="C46" s="34"/>
      <c r="D46" s="34"/>
      <c r="E46" s="34"/>
      <c r="F46" s="34"/>
      <c r="G46" s="34"/>
      <c r="H46" s="34"/>
    </row>
    <row r="47" spans="1:8">
      <c r="A47" s="37" t="s">
        <v>104</v>
      </c>
      <c r="B47" s="38">
        <v>2800</v>
      </c>
      <c r="C47" s="34" t="s">
        <v>88</v>
      </c>
      <c r="D47" s="34"/>
      <c r="E47" s="34"/>
      <c r="F47" s="34"/>
      <c r="G47" s="34"/>
      <c r="H47" s="34"/>
    </row>
    <row r="48" spans="1:8">
      <c r="A48" s="37" t="s">
        <v>105</v>
      </c>
      <c r="B48" s="38">
        <v>125</v>
      </c>
      <c r="C48" s="34"/>
      <c r="D48" s="34"/>
      <c r="E48" s="34"/>
      <c r="F48" s="34"/>
      <c r="G48" s="34"/>
      <c r="H48" s="34"/>
    </row>
    <row r="49" spans="1:9">
      <c r="B49" s="148" t="s">
        <v>106</v>
      </c>
      <c r="C49" s="148"/>
    </row>
    <row r="52" spans="1:9">
      <c r="A52" s="42" t="s">
        <v>125</v>
      </c>
      <c r="B52" s="43" t="s">
        <v>107</v>
      </c>
      <c r="C52" s="43" t="s">
        <v>108</v>
      </c>
      <c r="F52" s="149" t="s">
        <v>109</v>
      </c>
      <c r="G52" s="149"/>
    </row>
    <row r="53" spans="1:9">
      <c r="A53" s="44" t="s">
        <v>110</v>
      </c>
      <c r="B53" s="48">
        <v>91.25</v>
      </c>
      <c r="C53" s="46">
        <f>B53/2000</f>
        <v>4.5624999999999999E-2</v>
      </c>
      <c r="F53" s="29" t="s">
        <v>111</v>
      </c>
      <c r="G53" s="47">
        <f>0.015</f>
        <v>1.4999999999999999E-2</v>
      </c>
    </row>
    <row r="54" spans="1:9">
      <c r="A54" s="44" t="s">
        <v>112</v>
      </c>
      <c r="B54" s="48">
        <v>92.16</v>
      </c>
      <c r="C54" s="49">
        <f>B54/2000</f>
        <v>4.6079999999999996E-2</v>
      </c>
      <c r="F54" s="29" t="s">
        <v>113</v>
      </c>
      <c r="G54" s="50">
        <f>0.004275</f>
        <v>4.2750000000000002E-3</v>
      </c>
    </row>
    <row r="55" spans="1:9">
      <c r="A55" s="37" t="s">
        <v>114</v>
      </c>
      <c r="B55" s="45">
        <f>B54-B53</f>
        <v>0.90999999999999659</v>
      </c>
      <c r="C55" s="51">
        <f>C54-C53</f>
        <v>4.5499999999999707E-4</v>
      </c>
      <c r="D55" s="68">
        <f>B55/B53</f>
        <v>9.9726027397259893E-3</v>
      </c>
      <c r="F55" s="29" t="s">
        <v>115</v>
      </c>
      <c r="G55" s="52"/>
      <c r="I55" s="68"/>
    </row>
    <row r="56" spans="1:9">
      <c r="F56" s="29" t="s">
        <v>38</v>
      </c>
      <c r="G56" s="53">
        <f>SUM(G53:G55)</f>
        <v>1.9275E-2</v>
      </c>
    </row>
    <row r="57" spans="1:9">
      <c r="B57" s="54" t="s">
        <v>116</v>
      </c>
    </row>
    <row r="58" spans="1:9">
      <c r="A58" s="29" t="s">
        <v>117</v>
      </c>
      <c r="B58" s="55">
        <f>B55</f>
        <v>0.90999999999999659</v>
      </c>
      <c r="F58" s="29" t="s">
        <v>118</v>
      </c>
      <c r="G58" s="56">
        <f>1-G56</f>
        <v>0.98072499999999996</v>
      </c>
    </row>
    <row r="59" spans="1:9">
      <c r="A59" s="29" t="s">
        <v>119</v>
      </c>
      <c r="B59" s="55">
        <f>B58/$G$58</f>
        <v>0.92788498304825173</v>
      </c>
    </row>
    <row r="60" spans="1:9">
      <c r="A60" s="29" t="s">
        <v>120</v>
      </c>
      <c r="B60" s="57">
        <v>7794</v>
      </c>
      <c r="C60" t="s">
        <v>127</v>
      </c>
    </row>
    <row r="61" spans="1:9">
      <c r="A61" s="35" t="s">
        <v>209</v>
      </c>
      <c r="B61" s="58">
        <f>B59*B60</f>
        <v>7231.9355578780742</v>
      </c>
    </row>
    <row r="62" spans="1:9">
      <c r="B62" s="55">
        <f>B61-'DF Calc'!H93</f>
        <v>2.1827872842550278E-11</v>
      </c>
      <c r="C62" s="92" t="s">
        <v>132</v>
      </c>
    </row>
    <row r="63" spans="1:9">
      <c r="B63" s="55"/>
      <c r="C63" s="63"/>
    </row>
    <row r="64" spans="1:9">
      <c r="A64" s="29" t="s">
        <v>210</v>
      </c>
      <c r="B64" s="38">
        <v>4663</v>
      </c>
      <c r="C64" t="s">
        <v>127</v>
      </c>
    </row>
    <row r="65" spans="1:3">
      <c r="A65" s="35" t="s">
        <v>211</v>
      </c>
      <c r="B65" s="58">
        <f>B64*B55</f>
        <v>4243.3299999999845</v>
      </c>
      <c r="C65" s="63"/>
    </row>
    <row r="66" spans="1:3">
      <c r="A66" s="35"/>
      <c r="B66" s="58"/>
      <c r="C66" s="63"/>
    </row>
    <row r="67" spans="1:3">
      <c r="B67" s="105"/>
      <c r="C67" s="63"/>
    </row>
    <row r="68" spans="1:3">
      <c r="B68" s="104"/>
    </row>
    <row r="69" spans="1:3">
      <c r="A69" s="95"/>
      <c r="B69" s="94"/>
    </row>
    <row r="70" spans="1:3">
      <c r="A70" s="93"/>
      <c r="B70" s="93"/>
    </row>
  </sheetData>
  <mergeCells count="4">
    <mergeCell ref="A3:H3"/>
    <mergeCell ref="A13:B13"/>
    <mergeCell ref="B49:C49"/>
    <mergeCell ref="F52:G5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Z101"/>
  <sheetViews>
    <sheetView workbookViewId="0">
      <pane ySplit="5" topLeftCell="A6" activePane="bottomLeft" state="frozen"/>
      <selection pane="bottomLeft" activeCell="A2" sqref="A2"/>
    </sheetView>
  </sheetViews>
  <sheetFormatPr defaultColWidth="18.54296875" defaultRowHeight="10"/>
  <cols>
    <col min="1" max="1" width="29.26953125" style="2" bestFit="1" customWidth="1"/>
    <col min="2" max="2" width="13.453125" style="2" customWidth="1"/>
    <col min="3" max="3" width="9.26953125" style="2" customWidth="1"/>
    <col min="4" max="4" width="9.54296875" style="2" customWidth="1"/>
    <col min="5" max="5" width="12.81640625" style="2" customWidth="1"/>
    <col min="6" max="6" width="9" style="2" customWidth="1"/>
    <col min="7" max="7" width="12.1796875" style="2" customWidth="1"/>
    <col min="8" max="8" width="11.1796875" style="2" customWidth="1"/>
    <col min="9" max="9" width="9.81640625" style="2" customWidth="1"/>
    <col min="10" max="11" width="11.1796875" style="2" customWidth="1"/>
    <col min="12" max="12" width="7.81640625" style="3" customWidth="1"/>
    <col min="13" max="13" width="9.1796875" style="2" customWidth="1"/>
    <col min="14" max="14" width="13.81640625" style="2" customWidth="1"/>
    <col min="15" max="15" width="10.453125" style="2" hidden="1" customWidth="1"/>
    <col min="16" max="16" width="9" style="2" hidden="1" customWidth="1"/>
    <col min="17" max="17" width="11.81640625" style="2" hidden="1" customWidth="1"/>
    <col min="18" max="18" width="8.1796875" style="2" hidden="1" customWidth="1"/>
    <col min="19" max="19" width="2.54296875" style="2" hidden="1" customWidth="1"/>
    <col min="20" max="20" width="11.1796875" style="2" hidden="1" customWidth="1"/>
    <col min="21" max="21" width="10" style="2" hidden="1" customWidth="1"/>
    <col min="22" max="22" width="7" style="2" hidden="1" customWidth="1"/>
    <col min="23" max="23" width="3.54296875" style="2" customWidth="1"/>
    <col min="24" max="24" width="12.54296875" style="2" customWidth="1"/>
    <col min="25" max="25" width="15.1796875" style="2" customWidth="1"/>
    <col min="26" max="26" width="11.7265625" style="2" customWidth="1"/>
    <col min="27" max="16384" width="18.54296875" style="2"/>
  </cols>
  <sheetData>
    <row r="1" spans="1:26" ht="10.5">
      <c r="A1" s="1" t="s">
        <v>0</v>
      </c>
    </row>
    <row r="2" spans="1:26" ht="10.5">
      <c r="A2" s="1" t="s">
        <v>237</v>
      </c>
    </row>
    <row r="3" spans="1:26" ht="10.5">
      <c r="A3" s="1" t="s">
        <v>233</v>
      </c>
    </row>
    <row r="4" spans="1:26" ht="10.5">
      <c r="A4" s="1"/>
      <c r="F4" s="96"/>
    </row>
    <row r="5" spans="1:26" s="8" customFormat="1" ht="39" customHeight="1">
      <c r="B5" s="70" t="s">
        <v>208</v>
      </c>
      <c r="C5" s="70" t="s">
        <v>205</v>
      </c>
      <c r="D5" s="71" t="s">
        <v>122</v>
      </c>
      <c r="E5" s="71" t="s">
        <v>206</v>
      </c>
      <c r="F5" s="71" t="s">
        <v>65</v>
      </c>
      <c r="G5" s="71" t="s">
        <v>123</v>
      </c>
      <c r="H5" s="71" t="s">
        <v>124</v>
      </c>
      <c r="I5" s="71" t="s">
        <v>114</v>
      </c>
      <c r="J5" s="71" t="s">
        <v>129</v>
      </c>
      <c r="K5" s="71" t="s">
        <v>133</v>
      </c>
      <c r="L5" s="72" t="s">
        <v>3</v>
      </c>
      <c r="M5" s="70" t="s">
        <v>234</v>
      </c>
      <c r="N5" s="70" t="s">
        <v>1</v>
      </c>
      <c r="O5" s="9"/>
      <c r="X5" s="70" t="s">
        <v>228</v>
      </c>
      <c r="Y5" s="70" t="s">
        <v>229</v>
      </c>
      <c r="Z5" s="99" t="s">
        <v>114</v>
      </c>
    </row>
    <row r="6" spans="1:26" ht="11" thickBot="1">
      <c r="A6" s="10" t="s">
        <v>4</v>
      </c>
      <c r="T6" s="5"/>
      <c r="U6" s="5"/>
      <c r="V6" s="11"/>
    </row>
    <row r="7" spans="1:26" ht="10.5" thickTop="1">
      <c r="A7" s="12" t="s">
        <v>5</v>
      </c>
      <c r="B7" s="13">
        <v>14</v>
      </c>
      <c r="C7" s="15">
        <f>References!$B$9</f>
        <v>4.333333333333333</v>
      </c>
      <c r="D7" s="13">
        <f t="shared" ref="D7:D19" si="0">B7*C7*12</f>
        <v>728</v>
      </c>
      <c r="E7" s="67">
        <f>'[4]COS Packer,RO '!J15</f>
        <v>2138.64</v>
      </c>
      <c r="F7" s="13">
        <f>References!B15</f>
        <v>20</v>
      </c>
      <c r="G7" s="13">
        <f>D7*F7</f>
        <v>14560</v>
      </c>
      <c r="H7" s="61">
        <f>G7*$H$88</f>
        <v>11364.659812724522</v>
      </c>
      <c r="I7" s="67">
        <f>H7*References!$C$55</f>
        <v>5.170920214789624</v>
      </c>
      <c r="J7" s="67">
        <f>I7/References!$G$58</f>
        <v>5.2725485888395056</v>
      </c>
      <c r="K7" s="67">
        <f>J7/D7*C7</f>
        <v>3.1384217790711343E-2</v>
      </c>
      <c r="L7" s="14">
        <f>Rates!B23</f>
        <v>13.09</v>
      </c>
      <c r="M7" s="67">
        <f>L7+K7</f>
        <v>13.121384217790711</v>
      </c>
      <c r="N7" s="67">
        <f>K7*B7*12</f>
        <v>5.2725485888395056</v>
      </c>
      <c r="O7" s="4" t="e">
        <f>#REF!</f>
        <v>#REF!</v>
      </c>
      <c r="P7" s="5" t="e">
        <f>#REF!</f>
        <v>#REF!</v>
      </c>
      <c r="Q7" s="5" t="e">
        <f t="shared" ref="Q7:Q15" si="1">P7-O7</f>
        <v>#REF!</v>
      </c>
      <c r="R7" s="11" t="e">
        <f t="shared" ref="R7:R15" si="2">Q7/O7</f>
        <v>#REF!</v>
      </c>
      <c r="T7" s="5"/>
      <c r="U7" s="5"/>
      <c r="V7" s="11"/>
      <c r="X7" s="97">
        <f>B7*L7*12</f>
        <v>2199.12</v>
      </c>
      <c r="Y7" s="97">
        <f>B7*M7*12</f>
        <v>2204.3925485888394</v>
      </c>
    </row>
    <row r="8" spans="1:26">
      <c r="A8" s="12" t="s">
        <v>6</v>
      </c>
      <c r="B8" s="13">
        <v>2338</v>
      </c>
      <c r="C8" s="15">
        <f>References!$B$9</f>
        <v>4.333333333333333</v>
      </c>
      <c r="D8" s="13">
        <f t="shared" si="0"/>
        <v>121575.99999999999</v>
      </c>
      <c r="E8" s="67">
        <f>'[4]COS Packer,RO '!J16</f>
        <v>416631.6</v>
      </c>
      <c r="F8" s="13">
        <f>References!B16</f>
        <v>34</v>
      </c>
      <c r="G8" s="13">
        <f t="shared" ref="G8:G19" si="3">D8*F8</f>
        <v>4133583.9999999995</v>
      </c>
      <c r="H8" s="61">
        <f t="shared" ref="H8:H38" si="4">G8*$H$88</f>
        <v>3226426.9208324915</v>
      </c>
      <c r="I8" s="67">
        <f>H8*References!$C$55</f>
        <v>1468.0242489787743</v>
      </c>
      <c r="J8" s="67">
        <f>I8/References!$G$58</f>
        <v>1496.8765443715356</v>
      </c>
      <c r="K8" s="67">
        <f t="shared" ref="K8:K38" si="5">J8/D8*C8</f>
        <v>5.3353170244209283E-2</v>
      </c>
      <c r="L8" s="14">
        <f>Rates!B13</f>
        <v>15.49</v>
      </c>
      <c r="M8" s="67">
        <f t="shared" ref="M8:M18" si="6">L8+K8</f>
        <v>15.54335317024421</v>
      </c>
      <c r="N8" s="67">
        <f t="shared" ref="N8:N38" si="7">K8*B8*12</f>
        <v>1496.8765443715356</v>
      </c>
      <c r="O8" s="4" t="e">
        <f>#REF!</f>
        <v>#REF!</v>
      </c>
      <c r="P8" s="5" t="e">
        <f>#REF!</f>
        <v>#REF!</v>
      </c>
      <c r="Q8" s="5" t="e">
        <f t="shared" si="1"/>
        <v>#REF!</v>
      </c>
      <c r="R8" s="11" t="e">
        <f t="shared" si="2"/>
        <v>#REF!</v>
      </c>
      <c r="T8" s="5"/>
      <c r="U8" s="5"/>
      <c r="V8" s="11"/>
      <c r="X8" s="97">
        <f t="shared" ref="X8:X42" si="8">B8*L8*12</f>
        <v>434587.44000000006</v>
      </c>
      <c r="Y8" s="97">
        <f t="shared" ref="Y8:Y42" si="9">B8*M8*12</f>
        <v>436084.31654437154</v>
      </c>
    </row>
    <row r="9" spans="1:26">
      <c r="A9" s="12" t="s">
        <v>7</v>
      </c>
      <c r="B9" s="13">
        <v>457</v>
      </c>
      <c r="C9" s="15">
        <f>References!$B$9</f>
        <v>4.333333333333333</v>
      </c>
      <c r="D9" s="13">
        <f t="shared" si="0"/>
        <v>23764</v>
      </c>
      <c r="E9" s="67">
        <f>'[4]COS Packer,RO '!J17</f>
        <v>122457.72</v>
      </c>
      <c r="F9" s="13">
        <f>References!B17</f>
        <v>51</v>
      </c>
      <c r="G9" s="13">
        <f t="shared" si="3"/>
        <v>1211964</v>
      </c>
      <c r="H9" s="61">
        <f t="shared" si="4"/>
        <v>945986.16519703728</v>
      </c>
      <c r="I9" s="67">
        <f>H9*References!$C$55</f>
        <v>430.42370516464922</v>
      </c>
      <c r="J9" s="67">
        <f>I9/References!$G$58</f>
        <v>438.88317842886562</v>
      </c>
      <c r="K9" s="67">
        <f t="shared" si="5"/>
        <v>8.0029755366313932E-2</v>
      </c>
      <c r="L9" s="14">
        <f>Rates!B14</f>
        <v>23.14</v>
      </c>
      <c r="M9" s="67">
        <f t="shared" si="6"/>
        <v>23.220029755366316</v>
      </c>
      <c r="N9" s="67">
        <f t="shared" si="7"/>
        <v>438.88317842886556</v>
      </c>
      <c r="O9" s="4" t="e">
        <f>#REF!</f>
        <v>#REF!</v>
      </c>
      <c r="P9" s="5" t="e">
        <f>#REF!</f>
        <v>#REF!</v>
      </c>
      <c r="Q9" s="5" t="e">
        <f t="shared" si="1"/>
        <v>#REF!</v>
      </c>
      <c r="R9" s="11" t="e">
        <f t="shared" si="2"/>
        <v>#REF!</v>
      </c>
      <c r="T9" s="5"/>
      <c r="U9" s="5"/>
      <c r="V9" s="11"/>
      <c r="X9" s="97">
        <f t="shared" si="8"/>
        <v>126899.76</v>
      </c>
      <c r="Y9" s="97">
        <f t="shared" si="9"/>
        <v>127338.64317842887</v>
      </c>
    </row>
    <row r="10" spans="1:26">
      <c r="A10" s="12" t="s">
        <v>8</v>
      </c>
      <c r="B10" s="13">
        <v>32</v>
      </c>
      <c r="C10" s="15">
        <f>References!$B$9</f>
        <v>4.333333333333333</v>
      </c>
      <c r="D10" s="13">
        <f t="shared" si="0"/>
        <v>1664</v>
      </c>
      <c r="E10" s="67">
        <f>'[4]COS Packer,RO '!J18</f>
        <v>11520</v>
      </c>
      <c r="F10" s="13">
        <f>References!B18</f>
        <v>77</v>
      </c>
      <c r="G10" s="13">
        <f t="shared" si="3"/>
        <v>128128</v>
      </c>
      <c r="H10" s="61">
        <f t="shared" si="4"/>
        <v>100009.0063519758</v>
      </c>
      <c r="I10" s="67">
        <f>H10*References!$C$55</f>
        <v>45.504097890148692</v>
      </c>
      <c r="J10" s="67">
        <f>I10/References!$G$58</f>
        <v>46.398427581787651</v>
      </c>
      <c r="K10" s="67">
        <f t="shared" si="5"/>
        <v>0.12082923849423867</v>
      </c>
      <c r="L10" s="14">
        <f>Rates!B15</f>
        <v>31.18</v>
      </c>
      <c r="M10" s="67">
        <f t="shared" si="6"/>
        <v>31.300829238494238</v>
      </c>
      <c r="N10" s="67">
        <f t="shared" si="7"/>
        <v>46.398427581787651</v>
      </c>
      <c r="O10" s="4" t="e">
        <f>#REF!</f>
        <v>#REF!</v>
      </c>
      <c r="P10" s="5" t="e">
        <f>#REF!</f>
        <v>#REF!</v>
      </c>
      <c r="Q10" s="5" t="e">
        <f t="shared" si="1"/>
        <v>#REF!</v>
      </c>
      <c r="R10" s="11" t="e">
        <f t="shared" si="2"/>
        <v>#REF!</v>
      </c>
      <c r="T10" s="5"/>
      <c r="U10" s="5"/>
      <c r="V10" s="11"/>
      <c r="X10" s="97">
        <f t="shared" si="8"/>
        <v>11973.119999999999</v>
      </c>
      <c r="Y10" s="97">
        <f t="shared" si="9"/>
        <v>12019.518427581788</v>
      </c>
    </row>
    <row r="11" spans="1:26">
      <c r="A11" s="12" t="s">
        <v>9</v>
      </c>
      <c r="B11" s="13">
        <v>4</v>
      </c>
      <c r="C11" s="15">
        <f>References!$B$9</f>
        <v>4.333333333333333</v>
      </c>
      <c r="D11" s="13">
        <f t="shared" si="0"/>
        <v>208</v>
      </c>
      <c r="E11" s="67">
        <f>'[4]COS Packer,RO '!J19</f>
        <v>1848.48</v>
      </c>
      <c r="F11" s="13">
        <f>References!B19</f>
        <v>97</v>
      </c>
      <c r="G11" s="13">
        <f t="shared" si="3"/>
        <v>20176</v>
      </c>
      <c r="H11" s="61">
        <f t="shared" si="4"/>
        <v>15748.171454775409</v>
      </c>
      <c r="I11" s="67">
        <f>H11*References!$C$55</f>
        <v>7.1654180119227648</v>
      </c>
      <c r="J11" s="67">
        <f>I11/References!$G$58</f>
        <v>7.3062459016776007</v>
      </c>
      <c r="K11" s="67">
        <f t="shared" si="5"/>
        <v>0.15221345628495001</v>
      </c>
      <c r="L11" s="14">
        <f>Rates!B16</f>
        <v>40</v>
      </c>
      <c r="M11" s="67">
        <f t="shared" si="6"/>
        <v>40.152213456284947</v>
      </c>
      <c r="N11" s="67">
        <f t="shared" si="7"/>
        <v>7.3062459016776007</v>
      </c>
      <c r="O11" s="4" t="e">
        <f>#REF!</f>
        <v>#REF!</v>
      </c>
      <c r="P11" s="5" t="e">
        <f>#REF!</f>
        <v>#REF!</v>
      </c>
      <c r="Q11" s="5" t="e">
        <f t="shared" si="1"/>
        <v>#REF!</v>
      </c>
      <c r="R11" s="11" t="e">
        <f t="shared" si="2"/>
        <v>#REF!</v>
      </c>
      <c r="T11" s="5"/>
      <c r="U11" s="5"/>
      <c r="V11" s="11"/>
      <c r="X11" s="97">
        <f t="shared" si="8"/>
        <v>1920</v>
      </c>
      <c r="Y11" s="97">
        <f t="shared" si="9"/>
        <v>1927.3062459016774</v>
      </c>
    </row>
    <row r="12" spans="1:26">
      <c r="A12" s="12" t="s">
        <v>10</v>
      </c>
      <c r="B12" s="13">
        <v>1</v>
      </c>
      <c r="C12" s="15">
        <f>References!$B$9</f>
        <v>4.333333333333333</v>
      </c>
      <c r="D12" s="13">
        <f t="shared" si="0"/>
        <v>52</v>
      </c>
      <c r="E12" s="67">
        <f>'[4]COS Packer,RO '!J20</f>
        <v>552.48</v>
      </c>
      <c r="F12" s="13">
        <f>References!B20</f>
        <v>117</v>
      </c>
      <c r="G12" s="13">
        <f t="shared" si="3"/>
        <v>6084</v>
      </c>
      <c r="H12" s="61">
        <f t="shared" si="4"/>
        <v>4748.8042788884613</v>
      </c>
      <c r="I12" s="67">
        <f>H12*References!$C$55</f>
        <v>2.160705946894236</v>
      </c>
      <c r="J12" s="67">
        <f>I12/References!$G$58</f>
        <v>2.2031720889079365</v>
      </c>
      <c r="K12" s="67">
        <f t="shared" si="5"/>
        <v>0.18359767407566135</v>
      </c>
      <c r="L12" s="14">
        <f>Rates!B17</f>
        <v>47.84</v>
      </c>
      <c r="M12" s="67">
        <f t="shared" si="6"/>
        <v>48.023597674075667</v>
      </c>
      <c r="N12" s="67">
        <f t="shared" si="7"/>
        <v>2.2031720889079365</v>
      </c>
      <c r="O12" s="4" t="e">
        <f>#REF!</f>
        <v>#REF!</v>
      </c>
      <c r="P12" s="5" t="e">
        <f>#REF!</f>
        <v>#REF!</v>
      </c>
      <c r="Q12" s="5" t="e">
        <f t="shared" si="1"/>
        <v>#REF!</v>
      </c>
      <c r="R12" s="11" t="e">
        <f t="shared" si="2"/>
        <v>#REF!</v>
      </c>
      <c r="T12" s="5"/>
      <c r="U12" s="5"/>
      <c r="V12" s="11"/>
      <c r="X12" s="97">
        <f t="shared" si="8"/>
        <v>574.08000000000004</v>
      </c>
      <c r="Y12" s="97">
        <f t="shared" si="9"/>
        <v>576.28317208890803</v>
      </c>
    </row>
    <row r="13" spans="1:26">
      <c r="A13" s="12" t="s">
        <v>11</v>
      </c>
      <c r="B13" s="13">
        <v>2</v>
      </c>
      <c r="C13" s="15">
        <f>References!$B$9</f>
        <v>4.333333333333333</v>
      </c>
      <c r="D13" s="13">
        <f t="shared" si="0"/>
        <v>104</v>
      </c>
      <c r="E13" s="67">
        <f>'[4]COS Packer,RO '!J21</f>
        <v>1278.96</v>
      </c>
      <c r="F13" s="13">
        <f>References!B21</f>
        <v>157</v>
      </c>
      <c r="G13" s="13">
        <f t="shared" si="3"/>
        <v>16328</v>
      </c>
      <c r="H13" s="61">
        <f t="shared" si="4"/>
        <v>12744.654218555357</v>
      </c>
      <c r="I13" s="67">
        <f>H13*References!$C$55</f>
        <v>5.7988176694426503</v>
      </c>
      <c r="J13" s="67">
        <f>I13/References!$G$58</f>
        <v>5.9127866317700173</v>
      </c>
      <c r="K13" s="67">
        <f t="shared" si="5"/>
        <v>0.24636610965708405</v>
      </c>
      <c r="L13" s="14">
        <f>Rates!B18</f>
        <v>55.47</v>
      </c>
      <c r="M13" s="67">
        <f t="shared" si="6"/>
        <v>55.716366109657081</v>
      </c>
      <c r="N13" s="67">
        <f t="shared" si="7"/>
        <v>5.9127866317700173</v>
      </c>
      <c r="O13" s="4" t="e">
        <f>#REF!</f>
        <v>#REF!</v>
      </c>
      <c r="P13" s="5" t="e">
        <f>#REF!</f>
        <v>#REF!</v>
      </c>
      <c r="Q13" s="5" t="e">
        <f t="shared" si="1"/>
        <v>#REF!</v>
      </c>
      <c r="R13" s="11" t="e">
        <f t="shared" si="2"/>
        <v>#REF!</v>
      </c>
      <c r="T13" s="5"/>
      <c r="U13" s="5"/>
      <c r="V13" s="11"/>
      <c r="X13" s="97">
        <f t="shared" si="8"/>
        <v>1331.28</v>
      </c>
      <c r="Y13" s="97">
        <f t="shared" si="9"/>
        <v>1337.1927866317699</v>
      </c>
    </row>
    <row r="14" spans="1:26">
      <c r="A14" s="12" t="s">
        <v>12</v>
      </c>
      <c r="B14" s="13">
        <v>774</v>
      </c>
      <c r="C14" s="15">
        <f>References!$B$9</f>
        <v>4.333333333333333</v>
      </c>
      <c r="D14" s="13">
        <f t="shared" si="0"/>
        <v>40247.999999999993</v>
      </c>
      <c r="E14" s="67">
        <f>'[4]COS Packer,RO '!J22</f>
        <v>158639.03999999998</v>
      </c>
      <c r="F14" s="13">
        <f>References!B22</f>
        <v>37</v>
      </c>
      <c r="G14" s="13">
        <f t="shared" si="3"/>
        <v>1489175.9999999998</v>
      </c>
      <c r="H14" s="61">
        <f t="shared" si="4"/>
        <v>1162361.17041716</v>
      </c>
      <c r="I14" s="67">
        <f>H14*References!$C$55</f>
        <v>528.87433253980441</v>
      </c>
      <c r="J14" s="67">
        <f>I14/References!$G$58</f>
        <v>539.26873745423484</v>
      </c>
      <c r="K14" s="67">
        <f t="shared" si="5"/>
        <v>5.8060802912815991E-2</v>
      </c>
      <c r="L14" s="14">
        <f>Rates!B26</f>
        <v>17.78</v>
      </c>
      <c r="M14" s="67">
        <f t="shared" si="6"/>
        <v>17.838060802912818</v>
      </c>
      <c r="N14" s="67">
        <f t="shared" si="7"/>
        <v>539.26873745423495</v>
      </c>
      <c r="O14" s="4" t="e">
        <f>#REF!</f>
        <v>#REF!</v>
      </c>
      <c r="P14" s="5" t="e">
        <f>#REF!</f>
        <v>#REF!</v>
      </c>
      <c r="Q14" s="5" t="e">
        <f t="shared" si="1"/>
        <v>#REF!</v>
      </c>
      <c r="R14" s="11" t="e">
        <f t="shared" si="2"/>
        <v>#REF!</v>
      </c>
      <c r="T14" s="5"/>
      <c r="U14" s="5"/>
      <c r="V14" s="11"/>
      <c r="X14" s="97">
        <f t="shared" si="8"/>
        <v>165140.64000000001</v>
      </c>
      <c r="Y14" s="97">
        <f t="shared" si="9"/>
        <v>165679.90873745424</v>
      </c>
    </row>
    <row r="15" spans="1:26">
      <c r="A15" s="12" t="s">
        <v>13</v>
      </c>
      <c r="B15" s="13">
        <v>500</v>
      </c>
      <c r="C15" s="15">
        <f>References!$B$9</f>
        <v>4.333333333333333</v>
      </c>
      <c r="D15" s="13">
        <f t="shared" si="0"/>
        <v>26000</v>
      </c>
      <c r="E15" s="67">
        <f>'[4]COS Packer,RO '!J23</f>
        <v>120000</v>
      </c>
      <c r="F15" s="13">
        <v>45</v>
      </c>
      <c r="G15" s="13">
        <f t="shared" si="3"/>
        <v>1170000</v>
      </c>
      <c r="H15" s="61">
        <f t="shared" si="4"/>
        <v>913231.59209393489</v>
      </c>
      <c r="I15" s="67">
        <f>H15*References!$C$55</f>
        <v>415.52037440273767</v>
      </c>
      <c r="J15" s="67">
        <f>I15/References!$G$58</f>
        <v>423.68694017460319</v>
      </c>
      <c r="K15" s="67">
        <f t="shared" si="5"/>
        <v>7.061449002910053E-2</v>
      </c>
      <c r="L15" s="14">
        <f>Rates!B19</f>
        <v>20.81</v>
      </c>
      <c r="M15" s="67">
        <f t="shared" si="6"/>
        <v>20.8806144900291</v>
      </c>
      <c r="N15" s="67">
        <f t="shared" si="7"/>
        <v>423.68694017460314</v>
      </c>
      <c r="O15" s="4" t="e">
        <f>#REF!</f>
        <v>#REF!</v>
      </c>
      <c r="P15" s="5" t="e">
        <f>#REF!</f>
        <v>#REF!</v>
      </c>
      <c r="Q15" s="5" t="e">
        <f t="shared" si="1"/>
        <v>#REF!</v>
      </c>
      <c r="R15" s="11" t="e">
        <f t="shared" si="2"/>
        <v>#REF!</v>
      </c>
      <c r="T15" s="5"/>
      <c r="U15" s="5"/>
      <c r="V15" s="11"/>
      <c r="X15" s="97">
        <f t="shared" si="8"/>
        <v>124860</v>
      </c>
      <c r="Y15" s="97">
        <f t="shared" si="9"/>
        <v>125283.68694017461</v>
      </c>
    </row>
    <row r="16" spans="1:26">
      <c r="A16" s="12" t="s">
        <v>14</v>
      </c>
      <c r="B16" s="13">
        <v>22</v>
      </c>
      <c r="C16" s="15">
        <f>References!$B$9</f>
        <v>4.333333333333333</v>
      </c>
      <c r="D16" s="13">
        <f t="shared" si="0"/>
        <v>1144</v>
      </c>
      <c r="E16" s="67">
        <f>'[4]COS Packer,RO '!J24</f>
        <v>10560</v>
      </c>
      <c r="F16" s="13">
        <f>F15*2</f>
        <v>90</v>
      </c>
      <c r="G16" s="13">
        <f t="shared" si="3"/>
        <v>102960</v>
      </c>
      <c r="H16" s="61">
        <f t="shared" si="4"/>
        <v>80364.380104266267</v>
      </c>
      <c r="I16" s="67">
        <f>H16*References!$C$55</f>
        <v>36.565792947440919</v>
      </c>
      <c r="J16" s="67">
        <f>I16/References!$G$58</f>
        <v>37.284450735365084</v>
      </c>
      <c r="K16" s="67">
        <f t="shared" si="5"/>
        <v>0.14122898005820106</v>
      </c>
      <c r="L16" s="14">
        <f>L15*2</f>
        <v>41.62</v>
      </c>
      <c r="M16" s="67">
        <f t="shared" si="6"/>
        <v>41.761228980058199</v>
      </c>
      <c r="N16" s="67">
        <f t="shared" si="7"/>
        <v>37.284450735365077</v>
      </c>
      <c r="O16" s="4" t="e">
        <f>#REF!</f>
        <v>#REF!</v>
      </c>
      <c r="P16" s="5"/>
      <c r="Q16" s="5"/>
      <c r="R16" s="11"/>
      <c r="T16" s="5"/>
      <c r="U16" s="5"/>
      <c r="V16" s="11"/>
      <c r="X16" s="97">
        <f t="shared" si="8"/>
        <v>10987.68</v>
      </c>
      <c r="Y16" s="97">
        <f t="shared" si="9"/>
        <v>11024.964450735366</v>
      </c>
    </row>
    <row r="17" spans="1:25">
      <c r="A17" s="12" t="s">
        <v>15</v>
      </c>
      <c r="B17" s="13">
        <v>299</v>
      </c>
      <c r="C17" s="15">
        <f>References!$B$9</f>
        <v>4.333333333333333</v>
      </c>
      <c r="D17" s="13">
        <f t="shared" si="0"/>
        <v>15547.999999999998</v>
      </c>
      <c r="E17" s="67">
        <f>'[4]COS Packer,RO '!J25</f>
        <v>78290.16</v>
      </c>
      <c r="F17" s="13">
        <v>48</v>
      </c>
      <c r="G17" s="13">
        <f t="shared" si="3"/>
        <v>746303.99999999988</v>
      </c>
      <c r="H17" s="61">
        <f t="shared" si="4"/>
        <v>582519.99154365109</v>
      </c>
      <c r="I17" s="67">
        <f>H17*References!$C$55</f>
        <v>265.04659615235954</v>
      </c>
      <c r="J17" s="67">
        <f>I17/References!$G$58</f>
        <v>270.25577623937346</v>
      </c>
      <c r="K17" s="67">
        <f t="shared" si="5"/>
        <v>7.5322122697707203E-2</v>
      </c>
      <c r="L17" s="14">
        <f>Rates!B27</f>
        <v>22.56</v>
      </c>
      <c r="M17" s="67">
        <f t="shared" si="6"/>
        <v>22.635322122697705</v>
      </c>
      <c r="N17" s="67">
        <f t="shared" si="7"/>
        <v>270.2557762393734</v>
      </c>
      <c r="O17" s="4" t="e">
        <f>#REF!</f>
        <v>#REF!</v>
      </c>
      <c r="P17" s="5"/>
      <c r="Q17" s="5"/>
      <c r="R17" s="11"/>
      <c r="T17" s="5"/>
      <c r="U17" s="5"/>
      <c r="V17" s="11"/>
      <c r="X17" s="97">
        <f t="shared" si="8"/>
        <v>80945.279999999999</v>
      </c>
      <c r="Y17" s="97">
        <f t="shared" si="9"/>
        <v>81215.535776239369</v>
      </c>
    </row>
    <row r="18" spans="1:25">
      <c r="A18" s="12" t="s">
        <v>16</v>
      </c>
      <c r="B18" s="13">
        <v>261</v>
      </c>
      <c r="C18" s="15">
        <f>References!$B$9</f>
        <v>4.333333333333333</v>
      </c>
      <c r="D18" s="13">
        <f t="shared" si="0"/>
        <v>13572</v>
      </c>
      <c r="E18" s="67">
        <f>'[4]COS Packer,RO '!J26</f>
        <v>82402.92</v>
      </c>
      <c r="F18" s="13">
        <f>References!B23</f>
        <v>47</v>
      </c>
      <c r="G18" s="13">
        <f t="shared" si="3"/>
        <v>637884</v>
      </c>
      <c r="H18" s="61">
        <f t="shared" si="4"/>
        <v>497893.86400961329</v>
      </c>
      <c r="I18" s="67">
        <f>H18*References!$C$55</f>
        <v>226.54170812437258</v>
      </c>
      <c r="J18" s="67">
        <f>I18/References!$G$58</f>
        <v>230.99411978319364</v>
      </c>
      <c r="K18" s="67">
        <f t="shared" si="5"/>
        <v>7.3752911808171659E-2</v>
      </c>
      <c r="L18" s="14">
        <f>Rates!B28</f>
        <v>27.67</v>
      </c>
      <c r="M18" s="67">
        <f t="shared" si="6"/>
        <v>27.743752911808173</v>
      </c>
      <c r="N18" s="67">
        <f t="shared" si="7"/>
        <v>230.99411978319364</v>
      </c>
      <c r="O18" s="4" t="e">
        <f>#REF!</f>
        <v>#REF!</v>
      </c>
      <c r="P18" s="5" t="e">
        <f>#REF!</f>
        <v>#REF!</v>
      </c>
      <c r="Q18" s="5" t="e">
        <f>P18-O18</f>
        <v>#REF!</v>
      </c>
      <c r="R18" s="11" t="e">
        <f>Q18/O18</f>
        <v>#REF!</v>
      </c>
      <c r="T18" s="5"/>
      <c r="U18" s="5"/>
      <c r="V18" s="11"/>
      <c r="X18" s="97">
        <f t="shared" si="8"/>
        <v>86662.44</v>
      </c>
      <c r="Y18" s="97">
        <f t="shared" si="9"/>
        <v>86893.434119783196</v>
      </c>
    </row>
    <row r="19" spans="1:25">
      <c r="A19" s="12" t="s">
        <v>17</v>
      </c>
      <c r="B19" s="13">
        <v>77</v>
      </c>
      <c r="C19" s="15">
        <f>References!$B$9</f>
        <v>4.333333333333333</v>
      </c>
      <c r="D19" s="13">
        <f t="shared" si="0"/>
        <v>4003.9999999999995</v>
      </c>
      <c r="E19" s="67">
        <f>'[4]COS Packer,RO '!J27</f>
        <v>30695.279999999999</v>
      </c>
      <c r="F19" s="13">
        <f>References!B24</f>
        <v>68</v>
      </c>
      <c r="G19" s="13">
        <f t="shared" si="3"/>
        <v>272271.99999999994</v>
      </c>
      <c r="H19" s="61">
        <f t="shared" si="4"/>
        <v>212519.13849794853</v>
      </c>
      <c r="I19" s="67">
        <f>H19*References!$C$55</f>
        <v>96.696208016565961</v>
      </c>
      <c r="J19" s="67">
        <f>I19/References!$G$58</f>
        <v>98.59665861129875</v>
      </c>
      <c r="K19" s="67">
        <f t="shared" si="5"/>
        <v>0.10670634048841857</v>
      </c>
      <c r="L19" s="14">
        <f>Rates!B29</f>
        <v>34.340000000000003</v>
      </c>
      <c r="M19" s="67">
        <f>L19+K19</f>
        <v>34.446706340488419</v>
      </c>
      <c r="N19" s="67">
        <f t="shared" si="7"/>
        <v>98.596658611298764</v>
      </c>
      <c r="O19" s="4" t="e">
        <f>#REF!</f>
        <v>#REF!</v>
      </c>
      <c r="P19" s="5" t="e">
        <f>#REF!</f>
        <v>#REF!</v>
      </c>
      <c r="Q19" s="5" t="e">
        <f>P19-O19</f>
        <v>#REF!</v>
      </c>
      <c r="R19" s="11" t="e">
        <f>Q19/O19</f>
        <v>#REF!</v>
      </c>
      <c r="T19" s="5"/>
      <c r="U19" s="5"/>
      <c r="V19" s="11"/>
      <c r="X19" s="97">
        <f t="shared" si="8"/>
        <v>31730.160000000003</v>
      </c>
      <c r="Y19" s="97">
        <f t="shared" si="9"/>
        <v>31828.756658611295</v>
      </c>
    </row>
    <row r="20" spans="1: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4"/>
      <c r="M20" s="13"/>
      <c r="N20" s="13"/>
      <c r="O20" s="4"/>
      <c r="P20" s="5"/>
      <c r="Q20" s="5"/>
      <c r="R20" s="11"/>
      <c r="T20" s="5"/>
      <c r="U20" s="5"/>
      <c r="V20" s="11"/>
      <c r="X20" s="97">
        <f t="shared" si="8"/>
        <v>0</v>
      </c>
      <c r="Y20" s="97">
        <f t="shared" si="9"/>
        <v>0</v>
      </c>
    </row>
    <row r="21" spans="1:25">
      <c r="A21" s="12" t="s">
        <v>18</v>
      </c>
      <c r="B21" s="13">
        <v>1451</v>
      </c>
      <c r="C21" s="15">
        <f>References!$B$10</f>
        <v>2.1666666666666665</v>
      </c>
      <c r="D21" s="13">
        <f t="shared" ref="D21:D26" si="10">B21*C21*12</f>
        <v>37726</v>
      </c>
      <c r="E21" s="67">
        <f>'[4]COS Packer,RO '!J29</f>
        <v>149394.96</v>
      </c>
      <c r="F21" s="13">
        <f>F8</f>
        <v>34</v>
      </c>
      <c r="G21" s="13">
        <f t="shared" ref="G21:G26" si="11">D21*F21</f>
        <v>1282684</v>
      </c>
      <c r="H21" s="61">
        <f t="shared" si="4"/>
        <v>1001185.9414302707</v>
      </c>
      <c r="I21" s="67">
        <f>H21*References!$C$55</f>
        <v>455.53960335077022</v>
      </c>
      <c r="J21" s="67">
        <f>I21/References!$G$58</f>
        <v>464.49270014608607</v>
      </c>
      <c r="K21" s="67">
        <f t="shared" si="5"/>
        <v>2.6676585122104642E-2</v>
      </c>
      <c r="L21" s="14">
        <f>Rates!B20</f>
        <v>8.8699999999999992</v>
      </c>
      <c r="M21" s="67">
        <f t="shared" ref="M21:M26" si="12">L21+K21</f>
        <v>8.896676585122103</v>
      </c>
      <c r="N21" s="67">
        <f t="shared" si="7"/>
        <v>464.49270014608601</v>
      </c>
      <c r="O21" s="4" t="e">
        <f>#REF!</f>
        <v>#REF!</v>
      </c>
      <c r="P21" s="5"/>
      <c r="Q21" s="5"/>
      <c r="R21" s="11"/>
      <c r="T21" s="5"/>
      <c r="U21" s="5"/>
      <c r="V21" s="11"/>
      <c r="X21" s="97">
        <f t="shared" si="8"/>
        <v>154444.44</v>
      </c>
      <c r="Y21" s="97">
        <f t="shared" si="9"/>
        <v>154908.93270014605</v>
      </c>
    </row>
    <row r="22" spans="1:25">
      <c r="A22" s="12" t="s">
        <v>19</v>
      </c>
      <c r="B22" s="13">
        <v>139</v>
      </c>
      <c r="C22" s="15">
        <f>References!$B$10</f>
        <v>2.1666666666666665</v>
      </c>
      <c r="D22" s="13">
        <f t="shared" si="10"/>
        <v>3613.9999999999995</v>
      </c>
      <c r="E22" s="67">
        <f>'[4]COS Packer,RO '!J30</f>
        <v>23051.760000000002</v>
      </c>
      <c r="F22" s="13">
        <f>F9</f>
        <v>51</v>
      </c>
      <c r="G22" s="13">
        <f t="shared" si="11"/>
        <v>184313.99999999997</v>
      </c>
      <c r="H22" s="61">
        <f t="shared" si="4"/>
        <v>143864.4168078645</v>
      </c>
      <c r="I22" s="67">
        <f>H22*References!$C$55</f>
        <v>65.458309647577934</v>
      </c>
      <c r="J22" s="67">
        <f>I22/References!$G$58</f>
        <v>66.744815975505816</v>
      </c>
      <c r="K22" s="67">
        <f t="shared" si="5"/>
        <v>4.0014877683156966E-2</v>
      </c>
      <c r="L22" s="14">
        <f>Rates!B21</f>
        <v>14.26</v>
      </c>
      <c r="M22" s="67">
        <f t="shared" si="12"/>
        <v>14.300014877683157</v>
      </c>
      <c r="N22" s="67">
        <f t="shared" si="7"/>
        <v>66.744815975505816</v>
      </c>
      <c r="O22" s="4" t="e">
        <f>#REF!</f>
        <v>#REF!</v>
      </c>
      <c r="P22" s="5"/>
      <c r="Q22" s="5"/>
      <c r="R22" s="11"/>
      <c r="T22" s="5"/>
      <c r="U22" s="5"/>
      <c r="V22" s="11"/>
      <c r="X22" s="97">
        <f t="shared" si="8"/>
        <v>23785.68</v>
      </c>
      <c r="Y22" s="97">
        <f t="shared" si="9"/>
        <v>23852.424815975508</v>
      </c>
    </row>
    <row r="23" spans="1:25">
      <c r="A23" s="12" t="s">
        <v>20</v>
      </c>
      <c r="B23" s="13">
        <v>469</v>
      </c>
      <c r="C23" s="15">
        <f>References!$B$10</f>
        <v>2.1666666666666665</v>
      </c>
      <c r="D23" s="13">
        <f t="shared" si="10"/>
        <v>12194</v>
      </c>
      <c r="E23" s="67">
        <f>'[4]COS Packer,RO '!J31</f>
        <v>57799.56</v>
      </c>
      <c r="F23" s="13">
        <f>F14</f>
        <v>37</v>
      </c>
      <c r="G23" s="13">
        <f t="shared" si="11"/>
        <v>451178</v>
      </c>
      <c r="H23" s="61">
        <f t="shared" si="4"/>
        <v>352162.39594680112</v>
      </c>
      <c r="I23" s="67">
        <f>H23*References!$C$55</f>
        <v>160.23389015579349</v>
      </c>
      <c r="J23" s="67">
        <f>I23/References!$G$58</f>
        <v>163.38309939666419</v>
      </c>
      <c r="K23" s="67">
        <f t="shared" si="5"/>
        <v>2.9030401456407996E-2</v>
      </c>
      <c r="L23" s="14">
        <f>Rates!B30</f>
        <v>10.6</v>
      </c>
      <c r="M23" s="67">
        <f t="shared" si="12"/>
        <v>10.629030401456408</v>
      </c>
      <c r="N23" s="67">
        <f t="shared" si="7"/>
        <v>163.38309939666419</v>
      </c>
      <c r="O23" s="4" t="e">
        <f>#REF!</f>
        <v>#REF!</v>
      </c>
      <c r="P23" s="5"/>
      <c r="Q23" s="5"/>
      <c r="R23" s="11"/>
      <c r="T23" s="5"/>
      <c r="U23" s="5"/>
      <c r="V23" s="11"/>
      <c r="X23" s="97">
        <f t="shared" si="8"/>
        <v>59656.799999999996</v>
      </c>
      <c r="Y23" s="97">
        <f t="shared" si="9"/>
        <v>59820.183099396658</v>
      </c>
    </row>
    <row r="24" spans="1:25">
      <c r="A24" s="12" t="s">
        <v>21</v>
      </c>
      <c r="B24" s="13">
        <v>104</v>
      </c>
      <c r="C24" s="15">
        <f>References!$B$10</f>
        <v>2.1666666666666665</v>
      </c>
      <c r="D24" s="13">
        <f t="shared" si="10"/>
        <v>2704</v>
      </c>
      <c r="E24" s="67">
        <f>'[4]COS Packer,RO '!J32</f>
        <v>16997.760000000002</v>
      </c>
      <c r="F24" s="13">
        <f>F17</f>
        <v>48</v>
      </c>
      <c r="G24" s="13">
        <f t="shared" si="11"/>
        <v>129792</v>
      </c>
      <c r="H24" s="61">
        <f t="shared" si="4"/>
        <v>101307.82461628717</v>
      </c>
      <c r="I24" s="67">
        <f>H24*References!$C$55</f>
        <v>46.095060200410366</v>
      </c>
      <c r="J24" s="67">
        <f>I24/References!$G$58</f>
        <v>47.001004563369314</v>
      </c>
      <c r="K24" s="67">
        <f t="shared" si="5"/>
        <v>3.7661061348853608E-2</v>
      </c>
      <c r="L24" s="14">
        <f>Rates!B31</f>
        <v>14.03</v>
      </c>
      <c r="M24" s="67">
        <f t="shared" si="12"/>
        <v>14.067661061348852</v>
      </c>
      <c r="N24" s="67">
        <f t="shared" si="7"/>
        <v>47.001004563369307</v>
      </c>
      <c r="O24" s="4" t="e">
        <f>#REF!</f>
        <v>#REF!</v>
      </c>
      <c r="P24" s="5"/>
      <c r="Q24" s="5"/>
      <c r="R24" s="11"/>
      <c r="T24" s="5"/>
      <c r="U24" s="5"/>
      <c r="V24" s="11"/>
      <c r="X24" s="97">
        <f t="shared" si="8"/>
        <v>17509.439999999999</v>
      </c>
      <c r="Y24" s="97">
        <f t="shared" si="9"/>
        <v>17556.441004563367</v>
      </c>
    </row>
    <row r="25" spans="1:25">
      <c r="A25" s="12" t="s">
        <v>22</v>
      </c>
      <c r="B25" s="13">
        <v>92</v>
      </c>
      <c r="C25" s="15">
        <f>References!$B$10</f>
        <v>2.1666666666666665</v>
      </c>
      <c r="D25" s="13">
        <f t="shared" si="10"/>
        <v>2392</v>
      </c>
      <c r="E25" s="67">
        <f>'[4]COS Packer,RO '!J33</f>
        <v>18039.36</v>
      </c>
      <c r="F25" s="13">
        <f>F18</f>
        <v>47</v>
      </c>
      <c r="G25" s="13">
        <f t="shared" si="11"/>
        <v>112424</v>
      </c>
      <c r="H25" s="61">
        <f t="shared" si="4"/>
        <v>87751.408982537207</v>
      </c>
      <c r="I25" s="67">
        <f>H25*References!$C$55</f>
        <v>39.926891087054173</v>
      </c>
      <c r="J25" s="67">
        <f>I25/References!$G$58</f>
        <v>40.711607318110758</v>
      </c>
      <c r="K25" s="67">
        <f t="shared" si="5"/>
        <v>3.6876455904085829E-2</v>
      </c>
      <c r="L25" s="14">
        <f>Rates!B32</f>
        <v>16.77</v>
      </c>
      <c r="M25" s="67">
        <f t="shared" si="12"/>
        <v>16.806876455904085</v>
      </c>
      <c r="N25" s="67">
        <f t="shared" si="7"/>
        <v>40.711607318110758</v>
      </c>
      <c r="O25" s="4" t="e">
        <f>#REF!</f>
        <v>#REF!</v>
      </c>
      <c r="P25" s="5"/>
      <c r="Q25" s="5"/>
      <c r="R25" s="11"/>
      <c r="T25" s="5"/>
      <c r="U25" s="5"/>
      <c r="V25" s="11"/>
      <c r="X25" s="97">
        <f t="shared" si="8"/>
        <v>18514.079999999998</v>
      </c>
      <c r="Y25" s="97">
        <f t="shared" si="9"/>
        <v>18554.791607318111</v>
      </c>
    </row>
    <row r="26" spans="1:25">
      <c r="A26" s="12" t="s">
        <v>23</v>
      </c>
      <c r="B26" s="13">
        <v>32</v>
      </c>
      <c r="C26" s="15">
        <f>References!$B$10</f>
        <v>2.1666666666666665</v>
      </c>
      <c r="D26" s="13">
        <f t="shared" si="10"/>
        <v>832</v>
      </c>
      <c r="E26" s="67">
        <f>'[4]COS Packer,RO '!J34</f>
        <v>7814.4000000000005</v>
      </c>
      <c r="F26" s="13">
        <f>F19</f>
        <v>68</v>
      </c>
      <c r="G26" s="13">
        <f t="shared" si="11"/>
        <v>56576</v>
      </c>
      <c r="H26" s="61">
        <f t="shared" si="4"/>
        <v>44159.820986586717</v>
      </c>
      <c r="I26" s="67">
        <f>H26*References!$C$55</f>
        <v>20.092718548896826</v>
      </c>
      <c r="J26" s="67">
        <f>I26/References!$G$58</f>
        <v>20.487617373776366</v>
      </c>
      <c r="K26" s="67">
        <f t="shared" si="5"/>
        <v>5.3353170244209283E-2</v>
      </c>
      <c r="L26" s="14">
        <f>Rates!B33</f>
        <v>20.95</v>
      </c>
      <c r="M26" s="67">
        <f t="shared" si="12"/>
        <v>21.003353170244207</v>
      </c>
      <c r="N26" s="67">
        <f t="shared" si="7"/>
        <v>20.487617373776366</v>
      </c>
      <c r="O26" s="4" t="e">
        <f>#REF!</f>
        <v>#REF!</v>
      </c>
      <c r="P26" s="5"/>
      <c r="Q26" s="5"/>
      <c r="R26" s="11"/>
      <c r="T26" s="5"/>
      <c r="U26" s="5"/>
      <c r="V26" s="11"/>
      <c r="X26" s="97">
        <f t="shared" si="8"/>
        <v>8044.7999999999993</v>
      </c>
      <c r="Y26" s="97">
        <f t="shared" si="9"/>
        <v>8065.287617373775</v>
      </c>
    </row>
    <row r="27" spans="1:2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4"/>
      <c r="M27" s="13"/>
      <c r="N27" s="13"/>
      <c r="O27" s="4"/>
      <c r="P27" s="5"/>
      <c r="Q27" s="5"/>
      <c r="R27" s="11"/>
      <c r="T27" s="5"/>
      <c r="U27" s="5"/>
      <c r="V27" s="11"/>
      <c r="X27" s="97">
        <f t="shared" si="8"/>
        <v>0</v>
      </c>
      <c r="Y27" s="97">
        <f t="shared" si="9"/>
        <v>0</v>
      </c>
    </row>
    <row r="28" spans="1:25">
      <c r="A28" s="12" t="s">
        <v>24</v>
      </c>
      <c r="B28" s="13">
        <v>215</v>
      </c>
      <c r="C28" s="15">
        <f>References!$B$11</f>
        <v>1</v>
      </c>
      <c r="D28" s="13">
        <f>B28*C28*12</f>
        <v>2580</v>
      </c>
      <c r="E28" s="67">
        <f>'[4]COS Packer,RO '!J36</f>
        <v>12306.599999999999</v>
      </c>
      <c r="F28" s="13">
        <f>F8</f>
        <v>34</v>
      </c>
      <c r="G28" s="13">
        <f t="shared" ref="G28:G32" si="13">D28*F28</f>
        <v>87720</v>
      </c>
      <c r="H28" s="61">
        <f t="shared" si="4"/>
        <v>68468.953212376044</v>
      </c>
      <c r="I28" s="67">
        <f>H28*References!$C$55</f>
        <v>31.153373711630898</v>
      </c>
      <c r="J28" s="67">
        <f>I28/References!$G$58</f>
        <v>31.765656745398456</v>
      </c>
      <c r="K28" s="67">
        <f t="shared" si="5"/>
        <v>1.2312270056355991E-2</v>
      </c>
      <c r="L28" s="14">
        <f>Rates!B22</f>
        <v>4.91</v>
      </c>
      <c r="M28" s="67">
        <f t="shared" ref="M28:M32" si="14">L28+K28</f>
        <v>4.9223122700563557</v>
      </c>
      <c r="N28" s="67">
        <f t="shared" si="7"/>
        <v>31.765656745398459</v>
      </c>
      <c r="O28" s="4" t="e">
        <f>#REF!</f>
        <v>#REF!</v>
      </c>
      <c r="P28" s="5" t="e">
        <f>#REF!</f>
        <v>#REF!</v>
      </c>
      <c r="Q28" s="5" t="e">
        <f>P28-O28</f>
        <v>#REF!</v>
      </c>
      <c r="R28" s="11" t="e">
        <f>Q28/O28</f>
        <v>#REF!</v>
      </c>
      <c r="T28" s="5"/>
      <c r="U28" s="5"/>
      <c r="V28" s="11"/>
      <c r="X28" s="97">
        <f t="shared" si="8"/>
        <v>12667.800000000001</v>
      </c>
      <c r="Y28" s="97">
        <f t="shared" si="9"/>
        <v>12699.565656745399</v>
      </c>
    </row>
    <row r="29" spans="1:25">
      <c r="A29" s="12" t="s">
        <v>25</v>
      </c>
      <c r="B29" s="13">
        <v>63</v>
      </c>
      <c r="C29" s="15">
        <f>References!$B$11</f>
        <v>1</v>
      </c>
      <c r="D29" s="13">
        <f>B29*C29*12</f>
        <v>756</v>
      </c>
      <c r="E29" s="67">
        <f>'[4]COS Packer,RO '!J37</f>
        <v>4664.5199999999995</v>
      </c>
      <c r="F29" s="13">
        <f>F14</f>
        <v>37</v>
      </c>
      <c r="G29" s="13">
        <f t="shared" si="13"/>
        <v>27972</v>
      </c>
      <c r="H29" s="61">
        <f t="shared" si="4"/>
        <v>21833.259909445766</v>
      </c>
      <c r="I29" s="67">
        <f>H29*References!$C$55</f>
        <v>9.9341332587977593</v>
      </c>
      <c r="J29" s="67">
        <f>I29/References!$G$58</f>
        <v>10.129377000482052</v>
      </c>
      <c r="K29" s="67">
        <f t="shared" si="5"/>
        <v>1.339864682603446E-2</v>
      </c>
      <c r="L29" s="14">
        <f>Rates!B34</f>
        <v>6.33</v>
      </c>
      <c r="M29" s="67">
        <f t="shared" si="14"/>
        <v>6.3433986468260342</v>
      </c>
      <c r="N29" s="67">
        <f t="shared" si="7"/>
        <v>10.129377000482052</v>
      </c>
      <c r="O29" s="4" t="e">
        <f>#REF!</f>
        <v>#REF!</v>
      </c>
      <c r="P29" s="5" t="e">
        <f>#REF!</f>
        <v>#REF!</v>
      </c>
      <c r="Q29" s="5" t="e">
        <f>P29-O29</f>
        <v>#REF!</v>
      </c>
      <c r="R29" s="11" t="e">
        <f>Q29/O29</f>
        <v>#REF!</v>
      </c>
      <c r="T29" s="5"/>
      <c r="U29" s="5"/>
      <c r="V29" s="11"/>
      <c r="X29" s="97">
        <f t="shared" si="8"/>
        <v>4785.4800000000005</v>
      </c>
      <c r="Y29" s="97">
        <f t="shared" si="9"/>
        <v>4795.6093770004818</v>
      </c>
    </row>
    <row r="30" spans="1:25">
      <c r="A30" s="12" t="s">
        <v>26</v>
      </c>
      <c r="B30" s="13">
        <v>4</v>
      </c>
      <c r="C30" s="15">
        <f>References!$B$11</f>
        <v>1</v>
      </c>
      <c r="D30" s="13">
        <f>B30*C30*12</f>
        <v>48</v>
      </c>
      <c r="E30" s="67">
        <f>'[4]COS Packer,RO '!J38</f>
        <v>370.56</v>
      </c>
      <c r="F30" s="13">
        <f>F17</f>
        <v>48</v>
      </c>
      <c r="G30" s="13">
        <f t="shared" si="13"/>
        <v>2304</v>
      </c>
      <c r="H30" s="61">
        <f t="shared" si="4"/>
        <v>1798.3637505849792</v>
      </c>
      <c r="I30" s="67">
        <f>H30*References!$C$55</f>
        <v>0.8182555065161603</v>
      </c>
      <c r="J30" s="67">
        <f>I30/References!$G$58</f>
        <v>0.83433735911306461</v>
      </c>
      <c r="K30" s="67">
        <f t="shared" si="5"/>
        <v>1.7382028314855514E-2</v>
      </c>
      <c r="L30" s="14">
        <f>Rates!B35</f>
        <v>7.93</v>
      </c>
      <c r="M30" s="67">
        <f t="shared" si="14"/>
        <v>7.9473820283148555</v>
      </c>
      <c r="N30" s="67">
        <f t="shared" si="7"/>
        <v>0.83433735911306472</v>
      </c>
      <c r="O30" s="4" t="e">
        <f>#REF!</f>
        <v>#REF!</v>
      </c>
      <c r="P30" s="5" t="e">
        <f>#REF!</f>
        <v>#REF!</v>
      </c>
      <c r="Q30" s="5" t="e">
        <f>P30-O30</f>
        <v>#REF!</v>
      </c>
      <c r="R30" s="11" t="e">
        <f>Q30/O30</f>
        <v>#REF!</v>
      </c>
      <c r="T30" s="5"/>
      <c r="U30" s="5"/>
      <c r="V30" s="11"/>
      <c r="X30" s="97">
        <f t="shared" si="8"/>
        <v>380.64</v>
      </c>
      <c r="Y30" s="97">
        <f t="shared" si="9"/>
        <v>381.47433735911306</v>
      </c>
    </row>
    <row r="31" spans="1:25">
      <c r="A31" s="12" t="s">
        <v>27</v>
      </c>
      <c r="B31" s="13">
        <v>4</v>
      </c>
      <c r="C31" s="15">
        <f>References!$B$11</f>
        <v>1</v>
      </c>
      <c r="D31" s="13">
        <f>B31*C31*12</f>
        <v>48</v>
      </c>
      <c r="E31" s="67">
        <f>'[4]COS Packer,RO '!J39</f>
        <v>439.20000000000005</v>
      </c>
      <c r="F31" s="13">
        <f t="shared" ref="F31:F32" si="15">F18</f>
        <v>47</v>
      </c>
      <c r="G31" s="13">
        <f t="shared" si="13"/>
        <v>2256</v>
      </c>
      <c r="H31" s="61">
        <f t="shared" si="4"/>
        <v>1760.897839114459</v>
      </c>
      <c r="I31" s="67">
        <f>H31*References!$C$55</f>
        <v>0.80120851679707372</v>
      </c>
      <c r="J31" s="67">
        <f>I31/References!$G$58</f>
        <v>0.81695533079820926</v>
      </c>
      <c r="K31" s="67">
        <f t="shared" si="5"/>
        <v>1.7019902724962694E-2</v>
      </c>
      <c r="L31" s="14">
        <f>Rates!B36</f>
        <v>9.3699999999999992</v>
      </c>
      <c r="M31" s="67">
        <f t="shared" si="14"/>
        <v>9.3870199027249619</v>
      </c>
      <c r="N31" s="67">
        <f t="shared" si="7"/>
        <v>0.81695533079820937</v>
      </c>
      <c r="O31" s="4" t="e">
        <f>#REF!</f>
        <v>#REF!</v>
      </c>
      <c r="P31" s="5" t="e">
        <f>#REF!</f>
        <v>#REF!</v>
      </c>
      <c r="Q31" s="5" t="e">
        <f>P31-O31</f>
        <v>#REF!</v>
      </c>
      <c r="R31" s="11" t="e">
        <f>Q31/O31</f>
        <v>#REF!</v>
      </c>
      <c r="T31" s="5"/>
      <c r="U31" s="5"/>
      <c r="V31" s="11"/>
      <c r="X31" s="97">
        <f t="shared" si="8"/>
        <v>449.76</v>
      </c>
      <c r="Y31" s="97">
        <f t="shared" si="9"/>
        <v>450.57695533079817</v>
      </c>
    </row>
    <row r="32" spans="1:25">
      <c r="A32" s="12" t="s">
        <v>28</v>
      </c>
      <c r="B32" s="13">
        <v>6</v>
      </c>
      <c r="C32" s="15">
        <f>References!$B$11</f>
        <v>1</v>
      </c>
      <c r="D32" s="13">
        <f>B32*C32*12</f>
        <v>72</v>
      </c>
      <c r="E32" s="67">
        <f>'[4]COS Packer,RO '!J40</f>
        <v>807.84000000000015</v>
      </c>
      <c r="F32" s="13">
        <f t="shared" si="15"/>
        <v>68</v>
      </c>
      <c r="G32" s="13">
        <f t="shared" si="13"/>
        <v>4896</v>
      </c>
      <c r="H32" s="61">
        <f t="shared" si="4"/>
        <v>3821.522969993081</v>
      </c>
      <c r="I32" s="67">
        <f>H32*References!$C$55</f>
        <v>1.7387929513468408</v>
      </c>
      <c r="J32" s="67">
        <f>I32/References!$G$58</f>
        <v>1.7729668881152625</v>
      </c>
      <c r="K32" s="67">
        <f t="shared" si="5"/>
        <v>2.4624540112711979E-2</v>
      </c>
      <c r="L32" s="14">
        <f>Rates!B37</f>
        <v>11.53</v>
      </c>
      <c r="M32" s="67">
        <f t="shared" si="14"/>
        <v>11.554624540112711</v>
      </c>
      <c r="N32" s="67">
        <f t="shared" si="7"/>
        <v>1.7729668881152625</v>
      </c>
      <c r="O32" s="4" t="e">
        <f>#REF!</f>
        <v>#REF!</v>
      </c>
      <c r="P32" s="5" t="e">
        <f>#REF!</f>
        <v>#REF!</v>
      </c>
      <c r="Q32" s="5" t="e">
        <f>P32-O32</f>
        <v>#REF!</v>
      </c>
      <c r="R32" s="11" t="e">
        <f>Q32/O32</f>
        <v>#REF!</v>
      </c>
      <c r="T32" s="5"/>
      <c r="U32" s="5"/>
      <c r="V32" s="11"/>
      <c r="X32" s="97">
        <f t="shared" si="8"/>
        <v>830.15999999999985</v>
      </c>
      <c r="Y32" s="97">
        <f t="shared" si="9"/>
        <v>831.93296688811506</v>
      </c>
    </row>
    <row r="33" spans="1:26">
      <c r="A33" s="12"/>
      <c r="B33" s="13"/>
      <c r="C33" s="13"/>
      <c r="D33" s="13"/>
      <c r="E33" s="67"/>
      <c r="F33" s="13"/>
      <c r="G33" s="13"/>
      <c r="H33" s="13"/>
      <c r="I33" s="13"/>
      <c r="J33" s="13"/>
      <c r="K33" s="13"/>
      <c r="L33" s="14"/>
      <c r="M33" s="13"/>
      <c r="N33" s="13"/>
      <c r="O33" s="4"/>
      <c r="P33" s="5"/>
      <c r="Q33" s="5"/>
      <c r="R33" s="11"/>
      <c r="T33" s="5"/>
      <c r="U33" s="5"/>
      <c r="V33" s="11"/>
      <c r="X33" s="97">
        <f t="shared" si="8"/>
        <v>0</v>
      </c>
      <c r="Y33" s="97">
        <f t="shared" si="9"/>
        <v>0</v>
      </c>
    </row>
    <row r="34" spans="1:26">
      <c r="A34" s="12" t="s">
        <v>29</v>
      </c>
      <c r="B34" s="13">
        <v>267</v>
      </c>
      <c r="C34" s="15">
        <f>References!$B$11</f>
        <v>1</v>
      </c>
      <c r="D34" s="13">
        <f>B34*C34*12</f>
        <v>3204</v>
      </c>
      <c r="E34" s="67">
        <f>'[4]COS Packer,RO '!J42</f>
        <v>15283.079999999998</v>
      </c>
      <c r="F34" s="13">
        <f>F8</f>
        <v>34</v>
      </c>
      <c r="G34" s="13">
        <f t="shared" ref="G34:G38" si="16">D34*F34</f>
        <v>108936</v>
      </c>
      <c r="H34" s="61">
        <f t="shared" si="4"/>
        <v>85028.886082346056</v>
      </c>
      <c r="I34" s="67">
        <f>H34*References!$C$55</f>
        <v>38.68814316746721</v>
      </c>
      <c r="J34" s="67">
        <f>I34/References!$G$58</f>
        <v>39.448513260564596</v>
      </c>
      <c r="K34" s="67">
        <f t="shared" si="5"/>
        <v>1.2312270056355991E-2</v>
      </c>
      <c r="L34" s="14">
        <f>Rates!B41</f>
        <v>4.91</v>
      </c>
      <c r="M34" s="67">
        <f t="shared" ref="M34:M38" si="17">L34+K34</f>
        <v>4.9223122700563557</v>
      </c>
      <c r="N34" s="67">
        <f t="shared" si="7"/>
        <v>39.448513260564596</v>
      </c>
      <c r="O34" s="4" t="e">
        <f>#REF!</f>
        <v>#REF!</v>
      </c>
      <c r="P34" s="5" t="e">
        <f>#REF!</f>
        <v>#REF!</v>
      </c>
      <c r="Q34" s="5" t="e">
        <f>P34-O34</f>
        <v>#REF!</v>
      </c>
      <c r="R34" s="11" t="e">
        <f>Q34/O34</f>
        <v>#REF!</v>
      </c>
      <c r="T34" s="5"/>
      <c r="U34" s="5"/>
      <c r="V34" s="11"/>
      <c r="X34" s="97">
        <f t="shared" si="8"/>
        <v>15731.64</v>
      </c>
      <c r="Y34" s="97">
        <f t="shared" si="9"/>
        <v>15771.088513260562</v>
      </c>
    </row>
    <row r="35" spans="1:26">
      <c r="A35" s="12" t="s">
        <v>30</v>
      </c>
      <c r="B35" s="13">
        <v>98</v>
      </c>
      <c r="C35" s="15">
        <f>References!$B$11</f>
        <v>1</v>
      </c>
      <c r="D35" s="13">
        <f>B35*C35*12</f>
        <v>1176</v>
      </c>
      <c r="E35" s="67">
        <f>'[4]COS Packer,RO '!J43</f>
        <v>7255.92</v>
      </c>
      <c r="F35" s="13">
        <f>F14</f>
        <v>37</v>
      </c>
      <c r="G35" s="13">
        <f t="shared" si="16"/>
        <v>43512</v>
      </c>
      <c r="H35" s="61">
        <f t="shared" si="4"/>
        <v>33962.848748026743</v>
      </c>
      <c r="I35" s="67">
        <f>H35*References!$C$55</f>
        <v>15.453096180352068</v>
      </c>
      <c r="J35" s="67">
        <f>I35/References!$G$58</f>
        <v>15.756808667416522</v>
      </c>
      <c r="K35" s="67">
        <f t="shared" si="5"/>
        <v>1.3398646826034456E-2</v>
      </c>
      <c r="L35" s="14">
        <f>Rates!B43</f>
        <v>6.33</v>
      </c>
      <c r="M35" s="67">
        <f t="shared" si="17"/>
        <v>6.3433986468260342</v>
      </c>
      <c r="N35" s="67">
        <f t="shared" si="7"/>
        <v>15.75680866741652</v>
      </c>
      <c r="O35" s="4" t="e">
        <f>#REF!</f>
        <v>#REF!</v>
      </c>
      <c r="P35" s="5" t="e">
        <f>#REF!</f>
        <v>#REF!</v>
      </c>
      <c r="Q35" s="5" t="e">
        <f>P35-O35</f>
        <v>#REF!</v>
      </c>
      <c r="R35" s="11" t="e">
        <f>Q35/O35</f>
        <v>#REF!</v>
      </c>
      <c r="T35" s="5"/>
      <c r="U35" s="5"/>
      <c r="V35" s="11"/>
      <c r="X35" s="97">
        <f t="shared" si="8"/>
        <v>7444.08</v>
      </c>
      <c r="Y35" s="97">
        <f t="shared" si="9"/>
        <v>7459.8368086674163</v>
      </c>
    </row>
    <row r="36" spans="1:26">
      <c r="A36" s="12" t="s">
        <v>31</v>
      </c>
      <c r="B36" s="13">
        <v>12</v>
      </c>
      <c r="C36" s="15">
        <f>References!$B$11</f>
        <v>1</v>
      </c>
      <c r="D36" s="13">
        <f>B36*C36*12</f>
        <v>144</v>
      </c>
      <c r="E36" s="67">
        <f>'[4]COS Packer,RO '!J44</f>
        <v>1111.68</v>
      </c>
      <c r="F36" s="13">
        <f>F17</f>
        <v>48</v>
      </c>
      <c r="G36" s="13">
        <f t="shared" si="16"/>
        <v>6912</v>
      </c>
      <c r="H36" s="61">
        <f t="shared" si="4"/>
        <v>5395.0912517549377</v>
      </c>
      <c r="I36" s="67">
        <f>H36*References!$C$55</f>
        <v>2.4547665195484809</v>
      </c>
      <c r="J36" s="67">
        <f>I36/References!$G$58</f>
        <v>2.5030120773391942</v>
      </c>
      <c r="K36" s="67">
        <f t="shared" si="5"/>
        <v>1.7382028314855514E-2</v>
      </c>
      <c r="L36" s="14">
        <f>Rates!B44</f>
        <v>7.93</v>
      </c>
      <c r="M36" s="67">
        <f t="shared" si="17"/>
        <v>7.9473820283148555</v>
      </c>
      <c r="N36" s="67">
        <f t="shared" si="7"/>
        <v>2.5030120773391942</v>
      </c>
      <c r="O36" s="4" t="e">
        <f>#REF!</f>
        <v>#REF!</v>
      </c>
      <c r="P36" s="5" t="e">
        <f>#REF!</f>
        <v>#REF!</v>
      </c>
      <c r="Q36" s="5" t="e">
        <f>P36-O36</f>
        <v>#REF!</v>
      </c>
      <c r="R36" s="11" t="e">
        <f>Q36/O36</f>
        <v>#REF!</v>
      </c>
      <c r="T36" s="5"/>
      <c r="U36" s="5"/>
      <c r="V36" s="11"/>
      <c r="X36" s="97">
        <f t="shared" si="8"/>
        <v>1141.92</v>
      </c>
      <c r="Y36" s="97">
        <f t="shared" si="9"/>
        <v>1144.4230120773391</v>
      </c>
    </row>
    <row r="37" spans="1:26">
      <c r="A37" s="12" t="s">
        <v>32</v>
      </c>
      <c r="B37" s="13">
        <v>15</v>
      </c>
      <c r="C37" s="15">
        <f>References!$B$11</f>
        <v>1</v>
      </c>
      <c r="D37" s="13">
        <f>B37*C37*12</f>
        <v>180</v>
      </c>
      <c r="E37" s="67">
        <f>'[4]COS Packer,RO '!J45</f>
        <v>1647</v>
      </c>
      <c r="F37" s="13">
        <f>F18</f>
        <v>47</v>
      </c>
      <c r="G37" s="13">
        <f t="shared" si="16"/>
        <v>8460</v>
      </c>
      <c r="H37" s="61">
        <f t="shared" si="4"/>
        <v>6603.3668966792211</v>
      </c>
      <c r="I37" s="67">
        <f>H37*References!$C$55</f>
        <v>3.0045319379890261</v>
      </c>
      <c r="J37" s="67">
        <f>I37/References!$G$58</f>
        <v>3.0635824904932845</v>
      </c>
      <c r="K37" s="67">
        <f t="shared" si="5"/>
        <v>1.7019902724962691E-2</v>
      </c>
      <c r="L37" s="14">
        <f>Rates!B45</f>
        <v>9.3699999999999992</v>
      </c>
      <c r="M37" s="67">
        <f t="shared" si="17"/>
        <v>9.3870199027249619</v>
      </c>
      <c r="N37" s="67">
        <f t="shared" si="7"/>
        <v>3.0635824904932845</v>
      </c>
      <c r="O37" s="4" t="e">
        <f>#REF!</f>
        <v>#REF!</v>
      </c>
      <c r="P37" s="5" t="e">
        <f>#REF!</f>
        <v>#REF!</v>
      </c>
      <c r="Q37" s="5" t="e">
        <f>P37-O37</f>
        <v>#REF!</v>
      </c>
      <c r="R37" s="11" t="e">
        <f>Q37/O37</f>
        <v>#REF!</v>
      </c>
      <c r="T37" s="5"/>
      <c r="U37" s="5"/>
      <c r="V37" s="11"/>
      <c r="X37" s="97">
        <f t="shared" si="8"/>
        <v>1686.6</v>
      </c>
      <c r="Y37" s="97">
        <f t="shared" si="9"/>
        <v>1689.6635824904929</v>
      </c>
    </row>
    <row r="38" spans="1:26">
      <c r="A38" s="12" t="s">
        <v>33</v>
      </c>
      <c r="B38" s="13">
        <v>6</v>
      </c>
      <c r="C38" s="15">
        <f>References!$B$11</f>
        <v>1</v>
      </c>
      <c r="D38" s="13">
        <f>B38*C38*12</f>
        <v>72</v>
      </c>
      <c r="E38" s="67">
        <f>'[4]COS Packer,RO '!J46</f>
        <v>807.84000000000015</v>
      </c>
      <c r="F38" s="13">
        <f>F19</f>
        <v>68</v>
      </c>
      <c r="G38" s="13">
        <f t="shared" si="16"/>
        <v>4896</v>
      </c>
      <c r="H38" s="61">
        <f t="shared" si="4"/>
        <v>3821.522969993081</v>
      </c>
      <c r="I38" s="67">
        <f>H38*References!$C$55</f>
        <v>1.7387929513468408</v>
      </c>
      <c r="J38" s="67">
        <f>I38/References!$G$58</f>
        <v>1.7729668881152625</v>
      </c>
      <c r="K38" s="67">
        <f t="shared" si="5"/>
        <v>2.4624540112711979E-2</v>
      </c>
      <c r="L38" s="14">
        <f>Rates!B46</f>
        <v>11.53</v>
      </c>
      <c r="M38" s="67">
        <f t="shared" si="17"/>
        <v>11.554624540112711</v>
      </c>
      <c r="N38" s="67">
        <f t="shared" si="7"/>
        <v>1.7729668881152625</v>
      </c>
      <c r="O38" s="4" t="e">
        <f>#REF!</f>
        <v>#REF!</v>
      </c>
      <c r="P38" s="5" t="e">
        <f>#REF!</f>
        <v>#REF!</v>
      </c>
      <c r="Q38" s="5" t="e">
        <f>P38-O38</f>
        <v>#REF!</v>
      </c>
      <c r="R38" s="11" t="e">
        <f>Q38/O38</f>
        <v>#REF!</v>
      </c>
      <c r="T38" s="5"/>
      <c r="U38" s="5"/>
      <c r="V38" s="11"/>
      <c r="X38" s="97">
        <f t="shared" si="8"/>
        <v>830.15999999999985</v>
      </c>
      <c r="Y38" s="97">
        <f t="shared" si="9"/>
        <v>831.93296688811506</v>
      </c>
    </row>
    <row r="39" spans="1:26">
      <c r="A39" s="12"/>
      <c r="B39" s="13"/>
      <c r="C39" s="13"/>
      <c r="D39" s="13"/>
      <c r="E39" s="13"/>
      <c r="F39" s="13"/>
      <c r="G39" s="13"/>
      <c r="H39" s="13"/>
      <c r="I39" s="67"/>
      <c r="J39" s="67"/>
      <c r="K39" s="13"/>
      <c r="L39" s="14"/>
      <c r="M39" s="13"/>
      <c r="N39" s="13"/>
      <c r="O39" s="4"/>
      <c r="P39" s="5"/>
      <c r="Q39" s="5"/>
      <c r="R39" s="11"/>
      <c r="T39" s="5"/>
      <c r="U39" s="5"/>
      <c r="V39" s="11"/>
      <c r="X39" s="97">
        <f t="shared" si="8"/>
        <v>0</v>
      </c>
      <c r="Y39" s="97">
        <f t="shared" si="9"/>
        <v>0</v>
      </c>
    </row>
    <row r="40" spans="1:26">
      <c r="A40" s="12" t="s">
        <v>34</v>
      </c>
      <c r="B40" s="13">
        <v>0</v>
      </c>
      <c r="C40" s="15">
        <f>References!$B$11</f>
        <v>1</v>
      </c>
      <c r="D40" s="13">
        <f>B40*C40*12</f>
        <v>0</v>
      </c>
      <c r="E40" s="13"/>
      <c r="F40" s="13"/>
      <c r="G40" s="13"/>
      <c r="H40" s="13"/>
      <c r="I40" s="67"/>
      <c r="J40" s="67"/>
      <c r="K40" s="13"/>
      <c r="L40" s="14">
        <f>Rates!B10</f>
        <v>4.3899999999999997</v>
      </c>
      <c r="M40" s="13">
        <f>B40*L40</f>
        <v>0</v>
      </c>
      <c r="N40" s="67">
        <f t="shared" ref="N40" si="18">M40*12</f>
        <v>0</v>
      </c>
      <c r="O40" s="4" t="e">
        <f>#REF!</f>
        <v>#REF!</v>
      </c>
      <c r="P40" s="5" t="e">
        <f>#REF!</f>
        <v>#REF!</v>
      </c>
      <c r="Q40" s="5" t="e">
        <f t="shared" ref="Q40:Q42" si="19">P40-O40</f>
        <v>#REF!</v>
      </c>
      <c r="R40" s="11" t="e">
        <f>Q40/O40</f>
        <v>#REF!</v>
      </c>
      <c r="T40" s="5"/>
      <c r="U40" s="5"/>
      <c r="V40" s="11"/>
      <c r="X40" s="97">
        <f t="shared" si="8"/>
        <v>0</v>
      </c>
      <c r="Y40" s="97">
        <f t="shared" si="9"/>
        <v>0</v>
      </c>
    </row>
    <row r="41" spans="1:26">
      <c r="A41" s="16" t="s">
        <v>35</v>
      </c>
      <c r="B41" s="13">
        <v>1019</v>
      </c>
      <c r="C41" s="15">
        <f>References!$B$11</f>
        <v>1</v>
      </c>
      <c r="D41" s="13">
        <f>B41*C41*12</f>
        <v>12228</v>
      </c>
      <c r="E41" s="67">
        <f>'[4]COS Packer,RO '!J49</f>
        <v>51969</v>
      </c>
      <c r="F41" s="13">
        <f>F8</f>
        <v>34</v>
      </c>
      <c r="G41" s="13">
        <f t="shared" ref="G41:G42" si="20">D41*F41</f>
        <v>415752</v>
      </c>
      <c r="H41" s="61">
        <f t="shared" ref="H41:H42" si="21">G41*$H$88</f>
        <v>324510.99220191245</v>
      </c>
      <c r="I41" s="67">
        <f>H41*References!$C$55</f>
        <v>147.65250145186923</v>
      </c>
      <c r="J41" s="67">
        <f>I41/References!$G$58</f>
        <v>150.55443824912103</v>
      </c>
      <c r="K41" s="67">
        <f t="shared" ref="K41:K42" si="22">J41/D41*C41</f>
        <v>1.2312270056355989E-2</v>
      </c>
      <c r="L41" s="14">
        <f>Rates!B40</f>
        <v>4.3899999999999997</v>
      </c>
      <c r="M41" s="67">
        <f t="shared" ref="M41:M42" si="23">L41+K41</f>
        <v>4.4023122700563553</v>
      </c>
      <c r="N41" s="67">
        <f>K41*D41</f>
        <v>150.55443824912103</v>
      </c>
      <c r="O41" s="4" t="e">
        <f>#REF!</f>
        <v>#REF!</v>
      </c>
      <c r="P41" s="5" t="e">
        <f>#REF!</f>
        <v>#REF!</v>
      </c>
      <c r="Q41" s="5" t="e">
        <f t="shared" si="19"/>
        <v>#REF!</v>
      </c>
      <c r="R41" s="11" t="e">
        <f>Q41/O41</f>
        <v>#REF!</v>
      </c>
      <c r="T41" s="5"/>
      <c r="U41" s="5"/>
      <c r="V41" s="11"/>
      <c r="X41" s="97">
        <f t="shared" si="8"/>
        <v>53680.92</v>
      </c>
      <c r="Y41" s="97">
        <f t="shared" si="9"/>
        <v>53831.474438249104</v>
      </c>
    </row>
    <row r="42" spans="1:26">
      <c r="A42" s="12" t="s">
        <v>36</v>
      </c>
      <c r="B42" s="13">
        <v>96</v>
      </c>
      <c r="C42" s="15">
        <f>References!$B$11</f>
        <v>1</v>
      </c>
      <c r="D42" s="13">
        <f>B42*C42*12</f>
        <v>1152</v>
      </c>
      <c r="E42" s="67">
        <f>'[4]COS Packer,RO '!J50</f>
        <v>4896</v>
      </c>
      <c r="F42" s="13">
        <f>F8</f>
        <v>34</v>
      </c>
      <c r="G42" s="13">
        <f t="shared" si="20"/>
        <v>39168</v>
      </c>
      <c r="H42" s="61">
        <f t="shared" si="21"/>
        <v>30572.183759944648</v>
      </c>
      <c r="I42" s="67">
        <f>H42*References!$C$55</f>
        <v>13.910343610774726</v>
      </c>
      <c r="J42" s="67">
        <f>I42/References!$G$58</f>
        <v>14.1837351049221</v>
      </c>
      <c r="K42" s="67">
        <f t="shared" si="22"/>
        <v>1.2312270056355989E-2</v>
      </c>
      <c r="L42" s="14">
        <f>L41</f>
        <v>4.3899999999999997</v>
      </c>
      <c r="M42" s="67">
        <f t="shared" si="23"/>
        <v>4.4023122700563553</v>
      </c>
      <c r="N42" s="67">
        <f>K42*D42</f>
        <v>14.1837351049221</v>
      </c>
      <c r="O42" s="4" t="e">
        <f>#REF!</f>
        <v>#REF!</v>
      </c>
      <c r="P42" s="5" t="e">
        <f>#REF!</f>
        <v>#REF!</v>
      </c>
      <c r="Q42" s="5" t="e">
        <f t="shared" si="19"/>
        <v>#REF!</v>
      </c>
      <c r="R42" s="11" t="e">
        <f>Q42/O42</f>
        <v>#REF!</v>
      </c>
      <c r="T42" s="5"/>
      <c r="U42" s="5"/>
      <c r="V42" s="11"/>
      <c r="X42" s="97">
        <f t="shared" si="8"/>
        <v>5057.2799999999988</v>
      </c>
      <c r="Y42" s="97">
        <f t="shared" si="9"/>
        <v>5071.4637351049205</v>
      </c>
    </row>
    <row r="43" spans="1:26" s="1" customFormat="1" ht="10.5">
      <c r="A43" s="17" t="s">
        <v>37</v>
      </c>
      <c r="B43" s="18">
        <f>SUM(B7:B42)</f>
        <v>8873</v>
      </c>
      <c r="C43" s="18"/>
      <c r="D43" s="18">
        <f t="shared" ref="D43:J43" si="24">SUM(D7:D42)</f>
        <v>329734</v>
      </c>
      <c r="E43" s="69">
        <f>SUM(E7:E42)</f>
        <v>1411672.3200000003</v>
      </c>
      <c r="F43" s="18">
        <f t="shared" si="24"/>
        <v>1709</v>
      </c>
      <c r="G43" s="18">
        <f t="shared" si="24"/>
        <v>12919172</v>
      </c>
      <c r="H43" s="18">
        <f t="shared" si="24"/>
        <v>10083928.217175541</v>
      </c>
      <c r="I43" s="69">
        <f t="shared" si="24"/>
        <v>4588.1873388148415</v>
      </c>
      <c r="J43" s="69">
        <f t="shared" si="24"/>
        <v>4678.362781426843</v>
      </c>
      <c r="K43" s="18"/>
      <c r="L43" s="18"/>
      <c r="M43" s="18"/>
      <c r="N43" s="69">
        <f>SUM(N7:N42)</f>
        <v>4678.362781426843</v>
      </c>
      <c r="O43" s="19"/>
      <c r="P43" s="20"/>
      <c r="Q43" s="20"/>
      <c r="R43" s="21"/>
      <c r="T43" s="20"/>
      <c r="U43" s="20"/>
      <c r="V43" s="21"/>
      <c r="X43" s="98">
        <f>SUM(X7:X42)</f>
        <v>1466452.6799999997</v>
      </c>
      <c r="Y43" s="98">
        <f>SUM(Y7:Y42)</f>
        <v>1471131.042781427</v>
      </c>
      <c r="Z43" s="98">
        <f>Y43-X43</f>
        <v>4678.362781427335</v>
      </c>
    </row>
    <row r="44" spans="1:26" ht="10.5">
      <c r="A44" s="1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4"/>
      <c r="P44" s="5"/>
      <c r="Q44" s="5"/>
      <c r="R44" s="11"/>
      <c r="T44" s="5"/>
      <c r="U44" s="5"/>
      <c r="V44" s="11"/>
    </row>
    <row r="45" spans="1:26" ht="11" thickBot="1">
      <c r="A45" s="10" t="s">
        <v>39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3"/>
      <c r="M45" s="22"/>
      <c r="N45" s="22"/>
      <c r="O45" s="5"/>
    </row>
    <row r="46" spans="1:26" ht="10.5" thickTop="1">
      <c r="A46" s="73" t="s">
        <v>40</v>
      </c>
      <c r="B46" s="74">
        <v>141</v>
      </c>
      <c r="C46" s="75">
        <f>References!$B$11</f>
        <v>1</v>
      </c>
      <c r="D46" s="74">
        <f>B46*C46*12</f>
        <v>1692</v>
      </c>
      <c r="E46" s="76">
        <f>'[4]COS Packer,RO '!J117</f>
        <v>7630.92</v>
      </c>
      <c r="F46" s="74">
        <f>References!B28</f>
        <v>29</v>
      </c>
      <c r="G46" s="74">
        <f t="shared" ref="G46" si="25">D46*F46</f>
        <v>49068</v>
      </c>
      <c r="H46" s="77">
        <f t="shared" ref="H46" si="26">G46*$H$88</f>
        <v>38299.528000739483</v>
      </c>
      <c r="I46" s="78">
        <f>H46*References!$C$55</f>
        <v>17.426285240336352</v>
      </c>
      <c r="J46" s="78">
        <f>I46/References!$G$58</f>
        <v>17.768778444861049</v>
      </c>
      <c r="K46" s="76">
        <f t="shared" ref="K46" si="27">J46/D46*C46</f>
        <v>1.0501642106891872E-2</v>
      </c>
      <c r="L46" s="79">
        <f>Rates!B92</f>
        <v>4.63</v>
      </c>
      <c r="M46" s="76">
        <f>L46+K46</f>
        <v>4.6405016421068916</v>
      </c>
      <c r="N46" s="76">
        <f>K46*D46</f>
        <v>17.768778444861049</v>
      </c>
      <c r="O46" s="4" t="e">
        <f>#REF!</f>
        <v>#REF!</v>
      </c>
      <c r="P46" s="5" t="e">
        <f>#REF!</f>
        <v>#REF!</v>
      </c>
      <c r="Q46" s="5" t="e">
        <f>P46-O46</f>
        <v>#REF!</v>
      </c>
      <c r="R46" s="11" t="e">
        <f>Q46/O46</f>
        <v>#REF!</v>
      </c>
      <c r="T46" s="5" t="e">
        <f>#REF!</f>
        <v>#REF!</v>
      </c>
      <c r="U46" s="5" t="e">
        <f>T46-O46</f>
        <v>#REF!</v>
      </c>
      <c r="V46" s="11" t="e">
        <f>U46/O46</f>
        <v>#REF!</v>
      </c>
      <c r="X46" s="97">
        <f t="shared" ref="X46" si="28">B46*L46*12</f>
        <v>7833.9600000000009</v>
      </c>
      <c r="Y46" s="97">
        <f t="shared" ref="Y46" si="29">B46*M46*12</f>
        <v>7851.7287784448617</v>
      </c>
    </row>
    <row r="47" spans="1:26">
      <c r="A47" s="73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9"/>
      <c r="M47" s="80"/>
      <c r="N47" s="80"/>
      <c r="O47" s="4"/>
      <c r="P47" s="24"/>
      <c r="Q47" s="24"/>
      <c r="R47" s="25"/>
      <c r="X47" s="97"/>
      <c r="Y47" s="97"/>
    </row>
    <row r="48" spans="1:26">
      <c r="A48" s="73" t="s">
        <v>41</v>
      </c>
      <c r="B48" s="74">
        <v>1</v>
      </c>
      <c r="C48" s="75">
        <f>References!$B$9</f>
        <v>4.333333333333333</v>
      </c>
      <c r="D48" s="74">
        <f>B48*C48*12</f>
        <v>52</v>
      </c>
      <c r="E48" s="76">
        <f>'[4]COS Packer,RO '!J119</f>
        <v>836.52</v>
      </c>
      <c r="F48" s="74">
        <f>References!$B$29</f>
        <v>175</v>
      </c>
      <c r="G48" s="74">
        <f t="shared" ref="G48:G50" si="30">D48*F48</f>
        <v>9100</v>
      </c>
      <c r="H48" s="77">
        <f t="shared" ref="H48:H50" si="31">G48*$H$88</f>
        <v>7102.9123829528262</v>
      </c>
      <c r="I48" s="78">
        <f>H48*References!$C$55</f>
        <v>3.2318251342435151</v>
      </c>
      <c r="J48" s="78">
        <f>I48/References!$G$58</f>
        <v>3.295342868024691</v>
      </c>
      <c r="K48" s="76">
        <f>J48/D48</f>
        <v>6.3371978231244061E-2</v>
      </c>
      <c r="L48" s="79">
        <f>Rates!B73</f>
        <v>16.72</v>
      </c>
      <c r="M48" s="76">
        <f t="shared" ref="M48:M50" si="32">L48+K48</f>
        <v>16.783371978231244</v>
      </c>
      <c r="N48" s="81">
        <f>K48*C48*B48*12</f>
        <v>3.295342868024691</v>
      </c>
      <c r="O48" s="4" t="e">
        <f>#REF!</f>
        <v>#REF!</v>
      </c>
      <c r="P48" s="5" t="e">
        <f>#REF!</f>
        <v>#REF!</v>
      </c>
      <c r="Q48" s="5" t="e">
        <f>P48-O48</f>
        <v>#REF!</v>
      </c>
      <c r="R48" s="11" t="e">
        <f>Q48/O48</f>
        <v>#REF!</v>
      </c>
      <c r="T48" s="5" t="e">
        <f>#REF!</f>
        <v>#REF!</v>
      </c>
      <c r="U48" s="5" t="e">
        <f>T48-O48</f>
        <v>#REF!</v>
      </c>
      <c r="V48" s="11" t="e">
        <f>U48/O48</f>
        <v>#REF!</v>
      </c>
      <c r="X48" s="97">
        <f>D48*L48</f>
        <v>869.43999999999994</v>
      </c>
      <c r="Y48" s="97">
        <f>D48*M48</f>
        <v>872.73534286802465</v>
      </c>
    </row>
    <row r="49" spans="1:26">
      <c r="A49" s="73" t="s">
        <v>42</v>
      </c>
      <c r="B49" s="74">
        <v>75</v>
      </c>
      <c r="C49" s="75">
        <f>References!$B$9</f>
        <v>4.333333333333333</v>
      </c>
      <c r="D49" s="74">
        <f>B49*C49*12</f>
        <v>3900</v>
      </c>
      <c r="E49" s="76">
        <f>'[4]COS Packer,RO '!J120</f>
        <v>67770</v>
      </c>
      <c r="F49" s="74">
        <f>References!$B$30</f>
        <v>250</v>
      </c>
      <c r="G49" s="74">
        <f t="shared" si="30"/>
        <v>975000</v>
      </c>
      <c r="H49" s="77">
        <f t="shared" si="31"/>
        <v>761026.32674494572</v>
      </c>
      <c r="I49" s="78">
        <f>H49*References!$C$55</f>
        <v>346.26697866894807</v>
      </c>
      <c r="J49" s="78">
        <f>I49/References!$G$58</f>
        <v>353.07245014550267</v>
      </c>
      <c r="K49" s="76">
        <f t="shared" ref="K49:K50" si="33">J49/D49</f>
        <v>9.0531397473205807E-2</v>
      </c>
      <c r="L49" s="79">
        <f>Rates!B74</f>
        <v>18.350000000000001</v>
      </c>
      <c r="M49" s="76">
        <f t="shared" si="32"/>
        <v>18.440531397473208</v>
      </c>
      <c r="N49" s="81">
        <f t="shared" ref="N49:N50" si="34">K49*C49*B49*12</f>
        <v>353.07245014550261</v>
      </c>
      <c r="O49" s="4" t="e">
        <f>#REF!</f>
        <v>#REF!</v>
      </c>
      <c r="P49" s="5" t="e">
        <f>#REF!</f>
        <v>#REF!</v>
      </c>
      <c r="Q49" s="5" t="e">
        <f>P49-O49</f>
        <v>#REF!</v>
      </c>
      <c r="R49" s="11" t="e">
        <f>Q49/O49</f>
        <v>#REF!</v>
      </c>
      <c r="T49" s="5" t="e">
        <f>#REF!</f>
        <v>#REF!</v>
      </c>
      <c r="U49" s="5" t="e">
        <f>T49-O49</f>
        <v>#REF!</v>
      </c>
      <c r="V49" s="11" t="e">
        <f>U49/O49</f>
        <v>#REF!</v>
      </c>
      <c r="X49" s="97">
        <f t="shared" ref="X49:X50" si="35">D49*L49</f>
        <v>71565</v>
      </c>
      <c r="Y49" s="97">
        <f t="shared" ref="Y49:Y50" si="36">D49*M49</f>
        <v>71918.072450145512</v>
      </c>
    </row>
    <row r="50" spans="1:26">
      <c r="A50" s="73" t="s">
        <v>43</v>
      </c>
      <c r="B50" s="74">
        <f>223+8</f>
        <v>231</v>
      </c>
      <c r="C50" s="75">
        <f>References!$B$9</f>
        <v>4.333333333333333</v>
      </c>
      <c r="D50" s="74">
        <f>B50*C50*12</f>
        <v>12011.999999999998</v>
      </c>
      <c r="E50" s="76">
        <f>'[4]COS Packer,RO '!J121</f>
        <v>275592.24</v>
      </c>
      <c r="F50" s="74">
        <f>References!$B$32</f>
        <v>324</v>
      </c>
      <c r="G50" s="74">
        <f t="shared" si="30"/>
        <v>3891887.9999999995</v>
      </c>
      <c r="H50" s="77">
        <f t="shared" si="31"/>
        <v>3037773.5679412642</v>
      </c>
      <c r="I50" s="78">
        <f>H50*References!$C$55</f>
        <v>1382.1869734132663</v>
      </c>
      <c r="J50" s="78">
        <f>I50/References!$G$58</f>
        <v>1409.3522377967997</v>
      </c>
      <c r="K50" s="76">
        <f t="shared" si="33"/>
        <v>0.11732869112527472</v>
      </c>
      <c r="L50" s="79">
        <f>Rates!B75</f>
        <v>24.27</v>
      </c>
      <c r="M50" s="76">
        <f t="shared" si="32"/>
        <v>24.387328691125273</v>
      </c>
      <c r="N50" s="81">
        <f t="shared" si="34"/>
        <v>1409.3522377968</v>
      </c>
      <c r="O50" s="4" t="e">
        <f>#REF!</f>
        <v>#REF!</v>
      </c>
      <c r="P50" s="5" t="e">
        <f>#REF!</f>
        <v>#REF!</v>
      </c>
      <c r="Q50" s="5" t="e">
        <f>P50-O50</f>
        <v>#REF!</v>
      </c>
      <c r="R50" s="11" t="e">
        <f>Q50/O50</f>
        <v>#REF!</v>
      </c>
      <c r="T50" s="5" t="e">
        <f>#REF!</f>
        <v>#REF!</v>
      </c>
      <c r="U50" s="5" t="e">
        <f>T50-O50</f>
        <v>#REF!</v>
      </c>
      <c r="V50" s="11" t="e">
        <f>U50/O50</f>
        <v>#REF!</v>
      </c>
      <c r="X50" s="97">
        <f t="shared" si="35"/>
        <v>291531.23999999993</v>
      </c>
      <c r="Y50" s="97">
        <f t="shared" si="36"/>
        <v>292940.59223779675</v>
      </c>
    </row>
    <row r="51" spans="1:26">
      <c r="A51" s="73" t="s">
        <v>2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9"/>
      <c r="M51" s="80"/>
      <c r="N51" s="80"/>
      <c r="O51" s="4"/>
      <c r="P51" s="5"/>
      <c r="Q51" s="5"/>
      <c r="R51" s="11"/>
      <c r="T51" s="5"/>
      <c r="U51" s="5"/>
      <c r="V51" s="11"/>
      <c r="X51" s="97"/>
      <c r="Y51" s="97"/>
    </row>
    <row r="52" spans="1:26">
      <c r="A52" s="73" t="s">
        <v>44</v>
      </c>
      <c r="B52" s="74">
        <v>7</v>
      </c>
      <c r="C52" s="75">
        <f>References!$B$10</f>
        <v>2.1666666666666665</v>
      </c>
      <c r="D52" s="74">
        <f>B52*C52*12</f>
        <v>182</v>
      </c>
      <c r="E52" s="76">
        <f>'[4]COS Packer,RO '!J123</f>
        <v>2934.96</v>
      </c>
      <c r="F52" s="74">
        <f>References!$B$29</f>
        <v>175</v>
      </c>
      <c r="G52" s="74">
        <f t="shared" ref="G52:G54" si="37">D52*F52</f>
        <v>31850</v>
      </c>
      <c r="H52" s="77">
        <f t="shared" ref="H52:H54" si="38">G52*$H$88</f>
        <v>24860.193340334892</v>
      </c>
      <c r="I52" s="78">
        <f>H52*References!$C$55</f>
        <v>11.311387969852303</v>
      </c>
      <c r="J52" s="78">
        <f>I52/References!$G$58</f>
        <v>11.533700038086419</v>
      </c>
      <c r="K52" s="76">
        <f>J52/D52</f>
        <v>6.3371978231244061E-2</v>
      </c>
      <c r="L52" s="79">
        <f>L48</f>
        <v>16.72</v>
      </c>
      <c r="M52" s="76">
        <f t="shared" ref="M52:M54" si="39">L52+K52</f>
        <v>16.783371978231244</v>
      </c>
      <c r="N52" s="81">
        <f t="shared" ref="N52:N54" si="40">K52*C52*B52*12</f>
        <v>11.533700038086419</v>
      </c>
      <c r="O52" s="4" t="e">
        <f>#REF!</f>
        <v>#REF!</v>
      </c>
      <c r="P52" s="5" t="e">
        <f>#REF!</f>
        <v>#REF!</v>
      </c>
      <c r="Q52" s="5" t="e">
        <f>P52-O52</f>
        <v>#REF!</v>
      </c>
      <c r="R52" s="11" t="e">
        <f>Q52/O52</f>
        <v>#REF!</v>
      </c>
      <c r="T52" s="5" t="e">
        <f>#REF!</f>
        <v>#REF!</v>
      </c>
      <c r="U52" s="5" t="e">
        <f>T52-O52</f>
        <v>#REF!</v>
      </c>
      <c r="V52" s="11" t="e">
        <f>U52/O52</f>
        <v>#REF!</v>
      </c>
      <c r="X52" s="97">
        <f t="shared" ref="X52:X54" si="41">D52*L52</f>
        <v>3043.04</v>
      </c>
      <c r="Y52" s="97">
        <f t="shared" ref="Y52:Y54" si="42">D52*M52</f>
        <v>3054.5737000380864</v>
      </c>
    </row>
    <row r="53" spans="1:26">
      <c r="A53" s="73" t="s">
        <v>45</v>
      </c>
      <c r="B53" s="74">
        <v>181</v>
      </c>
      <c r="C53" s="75">
        <f>References!$B$10</f>
        <v>2.1666666666666665</v>
      </c>
      <c r="D53" s="74">
        <f>B53*C53*12</f>
        <v>4706</v>
      </c>
      <c r="E53" s="76">
        <f>'[4]COS Packer,RO '!J124</f>
        <v>81971.28</v>
      </c>
      <c r="F53" s="74">
        <f>References!$B$30</f>
        <v>250</v>
      </c>
      <c r="G53" s="74">
        <f t="shared" si="37"/>
        <v>1176500</v>
      </c>
      <c r="H53" s="77">
        <f t="shared" si="38"/>
        <v>918305.10093890119</v>
      </c>
      <c r="I53" s="78">
        <f>H53*References!$C$55</f>
        <v>417.82882092719734</v>
      </c>
      <c r="J53" s="78">
        <f>I53/References!$G$58</f>
        <v>426.04075650890655</v>
      </c>
      <c r="K53" s="76">
        <f t="shared" ref="K53:K54" si="43">J53/D53</f>
        <v>9.0531397473205807E-2</v>
      </c>
      <c r="L53" s="79">
        <f t="shared" ref="L53:L54" si="44">L49</f>
        <v>18.350000000000001</v>
      </c>
      <c r="M53" s="76">
        <f t="shared" si="39"/>
        <v>18.440531397473208</v>
      </c>
      <c r="N53" s="81">
        <f t="shared" si="40"/>
        <v>426.0407565089065</v>
      </c>
      <c r="O53" s="4" t="e">
        <f>#REF!</f>
        <v>#REF!</v>
      </c>
      <c r="P53" s="5" t="e">
        <f>#REF!</f>
        <v>#REF!</v>
      </c>
      <c r="Q53" s="5" t="e">
        <f>P53-O53</f>
        <v>#REF!</v>
      </c>
      <c r="R53" s="11" t="e">
        <f>Q53/O53</f>
        <v>#REF!</v>
      </c>
      <c r="T53" s="5" t="e">
        <f>#REF!</f>
        <v>#REF!</v>
      </c>
      <c r="U53" s="5" t="e">
        <f>T53-O53</f>
        <v>#REF!</v>
      </c>
      <c r="V53" s="11" t="e">
        <f>U53/O53</f>
        <v>#REF!</v>
      </c>
      <c r="X53" s="97">
        <f t="shared" si="41"/>
        <v>86355.1</v>
      </c>
      <c r="Y53" s="97">
        <f t="shared" si="42"/>
        <v>86781.140756508918</v>
      </c>
    </row>
    <row r="54" spans="1:26">
      <c r="A54" s="73" t="s">
        <v>46</v>
      </c>
      <c r="B54" s="74">
        <v>109</v>
      </c>
      <c r="C54" s="75">
        <f>References!$B$10</f>
        <v>2.1666666666666665</v>
      </c>
      <c r="D54" s="74">
        <f>B54*C54*12</f>
        <v>2834</v>
      </c>
      <c r="E54" s="76">
        <f>'[4]COS Packer,RO '!J125</f>
        <v>65164.56</v>
      </c>
      <c r="F54" s="74">
        <f>References!$B$32</f>
        <v>324</v>
      </c>
      <c r="G54" s="74">
        <f t="shared" si="37"/>
        <v>918216</v>
      </c>
      <c r="H54" s="77">
        <f t="shared" si="38"/>
        <v>716704.15347532008</v>
      </c>
      <c r="I54" s="78">
        <f>H54*References!$C$55</f>
        <v>326.10038983126856</v>
      </c>
      <c r="J54" s="78">
        <f>I54/References!$G$58</f>
        <v>332.50951064902858</v>
      </c>
      <c r="K54" s="76">
        <f t="shared" si="43"/>
        <v>0.11732869112527473</v>
      </c>
      <c r="L54" s="79">
        <f t="shared" si="44"/>
        <v>24.27</v>
      </c>
      <c r="M54" s="76">
        <f t="shared" si="39"/>
        <v>24.387328691125273</v>
      </c>
      <c r="N54" s="81">
        <f t="shared" si="40"/>
        <v>332.50951064902853</v>
      </c>
      <c r="O54" s="4" t="e">
        <f>#REF!</f>
        <v>#REF!</v>
      </c>
      <c r="P54" s="5" t="e">
        <f>#REF!</f>
        <v>#REF!</v>
      </c>
      <c r="Q54" s="5" t="e">
        <f>P54-O54</f>
        <v>#REF!</v>
      </c>
      <c r="R54" s="11" t="e">
        <f>Q54/O54</f>
        <v>#REF!</v>
      </c>
      <c r="T54" s="5" t="e">
        <f>#REF!</f>
        <v>#REF!</v>
      </c>
      <c r="U54" s="5" t="e">
        <f>T54-O54</f>
        <v>#REF!</v>
      </c>
      <c r="V54" s="11" t="e">
        <f>U54/O54</f>
        <v>#REF!</v>
      </c>
      <c r="X54" s="97">
        <f t="shared" si="41"/>
        <v>68781.179999999993</v>
      </c>
      <c r="Y54" s="97">
        <f t="shared" si="42"/>
        <v>69113.689510649026</v>
      </c>
    </row>
    <row r="55" spans="1:26">
      <c r="A55" s="73" t="s">
        <v>2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9"/>
      <c r="M55" s="80"/>
      <c r="N55" s="80"/>
      <c r="O55" s="4"/>
      <c r="P55" s="5"/>
      <c r="Q55" s="5"/>
      <c r="R55" s="11"/>
      <c r="T55" s="5"/>
      <c r="U55" s="5"/>
      <c r="V55" s="11"/>
    </row>
    <row r="56" spans="1:26" s="1" customFormat="1" ht="10.5">
      <c r="A56" s="82" t="s">
        <v>37</v>
      </c>
      <c r="B56" s="83">
        <f>SUM(B46:B55)</f>
        <v>745</v>
      </c>
      <c r="C56" s="83"/>
      <c r="D56" s="83">
        <f t="shared" ref="D56:J56" si="45">SUM(D46:D55)</f>
        <v>25378</v>
      </c>
      <c r="E56" s="84">
        <f t="shared" si="45"/>
        <v>501900.48000000004</v>
      </c>
      <c r="F56" s="83">
        <f t="shared" si="45"/>
        <v>1527</v>
      </c>
      <c r="G56" s="83">
        <f t="shared" si="45"/>
        <v>7051622</v>
      </c>
      <c r="H56" s="83">
        <f t="shared" si="45"/>
        <v>5504071.7828244586</v>
      </c>
      <c r="I56" s="84">
        <f t="shared" si="45"/>
        <v>2504.352661185113</v>
      </c>
      <c r="J56" s="84">
        <f t="shared" si="45"/>
        <v>2553.5727764512098</v>
      </c>
      <c r="K56" s="83"/>
      <c r="L56" s="85"/>
      <c r="M56" s="84"/>
      <c r="N56" s="84">
        <f t="shared" ref="N56" si="46">SUM(N46:N55)</f>
        <v>2553.5727764512098</v>
      </c>
      <c r="O56" s="26" t="e">
        <f>SUM(O46:O68)</f>
        <v>#REF!</v>
      </c>
      <c r="P56" s="26" t="e">
        <f>SUM(P46:P68)</f>
        <v>#REF!</v>
      </c>
      <c r="Q56" s="26" t="e">
        <f>SUM(Q46:Q68)</f>
        <v>#REF!</v>
      </c>
      <c r="R56" s="21"/>
      <c r="T56" s="26" t="e">
        <f>SUM(T46:T68)</f>
        <v>#REF!</v>
      </c>
      <c r="U56" s="26" t="e">
        <f>SUM(U46:U68)</f>
        <v>#REF!</v>
      </c>
      <c r="V56" s="21"/>
      <c r="X56" s="98">
        <f>SUM(X46:X55)</f>
        <v>529978.96</v>
      </c>
      <c r="Y56" s="98">
        <f>SUM(Y46:Y55)</f>
        <v>532532.5327764512</v>
      </c>
      <c r="Z56" s="98">
        <f t="shared" ref="Z56:Z57" si="47">Y56-X56</f>
        <v>2553.5727764512412</v>
      </c>
    </row>
    <row r="57" spans="1:26" s="1" customFormat="1" ht="10.5">
      <c r="A57" s="86" t="s">
        <v>207</v>
      </c>
      <c r="B57" s="87"/>
      <c r="C57" s="87"/>
      <c r="D57" s="87"/>
      <c r="E57" s="88"/>
      <c r="F57" s="87"/>
      <c r="G57" s="87"/>
      <c r="H57" s="87"/>
      <c r="I57" s="88"/>
      <c r="J57" s="88">
        <f>J56+J43</f>
        <v>7231.9355578780524</v>
      </c>
      <c r="K57" s="87"/>
      <c r="L57" s="89"/>
      <c r="M57" s="88"/>
      <c r="N57" s="88">
        <f>N56+N43</f>
        <v>7231.9355578780524</v>
      </c>
      <c r="O57" s="87"/>
      <c r="P57" s="87"/>
      <c r="Q57" s="87"/>
      <c r="R57" s="21"/>
      <c r="T57" s="87"/>
      <c r="U57" s="87"/>
      <c r="V57" s="21"/>
      <c r="X57" s="98">
        <f>X43+X56</f>
        <v>1996431.6399999997</v>
      </c>
      <c r="Y57" s="98">
        <f>Y43+Y56</f>
        <v>2003663.5755578782</v>
      </c>
      <c r="Z57" s="98">
        <f t="shared" si="47"/>
        <v>7231.9355578785762</v>
      </c>
    </row>
    <row r="58" spans="1:26" s="1" customFormat="1" ht="10.5">
      <c r="A58" s="86"/>
      <c r="B58" s="87"/>
      <c r="C58" s="87"/>
      <c r="D58" s="87"/>
      <c r="E58" s="88"/>
      <c r="F58" s="87"/>
      <c r="G58" s="87"/>
      <c r="H58" s="87"/>
      <c r="I58" s="88"/>
      <c r="J58" s="88"/>
      <c r="K58" s="87"/>
      <c r="L58" s="89"/>
      <c r="M58" s="88"/>
      <c r="N58" s="88"/>
      <c r="O58" s="87"/>
      <c r="P58" s="87"/>
      <c r="Q58" s="87"/>
      <c r="R58" s="21"/>
      <c r="T58" s="87"/>
      <c r="U58" s="87"/>
      <c r="V58" s="21"/>
    </row>
    <row r="59" spans="1:26" s="1" customFormat="1" ht="11" thickBot="1">
      <c r="A59" s="10" t="s">
        <v>212</v>
      </c>
      <c r="B59" s="87"/>
      <c r="C59" s="87"/>
      <c r="D59" s="87"/>
      <c r="E59" s="88"/>
      <c r="F59" s="87"/>
      <c r="G59" s="87"/>
      <c r="H59" s="87"/>
      <c r="I59" s="88"/>
      <c r="J59" s="88"/>
      <c r="K59" s="87"/>
      <c r="L59" s="89"/>
      <c r="M59" s="88"/>
      <c r="N59" s="88"/>
      <c r="O59" s="87"/>
      <c r="P59" s="87"/>
      <c r="Q59" s="87"/>
      <c r="R59" s="21"/>
      <c r="T59" s="87"/>
      <c r="U59" s="87"/>
      <c r="V59" s="21"/>
    </row>
    <row r="60" spans="1:26" s="1" customFormat="1" ht="11" thickTop="1">
      <c r="A60" s="73" t="s">
        <v>213</v>
      </c>
      <c r="B60" s="74">
        <v>0</v>
      </c>
      <c r="C60" s="75">
        <v>1</v>
      </c>
      <c r="D60" s="74">
        <f>C60*12</f>
        <v>12</v>
      </c>
      <c r="E60" s="76"/>
      <c r="F60" s="74">
        <f>References!$B$26</f>
        <v>34</v>
      </c>
      <c r="G60" s="74">
        <f>D60*F60</f>
        <v>408</v>
      </c>
      <c r="H60" s="77">
        <f t="shared" ref="H60" si="48">G60*$H$88</f>
        <v>318.46024749942342</v>
      </c>
      <c r="I60" s="78">
        <f>H60*References!$C$55</f>
        <v>0.14489941261223671</v>
      </c>
      <c r="J60" s="78">
        <f>I60/References!$G$58</f>
        <v>0.14774724067627185</v>
      </c>
      <c r="K60" s="76">
        <f>J60/D60</f>
        <v>1.2312270056355988E-2</v>
      </c>
      <c r="L60" s="79">
        <f>Rates!B10</f>
        <v>4.3899999999999997</v>
      </c>
      <c r="M60" s="76">
        <f>K60+L60</f>
        <v>4.4023122700563553</v>
      </c>
      <c r="N60" s="88" t="s">
        <v>215</v>
      </c>
      <c r="O60" s="87"/>
      <c r="P60" s="87"/>
      <c r="Q60" s="87"/>
      <c r="R60" s="21"/>
      <c r="T60" s="87"/>
      <c r="U60" s="87"/>
      <c r="V60" s="21"/>
    </row>
    <row r="61" spans="1:26" s="1" customFormat="1" ht="10.5">
      <c r="A61" s="90"/>
      <c r="B61" s="87"/>
      <c r="C61" s="87"/>
      <c r="D61" s="87"/>
      <c r="E61" s="88"/>
      <c r="F61" s="87"/>
      <c r="G61" s="87"/>
      <c r="H61" s="87"/>
      <c r="I61" s="88"/>
      <c r="J61" s="88"/>
      <c r="K61" s="87"/>
      <c r="L61" s="89"/>
      <c r="M61" s="88"/>
      <c r="N61" s="88"/>
      <c r="O61" s="87"/>
      <c r="P61" s="87"/>
      <c r="Q61" s="87"/>
      <c r="R61" s="21"/>
      <c r="T61" s="87"/>
      <c r="U61" s="87"/>
      <c r="V61" s="21"/>
    </row>
    <row r="62" spans="1:26" s="1" customFormat="1" ht="10.5">
      <c r="A62" s="73" t="s">
        <v>176</v>
      </c>
      <c r="B62" s="74">
        <v>0</v>
      </c>
      <c r="C62" s="75">
        <v>1</v>
      </c>
      <c r="D62" s="74">
        <f t="shared" ref="D62:D68" si="49">C62*12</f>
        <v>12</v>
      </c>
      <c r="E62" s="76"/>
      <c r="F62" s="74">
        <f>References!$B$23</f>
        <v>47</v>
      </c>
      <c r="G62" s="74">
        <f t="shared" ref="G62:G63" si="50">D62*F62</f>
        <v>564</v>
      </c>
      <c r="H62" s="77">
        <f t="shared" ref="H62:H63" si="51">G62*$H$88</f>
        <v>440.22445977861474</v>
      </c>
      <c r="I62" s="78">
        <f>H62*References!$C$55</f>
        <v>0.20030212919926843</v>
      </c>
      <c r="J62" s="78">
        <f>I62/References!$G$58</f>
        <v>0.20423883269955231</v>
      </c>
      <c r="K62" s="76">
        <f t="shared" ref="K62:K63" si="52">J62/D62</f>
        <v>1.7019902724962694E-2</v>
      </c>
      <c r="L62" s="79">
        <f>Rates!B49</f>
        <v>14.49</v>
      </c>
      <c r="M62" s="76">
        <f t="shared" ref="M62:M63" si="53">K62+L62</f>
        <v>14.507019902724963</v>
      </c>
      <c r="N62" s="88" t="s">
        <v>175</v>
      </c>
      <c r="O62" s="87"/>
      <c r="P62" s="87"/>
      <c r="Q62" s="87"/>
      <c r="R62" s="21"/>
      <c r="T62" s="87"/>
      <c r="U62" s="87"/>
      <c r="V62" s="21"/>
    </row>
    <row r="63" spans="1:26" s="1" customFormat="1" ht="10.5">
      <c r="A63" s="73" t="s">
        <v>214</v>
      </c>
      <c r="B63" s="74">
        <v>0</v>
      </c>
      <c r="C63" s="75">
        <v>1</v>
      </c>
      <c r="D63" s="74">
        <f t="shared" si="49"/>
        <v>12</v>
      </c>
      <c r="E63" s="76"/>
      <c r="F63" s="74">
        <f>References!$B$23</f>
        <v>47</v>
      </c>
      <c r="G63" s="74">
        <f t="shared" si="50"/>
        <v>564</v>
      </c>
      <c r="H63" s="77">
        <f t="shared" si="51"/>
        <v>440.22445977861474</v>
      </c>
      <c r="I63" s="78">
        <f>H63*References!$C$55</f>
        <v>0.20030212919926843</v>
      </c>
      <c r="J63" s="78">
        <f>I63/References!$G$58</f>
        <v>0.20423883269955231</v>
      </c>
      <c r="K63" s="76">
        <f t="shared" si="52"/>
        <v>1.7019902724962694E-2</v>
      </c>
      <c r="L63" s="79">
        <f>Rates!B50</f>
        <v>19.649999999999999</v>
      </c>
      <c r="M63" s="76">
        <f t="shared" si="53"/>
        <v>19.667019902724963</v>
      </c>
      <c r="N63" s="88" t="s">
        <v>175</v>
      </c>
      <c r="O63" s="87"/>
      <c r="P63" s="87"/>
      <c r="Q63" s="87"/>
      <c r="R63" s="21"/>
      <c r="T63" s="87"/>
      <c r="U63" s="87"/>
      <c r="V63" s="21"/>
    </row>
    <row r="64" spans="1:26" s="1" customFormat="1" ht="10.5">
      <c r="A64" s="86"/>
      <c r="B64" s="87"/>
      <c r="C64" s="87"/>
      <c r="D64" s="87"/>
      <c r="E64" s="88"/>
      <c r="F64" s="87"/>
      <c r="G64" s="87"/>
      <c r="H64" s="87"/>
      <c r="I64" s="88"/>
      <c r="J64" s="88"/>
      <c r="K64" s="87"/>
      <c r="L64" s="89"/>
      <c r="M64" s="88"/>
      <c r="N64" s="88"/>
      <c r="O64" s="87"/>
      <c r="P64" s="87"/>
      <c r="Q64" s="87"/>
      <c r="R64" s="21"/>
      <c r="T64" s="87"/>
      <c r="U64" s="87"/>
      <c r="V64" s="21"/>
    </row>
    <row r="65" spans="1:22" s="1" customFormat="1" ht="10.5">
      <c r="A65" s="73" t="s">
        <v>179</v>
      </c>
      <c r="B65" s="74">
        <v>0</v>
      </c>
      <c r="C65" s="75">
        <v>1</v>
      </c>
      <c r="D65" s="74">
        <f t="shared" si="49"/>
        <v>12</v>
      </c>
      <c r="E65" s="76"/>
      <c r="F65" s="74">
        <f>References!$B$23</f>
        <v>47</v>
      </c>
      <c r="G65" s="74">
        <f t="shared" ref="G65:G66" si="54">D65*F65</f>
        <v>564</v>
      </c>
      <c r="H65" s="77">
        <f t="shared" ref="H65:H66" si="55">G65*$H$88</f>
        <v>440.22445977861474</v>
      </c>
      <c r="I65" s="78">
        <f>H65*References!$C$55</f>
        <v>0.20030212919926843</v>
      </c>
      <c r="J65" s="78">
        <f>I65/References!$G$58</f>
        <v>0.20423883269955231</v>
      </c>
      <c r="K65" s="76">
        <f t="shared" ref="K65" si="56">J65/D65</f>
        <v>1.7019902724962694E-2</v>
      </c>
      <c r="L65" s="79">
        <f>Rates!B53</f>
        <v>4.78</v>
      </c>
      <c r="M65" s="76">
        <f t="shared" ref="M65:M66" si="57">K65+L65</f>
        <v>4.7970199027249629</v>
      </c>
      <c r="N65" s="88" t="s">
        <v>178</v>
      </c>
      <c r="O65" s="87"/>
      <c r="P65" s="87"/>
      <c r="Q65" s="87"/>
      <c r="R65" s="21"/>
      <c r="T65" s="87"/>
      <c r="U65" s="87"/>
      <c r="V65" s="21"/>
    </row>
    <row r="66" spans="1:22" s="1" customFormat="1" ht="10.5">
      <c r="A66" s="73" t="s">
        <v>180</v>
      </c>
      <c r="B66" s="74">
        <v>0</v>
      </c>
      <c r="C66" s="75">
        <v>4.33</v>
      </c>
      <c r="D66" s="74">
        <f t="shared" si="49"/>
        <v>51.96</v>
      </c>
      <c r="E66" s="76"/>
      <c r="F66" s="74">
        <f>References!$B$23</f>
        <v>47</v>
      </c>
      <c r="G66" s="74">
        <f t="shared" si="54"/>
        <v>2442.12</v>
      </c>
      <c r="H66" s="77">
        <f t="shared" si="55"/>
        <v>1906.1719108414018</v>
      </c>
      <c r="I66" s="78">
        <f>H66*References!$C$55</f>
        <v>0.86730821943283221</v>
      </c>
      <c r="J66" s="78">
        <f>I66/References!$G$58</f>
        <v>0.88435414558906145</v>
      </c>
      <c r="K66" s="76">
        <f>J66/D66*C66</f>
        <v>7.3696178799088449E-2</v>
      </c>
      <c r="L66" s="79">
        <f>Rates!B54</f>
        <v>20.43</v>
      </c>
      <c r="M66" s="76">
        <f t="shared" si="57"/>
        <v>20.503696178799089</v>
      </c>
      <c r="N66" s="88" t="s">
        <v>178</v>
      </c>
      <c r="O66" s="87"/>
      <c r="P66" s="87"/>
      <c r="Q66" s="87"/>
      <c r="R66" s="21"/>
      <c r="T66" s="87"/>
      <c r="U66" s="87"/>
      <c r="V66" s="21"/>
    </row>
    <row r="67" spans="1:22" s="1" customFormat="1" ht="10.5">
      <c r="A67" s="86"/>
      <c r="B67" s="87"/>
      <c r="C67" s="87"/>
      <c r="D67" s="87"/>
      <c r="E67" s="88"/>
      <c r="F67" s="87"/>
      <c r="G67" s="87"/>
      <c r="H67" s="87"/>
      <c r="I67" s="88"/>
      <c r="J67" s="88"/>
      <c r="K67" s="87"/>
      <c r="L67" s="89"/>
      <c r="M67" s="88"/>
      <c r="O67" s="87"/>
      <c r="P67" s="87"/>
      <c r="Q67" s="87"/>
      <c r="R67" s="21"/>
      <c r="T67" s="87"/>
      <c r="U67" s="87"/>
      <c r="V67" s="21"/>
    </row>
    <row r="68" spans="1:22" ht="10.5">
      <c r="A68" s="73" t="s">
        <v>47</v>
      </c>
      <c r="B68" s="74">
        <v>0</v>
      </c>
      <c r="C68" s="75">
        <f>References!$B$11</f>
        <v>1</v>
      </c>
      <c r="D68" s="74">
        <f t="shared" si="49"/>
        <v>12</v>
      </c>
      <c r="E68" s="74"/>
      <c r="F68" s="74">
        <f>References!$B$48</f>
        <v>125</v>
      </c>
      <c r="G68" s="74">
        <f t="shared" ref="G68" si="58">D68*F68</f>
        <v>1500</v>
      </c>
      <c r="H68" s="77">
        <f t="shared" ref="H68" si="59">G68*$H$88</f>
        <v>1170.8097334537626</v>
      </c>
      <c r="I68" s="78">
        <f>H68*References!$C$55</f>
        <v>0.53271842872145858</v>
      </c>
      <c r="J68" s="78">
        <f>I68/References!$G$58</f>
        <v>0.54318838483923482</v>
      </c>
      <c r="K68" s="76">
        <f>J68/D68*C68</f>
        <v>4.5265698736602904E-2</v>
      </c>
      <c r="L68" s="79">
        <f>Rates!B57</f>
        <v>27.37</v>
      </c>
      <c r="M68" s="76">
        <f>L68+K68</f>
        <v>27.415265698736604</v>
      </c>
      <c r="N68" s="88" t="s">
        <v>181</v>
      </c>
      <c r="O68" s="4" t="e">
        <f>#REF!</f>
        <v>#REF!</v>
      </c>
      <c r="P68" s="5" t="e">
        <f>#REF!</f>
        <v>#REF!</v>
      </c>
      <c r="Q68" s="5" t="e">
        <f t="shared" ref="Q68" si="60">P68-O68</f>
        <v>#REF!</v>
      </c>
      <c r="R68" s="11"/>
      <c r="T68" s="5" t="e">
        <f>#REF!</f>
        <v>#REF!</v>
      </c>
      <c r="U68" s="5" t="e">
        <f t="shared" ref="U68" si="61">T68-O68</f>
        <v>#REF!</v>
      </c>
      <c r="V68" s="11"/>
    </row>
    <row r="69" spans="1:22" s="1" customFormat="1" ht="10.5">
      <c r="A69" s="86"/>
      <c r="B69" s="87"/>
      <c r="C69" s="87"/>
      <c r="D69" s="87"/>
      <c r="E69" s="88"/>
      <c r="F69" s="87"/>
      <c r="G69" s="87"/>
      <c r="H69" s="87"/>
      <c r="I69" s="88"/>
      <c r="J69" s="88"/>
      <c r="K69" s="87"/>
      <c r="L69" s="89"/>
      <c r="M69" s="88"/>
      <c r="N69" s="88"/>
      <c r="O69" s="87"/>
      <c r="P69" s="87"/>
      <c r="Q69" s="87"/>
      <c r="R69" s="21"/>
      <c r="T69" s="87"/>
      <c r="U69" s="87"/>
      <c r="V69" s="21"/>
    </row>
    <row r="70" spans="1:22" s="1" customFormat="1" ht="10.5">
      <c r="A70" s="86" t="s">
        <v>216</v>
      </c>
      <c r="B70" s="87"/>
      <c r="C70" s="87"/>
      <c r="D70" s="87"/>
      <c r="E70" s="88"/>
      <c r="F70" s="87"/>
      <c r="G70" s="87"/>
      <c r="H70" s="87"/>
      <c r="I70" s="88"/>
      <c r="J70" s="88"/>
      <c r="K70" s="87"/>
      <c r="L70" s="89"/>
      <c r="M70" s="88"/>
      <c r="N70" s="88"/>
      <c r="O70" s="87"/>
      <c r="P70" s="87"/>
      <c r="Q70" s="87"/>
      <c r="R70" s="21"/>
      <c r="T70" s="87"/>
      <c r="U70" s="87"/>
      <c r="V70" s="21"/>
    </row>
    <row r="71" spans="1:22" s="1" customFormat="1" ht="10.5">
      <c r="A71" s="73" t="s">
        <v>144</v>
      </c>
      <c r="B71" s="74">
        <v>0</v>
      </c>
      <c r="C71" s="75">
        <v>1</v>
      </c>
      <c r="D71" s="74">
        <f>C71*12</f>
        <v>12</v>
      </c>
      <c r="E71" s="76"/>
      <c r="F71" s="74">
        <f>References!$B$28</f>
        <v>29</v>
      </c>
      <c r="G71" s="74">
        <f>D71*F71</f>
        <v>348</v>
      </c>
      <c r="H71" s="77">
        <f t="shared" ref="H71" si="62">G71*$H$88</f>
        <v>271.62785816127291</v>
      </c>
      <c r="I71" s="78">
        <f>H71*References!$C$55</f>
        <v>0.12359067546337837</v>
      </c>
      <c r="J71" s="78">
        <f>I71/References!$G$58</f>
        <v>0.12601970528270248</v>
      </c>
      <c r="K71" s="76">
        <f>J71/D71</f>
        <v>1.0501642106891874E-2</v>
      </c>
      <c r="L71" s="79">
        <f>Rates!B79</f>
        <v>4.2699999999999996</v>
      </c>
      <c r="M71" s="76">
        <f>K71+L71</f>
        <v>4.2805016421068913</v>
      </c>
      <c r="N71" s="88" t="s">
        <v>197</v>
      </c>
      <c r="O71" s="87"/>
      <c r="P71" s="87"/>
      <c r="Q71" s="87"/>
      <c r="R71" s="21"/>
      <c r="T71" s="87"/>
      <c r="U71" s="87"/>
      <c r="V71" s="21"/>
    </row>
    <row r="72" spans="1:22" s="1" customFormat="1" ht="10.5">
      <c r="A72" s="73" t="s">
        <v>198</v>
      </c>
      <c r="B72" s="74">
        <v>0</v>
      </c>
      <c r="C72" s="75">
        <v>1</v>
      </c>
      <c r="D72" s="74">
        <f t="shared" ref="D72:D83" si="63">C72*12</f>
        <v>12</v>
      </c>
      <c r="E72" s="76"/>
      <c r="F72" s="74">
        <f>References!$B$22</f>
        <v>37</v>
      </c>
      <c r="G72" s="74">
        <f t="shared" ref="G72:G75" si="64">D72*F72</f>
        <v>444</v>
      </c>
      <c r="H72" s="77">
        <f t="shared" ref="H72:H75" si="65">G72*$H$88</f>
        <v>346.55968110231373</v>
      </c>
      <c r="I72" s="78">
        <f>H72*References!$C$55</f>
        <v>0.15768465490155173</v>
      </c>
      <c r="J72" s="78">
        <f>I72/References!$G$58</f>
        <v>0.1607837619124135</v>
      </c>
      <c r="K72" s="76">
        <f t="shared" ref="K72:K75" si="66">J72/D72</f>
        <v>1.3398646826034458E-2</v>
      </c>
      <c r="L72" s="79">
        <f>Rates!B80</f>
        <v>4.6100000000000003</v>
      </c>
      <c r="M72" s="76">
        <f t="shared" ref="M72:M75" si="67">K72+L72</f>
        <v>4.6233986468260344</v>
      </c>
      <c r="N72" s="88" t="s">
        <v>197</v>
      </c>
      <c r="O72" s="87"/>
      <c r="P72" s="87"/>
      <c r="Q72" s="87"/>
      <c r="R72" s="21"/>
      <c r="T72" s="87"/>
      <c r="U72" s="87"/>
      <c r="V72" s="21"/>
    </row>
    <row r="73" spans="1:22" s="1" customFormat="1" ht="10.5">
      <c r="A73" s="73" t="s">
        <v>199</v>
      </c>
      <c r="B73" s="74">
        <v>0</v>
      </c>
      <c r="C73" s="75">
        <v>1</v>
      </c>
      <c r="D73" s="74">
        <f t="shared" si="63"/>
        <v>12</v>
      </c>
      <c r="E73" s="76"/>
      <c r="F73" s="74">
        <f>$F$17</f>
        <v>48</v>
      </c>
      <c r="G73" s="74">
        <f t="shared" si="64"/>
        <v>576</v>
      </c>
      <c r="H73" s="77">
        <f t="shared" si="65"/>
        <v>449.59093764624481</v>
      </c>
      <c r="I73" s="78">
        <f>H73*References!$C$55</f>
        <v>0.20456387662904008</v>
      </c>
      <c r="J73" s="78">
        <f>I73/References!$G$58</f>
        <v>0.20858433977826615</v>
      </c>
      <c r="K73" s="76">
        <f t="shared" si="66"/>
        <v>1.7382028314855514E-2</v>
      </c>
      <c r="L73" s="79">
        <f>Rates!B81</f>
        <v>5.43</v>
      </c>
      <c r="M73" s="76">
        <f t="shared" si="67"/>
        <v>5.4473820283148555</v>
      </c>
      <c r="N73" s="88" t="s">
        <v>197</v>
      </c>
      <c r="O73" s="87"/>
      <c r="P73" s="87"/>
      <c r="Q73" s="87"/>
      <c r="R73" s="21"/>
      <c r="T73" s="87"/>
      <c r="U73" s="87"/>
      <c r="V73" s="21"/>
    </row>
    <row r="74" spans="1:22" s="1" customFormat="1" ht="10.5">
      <c r="A74" s="73" t="s">
        <v>200</v>
      </c>
      <c r="B74" s="74">
        <v>0</v>
      </c>
      <c r="C74" s="75">
        <v>1</v>
      </c>
      <c r="D74" s="74">
        <f t="shared" si="63"/>
        <v>12</v>
      </c>
      <c r="E74" s="76"/>
      <c r="F74" s="74">
        <f>References!$B$23</f>
        <v>47</v>
      </c>
      <c r="G74" s="74">
        <f t="shared" si="64"/>
        <v>564</v>
      </c>
      <c r="H74" s="77">
        <f t="shared" si="65"/>
        <v>440.22445977861474</v>
      </c>
      <c r="I74" s="78">
        <f>H74*References!$C$55</f>
        <v>0.20030212919926843</v>
      </c>
      <c r="J74" s="78">
        <f>I74/References!$G$58</f>
        <v>0.20423883269955231</v>
      </c>
      <c r="K74" s="76">
        <f t="shared" si="66"/>
        <v>1.7019902724962694E-2</v>
      </c>
      <c r="L74" s="79">
        <f>Rates!B82</f>
        <v>6.43</v>
      </c>
      <c r="M74" s="76">
        <f t="shared" si="67"/>
        <v>6.4470199027249624</v>
      </c>
      <c r="N74" s="88" t="s">
        <v>197</v>
      </c>
      <c r="O74" s="87"/>
      <c r="P74" s="87"/>
      <c r="Q74" s="87"/>
      <c r="R74" s="21"/>
      <c r="T74" s="87"/>
      <c r="U74" s="87"/>
      <c r="V74" s="21"/>
    </row>
    <row r="75" spans="1:22" s="1" customFormat="1" ht="10.5">
      <c r="A75" s="73" t="s">
        <v>201</v>
      </c>
      <c r="B75" s="74">
        <v>0</v>
      </c>
      <c r="C75" s="75">
        <v>1</v>
      </c>
      <c r="D75" s="74">
        <f t="shared" si="63"/>
        <v>12</v>
      </c>
      <c r="E75" s="76"/>
      <c r="F75" s="74">
        <f>References!$B$24</f>
        <v>68</v>
      </c>
      <c r="G75" s="74">
        <f t="shared" si="64"/>
        <v>816</v>
      </c>
      <c r="H75" s="77">
        <f t="shared" si="65"/>
        <v>636.92049499884683</v>
      </c>
      <c r="I75" s="78">
        <f>H75*References!$C$55</f>
        <v>0.28979882522447342</v>
      </c>
      <c r="J75" s="78">
        <f>I75/References!$G$58</f>
        <v>0.29549448135254369</v>
      </c>
      <c r="K75" s="76">
        <f t="shared" si="66"/>
        <v>2.4624540112711975E-2</v>
      </c>
      <c r="L75" s="79">
        <f>Rates!B83</f>
        <v>8.0299999999999994</v>
      </c>
      <c r="M75" s="76">
        <f t="shared" si="67"/>
        <v>8.0546245401127106</v>
      </c>
      <c r="N75" s="88" t="s">
        <v>197</v>
      </c>
      <c r="O75" s="87"/>
      <c r="P75" s="87"/>
      <c r="Q75" s="87"/>
      <c r="R75" s="21"/>
      <c r="T75" s="87"/>
      <c r="U75" s="87"/>
      <c r="V75" s="21"/>
    </row>
    <row r="76" spans="1:22" s="1" customFormat="1" ht="10.5">
      <c r="A76" s="73" t="s">
        <v>217</v>
      </c>
      <c r="B76" s="74">
        <v>0</v>
      </c>
      <c r="C76" s="75">
        <v>1</v>
      </c>
      <c r="D76" s="74">
        <f t="shared" si="63"/>
        <v>12</v>
      </c>
      <c r="E76" s="76"/>
      <c r="F76" s="74">
        <f>References!$B$28</f>
        <v>29</v>
      </c>
      <c r="G76" s="74">
        <f t="shared" ref="G76:G80" si="68">D76*F76</f>
        <v>348</v>
      </c>
      <c r="H76" s="77">
        <f t="shared" ref="H76:H80" si="69">G76*$H$88</f>
        <v>271.62785816127291</v>
      </c>
      <c r="I76" s="78">
        <f>H76*References!$C$55</f>
        <v>0.12359067546337837</v>
      </c>
      <c r="J76" s="78">
        <f>I76/References!$G$58</f>
        <v>0.12601970528270248</v>
      </c>
      <c r="K76" s="76">
        <f t="shared" ref="K76:K79" si="70">J76/D76</f>
        <v>1.0501642106891874E-2</v>
      </c>
      <c r="L76" s="79">
        <f>Rates!B92</f>
        <v>4.63</v>
      </c>
      <c r="M76" s="76">
        <f t="shared" ref="M76:M80" si="71">K76+L76</f>
        <v>4.6405016421068916</v>
      </c>
      <c r="N76" s="88" t="s">
        <v>197</v>
      </c>
      <c r="O76" s="87"/>
      <c r="P76" s="87"/>
      <c r="Q76" s="87"/>
      <c r="R76" s="21"/>
      <c r="T76" s="87"/>
      <c r="U76" s="87"/>
      <c r="V76" s="21"/>
    </row>
    <row r="77" spans="1:22" s="1" customFormat="1" ht="10.5">
      <c r="A77" s="73" t="s">
        <v>224</v>
      </c>
      <c r="B77" s="74">
        <v>0</v>
      </c>
      <c r="C77" s="75">
        <v>4.33</v>
      </c>
      <c r="D77" s="74">
        <f t="shared" si="63"/>
        <v>51.96</v>
      </c>
      <c r="E77" s="76"/>
      <c r="F77" s="74">
        <f>References!$B$28</f>
        <v>29</v>
      </c>
      <c r="G77" s="74">
        <f t="shared" si="68"/>
        <v>1506.84</v>
      </c>
      <c r="H77" s="77">
        <f t="shared" si="69"/>
        <v>1176.1486258383118</v>
      </c>
      <c r="I77" s="78">
        <f>H77*References!$C$55</f>
        <v>0.53514762475642841</v>
      </c>
      <c r="J77" s="78">
        <f>I77/References!$G$58</f>
        <v>0.54566532387410172</v>
      </c>
      <c r="K77" s="76">
        <f>J77/D77*C77</f>
        <v>4.5472110322841805E-2</v>
      </c>
      <c r="L77" s="79">
        <f>Rates!B93</f>
        <v>18.489999999999998</v>
      </c>
      <c r="M77" s="76">
        <f t="shared" si="71"/>
        <v>18.535472110322839</v>
      </c>
      <c r="N77" s="88" t="s">
        <v>197</v>
      </c>
      <c r="O77" s="87"/>
      <c r="P77" s="87"/>
      <c r="Q77" s="87"/>
      <c r="R77" s="21"/>
      <c r="T77" s="87"/>
      <c r="U77" s="87"/>
      <c r="V77" s="21"/>
    </row>
    <row r="78" spans="1:22" s="1" customFormat="1" ht="10.5">
      <c r="A78" s="73" t="s">
        <v>218</v>
      </c>
      <c r="B78" s="74">
        <v>0</v>
      </c>
      <c r="C78" s="75">
        <v>1</v>
      </c>
      <c r="D78" s="74">
        <f t="shared" si="63"/>
        <v>12</v>
      </c>
      <c r="E78" s="76"/>
      <c r="F78" s="74">
        <f>References!$B$28</f>
        <v>29</v>
      </c>
      <c r="G78" s="74">
        <f t="shared" si="68"/>
        <v>348</v>
      </c>
      <c r="H78" s="77">
        <f t="shared" si="69"/>
        <v>271.62785816127291</v>
      </c>
      <c r="I78" s="78">
        <f>H78*References!$C$55</f>
        <v>0.12359067546337837</v>
      </c>
      <c r="J78" s="78">
        <f>I78/References!$G$58</f>
        <v>0.12601970528270248</v>
      </c>
      <c r="K78" s="76">
        <f t="shared" si="70"/>
        <v>1.0501642106891874E-2</v>
      </c>
      <c r="L78" s="79">
        <f>Rates!B94</f>
        <v>3.94</v>
      </c>
      <c r="M78" s="76">
        <f t="shared" si="71"/>
        <v>3.9505016421068917</v>
      </c>
      <c r="N78" s="88" t="s">
        <v>197</v>
      </c>
      <c r="O78" s="87"/>
      <c r="P78" s="87"/>
      <c r="Q78" s="87"/>
      <c r="R78" s="21"/>
      <c r="T78" s="87"/>
      <c r="U78" s="87"/>
      <c r="V78" s="21"/>
    </row>
    <row r="79" spans="1:22" s="1" customFormat="1" ht="10.5">
      <c r="A79" s="73" t="s">
        <v>219</v>
      </c>
      <c r="B79" s="74">
        <v>0</v>
      </c>
      <c r="C79" s="75">
        <v>1</v>
      </c>
      <c r="D79" s="74">
        <f t="shared" si="63"/>
        <v>12</v>
      </c>
      <c r="E79" s="76"/>
      <c r="F79" s="74">
        <f>References!$B$28</f>
        <v>29</v>
      </c>
      <c r="G79" s="74">
        <f t="shared" si="68"/>
        <v>348</v>
      </c>
      <c r="H79" s="77">
        <f t="shared" si="69"/>
        <v>271.62785816127291</v>
      </c>
      <c r="I79" s="78">
        <f>H79*References!$C$55</f>
        <v>0.12359067546337837</v>
      </c>
      <c r="J79" s="78">
        <f>I79/References!$G$58</f>
        <v>0.12601970528270248</v>
      </c>
      <c r="K79" s="76">
        <f t="shared" si="70"/>
        <v>1.0501642106891874E-2</v>
      </c>
      <c r="L79" s="79">
        <f>Rates!B95</f>
        <v>4.2699999999999996</v>
      </c>
      <c r="M79" s="76">
        <f t="shared" si="71"/>
        <v>4.2805016421068913</v>
      </c>
      <c r="N79" s="88" t="s">
        <v>197</v>
      </c>
      <c r="O79" s="87"/>
      <c r="P79" s="87"/>
      <c r="Q79" s="87"/>
      <c r="R79" s="21"/>
      <c r="T79" s="87"/>
      <c r="U79" s="87"/>
      <c r="V79" s="21"/>
    </row>
    <row r="80" spans="1:22" s="1" customFormat="1" ht="10.5">
      <c r="A80" s="73" t="s">
        <v>220</v>
      </c>
      <c r="B80" s="74">
        <v>0</v>
      </c>
      <c r="C80" s="75">
        <v>4.33</v>
      </c>
      <c r="D80" s="74">
        <f t="shared" si="63"/>
        <v>51.96</v>
      </c>
      <c r="E80" s="76"/>
      <c r="F80" s="74">
        <f>References!$B$22</f>
        <v>37</v>
      </c>
      <c r="G80" s="74">
        <f t="shared" si="68"/>
        <v>1922.52</v>
      </c>
      <c r="H80" s="77">
        <f t="shared" si="69"/>
        <v>1500.6034191730184</v>
      </c>
      <c r="I80" s="78">
        <f>H80*References!$C$55</f>
        <v>0.68277455572371903</v>
      </c>
      <c r="J80" s="78">
        <f>I80/References!$G$58</f>
        <v>0.69619368908075052</v>
      </c>
      <c r="K80" s="76">
        <f t="shared" ref="K80:K83" si="72">J80/D80*C80</f>
        <v>5.8016140756729215E-2</v>
      </c>
      <c r="L80" s="79">
        <f>Rates!B97</f>
        <v>19.77</v>
      </c>
      <c r="M80" s="76">
        <f t="shared" si="71"/>
        <v>19.828016140756727</v>
      </c>
      <c r="N80" s="88" t="s">
        <v>197</v>
      </c>
      <c r="O80" s="87"/>
      <c r="P80" s="87"/>
      <c r="Q80" s="87"/>
      <c r="R80" s="21"/>
      <c r="T80" s="87"/>
      <c r="U80" s="87"/>
      <c r="V80" s="21"/>
    </row>
    <row r="81" spans="1:22" s="1" customFormat="1" ht="10.5">
      <c r="A81" s="73" t="s">
        <v>221</v>
      </c>
      <c r="B81" s="74">
        <v>0</v>
      </c>
      <c r="C81" s="75">
        <v>4.33</v>
      </c>
      <c r="D81" s="74">
        <f t="shared" si="63"/>
        <v>51.96</v>
      </c>
      <c r="E81" s="76"/>
      <c r="F81" s="74">
        <f>$F$73</f>
        <v>48</v>
      </c>
      <c r="G81" s="74">
        <f t="shared" ref="G81:G83" si="73">D81*F81</f>
        <v>2494.08</v>
      </c>
      <c r="H81" s="77">
        <f t="shared" ref="H81:H83" si="74">G81*$H$88</f>
        <v>1946.72876000824</v>
      </c>
      <c r="I81" s="78">
        <f>H81*References!$C$55</f>
        <v>0.88576158580374353</v>
      </c>
      <c r="J81" s="78">
        <f>I81/References!$G$58</f>
        <v>0.90317019123989251</v>
      </c>
      <c r="K81" s="76">
        <f t="shared" si="72"/>
        <v>7.5264182603324375E-2</v>
      </c>
      <c r="L81" s="79">
        <f>Rates!B98</f>
        <v>23.25</v>
      </c>
      <c r="M81" s="76">
        <f t="shared" ref="M81:M83" si="75">K81+L81</f>
        <v>23.325264182603323</v>
      </c>
      <c r="N81" s="88" t="s">
        <v>197</v>
      </c>
      <c r="O81" s="87"/>
      <c r="P81" s="87"/>
      <c r="Q81" s="87"/>
      <c r="R81" s="21"/>
      <c r="T81" s="87"/>
      <c r="U81" s="87"/>
      <c r="V81" s="21"/>
    </row>
    <row r="82" spans="1:22" s="1" customFormat="1" ht="10.5">
      <c r="A82" s="73" t="s">
        <v>222</v>
      </c>
      <c r="B82" s="74">
        <v>0</v>
      </c>
      <c r="C82" s="75">
        <v>4.33</v>
      </c>
      <c r="D82" s="74">
        <f t="shared" si="63"/>
        <v>51.96</v>
      </c>
      <c r="E82" s="76"/>
      <c r="F82" s="74">
        <f>References!$B$23</f>
        <v>47</v>
      </c>
      <c r="G82" s="74">
        <f t="shared" si="73"/>
        <v>2442.12</v>
      </c>
      <c r="H82" s="77">
        <f t="shared" si="74"/>
        <v>1906.1719108414018</v>
      </c>
      <c r="I82" s="78">
        <f>H82*References!$C$55</f>
        <v>0.86730821943283221</v>
      </c>
      <c r="J82" s="78">
        <f>I82/References!$G$58</f>
        <v>0.88435414558906145</v>
      </c>
      <c r="K82" s="76">
        <f t="shared" si="72"/>
        <v>7.3696178799088449E-2</v>
      </c>
      <c r="L82" s="79">
        <f>Rates!B99</f>
        <v>27.57</v>
      </c>
      <c r="M82" s="76">
        <f t="shared" si="75"/>
        <v>27.64369617879909</v>
      </c>
      <c r="N82" s="88" t="s">
        <v>197</v>
      </c>
      <c r="O82" s="87"/>
      <c r="P82" s="87"/>
      <c r="Q82" s="87"/>
      <c r="R82" s="21"/>
      <c r="T82" s="87"/>
      <c r="U82" s="87"/>
      <c r="V82" s="21"/>
    </row>
    <row r="83" spans="1:22" s="1" customFormat="1" ht="10.5">
      <c r="A83" s="73" t="s">
        <v>223</v>
      </c>
      <c r="B83" s="74">
        <v>0</v>
      </c>
      <c r="C83" s="75">
        <v>4.33</v>
      </c>
      <c r="D83" s="74">
        <f t="shared" si="63"/>
        <v>51.96</v>
      </c>
      <c r="E83" s="76"/>
      <c r="F83" s="74">
        <f>References!$B$24</f>
        <v>68</v>
      </c>
      <c r="G83" s="74">
        <f t="shared" si="73"/>
        <v>3533.28</v>
      </c>
      <c r="H83" s="77">
        <f t="shared" si="74"/>
        <v>2757.8657433450071</v>
      </c>
      <c r="I83" s="78">
        <f>H83*References!$C$55</f>
        <v>1.2548289132219701</v>
      </c>
      <c r="J83" s="78">
        <f>I83/References!$G$58</f>
        <v>1.2794911042565145</v>
      </c>
      <c r="K83" s="76">
        <f t="shared" si="72"/>
        <v>0.10662425868804287</v>
      </c>
      <c r="L83" s="79">
        <f>Rates!B100</f>
        <v>34.340000000000003</v>
      </c>
      <c r="M83" s="76">
        <f t="shared" si="75"/>
        <v>34.446624258688047</v>
      </c>
      <c r="N83" s="88" t="s">
        <v>197</v>
      </c>
      <c r="O83" s="87"/>
      <c r="P83" s="87"/>
      <c r="Q83" s="87"/>
      <c r="R83" s="21"/>
      <c r="T83" s="87"/>
      <c r="U83" s="87"/>
      <c r="V83" s="21"/>
    </row>
    <row r="84" spans="1:22" s="1" customFormat="1" ht="10.5">
      <c r="A84" s="86"/>
      <c r="B84" s="87"/>
      <c r="C84" s="87"/>
      <c r="D84" s="87"/>
      <c r="E84" s="88"/>
      <c r="F84" s="87"/>
      <c r="G84" s="87"/>
      <c r="H84" s="87"/>
      <c r="I84" s="88"/>
      <c r="J84" s="88"/>
      <c r="K84" s="87"/>
      <c r="L84" s="89"/>
      <c r="M84" s="88"/>
      <c r="N84" s="88"/>
      <c r="O84" s="87"/>
      <c r="P84" s="87"/>
      <c r="Q84" s="87"/>
      <c r="R84" s="21"/>
      <c r="T84" s="87"/>
      <c r="U84" s="87"/>
      <c r="V84" s="21"/>
    </row>
    <row r="85" spans="1:22" s="1" customFormat="1" ht="10.5">
      <c r="A85" s="86"/>
      <c r="B85" s="87"/>
      <c r="C85" s="87"/>
      <c r="D85" s="87"/>
      <c r="E85" s="88"/>
      <c r="F85" s="87"/>
      <c r="G85" s="87"/>
      <c r="H85" s="87"/>
      <c r="I85" s="88"/>
      <c r="J85" s="88"/>
      <c r="K85" s="87"/>
      <c r="L85" s="89"/>
      <c r="M85" s="88"/>
      <c r="N85" s="88"/>
      <c r="O85" s="87"/>
      <c r="P85" s="87"/>
      <c r="Q85" s="87"/>
      <c r="R85" s="21"/>
      <c r="T85" s="87"/>
      <c r="U85" s="87"/>
      <c r="V85" s="21"/>
    </row>
    <row r="86" spans="1:22" ht="10.5">
      <c r="P86" s="27" t="s">
        <v>48</v>
      </c>
      <c r="Q86" s="28" t="e">
        <f>#REF!+#REF!+#REF!</f>
        <v>#REF!</v>
      </c>
      <c r="T86" s="27" t="s">
        <v>48</v>
      </c>
      <c r="U86" s="28" t="e">
        <f>#REF!+#REF!+#REF!</f>
        <v>#REF!</v>
      </c>
    </row>
    <row r="87" spans="1:22">
      <c r="G87" s="60" t="s">
        <v>126</v>
      </c>
      <c r="H87" s="6">
        <f>References!B60*2000</f>
        <v>15588000</v>
      </c>
      <c r="I87" s="6"/>
      <c r="J87" s="6"/>
      <c r="K87" s="6"/>
    </row>
    <row r="88" spans="1:22">
      <c r="G88" s="60" t="s">
        <v>128</v>
      </c>
      <c r="H88" s="62">
        <f>H87/(G43+G56)</f>
        <v>0.7805398223025084</v>
      </c>
      <c r="I88" s="62"/>
      <c r="J88" s="62"/>
      <c r="K88" s="62"/>
      <c r="T88" s="4"/>
      <c r="U88" s="4" t="e">
        <f>U86-Q86</f>
        <v>#REF!</v>
      </c>
    </row>
    <row r="90" spans="1:22">
      <c r="I90" s="6"/>
      <c r="J90" s="6"/>
      <c r="K90" s="91"/>
      <c r="L90" s="6"/>
      <c r="T90" s="7"/>
    </row>
    <row r="91" spans="1:22" ht="10.5">
      <c r="G91" s="64" t="s">
        <v>130</v>
      </c>
      <c r="H91" s="65">
        <f>J43</f>
        <v>4678.362781426843</v>
      </c>
      <c r="I91" s="62"/>
      <c r="J91" s="62"/>
      <c r="K91" s="62"/>
      <c r="L91" s="2"/>
    </row>
    <row r="92" spans="1:22" ht="10.5">
      <c r="G92" s="64" t="s">
        <v>131</v>
      </c>
      <c r="H92" s="66">
        <f>J56</f>
        <v>2553.5727764512098</v>
      </c>
      <c r="T92" s="7"/>
    </row>
    <row r="93" spans="1:22" ht="10.5">
      <c r="G93" s="64"/>
      <c r="H93" s="65">
        <f>SUM(H91:H92)</f>
        <v>7231.9355578780524</v>
      </c>
    </row>
    <row r="94" spans="1:22" ht="10.5">
      <c r="G94" s="64"/>
      <c r="H94" s="1"/>
    </row>
    <row r="95" spans="1:22" ht="10.5">
      <c r="G95" s="1" t="s">
        <v>232</v>
      </c>
      <c r="H95" s="107">
        <f>References!B65</f>
        <v>4243.3299999999845</v>
      </c>
    </row>
    <row r="98" spans="9:12">
      <c r="I98" s="3"/>
      <c r="L98" s="2"/>
    </row>
    <row r="99" spans="9:12">
      <c r="I99" s="3"/>
      <c r="L99" s="2"/>
    </row>
    <row r="100" spans="9:12">
      <c r="I100" s="3"/>
      <c r="L100" s="2"/>
    </row>
    <row r="101" spans="9:12">
      <c r="I101" s="3"/>
      <c r="L101" s="2"/>
    </row>
  </sheetData>
  <pageMargins left="0.7" right="0.7" top="0.75" bottom="0.75" header="0.3" footer="0.3"/>
  <pageSetup scale="45" fitToHeight="2" pageOrder="overThenDown" orientation="portrait" r:id="rId1"/>
  <headerFooter alignWithMargins="0">
    <oddFooter>&amp;L&amp;F - &amp;A&amp;R&amp;P</oddFooter>
  </headerFooter>
  <rowBreaks count="1" manualBreakCount="1">
    <brk id="44" max="5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0"/>
  <sheetViews>
    <sheetView tabSelected="1" workbookViewId="0">
      <selection activeCell="C43" sqref="C43"/>
    </sheetView>
  </sheetViews>
  <sheetFormatPr defaultColWidth="9.1796875" defaultRowHeight="12"/>
  <cols>
    <col min="1" max="1" width="29.453125" style="114" customWidth="1"/>
    <col min="2" max="2" width="10.453125" style="137" bestFit="1" customWidth="1"/>
    <col min="3" max="3" width="10.1796875" style="137" customWidth="1"/>
    <col min="4" max="4" width="12.54296875" style="138" customWidth="1"/>
    <col min="5" max="5" width="15.453125" style="114" customWidth="1"/>
    <col min="6" max="256" width="9.1796875" style="114"/>
    <col min="257" max="16384" width="9.1796875" style="115"/>
  </cols>
  <sheetData>
    <row r="1" spans="1:6">
      <c r="A1" s="110" t="s">
        <v>134</v>
      </c>
      <c r="B1" s="111"/>
      <c r="C1" s="111"/>
      <c r="D1" s="112"/>
      <c r="E1" s="113"/>
    </row>
    <row r="2" spans="1:6">
      <c r="A2" s="116" t="s">
        <v>235</v>
      </c>
      <c r="B2" s="117"/>
      <c r="C2" s="118"/>
      <c r="D2" s="119"/>
      <c r="E2" s="113"/>
    </row>
    <row r="3" spans="1:6">
      <c r="A3" s="116" t="s">
        <v>233</v>
      </c>
      <c r="B3" s="117"/>
      <c r="C3" s="118"/>
      <c r="D3" s="119"/>
      <c r="E3" s="113"/>
    </row>
    <row r="4" spans="1:6">
      <c r="A4" s="116"/>
      <c r="B4" s="118"/>
      <c r="C4" s="118"/>
      <c r="D4" s="120"/>
      <c r="E4" s="121"/>
    </row>
    <row r="5" spans="1:6">
      <c r="A5" s="122"/>
      <c r="B5" s="123" t="s">
        <v>135</v>
      </c>
      <c r="C5" s="123" t="s">
        <v>136</v>
      </c>
      <c r="D5" s="119" t="s">
        <v>136</v>
      </c>
      <c r="E5" s="113"/>
    </row>
    <row r="6" spans="1:6">
      <c r="A6" s="116" t="s">
        <v>137</v>
      </c>
      <c r="B6" s="123" t="s">
        <v>138</v>
      </c>
      <c r="C6" s="123" t="s">
        <v>114</v>
      </c>
      <c r="D6" s="119" t="s">
        <v>139</v>
      </c>
      <c r="E6" s="113"/>
    </row>
    <row r="7" spans="1:6">
      <c r="A7" s="122"/>
      <c r="B7" s="123" t="s">
        <v>140</v>
      </c>
      <c r="C7" s="123" t="s">
        <v>140</v>
      </c>
      <c r="D7" s="119" t="s">
        <v>140</v>
      </c>
      <c r="E7" s="113"/>
    </row>
    <row r="8" spans="1:6">
      <c r="A8" s="116" t="s">
        <v>141</v>
      </c>
      <c r="B8" s="118" t="s">
        <v>2</v>
      </c>
      <c r="C8" s="118"/>
      <c r="D8" s="120" t="s">
        <v>2</v>
      </c>
      <c r="E8" s="121"/>
    </row>
    <row r="9" spans="1:6">
      <c r="A9" s="116" t="s">
        <v>215</v>
      </c>
      <c r="B9" s="118"/>
      <c r="C9" s="118"/>
      <c r="D9" s="120"/>
      <c r="E9" s="121"/>
    </row>
    <row r="10" spans="1:6">
      <c r="A10" s="139" t="s">
        <v>142</v>
      </c>
      <c r="B10" s="118">
        <v>4.3899999999999997</v>
      </c>
      <c r="C10" s="118">
        <f>'DF Calc'!K60</f>
        <v>1.2312270056355988E-2</v>
      </c>
      <c r="D10" s="140">
        <f>(B10+C10)</f>
        <v>4.4023122700563553</v>
      </c>
      <c r="E10" s="121"/>
    </row>
    <row r="11" spans="1:6">
      <c r="A11" s="141"/>
      <c r="B11" s="118"/>
      <c r="C11" s="118"/>
      <c r="D11" s="140"/>
      <c r="E11" s="121"/>
    </row>
    <row r="12" spans="1:6">
      <c r="A12" s="141" t="s">
        <v>143</v>
      </c>
      <c r="B12" s="118"/>
      <c r="C12" s="118"/>
      <c r="D12" s="140"/>
      <c r="E12" s="121"/>
    </row>
    <row r="13" spans="1:6">
      <c r="A13" s="139" t="s">
        <v>144</v>
      </c>
      <c r="B13" s="118">
        <v>15.49</v>
      </c>
      <c r="C13" s="118">
        <f>'DF Calc'!K8</f>
        <v>5.3353170244209283E-2</v>
      </c>
      <c r="D13" s="140">
        <f t="shared" ref="D13:D22" si="0">(B13+C13)</f>
        <v>15.54335317024421</v>
      </c>
      <c r="E13" s="124"/>
      <c r="F13" s="125"/>
    </row>
    <row r="14" spans="1:6">
      <c r="A14" s="139" t="s">
        <v>145</v>
      </c>
      <c r="B14" s="118">
        <v>23.14</v>
      </c>
      <c r="C14" s="118">
        <f>'DF Calc'!K9</f>
        <v>8.0029755366313932E-2</v>
      </c>
      <c r="D14" s="140">
        <f t="shared" si="0"/>
        <v>23.220029755366316</v>
      </c>
      <c r="E14" s="124"/>
      <c r="F14" s="125"/>
    </row>
    <row r="15" spans="1:6">
      <c r="A15" s="139" t="s">
        <v>146</v>
      </c>
      <c r="B15" s="118">
        <v>31.18</v>
      </c>
      <c r="C15" s="118">
        <f>'DF Calc'!K10</f>
        <v>0.12082923849423867</v>
      </c>
      <c r="D15" s="140">
        <f t="shared" si="0"/>
        <v>31.300829238494238</v>
      </c>
      <c r="E15" s="124"/>
      <c r="F15" s="125"/>
    </row>
    <row r="16" spans="1:6">
      <c r="A16" s="139" t="s">
        <v>147</v>
      </c>
      <c r="B16" s="118">
        <v>40</v>
      </c>
      <c r="C16" s="118">
        <f>'DF Calc'!K11</f>
        <v>0.15221345628495001</v>
      </c>
      <c r="D16" s="140">
        <f t="shared" si="0"/>
        <v>40.152213456284947</v>
      </c>
      <c r="E16" s="124"/>
      <c r="F16" s="125"/>
    </row>
    <row r="17" spans="1:6">
      <c r="A17" s="139" t="s">
        <v>148</v>
      </c>
      <c r="B17" s="118">
        <v>47.84</v>
      </c>
      <c r="C17" s="118">
        <f>'DF Calc'!K12</f>
        <v>0.18359767407566135</v>
      </c>
      <c r="D17" s="140">
        <f t="shared" si="0"/>
        <v>48.023597674075667</v>
      </c>
      <c r="E17" s="124"/>
      <c r="F17" s="125"/>
    </row>
    <row r="18" spans="1:6">
      <c r="A18" s="139" t="s">
        <v>149</v>
      </c>
      <c r="B18" s="118">
        <v>55.47</v>
      </c>
      <c r="C18" s="118">
        <f>'DF Calc'!K13</f>
        <v>0.24636610965708405</v>
      </c>
      <c r="D18" s="140">
        <f t="shared" si="0"/>
        <v>55.716366109657081</v>
      </c>
      <c r="E18" s="124"/>
      <c r="F18" s="125"/>
    </row>
    <row r="19" spans="1:6">
      <c r="A19" s="139" t="s">
        <v>150</v>
      </c>
      <c r="B19" s="118">
        <v>20.81</v>
      </c>
      <c r="C19" s="118">
        <f>'DF Calc'!K15</f>
        <v>7.061449002910053E-2</v>
      </c>
      <c r="D19" s="140">
        <f t="shared" si="0"/>
        <v>20.8806144900291</v>
      </c>
      <c r="E19" s="124"/>
      <c r="F19" s="125"/>
    </row>
    <row r="20" spans="1:6">
      <c r="A20" s="139" t="s">
        <v>151</v>
      </c>
      <c r="B20" s="118">
        <v>8.8699999999999992</v>
      </c>
      <c r="C20" s="118">
        <f>'DF Calc'!K21</f>
        <v>2.6676585122104642E-2</v>
      </c>
      <c r="D20" s="140">
        <f t="shared" si="0"/>
        <v>8.896676585122103</v>
      </c>
      <c r="E20" s="124"/>
      <c r="F20" s="125"/>
    </row>
    <row r="21" spans="1:6">
      <c r="A21" s="139" t="s">
        <v>152</v>
      </c>
      <c r="B21" s="118">
        <v>14.26</v>
      </c>
      <c r="C21" s="118">
        <f>'DF Calc'!K22</f>
        <v>4.0014877683156966E-2</v>
      </c>
      <c r="D21" s="140">
        <f t="shared" si="0"/>
        <v>14.300014877683157</v>
      </c>
      <c r="E21" s="124"/>
      <c r="F21" s="125"/>
    </row>
    <row r="22" spans="1:6">
      <c r="A22" s="139" t="s">
        <v>153</v>
      </c>
      <c r="B22" s="118">
        <v>4.91</v>
      </c>
      <c r="C22" s="118">
        <f>'DF Calc'!K28</f>
        <v>1.2312270056355991E-2</v>
      </c>
      <c r="D22" s="140">
        <f t="shared" si="0"/>
        <v>4.9223122700563557</v>
      </c>
      <c r="E22" s="124"/>
      <c r="F22" s="125"/>
    </row>
    <row r="23" spans="1:6">
      <c r="A23" s="139" t="s">
        <v>154</v>
      </c>
      <c r="B23" s="118">
        <v>13.09</v>
      </c>
      <c r="C23" s="118">
        <f>'DF Calc'!K7</f>
        <v>3.1384217790711343E-2</v>
      </c>
      <c r="D23" s="140">
        <f>(B23+C23)</f>
        <v>13.121384217790711</v>
      </c>
      <c r="E23" s="124"/>
      <c r="F23" s="125"/>
    </row>
    <row r="24" spans="1:6">
      <c r="A24" s="139" t="s">
        <v>2</v>
      </c>
      <c r="B24" s="118"/>
      <c r="C24" s="118" t="s">
        <v>2</v>
      </c>
      <c r="D24" s="140"/>
      <c r="E24" s="121"/>
      <c r="F24" s="125"/>
    </row>
    <row r="25" spans="1:6">
      <c r="A25" s="141" t="s">
        <v>155</v>
      </c>
      <c r="B25" s="118"/>
      <c r="C25" s="118"/>
      <c r="D25" s="140"/>
      <c r="E25" s="121"/>
      <c r="F25" s="125"/>
    </row>
    <row r="26" spans="1:6">
      <c r="A26" s="139" t="s">
        <v>156</v>
      </c>
      <c r="B26" s="126">
        <v>17.78</v>
      </c>
      <c r="C26" s="118">
        <f>'DF Calc'!K14</f>
        <v>5.8060802912815991E-2</v>
      </c>
      <c r="D26" s="140">
        <f t="shared" ref="D26:D37" si="1">(B26+C26)</f>
        <v>17.838060802912818</v>
      </c>
      <c r="E26" s="121"/>
      <c r="F26" s="125"/>
    </row>
    <row r="27" spans="1:6">
      <c r="A27" s="139" t="s">
        <v>157</v>
      </c>
      <c r="B27" s="126">
        <v>22.56</v>
      </c>
      <c r="C27" s="118">
        <f>'DF Calc'!K17</f>
        <v>7.5322122697707203E-2</v>
      </c>
      <c r="D27" s="140">
        <f t="shared" si="1"/>
        <v>22.635322122697705</v>
      </c>
      <c r="E27" s="121"/>
      <c r="F27" s="125"/>
    </row>
    <row r="28" spans="1:6">
      <c r="A28" s="139" t="s">
        <v>158</v>
      </c>
      <c r="B28" s="126">
        <v>27.67</v>
      </c>
      <c r="C28" s="118">
        <f>'DF Calc'!K18</f>
        <v>7.3752911808171659E-2</v>
      </c>
      <c r="D28" s="140">
        <f>(B28+C28)</f>
        <v>27.743752911808173</v>
      </c>
      <c r="E28" s="121"/>
      <c r="F28" s="125"/>
    </row>
    <row r="29" spans="1:6">
      <c r="A29" s="139" t="s">
        <v>159</v>
      </c>
      <c r="B29" s="126">
        <v>34.340000000000003</v>
      </c>
      <c r="C29" s="118">
        <f>'DF Calc'!K19</f>
        <v>0.10670634048841857</v>
      </c>
      <c r="D29" s="140">
        <f>(B29+C29)</f>
        <v>34.446706340488419</v>
      </c>
      <c r="E29" s="121"/>
      <c r="F29" s="125"/>
    </row>
    <row r="30" spans="1:6">
      <c r="A30" s="139" t="s">
        <v>160</v>
      </c>
      <c r="B30" s="126">
        <v>10.6</v>
      </c>
      <c r="C30" s="118">
        <f>'DF Calc'!K23</f>
        <v>2.9030401456407996E-2</v>
      </c>
      <c r="D30" s="140">
        <f t="shared" si="1"/>
        <v>10.629030401456408</v>
      </c>
      <c r="E30" s="121"/>
      <c r="F30" s="125"/>
    </row>
    <row r="31" spans="1:6">
      <c r="A31" s="139" t="s">
        <v>161</v>
      </c>
      <c r="B31" s="126">
        <v>14.03</v>
      </c>
      <c r="C31" s="118">
        <f>'DF Calc'!K24</f>
        <v>3.7661061348853608E-2</v>
      </c>
      <c r="D31" s="140">
        <f t="shared" si="1"/>
        <v>14.067661061348852</v>
      </c>
      <c r="E31" s="121"/>
      <c r="F31" s="125"/>
    </row>
    <row r="32" spans="1:6">
      <c r="A32" s="139" t="s">
        <v>162</v>
      </c>
      <c r="B32" s="126">
        <v>16.77</v>
      </c>
      <c r="C32" s="118">
        <f>'DF Calc'!K25</f>
        <v>3.6876455904085829E-2</v>
      </c>
      <c r="D32" s="140">
        <f t="shared" si="1"/>
        <v>16.806876455904085</v>
      </c>
      <c r="E32" s="121"/>
      <c r="F32" s="125"/>
    </row>
    <row r="33" spans="1:6">
      <c r="A33" s="139" t="s">
        <v>163</v>
      </c>
      <c r="B33" s="126">
        <v>20.95</v>
      </c>
      <c r="C33" s="118">
        <f>'DF Calc'!K26</f>
        <v>5.3353170244209283E-2</v>
      </c>
      <c r="D33" s="140">
        <f t="shared" si="1"/>
        <v>21.003353170244207</v>
      </c>
      <c r="E33" s="121"/>
      <c r="F33" s="125"/>
    </row>
    <row r="34" spans="1:6">
      <c r="A34" s="139" t="s">
        <v>164</v>
      </c>
      <c r="B34" s="126">
        <v>6.33</v>
      </c>
      <c r="C34" s="118">
        <f>'DF Calc'!K29</f>
        <v>1.339864682603446E-2</v>
      </c>
      <c r="D34" s="140">
        <f t="shared" si="1"/>
        <v>6.3433986468260342</v>
      </c>
      <c r="E34" s="121"/>
      <c r="F34" s="125"/>
    </row>
    <row r="35" spans="1:6">
      <c r="A35" s="139" t="s">
        <v>165</v>
      </c>
      <c r="B35" s="126">
        <v>7.93</v>
      </c>
      <c r="C35" s="118">
        <f>'DF Calc'!K30</f>
        <v>1.7382028314855514E-2</v>
      </c>
      <c r="D35" s="140">
        <f t="shared" si="1"/>
        <v>7.9473820283148555</v>
      </c>
      <c r="E35" s="121"/>
      <c r="F35" s="125"/>
    </row>
    <row r="36" spans="1:6">
      <c r="A36" s="139" t="s">
        <v>166</v>
      </c>
      <c r="B36" s="126">
        <v>9.3699999999999992</v>
      </c>
      <c r="C36" s="118">
        <f>'DF Calc'!K31</f>
        <v>1.7019902724962694E-2</v>
      </c>
      <c r="D36" s="140">
        <f t="shared" si="1"/>
        <v>9.3870199027249619</v>
      </c>
      <c r="E36" s="121"/>
      <c r="F36" s="125"/>
    </row>
    <row r="37" spans="1:6">
      <c r="A37" s="139" t="s">
        <v>167</v>
      </c>
      <c r="B37" s="126">
        <v>11.53</v>
      </c>
      <c r="C37" s="118">
        <f>'DF Calc'!K32</f>
        <v>2.4624540112711979E-2</v>
      </c>
      <c r="D37" s="140">
        <f t="shared" si="1"/>
        <v>11.554624540112711</v>
      </c>
      <c r="E37" s="121"/>
      <c r="F37" s="125"/>
    </row>
    <row r="38" spans="1:6">
      <c r="A38" s="139"/>
      <c r="B38" s="118"/>
      <c r="C38" s="118"/>
      <c r="D38" s="140"/>
      <c r="E38" s="121"/>
      <c r="F38" s="125"/>
    </row>
    <row r="39" spans="1:6">
      <c r="A39" s="141" t="s">
        <v>168</v>
      </c>
      <c r="B39" s="118"/>
      <c r="C39" s="118"/>
      <c r="D39" s="140"/>
      <c r="E39" s="121"/>
      <c r="F39" s="125"/>
    </row>
    <row r="40" spans="1:6">
      <c r="A40" s="139" t="s">
        <v>169</v>
      </c>
      <c r="B40" s="126">
        <v>4.3899999999999997</v>
      </c>
      <c r="C40" s="118">
        <f>'DF Calc'!K41</f>
        <v>1.2312270056355989E-2</v>
      </c>
      <c r="D40" s="140">
        <f>(B40+C40)</f>
        <v>4.4023122700563553</v>
      </c>
      <c r="E40" s="121"/>
      <c r="F40" s="125"/>
    </row>
    <row r="41" spans="1:6">
      <c r="A41" s="139" t="s">
        <v>170</v>
      </c>
      <c r="B41" s="126">
        <v>4.91</v>
      </c>
      <c r="C41" s="118">
        <f>'DF Calc'!K34</f>
        <v>1.2312270056355991E-2</v>
      </c>
      <c r="D41" s="140">
        <f>(B41+C41)</f>
        <v>4.9223122700563557</v>
      </c>
      <c r="E41" s="121"/>
      <c r="F41" s="125"/>
    </row>
    <row r="42" spans="1:6">
      <c r="A42" s="139"/>
      <c r="B42" s="126"/>
      <c r="C42" s="118"/>
      <c r="D42" s="140"/>
      <c r="E42" s="121"/>
      <c r="F42" s="125"/>
    </row>
    <row r="43" spans="1:6">
      <c r="A43" s="139" t="s">
        <v>171</v>
      </c>
      <c r="B43" s="126">
        <v>6.33</v>
      </c>
      <c r="C43" s="118">
        <f>'DF Calc'!K35</f>
        <v>1.3398646826034456E-2</v>
      </c>
      <c r="D43" s="140">
        <f>(B43+C43)</f>
        <v>6.3433986468260342</v>
      </c>
      <c r="E43" s="121"/>
      <c r="F43" s="125"/>
    </row>
    <row r="44" spans="1:6">
      <c r="A44" s="139" t="s">
        <v>172</v>
      </c>
      <c r="B44" s="126">
        <v>7.93</v>
      </c>
      <c r="C44" s="118">
        <f>'DF Calc'!K36</f>
        <v>1.7382028314855514E-2</v>
      </c>
      <c r="D44" s="140">
        <f>(B44+C44)</f>
        <v>7.9473820283148555</v>
      </c>
      <c r="E44" s="121"/>
      <c r="F44" s="125"/>
    </row>
    <row r="45" spans="1:6">
      <c r="A45" s="139" t="s">
        <v>173</v>
      </c>
      <c r="B45" s="126">
        <v>9.3699999999999992</v>
      </c>
      <c r="C45" s="118">
        <f>'DF Calc'!K37</f>
        <v>1.7019902724962691E-2</v>
      </c>
      <c r="D45" s="140">
        <f>(B45+C45)</f>
        <v>9.3870199027249619</v>
      </c>
      <c r="E45" s="121"/>
      <c r="F45" s="125"/>
    </row>
    <row r="46" spans="1:6">
      <c r="A46" s="139" t="s">
        <v>174</v>
      </c>
      <c r="B46" s="126">
        <v>11.53</v>
      </c>
      <c r="C46" s="118">
        <f>'DF Calc'!K38</f>
        <v>2.4624540112711979E-2</v>
      </c>
      <c r="D46" s="140">
        <f>(B46+C46)</f>
        <v>11.554624540112711</v>
      </c>
      <c r="E46" s="121"/>
      <c r="F46" s="125"/>
    </row>
    <row r="47" spans="1:6">
      <c r="A47" s="139"/>
      <c r="B47" s="118"/>
      <c r="C47" s="118"/>
      <c r="D47" s="140"/>
      <c r="E47" s="121"/>
      <c r="F47" s="125"/>
    </row>
    <row r="48" spans="1:6">
      <c r="A48" s="141" t="s">
        <v>175</v>
      </c>
      <c r="B48" s="118"/>
      <c r="C48" s="118"/>
      <c r="D48" s="140"/>
      <c r="E48" s="121"/>
      <c r="F48" s="125"/>
    </row>
    <row r="49" spans="1:6">
      <c r="A49" s="139" t="s">
        <v>176</v>
      </c>
      <c r="B49" s="118">
        <v>14.49</v>
      </c>
      <c r="C49" s="118">
        <f>'DF Calc'!K62</f>
        <v>1.7019902724962694E-2</v>
      </c>
      <c r="D49" s="140">
        <f>(B49+C49)</f>
        <v>14.507019902724963</v>
      </c>
      <c r="E49" s="121"/>
      <c r="F49" s="125"/>
    </row>
    <row r="50" spans="1:6">
      <c r="A50" s="139" t="s">
        <v>177</v>
      </c>
      <c r="B50" s="118">
        <v>19.649999999999999</v>
      </c>
      <c r="C50" s="118">
        <f>'DF Calc'!K63</f>
        <v>1.7019902724962694E-2</v>
      </c>
      <c r="D50" s="140">
        <f>(B50+C50)</f>
        <v>19.667019902724963</v>
      </c>
      <c r="E50" s="121"/>
      <c r="F50" s="125"/>
    </row>
    <row r="51" spans="1:6">
      <c r="A51" s="139"/>
      <c r="B51" s="118"/>
      <c r="C51" s="118"/>
      <c r="D51" s="140"/>
      <c r="E51" s="121"/>
      <c r="F51" s="125"/>
    </row>
    <row r="52" spans="1:6">
      <c r="A52" s="141" t="s">
        <v>178</v>
      </c>
      <c r="B52" s="118"/>
      <c r="C52" s="118"/>
      <c r="D52" s="140"/>
      <c r="E52" s="121"/>
      <c r="F52" s="125"/>
    </row>
    <row r="53" spans="1:6">
      <c r="A53" s="139" t="s">
        <v>179</v>
      </c>
      <c r="B53" s="118">
        <v>4.78</v>
      </c>
      <c r="C53" s="118">
        <f>'DF Calc'!K65</f>
        <v>1.7019902724962694E-2</v>
      </c>
      <c r="D53" s="140">
        <f>(B53+C53)</f>
        <v>4.7970199027249629</v>
      </c>
      <c r="E53" s="121"/>
      <c r="F53" s="125"/>
    </row>
    <row r="54" spans="1:6">
      <c r="A54" s="139" t="s">
        <v>180</v>
      </c>
      <c r="B54" s="118">
        <v>20.43</v>
      </c>
      <c r="C54" s="118">
        <f>'DF Calc'!K66</f>
        <v>7.3696178799088449E-2</v>
      </c>
      <c r="D54" s="140">
        <f>(B54+C54)</f>
        <v>20.503696178799089</v>
      </c>
      <c r="E54" s="113"/>
      <c r="F54" s="125"/>
    </row>
    <row r="55" spans="1:6">
      <c r="A55" s="139"/>
      <c r="B55" s="118"/>
      <c r="C55" s="118"/>
      <c r="D55" s="142"/>
      <c r="E55" s="113"/>
      <c r="F55" s="125"/>
    </row>
    <row r="56" spans="1:6">
      <c r="A56" s="141" t="s">
        <v>181</v>
      </c>
      <c r="B56" s="118"/>
      <c r="C56" s="118"/>
      <c r="D56" s="142"/>
      <c r="E56" s="121"/>
      <c r="F56" s="125"/>
    </row>
    <row r="57" spans="1:6">
      <c r="A57" s="139" t="s">
        <v>182</v>
      </c>
      <c r="B57" s="118">
        <v>27.37</v>
      </c>
      <c r="C57" s="118">
        <f>'DF Calc'!$K$68</f>
        <v>4.5265698736602904E-2</v>
      </c>
      <c r="D57" s="140">
        <f>(B57+C57)</f>
        <v>27.415265698736604</v>
      </c>
      <c r="E57" s="113"/>
      <c r="F57" s="125"/>
    </row>
    <row r="58" spans="1:6">
      <c r="A58" s="139" t="s">
        <v>183</v>
      </c>
      <c r="B58" s="118">
        <v>27.37</v>
      </c>
      <c r="C58" s="118">
        <f>'DF Calc'!$K$68</f>
        <v>4.5265698736602904E-2</v>
      </c>
      <c r="D58" s="140">
        <f>(B58+C58)</f>
        <v>27.415265698736604</v>
      </c>
      <c r="E58" s="113"/>
      <c r="F58" s="125"/>
    </row>
    <row r="59" spans="1:6">
      <c r="A59" s="139"/>
      <c r="B59" s="118"/>
      <c r="C59" s="118"/>
      <c r="D59" s="142"/>
      <c r="E59" s="113"/>
      <c r="F59" s="125"/>
    </row>
    <row r="60" spans="1:6">
      <c r="A60" s="139" t="s">
        <v>184</v>
      </c>
      <c r="B60" s="118">
        <v>27.37</v>
      </c>
      <c r="C60" s="118">
        <f>'DF Calc'!$K$68</f>
        <v>4.5265698736602904E-2</v>
      </c>
      <c r="D60" s="140">
        <f>(B60+C60)</f>
        <v>27.415265698736604</v>
      </c>
      <c r="E60" s="113"/>
      <c r="F60" s="125"/>
    </row>
    <row r="61" spans="1:6">
      <c r="A61" s="139"/>
      <c r="B61" s="118"/>
      <c r="C61" s="118"/>
      <c r="D61" s="142"/>
      <c r="E61" s="113"/>
      <c r="F61" s="125"/>
    </row>
    <row r="62" spans="1:6">
      <c r="A62" s="139" t="s">
        <v>185</v>
      </c>
      <c r="B62" s="118">
        <v>31.11</v>
      </c>
      <c r="C62" s="118">
        <f>'DF Calc'!$K$68</f>
        <v>4.5265698736602904E-2</v>
      </c>
      <c r="D62" s="140">
        <f>(B62+C62)</f>
        <v>31.155265698736603</v>
      </c>
      <c r="E62" s="113"/>
      <c r="F62" s="125"/>
    </row>
    <row r="63" spans="1:6">
      <c r="A63" s="139"/>
      <c r="B63" s="118"/>
      <c r="C63" s="118"/>
      <c r="D63" s="142"/>
      <c r="E63" s="113"/>
      <c r="F63" s="125"/>
    </row>
    <row r="64" spans="1:6">
      <c r="A64" s="141" t="s">
        <v>186</v>
      </c>
      <c r="B64" s="118"/>
      <c r="C64" s="118"/>
      <c r="D64" s="142"/>
      <c r="E64" s="121"/>
      <c r="F64" s="125"/>
    </row>
    <row r="65" spans="1:6">
      <c r="A65" s="139" t="s">
        <v>187</v>
      </c>
      <c r="B65" s="118">
        <v>15.57</v>
      </c>
      <c r="C65" s="118">
        <f>$C$57</f>
        <v>4.5265698736602904E-2</v>
      </c>
      <c r="D65" s="140">
        <f>(B65+C65)</f>
        <v>15.615265698736604</v>
      </c>
      <c r="E65" s="113"/>
      <c r="F65" s="125"/>
    </row>
    <row r="66" spans="1:6">
      <c r="A66" s="139" t="s">
        <v>188</v>
      </c>
      <c r="B66" s="118">
        <v>15.57</v>
      </c>
      <c r="C66" s="118">
        <f>$C$57</f>
        <v>4.5265698736602904E-2</v>
      </c>
      <c r="D66" s="140">
        <f>(B66+C66)</f>
        <v>15.615265698736604</v>
      </c>
      <c r="E66" s="113"/>
      <c r="F66" s="125"/>
    </row>
    <row r="67" spans="1:6">
      <c r="A67" s="139"/>
      <c r="B67" s="118"/>
      <c r="C67" s="118"/>
      <c r="D67" s="142"/>
      <c r="E67" s="113"/>
      <c r="F67" s="125"/>
    </row>
    <row r="68" spans="1:6">
      <c r="A68" s="141" t="s">
        <v>189</v>
      </c>
      <c r="B68" s="118"/>
      <c r="C68" s="118"/>
      <c r="D68" s="142"/>
      <c r="E68" s="113"/>
      <c r="F68" s="125"/>
    </row>
    <row r="69" spans="1:6">
      <c r="A69" s="139" t="s">
        <v>190</v>
      </c>
      <c r="B69" s="118">
        <v>91.25</v>
      </c>
      <c r="C69" s="118">
        <f>References!B55</f>
        <v>0.90999999999999659</v>
      </c>
      <c r="D69" s="140">
        <f>(B69+C69)</f>
        <v>92.16</v>
      </c>
      <c r="E69" s="113"/>
      <c r="F69" s="125"/>
    </row>
    <row r="70" spans="1:6">
      <c r="A70" s="139" t="s">
        <v>191</v>
      </c>
      <c r="B70" s="118"/>
      <c r="C70" s="118"/>
      <c r="D70" s="140"/>
      <c r="E70" s="113"/>
      <c r="F70" s="125"/>
    </row>
    <row r="71" spans="1:6">
      <c r="A71" s="139"/>
      <c r="B71" s="118"/>
      <c r="C71" s="118"/>
      <c r="D71" s="142"/>
      <c r="E71" s="113"/>
      <c r="F71" s="125"/>
    </row>
    <row r="72" spans="1:6">
      <c r="A72" s="141" t="s">
        <v>192</v>
      </c>
      <c r="B72" s="118"/>
      <c r="C72" s="118"/>
      <c r="D72" s="142"/>
      <c r="E72" s="121"/>
      <c r="F72" s="125"/>
    </row>
    <row r="73" spans="1:6">
      <c r="A73" s="139" t="s">
        <v>193</v>
      </c>
      <c r="B73" s="126">
        <v>16.72</v>
      </c>
      <c r="C73" s="118">
        <f>'DF Calc'!K48</f>
        <v>6.3371978231244061E-2</v>
      </c>
      <c r="D73" s="140">
        <f>(B73+C73)</f>
        <v>16.783371978231244</v>
      </c>
      <c r="E73" s="113"/>
      <c r="F73" s="125"/>
    </row>
    <row r="74" spans="1:6">
      <c r="A74" s="139" t="s">
        <v>194</v>
      </c>
      <c r="B74" s="126">
        <v>18.350000000000001</v>
      </c>
      <c r="C74" s="118">
        <f>'DF Calc'!K49</f>
        <v>9.0531397473205807E-2</v>
      </c>
      <c r="D74" s="140">
        <f>(B74+C74)</f>
        <v>18.440531397473208</v>
      </c>
      <c r="E74" s="113"/>
      <c r="F74" s="125"/>
    </row>
    <row r="75" spans="1:6">
      <c r="A75" s="139" t="s">
        <v>195</v>
      </c>
      <c r="B75" s="126">
        <v>24.27</v>
      </c>
      <c r="C75" s="118">
        <f>'DF Calc'!K50</f>
        <v>0.11732869112527472</v>
      </c>
      <c r="D75" s="140">
        <f>(B75+C75)</f>
        <v>24.387328691125273</v>
      </c>
      <c r="E75" s="113"/>
      <c r="F75" s="125"/>
    </row>
    <row r="76" spans="1:6">
      <c r="A76" s="139" t="s">
        <v>196</v>
      </c>
      <c r="B76" s="126">
        <v>15.57</v>
      </c>
      <c r="C76" s="118">
        <f>C65</f>
        <v>4.5265698736602904E-2</v>
      </c>
      <c r="D76" s="140">
        <f>(B76+C76)</f>
        <v>15.615265698736604</v>
      </c>
      <c r="E76" s="113"/>
      <c r="F76" s="125"/>
    </row>
    <row r="77" spans="1:6">
      <c r="A77" s="139"/>
      <c r="B77" s="118"/>
      <c r="C77" s="118"/>
      <c r="D77" s="142"/>
      <c r="E77" s="113"/>
      <c r="F77" s="125"/>
    </row>
    <row r="78" spans="1:6">
      <c r="A78" s="141" t="s">
        <v>197</v>
      </c>
      <c r="B78" s="118"/>
      <c r="C78" s="118"/>
      <c r="D78" s="142"/>
      <c r="E78" s="121"/>
      <c r="F78" s="125"/>
    </row>
    <row r="79" spans="1:6">
      <c r="A79" s="139" t="s">
        <v>144</v>
      </c>
      <c r="B79" s="126">
        <v>4.2699999999999996</v>
      </c>
      <c r="C79" s="118">
        <f>'DF Calc'!K71</f>
        <v>1.0501642106891874E-2</v>
      </c>
      <c r="D79" s="140">
        <f>(B79+C79)</f>
        <v>4.2805016421068913</v>
      </c>
      <c r="E79" s="113"/>
      <c r="F79" s="125"/>
    </row>
    <row r="80" spans="1:6">
      <c r="A80" s="139" t="s">
        <v>198</v>
      </c>
      <c r="B80" s="126">
        <v>4.6100000000000003</v>
      </c>
      <c r="C80" s="118">
        <f>'DF Calc'!K72</f>
        <v>1.3398646826034458E-2</v>
      </c>
      <c r="D80" s="140">
        <f>(B80+C80)</f>
        <v>4.6233986468260344</v>
      </c>
      <c r="E80" s="113"/>
      <c r="F80" s="125"/>
    </row>
    <row r="81" spans="1:6">
      <c r="A81" s="139" t="s">
        <v>199</v>
      </c>
      <c r="B81" s="126">
        <v>5.43</v>
      </c>
      <c r="C81" s="118">
        <f>'DF Calc'!K73</f>
        <v>1.7382028314855514E-2</v>
      </c>
      <c r="D81" s="140">
        <f>(B81+C81)</f>
        <v>5.4473820283148555</v>
      </c>
      <c r="E81" s="113"/>
      <c r="F81" s="125"/>
    </row>
    <row r="82" spans="1:6">
      <c r="A82" s="139" t="s">
        <v>200</v>
      </c>
      <c r="B82" s="126">
        <v>6.43</v>
      </c>
      <c r="C82" s="118">
        <f>'DF Calc'!K74</f>
        <v>1.7019902724962694E-2</v>
      </c>
      <c r="D82" s="140">
        <f>(B82+C82)</f>
        <v>6.4470199027249624</v>
      </c>
      <c r="E82" s="113"/>
      <c r="F82" s="125"/>
    </row>
    <row r="83" spans="1:6">
      <c r="A83" s="139" t="s">
        <v>201</v>
      </c>
      <c r="B83" s="126">
        <v>8.0299999999999994</v>
      </c>
      <c r="C83" s="118">
        <f>'DF Calc'!K75</f>
        <v>2.4624540112711975E-2</v>
      </c>
      <c r="D83" s="140">
        <f>(B83+C83)</f>
        <v>8.0546245401127106</v>
      </c>
      <c r="E83" s="113"/>
      <c r="F83" s="125"/>
    </row>
    <row r="84" spans="1:6">
      <c r="A84" s="139"/>
      <c r="B84" s="118"/>
      <c r="C84" s="118"/>
      <c r="D84" s="142"/>
      <c r="E84" s="113"/>
      <c r="F84" s="125"/>
    </row>
    <row r="85" spans="1:6">
      <c r="A85" s="141" t="s">
        <v>177</v>
      </c>
      <c r="B85" s="118"/>
      <c r="C85" s="118"/>
      <c r="D85" s="142"/>
      <c r="E85" s="113"/>
      <c r="F85" s="125"/>
    </row>
    <row r="86" spans="1:6">
      <c r="A86" s="139" t="s">
        <v>144</v>
      </c>
      <c r="B86" s="118">
        <v>13.2</v>
      </c>
      <c r="C86" s="118">
        <f>C79</f>
        <v>1.0501642106891874E-2</v>
      </c>
      <c r="D86" s="140">
        <f>(B86+C86)</f>
        <v>13.210501642106891</v>
      </c>
      <c r="E86" s="127"/>
      <c r="F86" s="125"/>
    </row>
    <row r="87" spans="1:6">
      <c r="A87" s="139" t="s">
        <v>198</v>
      </c>
      <c r="B87" s="118">
        <v>14.72</v>
      </c>
      <c r="C87" s="118">
        <f t="shared" ref="C87:C90" si="2">C80</f>
        <v>1.3398646826034458E-2</v>
      </c>
      <c r="D87" s="140">
        <f>(B87+C87)</f>
        <v>14.733398646826036</v>
      </c>
      <c r="E87" s="127"/>
      <c r="F87" s="125"/>
    </row>
    <row r="88" spans="1:6">
      <c r="A88" s="139" t="s">
        <v>199</v>
      </c>
      <c r="B88" s="118">
        <v>15.54</v>
      </c>
      <c r="C88" s="118">
        <f t="shared" si="2"/>
        <v>1.7382028314855514E-2</v>
      </c>
      <c r="D88" s="140">
        <f>(B88+C88)</f>
        <v>15.557382028314855</v>
      </c>
      <c r="E88" s="127"/>
      <c r="F88" s="125"/>
    </row>
    <row r="89" spans="1:6">
      <c r="A89" s="139" t="s">
        <v>200</v>
      </c>
      <c r="B89" s="118">
        <v>16.54</v>
      </c>
      <c r="C89" s="118">
        <f t="shared" si="2"/>
        <v>1.7019902724962694E-2</v>
      </c>
      <c r="D89" s="140">
        <f>(B89+C89)</f>
        <v>16.557019902724964</v>
      </c>
      <c r="E89" s="127"/>
      <c r="F89" s="125"/>
    </row>
    <row r="90" spans="1:6">
      <c r="A90" s="139" t="s">
        <v>201</v>
      </c>
      <c r="B90" s="118">
        <v>18.14</v>
      </c>
      <c r="C90" s="118">
        <f t="shared" si="2"/>
        <v>2.4624540112711975E-2</v>
      </c>
      <c r="D90" s="140">
        <f>(B90+C90)</f>
        <v>18.164624540112712</v>
      </c>
      <c r="E90" s="127"/>
      <c r="F90" s="125"/>
    </row>
    <row r="91" spans="1:6">
      <c r="A91" s="139"/>
      <c r="B91" s="128"/>
      <c r="C91" s="118"/>
      <c r="D91" s="142"/>
      <c r="E91" s="113"/>
      <c r="F91" s="125"/>
    </row>
    <row r="92" spans="1:6">
      <c r="A92" s="139" t="s">
        <v>202</v>
      </c>
      <c r="B92" s="118">
        <v>4.63</v>
      </c>
      <c r="C92" s="118">
        <f>'DF Calc'!K76</f>
        <v>1.0501642106891874E-2</v>
      </c>
      <c r="D92" s="140">
        <f>(B92+C92)</f>
        <v>4.6405016421068916</v>
      </c>
      <c r="E92" s="127"/>
      <c r="F92" s="125"/>
    </row>
    <row r="93" spans="1:6">
      <c r="A93" s="139" t="s">
        <v>203</v>
      </c>
      <c r="B93" s="118">
        <v>18.489999999999998</v>
      </c>
      <c r="C93" s="118">
        <f>'DF Calc'!K77</f>
        <v>4.5472110322841805E-2</v>
      </c>
      <c r="D93" s="140">
        <f>(B93+C93)</f>
        <v>18.535472110322839</v>
      </c>
      <c r="E93" s="127"/>
      <c r="F93" s="125"/>
    </row>
    <row r="94" spans="1:6">
      <c r="A94" s="139" t="s">
        <v>196</v>
      </c>
      <c r="B94" s="118">
        <v>3.94</v>
      </c>
      <c r="C94" s="118">
        <f>'DF Calc'!K78</f>
        <v>1.0501642106891874E-2</v>
      </c>
      <c r="D94" s="140">
        <f>(B94+C94)</f>
        <v>3.9505016421068917</v>
      </c>
      <c r="E94" s="127"/>
      <c r="F94" s="125"/>
    </row>
    <row r="95" spans="1:6">
      <c r="A95" s="139" t="s">
        <v>196</v>
      </c>
      <c r="B95" s="118">
        <v>4.2699999999999996</v>
      </c>
      <c r="C95" s="118">
        <f>'DF Calc'!K79</f>
        <v>1.0501642106891874E-2</v>
      </c>
      <c r="D95" s="140">
        <f>(B95+C95)</f>
        <v>4.2805016421068913</v>
      </c>
      <c r="E95" s="127"/>
      <c r="F95" s="125"/>
    </row>
    <row r="96" spans="1:6">
      <c r="A96" s="139" t="s">
        <v>204</v>
      </c>
      <c r="B96" s="128"/>
      <c r="C96" s="118"/>
      <c r="D96" s="142"/>
      <c r="E96" s="113"/>
      <c r="F96" s="125"/>
    </row>
    <row r="97" spans="1:6">
      <c r="A97" s="139" t="s">
        <v>198</v>
      </c>
      <c r="B97" s="118">
        <v>19.77</v>
      </c>
      <c r="C97" s="118">
        <f>'DF Calc'!K80</f>
        <v>5.8016140756729215E-2</v>
      </c>
      <c r="D97" s="140">
        <f>(B97+C97)</f>
        <v>19.828016140756727</v>
      </c>
      <c r="E97" s="127"/>
      <c r="F97" s="125"/>
    </row>
    <row r="98" spans="1:6">
      <c r="A98" s="139" t="s">
        <v>199</v>
      </c>
      <c r="B98" s="118">
        <v>23.25</v>
      </c>
      <c r="C98" s="118">
        <f>'DF Calc'!K81</f>
        <v>7.5264182603324375E-2</v>
      </c>
      <c r="D98" s="140">
        <f>(B98+C98)</f>
        <v>23.325264182603323</v>
      </c>
      <c r="E98" s="127"/>
      <c r="F98" s="125"/>
    </row>
    <row r="99" spans="1:6">
      <c r="A99" s="139" t="s">
        <v>200</v>
      </c>
      <c r="B99" s="118">
        <v>27.57</v>
      </c>
      <c r="C99" s="118">
        <f>'DF Calc'!K82</f>
        <v>7.3696178799088449E-2</v>
      </c>
      <c r="D99" s="140">
        <f>(B99+C99)</f>
        <v>27.64369617879909</v>
      </c>
      <c r="E99" s="127"/>
      <c r="F99" s="125"/>
    </row>
    <row r="100" spans="1:6" ht="12.5" thickBot="1">
      <c r="A100" s="143" t="s">
        <v>201</v>
      </c>
      <c r="B100" s="129">
        <v>34.340000000000003</v>
      </c>
      <c r="C100" s="129">
        <f>'DF Calc'!K83</f>
        <v>0.10662425868804287</v>
      </c>
      <c r="D100" s="144">
        <f>(B100+C100)</f>
        <v>34.446624258688047</v>
      </c>
      <c r="E100" s="127"/>
      <c r="F100" s="125"/>
    </row>
    <row r="101" spans="1:6">
      <c r="A101" s="145"/>
      <c r="B101" s="130"/>
      <c r="C101" s="130"/>
      <c r="D101" s="146"/>
      <c r="E101" s="131"/>
      <c r="F101" s="125"/>
    </row>
    <row r="102" spans="1:6">
      <c r="A102" s="128"/>
      <c r="B102" s="118"/>
      <c r="C102" s="118"/>
      <c r="D102" s="123"/>
      <c r="E102" s="131"/>
      <c r="F102" s="125"/>
    </row>
    <row r="103" spans="1:6">
      <c r="A103" s="128"/>
      <c r="B103" s="118"/>
      <c r="C103" s="118"/>
      <c r="D103" s="123"/>
      <c r="E103" s="131"/>
      <c r="F103" s="125"/>
    </row>
    <row r="104" spans="1:6">
      <c r="A104" s="132"/>
      <c r="B104" s="123"/>
      <c r="C104" s="123"/>
      <c r="D104" s="133"/>
      <c r="E104" s="131"/>
      <c r="F104" s="125"/>
    </row>
    <row r="105" spans="1:6">
      <c r="A105" s="132"/>
      <c r="B105" s="123"/>
      <c r="C105" s="123"/>
      <c r="D105" s="133"/>
      <c r="E105" s="131"/>
      <c r="F105" s="125"/>
    </row>
    <row r="106" spans="1:6">
      <c r="A106" s="134"/>
      <c r="B106" s="118"/>
      <c r="C106" s="118"/>
      <c r="D106" s="135"/>
      <c r="E106" s="136"/>
      <c r="F106" s="125"/>
    </row>
    <row r="107" spans="1:6">
      <c r="A107" s="132"/>
      <c r="B107" s="118"/>
      <c r="C107" s="118"/>
      <c r="D107" s="135"/>
      <c r="E107" s="136"/>
      <c r="F107" s="125"/>
    </row>
    <row r="108" spans="1:6">
      <c r="A108" s="132"/>
      <c r="B108" s="118"/>
      <c r="C108" s="118"/>
      <c r="D108" s="135"/>
      <c r="E108" s="136"/>
      <c r="F108" s="125"/>
    </row>
    <row r="109" spans="1:6">
      <c r="A109" s="132"/>
      <c r="B109" s="118"/>
      <c r="C109" s="118"/>
      <c r="D109" s="135"/>
      <c r="E109" s="136"/>
      <c r="F109" s="125"/>
    </row>
    <row r="110" spans="1:6">
      <c r="A110" s="132"/>
      <c r="B110" s="118"/>
      <c r="C110" s="118"/>
      <c r="D110" s="135"/>
      <c r="E110" s="136"/>
      <c r="F110" s="125"/>
    </row>
    <row r="111" spans="1:6">
      <c r="A111" s="132"/>
      <c r="B111" s="118"/>
      <c r="C111" s="118"/>
      <c r="D111" s="135"/>
      <c r="E111" s="136"/>
      <c r="F111" s="125"/>
    </row>
    <row r="112" spans="1:6">
      <c r="A112" s="132"/>
      <c r="B112" s="118"/>
      <c r="C112" s="118"/>
      <c r="D112" s="135"/>
      <c r="E112" s="136"/>
      <c r="F112" s="125"/>
    </row>
    <row r="113" spans="1:6">
      <c r="A113" s="132"/>
      <c r="B113" s="118"/>
      <c r="C113" s="118"/>
      <c r="D113" s="135"/>
      <c r="E113" s="136"/>
      <c r="F113" s="125"/>
    </row>
    <row r="114" spans="1:6">
      <c r="A114" s="134"/>
      <c r="B114" s="118"/>
      <c r="C114" s="118"/>
      <c r="D114" s="135"/>
      <c r="E114" s="136"/>
      <c r="F114" s="125"/>
    </row>
    <row r="115" spans="1:6">
      <c r="A115" s="132"/>
      <c r="B115" s="118"/>
      <c r="C115" s="118"/>
      <c r="D115" s="135"/>
      <c r="E115" s="136"/>
      <c r="F115" s="125"/>
    </row>
    <row r="116" spans="1:6">
      <c r="A116" s="132"/>
      <c r="B116" s="118"/>
      <c r="C116" s="118"/>
      <c r="D116" s="135"/>
      <c r="E116" s="136"/>
      <c r="F116" s="125"/>
    </row>
    <row r="117" spans="1:6">
      <c r="A117" s="132"/>
      <c r="B117" s="118"/>
      <c r="C117" s="118"/>
      <c r="D117" s="135"/>
      <c r="E117" s="136"/>
      <c r="F117" s="125"/>
    </row>
    <row r="118" spans="1:6">
      <c r="A118" s="132"/>
      <c r="B118" s="118"/>
      <c r="C118" s="118"/>
      <c r="D118" s="135"/>
      <c r="E118" s="136"/>
      <c r="F118" s="125"/>
    </row>
    <row r="119" spans="1:6">
      <c r="A119" s="132"/>
      <c r="B119" s="118"/>
      <c r="C119" s="118"/>
      <c r="D119" s="135"/>
      <c r="E119" s="132"/>
      <c r="F119" s="125"/>
    </row>
    <row r="120" spans="1:6">
      <c r="A120" s="134"/>
      <c r="B120" s="118"/>
      <c r="C120" s="118"/>
      <c r="D120" s="135"/>
      <c r="E120" s="134"/>
    </row>
  </sheetData>
  <pageMargins left="0.7" right="0.7" top="0.75" bottom="0.75" header="0.3" footer="0.3"/>
  <pageSetup scale="10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B15" sqref="B15"/>
    </sheetView>
  </sheetViews>
  <sheetFormatPr defaultRowHeight="14.5"/>
  <cols>
    <col min="1" max="1" width="17.7265625" customWidth="1"/>
    <col min="2" max="2" width="18.1796875" customWidth="1"/>
    <col min="3" max="3" width="14.26953125" customWidth="1"/>
    <col min="4" max="4" width="17.453125" customWidth="1"/>
  </cols>
  <sheetData>
    <row r="1" spans="1:14">
      <c r="A1" s="35" t="s">
        <v>225</v>
      </c>
    </row>
    <row r="2" spans="1:14">
      <c r="A2" s="35" t="s">
        <v>236</v>
      </c>
    </row>
    <row r="3" spans="1:14">
      <c r="A3" s="35"/>
    </row>
    <row r="4" spans="1:14">
      <c r="A4" s="106" t="s">
        <v>231</v>
      </c>
    </row>
    <row r="5" spans="1:14">
      <c r="A5" s="35"/>
    </row>
    <row r="6" spans="1:14">
      <c r="A6" t="s">
        <v>226</v>
      </c>
      <c r="B6" s="101">
        <f>'DF Calc'!X43</f>
        <v>1466452.6799999997</v>
      </c>
      <c r="C6" s="101">
        <f>'DF Calc'!Z43</f>
        <v>4678.362781427335</v>
      </c>
      <c r="D6" s="101">
        <f>B6+C6</f>
        <v>1471131.042781427</v>
      </c>
      <c r="E6" s="103">
        <f>C6/B6</f>
        <v>3.1902582641993847E-3</v>
      </c>
      <c r="F6" s="100"/>
      <c r="G6" s="100"/>
      <c r="H6" s="100"/>
      <c r="I6" s="100"/>
      <c r="J6" s="100"/>
      <c r="K6" s="100"/>
      <c r="L6" s="100"/>
      <c r="M6" s="100"/>
      <c r="N6" s="100"/>
    </row>
    <row r="7" spans="1:14">
      <c r="B7" s="101"/>
      <c r="C7" s="101"/>
      <c r="D7" s="101"/>
      <c r="E7" s="100"/>
      <c r="F7" s="100"/>
      <c r="G7" s="100"/>
      <c r="H7" s="100"/>
      <c r="I7" s="100"/>
      <c r="J7" s="100"/>
      <c r="K7" s="100"/>
      <c r="L7" s="100"/>
      <c r="M7" s="100"/>
      <c r="N7" s="100"/>
    </row>
    <row r="8" spans="1:14">
      <c r="A8" t="s">
        <v>227</v>
      </c>
      <c r="B8" s="101">
        <f>'DF Calc'!X56</f>
        <v>529978.96</v>
      </c>
      <c r="C8" s="101">
        <f>'DF Calc'!Z56</f>
        <v>2553.5727764512412</v>
      </c>
      <c r="D8" s="101">
        <f>B8+C8</f>
        <v>532532.5327764512</v>
      </c>
      <c r="E8" s="103">
        <f>C8/B8</f>
        <v>4.8182531179185705E-3</v>
      </c>
      <c r="F8" s="100"/>
      <c r="G8" s="100"/>
      <c r="H8" s="100"/>
      <c r="I8" s="100"/>
      <c r="J8" s="100"/>
      <c r="K8" s="100"/>
      <c r="L8" s="100"/>
      <c r="M8" s="100"/>
      <c r="N8" s="100"/>
    </row>
    <row r="9" spans="1:14">
      <c r="B9" s="101"/>
      <c r="C9" s="101"/>
      <c r="D9" s="101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4">
      <c r="A10" s="35" t="s">
        <v>38</v>
      </c>
      <c r="B10" s="102">
        <f>SUM(B6:B8)</f>
        <v>1996431.6399999997</v>
      </c>
      <c r="C10" s="102">
        <f t="shared" ref="C10:D10" si="0">SUM(C6:C8)</f>
        <v>7231.9355578785762</v>
      </c>
      <c r="D10" s="102">
        <f t="shared" si="0"/>
        <v>2003663.5755578782</v>
      </c>
      <c r="E10" s="103">
        <f>C10/B10</f>
        <v>3.6224308476089759E-3</v>
      </c>
      <c r="F10" s="100"/>
      <c r="G10" s="100"/>
      <c r="H10" s="100"/>
      <c r="I10" s="100"/>
      <c r="J10" s="100"/>
      <c r="K10" s="100"/>
      <c r="L10" s="100"/>
      <c r="M10" s="100"/>
      <c r="N10" s="100"/>
    </row>
    <row r="11" spans="1:14">
      <c r="B11" s="101"/>
      <c r="C11" s="101"/>
      <c r="D11" s="101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>
      <c r="B12" s="101"/>
      <c r="C12" s="101"/>
      <c r="D12" s="101"/>
      <c r="E12" s="100"/>
      <c r="F12" s="100"/>
      <c r="G12" s="100"/>
      <c r="H12" s="100"/>
      <c r="I12" s="100"/>
      <c r="J12" s="100"/>
      <c r="K12" s="100"/>
      <c r="L12" s="100"/>
      <c r="M12" s="100"/>
      <c r="N12" s="100"/>
    </row>
    <row r="13" spans="1:14">
      <c r="A13" s="106" t="s">
        <v>230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>
      <c r="A14" s="35"/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>
      <c r="A15" t="s">
        <v>226</v>
      </c>
      <c r="B15" s="109">
        <v>3116499</v>
      </c>
      <c r="C15" s="101">
        <f>C6</f>
        <v>4678.362781427335</v>
      </c>
      <c r="D15" s="101">
        <f>B15+C15</f>
        <v>3121177.3627814273</v>
      </c>
      <c r="E15" s="103">
        <f>C15/B15</f>
        <v>1.5011597248795316E-3</v>
      </c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>
      <c r="B16" s="109"/>
      <c r="C16" s="101"/>
      <c r="D16" s="101"/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1:14">
      <c r="A17" t="s">
        <v>227</v>
      </c>
      <c r="B17" s="109">
        <v>919124</v>
      </c>
      <c r="C17" s="101">
        <f>C8</f>
        <v>2553.5727764512412</v>
      </c>
      <c r="D17" s="101">
        <f>B17+C17</f>
        <v>921677.57277645124</v>
      </c>
      <c r="E17" s="103">
        <f>C17/B17</f>
        <v>2.7782679773906906E-3</v>
      </c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>
      <c r="B18" s="109"/>
      <c r="C18" s="101"/>
      <c r="D18" s="101"/>
      <c r="E18" s="100"/>
      <c r="F18" s="100"/>
      <c r="G18" s="100"/>
      <c r="H18" s="100"/>
      <c r="I18" s="100"/>
      <c r="J18" s="100"/>
      <c r="K18" s="100"/>
      <c r="L18" s="100"/>
      <c r="M18" s="100"/>
      <c r="N18" s="100"/>
    </row>
    <row r="19" spans="1:14">
      <c r="A19" s="35" t="s">
        <v>38</v>
      </c>
      <c r="B19" s="102">
        <f>SUM(B15:B17)</f>
        <v>4035623</v>
      </c>
      <c r="C19" s="102">
        <f t="shared" ref="C19:D19" si="1">SUM(C15:C17)</f>
        <v>7231.9355578785762</v>
      </c>
      <c r="D19" s="102">
        <f t="shared" si="1"/>
        <v>4042854.9355578786</v>
      </c>
      <c r="E19" s="103">
        <f>C19/B19</f>
        <v>1.7920245666848901E-3</v>
      </c>
      <c r="F19" s="100"/>
      <c r="G19" s="100"/>
      <c r="H19" s="100"/>
      <c r="I19" s="100"/>
      <c r="J19" s="100"/>
      <c r="K19" s="100"/>
      <c r="L19" s="100"/>
      <c r="M19" s="100"/>
      <c r="N19" s="100"/>
    </row>
    <row r="20" spans="1:14">
      <c r="B20" s="101"/>
      <c r="C20" s="101"/>
      <c r="D20" s="101"/>
      <c r="E20" s="100"/>
      <c r="F20" s="100"/>
      <c r="G20" s="100"/>
      <c r="H20" s="100"/>
      <c r="I20" s="100"/>
      <c r="J20" s="100"/>
      <c r="K20" s="100"/>
      <c r="L20" s="100"/>
      <c r="M20" s="100"/>
      <c r="N20" s="100"/>
    </row>
    <row r="21" spans="1:14">
      <c r="B21" s="101"/>
      <c r="C21" s="101"/>
      <c r="D21" s="101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>
      <c r="B22" s="101"/>
      <c r="C22" s="108"/>
    </row>
    <row r="24" spans="1:14">
      <c r="B24" s="101"/>
      <c r="C24" s="10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2015-11-04T08:00:00+00:00</OpenedDate>
    <Date1 xmlns="dc463f71-b30c-4ab2-9473-d307f9d35888">2015-11-04T08:00:00+00:00</Date1>
    <IsDocumentOrder xmlns="dc463f71-b30c-4ab2-9473-d307f9d35888" xsi:nil="true"/>
    <IsHighlyConfidential xmlns="dc463f71-b30c-4ab2-9473-d307f9d35888">false</IsHighlyConfidential>
    <CaseCompanyNames xmlns="dc463f71-b30c-4ab2-9473-d307f9d35888">Mason County Garbage Co., Inc.</CaseCompanyNames>
    <DocketNumber xmlns="dc463f71-b30c-4ab2-9473-d307f9d35888">152088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F5DBB435643D4EADF58E923EEEBDC9" ma:contentTypeVersion="119" ma:contentTypeDescription="" ma:contentTypeScope="" ma:versionID="825feed591338bb71151d22045aaea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171549-683F-4B17-8F2B-9A6DB005A468}"/>
</file>

<file path=customXml/itemProps2.xml><?xml version="1.0" encoding="utf-8"?>
<ds:datastoreItem xmlns:ds="http://schemas.openxmlformats.org/officeDocument/2006/customXml" ds:itemID="{6A7B1103-5D34-4041-9C6E-1E4BCFFA6A47}"/>
</file>

<file path=customXml/itemProps3.xml><?xml version="1.0" encoding="utf-8"?>
<ds:datastoreItem xmlns:ds="http://schemas.openxmlformats.org/officeDocument/2006/customXml" ds:itemID="{545539CD-6264-46A9-A6DC-2A88350B79F7}"/>
</file>

<file path=customXml/itemProps4.xml><?xml version="1.0" encoding="utf-8"?>
<ds:datastoreItem xmlns:ds="http://schemas.openxmlformats.org/officeDocument/2006/customXml" ds:itemID="{93F8C541-9A8C-4CFF-9CF7-6A3F0101A6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References</vt:lpstr>
      <vt:lpstr>DF Calc</vt:lpstr>
      <vt:lpstr>Rates</vt:lpstr>
      <vt:lpstr>Rev Inc %</vt:lpstr>
      <vt:lpstr>'DF Calc'!Print_Area</vt:lpstr>
      <vt:lpstr>'DF Calc'!Print_Titles</vt:lpstr>
    </vt:vector>
  </TitlesOfParts>
  <Company>Waste Connections,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Wyse, Lisa (UTC)</cp:lastModifiedBy>
  <cp:lastPrinted>2015-11-02T21:47:25Z</cp:lastPrinted>
  <dcterms:created xsi:type="dcterms:W3CDTF">2014-10-29T22:31:20Z</dcterms:created>
  <dcterms:modified xsi:type="dcterms:W3CDTF">2015-11-04T20:39:43Z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0x0101006E56B4D1795A2E4DB2F0B01679ED314A004AF5DBB435643D4EADF58E923EEEBDC9</vt:lpwstr>
  </property>
  <property fmtid="{D5CDD505-2E9C-101B-9397-08002B2CF9AE}" pid="3" name="_docset_NoMedatataSyncRequired">
    <vt:lpwstr>False</vt:lpwstr>
  </property>
</Properties>
</file>