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2120" windowHeight="6570" tabRatio="967"/>
  </bookViews>
  <sheets>
    <sheet name="Rebate Analysis" sheetId="40" r:id="rId1"/>
    <sheet name="Calculation of Revenue" sheetId="34" r:id="rId2"/>
    <sheet name="Reg. Res'l - SS Mix &amp; Prices" sheetId="35" r:id="rId3"/>
    <sheet name="Reg. MF - SS Mix &amp; Prices" sheetId="36" r:id="rId4"/>
    <sheet name="Customer Counts" sheetId="38" r:id="rId5"/>
    <sheet name="Commodity Prices" sheetId="39" r:id="rId6"/>
    <sheet name="Total Company Tonnage" sheetId="41" r:id="rId7"/>
  </sheets>
  <externalReferences>
    <externalReference r:id="rId8"/>
    <externalReference r:id="rId9"/>
  </externalReferences>
  <definedNames>
    <definedName name="_xlnm.Print_Area" localSheetId="1">'Calculation of Revenue'!$A$1:$L$44</definedName>
    <definedName name="_xlnm.Print_Area" localSheetId="5">'Commodity Prices'!$A$1:$K$19</definedName>
    <definedName name="_xlnm.Print_Area" localSheetId="4">'Customer Counts'!$A$1:$G$24</definedName>
    <definedName name="_xlnm.Print_Area" localSheetId="0">'Rebate Analysis'!$A$1:$F$82</definedName>
    <definedName name="_xlnm.Print_Area" localSheetId="3">'Reg. MF - SS Mix &amp; Prices'!$A$1:$M$72</definedName>
    <definedName name="_xlnm.Print_Area" localSheetId="2">'Reg. Res''l - SS Mix &amp; Prices'!$A$1:$M$72</definedName>
    <definedName name="_xlnm.Print_Area" localSheetId="6">'Total Company Tonnage'!$A$1:$O$61</definedName>
  </definedNames>
  <calcPr calcId="145621"/>
</workbook>
</file>

<file path=xl/calcChain.xml><?xml version="1.0" encoding="utf-8"?>
<calcChain xmlns="http://schemas.openxmlformats.org/spreadsheetml/2006/main">
  <c r="B28" i="36" l="1"/>
  <c r="B29" i="36"/>
  <c r="B30" i="36"/>
  <c r="B31" i="36"/>
  <c r="B32" i="36"/>
  <c r="B33" i="36"/>
  <c r="B34" i="36"/>
  <c r="B35" i="36"/>
  <c r="B36" i="36"/>
  <c r="B37" i="36"/>
  <c r="B38" i="36"/>
  <c r="B27" i="36"/>
  <c r="B28" i="35"/>
  <c r="B29" i="35"/>
  <c r="B30" i="35"/>
  <c r="B31" i="35"/>
  <c r="B32" i="35"/>
  <c r="B33" i="35"/>
  <c r="B34" i="35"/>
  <c r="B35" i="35"/>
  <c r="B36" i="35"/>
  <c r="B37" i="35"/>
  <c r="B38" i="35"/>
  <c r="B27" i="35"/>
  <c r="D60" i="41"/>
  <c r="D59" i="41"/>
  <c r="D58" i="41"/>
  <c r="D57" i="41"/>
  <c r="D56" i="41"/>
  <c r="D55" i="41"/>
  <c r="D54" i="41"/>
  <c r="D53" i="41"/>
  <c r="D52" i="41"/>
  <c r="D51" i="41"/>
  <c r="D50" i="41"/>
  <c r="D49" i="41"/>
  <c r="D61" i="41" s="1"/>
  <c r="D42" i="41"/>
  <c r="D41" i="41"/>
  <c r="D31" i="41"/>
  <c r="D32" i="41"/>
  <c r="D33" i="41"/>
  <c r="D34" i="41"/>
  <c r="D35" i="41"/>
  <c r="D36" i="41"/>
  <c r="D37" i="41"/>
  <c r="D38" i="41"/>
  <c r="D39" i="41"/>
  <c r="D40" i="41"/>
  <c r="D30" i="41"/>
  <c r="F49" i="41"/>
  <c r="G49" i="41"/>
  <c r="H49" i="41"/>
  <c r="I49" i="41"/>
  <c r="I61" i="41" s="1"/>
  <c r="J49" i="41"/>
  <c r="K49" i="41"/>
  <c r="L49" i="41"/>
  <c r="M49" i="41"/>
  <c r="M61" i="41" s="1"/>
  <c r="N49" i="41"/>
  <c r="O49" i="41"/>
  <c r="F50" i="41"/>
  <c r="G50" i="41"/>
  <c r="H50" i="41"/>
  <c r="I50" i="41"/>
  <c r="J50" i="41"/>
  <c r="K50" i="41"/>
  <c r="L50" i="41"/>
  <c r="M50" i="41"/>
  <c r="N50" i="41"/>
  <c r="O50" i="41"/>
  <c r="F51" i="41"/>
  <c r="G51" i="41"/>
  <c r="H51" i="41"/>
  <c r="I51" i="41"/>
  <c r="J51" i="41"/>
  <c r="K51" i="41"/>
  <c r="L51" i="41"/>
  <c r="M51" i="41"/>
  <c r="N51" i="41"/>
  <c r="O51" i="41"/>
  <c r="F52" i="41"/>
  <c r="G52" i="41"/>
  <c r="H52" i="41"/>
  <c r="I52" i="41"/>
  <c r="J52" i="41"/>
  <c r="K52" i="41"/>
  <c r="L52" i="41"/>
  <c r="M52" i="41"/>
  <c r="N52" i="41"/>
  <c r="O52" i="41"/>
  <c r="F53" i="41"/>
  <c r="G53" i="41"/>
  <c r="H53" i="41"/>
  <c r="I53" i="41"/>
  <c r="J53" i="41"/>
  <c r="K53" i="41"/>
  <c r="L53" i="41"/>
  <c r="M53" i="41"/>
  <c r="N53" i="41"/>
  <c r="O53" i="41"/>
  <c r="F54" i="41"/>
  <c r="G54" i="41"/>
  <c r="H54" i="41"/>
  <c r="I54" i="41"/>
  <c r="J54" i="41"/>
  <c r="K54" i="41"/>
  <c r="L54" i="41"/>
  <c r="M54" i="41"/>
  <c r="N54" i="41"/>
  <c r="O54" i="41"/>
  <c r="F55" i="41"/>
  <c r="G55" i="41"/>
  <c r="H55" i="41"/>
  <c r="I55" i="41"/>
  <c r="J55" i="41"/>
  <c r="K55" i="41"/>
  <c r="L55" i="41"/>
  <c r="M55" i="41"/>
  <c r="N55" i="41"/>
  <c r="O55" i="41"/>
  <c r="F56" i="41"/>
  <c r="G56" i="41"/>
  <c r="H56" i="41"/>
  <c r="I56" i="41"/>
  <c r="J56" i="41"/>
  <c r="K56" i="41"/>
  <c r="L56" i="41"/>
  <c r="M56" i="41"/>
  <c r="N56" i="41"/>
  <c r="O56" i="41"/>
  <c r="F57" i="41"/>
  <c r="G57" i="41"/>
  <c r="H57" i="41"/>
  <c r="I57" i="41"/>
  <c r="J57" i="41"/>
  <c r="K57" i="41"/>
  <c r="L57" i="41"/>
  <c r="M57" i="41"/>
  <c r="N57" i="41"/>
  <c r="O57" i="41"/>
  <c r="F58" i="41"/>
  <c r="G58" i="41"/>
  <c r="H58" i="41"/>
  <c r="I58" i="41"/>
  <c r="J58" i="41"/>
  <c r="K58" i="41"/>
  <c r="L58" i="41"/>
  <c r="M58" i="41"/>
  <c r="N58" i="41"/>
  <c r="O58" i="41"/>
  <c r="F59" i="41"/>
  <c r="G59" i="41"/>
  <c r="H59" i="41"/>
  <c r="I59" i="41"/>
  <c r="J59" i="41"/>
  <c r="K59" i="41"/>
  <c r="L59" i="41"/>
  <c r="M59" i="41"/>
  <c r="N59" i="41"/>
  <c r="O59" i="41"/>
  <c r="F60" i="41"/>
  <c r="G60" i="41"/>
  <c r="H60" i="41"/>
  <c r="I60" i="41"/>
  <c r="J60" i="41"/>
  <c r="K60" i="41"/>
  <c r="L60" i="41"/>
  <c r="M60" i="41"/>
  <c r="N60" i="41"/>
  <c r="O60" i="41"/>
  <c r="E50" i="41"/>
  <c r="E51" i="41"/>
  <c r="E52" i="41"/>
  <c r="E61" i="41" s="1"/>
  <c r="E53" i="41"/>
  <c r="E54" i="41"/>
  <c r="E55" i="41"/>
  <c r="E56" i="41"/>
  <c r="E57" i="41"/>
  <c r="E58" i="41"/>
  <c r="E59" i="41"/>
  <c r="E60" i="41"/>
  <c r="E49" i="41"/>
  <c r="O41" i="41"/>
  <c r="N41" i="41"/>
  <c r="M41" i="41"/>
  <c r="L41" i="41"/>
  <c r="K41" i="41"/>
  <c r="J41" i="41"/>
  <c r="I41" i="41"/>
  <c r="H41" i="41"/>
  <c r="G41" i="41"/>
  <c r="F41" i="41"/>
  <c r="E41" i="41"/>
  <c r="O40" i="41"/>
  <c r="N40" i="41"/>
  <c r="M40" i="41"/>
  <c r="L40" i="41"/>
  <c r="K40" i="41"/>
  <c r="J40" i="41"/>
  <c r="I40" i="41"/>
  <c r="H40" i="41"/>
  <c r="G40" i="41"/>
  <c r="F40" i="41"/>
  <c r="E40" i="41"/>
  <c r="O39" i="41"/>
  <c r="N39" i="41"/>
  <c r="M39" i="41"/>
  <c r="L39" i="41"/>
  <c r="K39" i="41"/>
  <c r="J39" i="41"/>
  <c r="I39" i="41"/>
  <c r="H39" i="41"/>
  <c r="G39" i="41"/>
  <c r="F39" i="41"/>
  <c r="E39" i="41"/>
  <c r="O38" i="41"/>
  <c r="N38" i="41"/>
  <c r="M38" i="41"/>
  <c r="L38" i="41"/>
  <c r="K38" i="41"/>
  <c r="J38" i="41"/>
  <c r="I38" i="41"/>
  <c r="H38" i="41"/>
  <c r="G38" i="41"/>
  <c r="F38" i="41"/>
  <c r="E38" i="41"/>
  <c r="O37" i="41"/>
  <c r="N37" i="41"/>
  <c r="M37" i="41"/>
  <c r="L37" i="41"/>
  <c r="K37" i="41"/>
  <c r="J37" i="41"/>
  <c r="I37" i="41"/>
  <c r="H37" i="41"/>
  <c r="G37" i="41"/>
  <c r="F37" i="41"/>
  <c r="E37" i="41"/>
  <c r="O36" i="41"/>
  <c r="N36" i="41"/>
  <c r="M36" i="41"/>
  <c r="L36" i="41"/>
  <c r="K36" i="41"/>
  <c r="J36" i="41"/>
  <c r="I36" i="41"/>
  <c r="H36" i="41"/>
  <c r="G36" i="41"/>
  <c r="F36" i="41"/>
  <c r="E36" i="41"/>
  <c r="O35" i="41"/>
  <c r="N35" i="41"/>
  <c r="M35" i="41"/>
  <c r="L35" i="41"/>
  <c r="K35" i="41"/>
  <c r="J35" i="41"/>
  <c r="I35" i="41"/>
  <c r="H35" i="41"/>
  <c r="G35" i="41"/>
  <c r="F35" i="41"/>
  <c r="E35" i="41"/>
  <c r="O34" i="41"/>
  <c r="N34" i="41"/>
  <c r="M34" i="41"/>
  <c r="L34" i="41"/>
  <c r="K34" i="41"/>
  <c r="J34" i="41"/>
  <c r="I34" i="41"/>
  <c r="H34" i="41"/>
  <c r="G34" i="41"/>
  <c r="F34" i="41"/>
  <c r="E34" i="41"/>
  <c r="O33" i="41"/>
  <c r="N33" i="41"/>
  <c r="M33" i="41"/>
  <c r="L33" i="41"/>
  <c r="K33" i="41"/>
  <c r="J33" i="41"/>
  <c r="I33" i="41"/>
  <c r="H33" i="41"/>
  <c r="G33" i="41"/>
  <c r="F33" i="41"/>
  <c r="E33" i="41"/>
  <c r="O32" i="41"/>
  <c r="N32" i="41"/>
  <c r="M32" i="41"/>
  <c r="L32" i="41"/>
  <c r="K32" i="41"/>
  <c r="J32" i="41"/>
  <c r="I32" i="41"/>
  <c r="H32" i="41"/>
  <c r="G32" i="41"/>
  <c r="F32" i="41"/>
  <c r="E32" i="41"/>
  <c r="O31" i="41"/>
  <c r="N31" i="41"/>
  <c r="M31" i="41"/>
  <c r="L31" i="41"/>
  <c r="K31" i="41"/>
  <c r="J31" i="41"/>
  <c r="I31" i="41"/>
  <c r="H31" i="41"/>
  <c r="G31" i="41"/>
  <c r="F31" i="41"/>
  <c r="E31" i="41"/>
  <c r="O30" i="41"/>
  <c r="N30" i="41"/>
  <c r="M30" i="41"/>
  <c r="L30" i="41"/>
  <c r="K30" i="41"/>
  <c r="J30" i="41"/>
  <c r="I30" i="41"/>
  <c r="H30" i="41"/>
  <c r="G30" i="41"/>
  <c r="F30" i="41"/>
  <c r="E30" i="41"/>
  <c r="D23" i="41"/>
  <c r="D12" i="41"/>
  <c r="D13" i="41"/>
  <c r="D14" i="41"/>
  <c r="D15" i="41"/>
  <c r="D16" i="41"/>
  <c r="D17" i="41"/>
  <c r="D18" i="41"/>
  <c r="D19" i="41"/>
  <c r="D20" i="41"/>
  <c r="D21" i="41"/>
  <c r="D22" i="41"/>
  <c r="D11" i="41"/>
  <c r="F61" i="41" l="1"/>
  <c r="N61" i="41"/>
  <c r="G61" i="41"/>
  <c r="K61" i="41"/>
  <c r="O61" i="41"/>
  <c r="J61" i="41"/>
  <c r="H61" i="41"/>
  <c r="L61" i="41"/>
  <c r="D55" i="40"/>
  <c r="D53" i="40"/>
  <c r="D13" i="40"/>
  <c r="C53" i="40" l="1"/>
  <c r="C33" i="34"/>
  <c r="C34" i="34"/>
  <c r="C35" i="34"/>
  <c r="C36" i="34"/>
  <c r="C37" i="34"/>
  <c r="C38" i="34"/>
  <c r="C39" i="34"/>
  <c r="C40" i="34"/>
  <c r="C41" i="34"/>
  <c r="C42" i="34"/>
  <c r="C43" i="34"/>
  <c r="C32" i="34"/>
  <c r="C12" i="34"/>
  <c r="C13" i="34"/>
  <c r="C14" i="34"/>
  <c r="C15" i="34"/>
  <c r="C16" i="34"/>
  <c r="C17" i="34"/>
  <c r="C18" i="34"/>
  <c r="C19" i="34"/>
  <c r="C20" i="34"/>
  <c r="C21" i="34"/>
  <c r="C22" i="34"/>
  <c r="C11" i="34"/>
  <c r="C11" i="40"/>
  <c r="C44" i="35"/>
  <c r="D44" i="35"/>
  <c r="E44" i="35"/>
  <c r="F44" i="35"/>
  <c r="G44" i="35"/>
  <c r="H44" i="35"/>
  <c r="I44" i="35"/>
  <c r="J44" i="35"/>
  <c r="K44" i="35"/>
  <c r="L44" i="35"/>
  <c r="C23" i="41"/>
  <c r="D20" i="35" l="1"/>
  <c r="D20" i="36" s="1"/>
  <c r="D21" i="35"/>
  <c r="D21" i="36" s="1"/>
  <c r="D22" i="35"/>
  <c r="D22" i="36" s="1"/>
  <c r="E20" i="35"/>
  <c r="E20" i="36" s="1"/>
  <c r="E21" i="35"/>
  <c r="E21" i="36" s="1"/>
  <c r="E22" i="35"/>
  <c r="E22" i="36" s="1"/>
  <c r="F20" i="35"/>
  <c r="F20" i="36" s="1"/>
  <c r="F21" i="35"/>
  <c r="F21" i="36" s="1"/>
  <c r="F22" i="35"/>
  <c r="F22" i="36" s="1"/>
  <c r="H20" i="35"/>
  <c r="H20" i="36" s="1"/>
  <c r="H21" i="35"/>
  <c r="H21" i="36" s="1"/>
  <c r="H22" i="35"/>
  <c r="H22" i="36" s="1"/>
  <c r="I20" i="35"/>
  <c r="I20" i="36" s="1"/>
  <c r="I21" i="35"/>
  <c r="I21" i="36" s="1"/>
  <c r="I22" i="35"/>
  <c r="I22" i="36" s="1"/>
  <c r="J20" i="35"/>
  <c r="J20" i="36" s="1"/>
  <c r="J21" i="35"/>
  <c r="J21" i="36" s="1"/>
  <c r="J22" i="35"/>
  <c r="J22" i="36" s="1"/>
  <c r="K20" i="35"/>
  <c r="K20" i="36" s="1"/>
  <c r="K21" i="35"/>
  <c r="K21" i="36" s="1"/>
  <c r="K22" i="35"/>
  <c r="K22" i="36" s="1"/>
  <c r="L20" i="35"/>
  <c r="L20" i="36" s="1"/>
  <c r="L21" i="35"/>
  <c r="L21" i="36" s="1"/>
  <c r="L22" i="35"/>
  <c r="L22" i="36" s="1"/>
  <c r="G20" i="35"/>
  <c r="G20" i="36" s="1"/>
  <c r="G21" i="35"/>
  <c r="G21" i="36" s="1"/>
  <c r="G22" i="35"/>
  <c r="G22" i="36" s="1"/>
  <c r="C22" i="35"/>
  <c r="C22" i="36" s="1"/>
  <c r="C21" i="35"/>
  <c r="C21" i="36" s="1"/>
  <c r="C20" i="35"/>
  <c r="C20" i="36" s="1"/>
  <c r="D18" i="35" l="1"/>
  <c r="D19" i="35"/>
  <c r="E18" i="35"/>
  <c r="E19" i="35"/>
  <c r="F18" i="35"/>
  <c r="F19" i="35"/>
  <c r="H18" i="35"/>
  <c r="H19" i="35"/>
  <c r="I18" i="35"/>
  <c r="I19" i="35"/>
  <c r="J18" i="35"/>
  <c r="J19" i="35"/>
  <c r="K18" i="35"/>
  <c r="K19" i="35"/>
  <c r="L18" i="35"/>
  <c r="L19" i="35"/>
  <c r="G18" i="35"/>
  <c r="G19" i="35"/>
  <c r="C19" i="35"/>
  <c r="C18" i="35"/>
  <c r="L19" i="36" l="1"/>
  <c r="H19" i="36"/>
  <c r="C19" i="36"/>
  <c r="J18" i="36"/>
  <c r="E18" i="36"/>
  <c r="G19" i="36"/>
  <c r="I19" i="36"/>
  <c r="F19" i="36"/>
  <c r="D19" i="36"/>
  <c r="C18" i="36"/>
  <c r="E19" i="36"/>
  <c r="L18" i="36"/>
  <c r="H18" i="36"/>
  <c r="K19" i="36"/>
  <c r="G18" i="36"/>
  <c r="K18" i="36"/>
  <c r="I18" i="36"/>
  <c r="F18" i="36"/>
  <c r="D18" i="36"/>
  <c r="J19" i="36"/>
  <c r="D17" i="35"/>
  <c r="E17" i="35"/>
  <c r="F17" i="35"/>
  <c r="H17" i="35"/>
  <c r="I17" i="35"/>
  <c r="J17" i="35"/>
  <c r="K17" i="35"/>
  <c r="L17" i="35"/>
  <c r="G17" i="35"/>
  <c r="C17" i="35"/>
  <c r="D16" i="35"/>
  <c r="E16" i="35"/>
  <c r="F16" i="35"/>
  <c r="H16" i="35"/>
  <c r="I16" i="35"/>
  <c r="J16" i="35"/>
  <c r="K16" i="35"/>
  <c r="L16" i="35"/>
  <c r="G16" i="35"/>
  <c r="C16" i="35"/>
  <c r="G17" i="36" l="1"/>
  <c r="J16" i="36"/>
  <c r="E16" i="36"/>
  <c r="L17" i="36"/>
  <c r="H17" i="36"/>
  <c r="K16" i="36"/>
  <c r="D17" i="36"/>
  <c r="G16" i="36"/>
  <c r="I16" i="36"/>
  <c r="D16" i="36"/>
  <c r="K17" i="36"/>
  <c r="F17" i="36"/>
  <c r="F16" i="36"/>
  <c r="I17" i="36"/>
  <c r="C16" i="36"/>
  <c r="L16" i="36"/>
  <c r="H16" i="36"/>
  <c r="C17" i="36"/>
  <c r="J17" i="36"/>
  <c r="E17" i="36"/>
  <c r="D15" i="35"/>
  <c r="E15" i="35"/>
  <c r="F15" i="35"/>
  <c r="G15" i="35"/>
  <c r="H15" i="35"/>
  <c r="I15" i="35"/>
  <c r="J15" i="35"/>
  <c r="K15" i="35"/>
  <c r="L15" i="35"/>
  <c r="C15" i="35"/>
  <c r="K15" i="36" l="1"/>
  <c r="J15" i="36"/>
  <c r="F15" i="36"/>
  <c r="C15" i="36"/>
  <c r="I15" i="36"/>
  <c r="E15" i="36"/>
  <c r="G15" i="36"/>
  <c r="L15" i="36"/>
  <c r="H15" i="36"/>
  <c r="D15" i="36"/>
  <c r="D14" i="35"/>
  <c r="E14" i="35"/>
  <c r="F14" i="35"/>
  <c r="G14" i="35"/>
  <c r="H14" i="35"/>
  <c r="I14" i="35"/>
  <c r="J14" i="35"/>
  <c r="K14" i="35"/>
  <c r="L14" i="35"/>
  <c r="C14" i="35"/>
  <c r="D13" i="35"/>
  <c r="E13" i="35"/>
  <c r="F13" i="35"/>
  <c r="G13" i="35"/>
  <c r="H13" i="35"/>
  <c r="I13" i="35"/>
  <c r="J13" i="35"/>
  <c r="K13" i="35"/>
  <c r="L13" i="35"/>
  <c r="C13" i="35"/>
  <c r="E14" i="36" l="1"/>
  <c r="J13" i="36"/>
  <c r="F13" i="36"/>
  <c r="L14" i="36"/>
  <c r="H14" i="36"/>
  <c r="D14" i="36"/>
  <c r="G13" i="36"/>
  <c r="C14" i="36"/>
  <c r="I13" i="36"/>
  <c r="E13" i="36"/>
  <c r="K14" i="36"/>
  <c r="G14" i="36"/>
  <c r="K13" i="36"/>
  <c r="I14" i="36"/>
  <c r="C13" i="36"/>
  <c r="L13" i="36"/>
  <c r="H13" i="36"/>
  <c r="D13" i="36"/>
  <c r="J14" i="36"/>
  <c r="F14" i="36"/>
  <c r="D12" i="35"/>
  <c r="E12" i="35"/>
  <c r="F12" i="35"/>
  <c r="G12" i="35"/>
  <c r="H12" i="35"/>
  <c r="I12" i="35"/>
  <c r="J12" i="35"/>
  <c r="K12" i="35"/>
  <c r="L12" i="35"/>
  <c r="C12" i="35"/>
  <c r="G12" i="36" l="1"/>
  <c r="J12" i="36"/>
  <c r="F12" i="36"/>
  <c r="C12" i="36"/>
  <c r="I12" i="36"/>
  <c r="E12" i="36"/>
  <c r="K12" i="36"/>
  <c r="L12" i="36"/>
  <c r="H12" i="36"/>
  <c r="D12" i="36"/>
  <c r="D11" i="35"/>
  <c r="D11" i="36" s="1"/>
  <c r="E11" i="35"/>
  <c r="E11" i="36" s="1"/>
  <c r="F11" i="35"/>
  <c r="F11" i="36" s="1"/>
  <c r="G11" i="35"/>
  <c r="G11" i="36" s="1"/>
  <c r="H11" i="35"/>
  <c r="H11" i="36" s="1"/>
  <c r="I11" i="35"/>
  <c r="I11" i="36" s="1"/>
  <c r="J11" i="35"/>
  <c r="J11" i="36" s="1"/>
  <c r="K11" i="35"/>
  <c r="K11" i="36" s="1"/>
  <c r="L11" i="35"/>
  <c r="L11" i="36" s="1"/>
  <c r="C11" i="35"/>
  <c r="C11" i="36" l="1"/>
  <c r="B23" i="41"/>
  <c r="F42" i="41"/>
  <c r="J42" i="41"/>
  <c r="N42" i="41"/>
  <c r="G42" i="41"/>
  <c r="G23" i="41" s="1"/>
  <c r="K42" i="41"/>
  <c r="H42" i="41"/>
  <c r="L42" i="41"/>
  <c r="E42" i="41"/>
  <c r="I42" i="41"/>
  <c r="M42" i="41"/>
  <c r="O42" i="41"/>
  <c r="C21" i="38"/>
  <c r="B21" i="38"/>
  <c r="G21" i="38"/>
  <c r="D20" i="38"/>
  <c r="E20" i="38" s="1"/>
  <c r="D19" i="38"/>
  <c r="E19" i="38" s="1"/>
  <c r="D18" i="38"/>
  <c r="E18" i="38" s="1"/>
  <c r="D17" i="38"/>
  <c r="E17" i="38" s="1"/>
  <c r="D16" i="38"/>
  <c r="E16" i="38" s="1"/>
  <c r="D15" i="38"/>
  <c r="E15" i="38" s="1"/>
  <c r="D14" i="38"/>
  <c r="E14" i="38" s="1"/>
  <c r="D13" i="38"/>
  <c r="E13" i="38" s="1"/>
  <c r="D12" i="38"/>
  <c r="E12" i="38" s="1"/>
  <c r="D11" i="38"/>
  <c r="E11" i="38" s="1"/>
  <c r="D10" i="38"/>
  <c r="E10" i="38" s="1"/>
  <c r="D9" i="38"/>
  <c r="K70" i="40"/>
  <c r="K28" i="40"/>
  <c r="A70" i="40"/>
  <c r="A52" i="40"/>
  <c r="D35" i="34" l="1"/>
  <c r="D14" i="34"/>
  <c r="D43" i="34"/>
  <c r="D22" i="34"/>
  <c r="D40" i="34"/>
  <c r="D19" i="34"/>
  <c r="D33" i="34"/>
  <c r="D12" i="34"/>
  <c r="D37" i="34"/>
  <c r="D16" i="34"/>
  <c r="D41" i="34"/>
  <c r="D20" i="34"/>
  <c r="B23" i="38"/>
  <c r="C13" i="40"/>
  <c r="C14" i="40" s="1"/>
  <c r="E24" i="40" s="1"/>
  <c r="D39" i="34"/>
  <c r="D18" i="34"/>
  <c r="D36" i="34"/>
  <c r="D15" i="34"/>
  <c r="G23" i="38"/>
  <c r="C55" i="40"/>
  <c r="C56" i="40" s="1"/>
  <c r="E66" i="40" s="1"/>
  <c r="D34" i="34"/>
  <c r="D13" i="34"/>
  <c r="D38" i="34"/>
  <c r="D17" i="34"/>
  <c r="D42" i="34"/>
  <c r="D21" i="34"/>
  <c r="O23" i="41"/>
  <c r="L23" i="41"/>
  <c r="M23" i="41"/>
  <c r="H23" i="41"/>
  <c r="N23" i="41"/>
  <c r="I23" i="41"/>
  <c r="J23" i="41"/>
  <c r="E23" i="41"/>
  <c r="K23" i="41"/>
  <c r="F23" i="41"/>
  <c r="D21" i="38"/>
  <c r="E21" i="38" s="1"/>
  <c r="E9" i="38"/>
  <c r="E53" i="40"/>
  <c r="E71" i="40" l="1"/>
  <c r="F29" i="36"/>
  <c r="C29" i="36"/>
  <c r="G29" i="36"/>
  <c r="L29" i="36"/>
  <c r="J29" i="36"/>
  <c r="E29" i="36"/>
  <c r="H29" i="36"/>
  <c r="I29" i="36"/>
  <c r="D29" i="36"/>
  <c r="K29" i="36"/>
  <c r="E31" i="36"/>
  <c r="F31" i="36"/>
  <c r="L31" i="36"/>
  <c r="G31" i="36"/>
  <c r="D31" i="36"/>
  <c r="C31" i="36"/>
  <c r="H31" i="36"/>
  <c r="I31" i="36"/>
  <c r="K31" i="36"/>
  <c r="J31" i="36"/>
  <c r="J35" i="35"/>
  <c r="C35" i="35"/>
  <c r="I35" i="35"/>
  <c r="K35" i="35"/>
  <c r="H35" i="35"/>
  <c r="G35" i="35"/>
  <c r="F35" i="35"/>
  <c r="E35" i="35"/>
  <c r="L35" i="35"/>
  <c r="D35" i="35"/>
  <c r="J35" i="36"/>
  <c r="C35" i="36"/>
  <c r="L35" i="36"/>
  <c r="I35" i="36"/>
  <c r="E35" i="36"/>
  <c r="H35" i="36"/>
  <c r="F35" i="36"/>
  <c r="K35" i="36"/>
  <c r="D35" i="36"/>
  <c r="G35" i="36"/>
  <c r="E33" i="36"/>
  <c r="K33" i="36"/>
  <c r="J33" i="36"/>
  <c r="F33" i="36"/>
  <c r="L33" i="36"/>
  <c r="H33" i="36"/>
  <c r="G33" i="36"/>
  <c r="C33" i="36"/>
  <c r="D33" i="36"/>
  <c r="I33" i="36"/>
  <c r="C34" i="36"/>
  <c r="H34" i="36"/>
  <c r="J34" i="36"/>
  <c r="F34" i="36"/>
  <c r="L34" i="36"/>
  <c r="I34" i="36"/>
  <c r="G34" i="36"/>
  <c r="K34" i="36"/>
  <c r="D34" i="36"/>
  <c r="E34" i="36"/>
  <c r="I36" i="35"/>
  <c r="E36" i="35"/>
  <c r="J36" i="35"/>
  <c r="H36" i="35"/>
  <c r="D36" i="35"/>
  <c r="L36" i="35"/>
  <c r="C36" i="35"/>
  <c r="F36" i="35"/>
  <c r="K36" i="35"/>
  <c r="G36" i="35"/>
  <c r="I28" i="35"/>
  <c r="L28" i="35"/>
  <c r="D28" i="35"/>
  <c r="E28" i="35"/>
  <c r="H28" i="35"/>
  <c r="G28" i="35"/>
  <c r="J28" i="35"/>
  <c r="K28" i="35"/>
  <c r="C28" i="35"/>
  <c r="F28" i="35"/>
  <c r="I38" i="35"/>
  <c r="D38" i="35"/>
  <c r="F38" i="35"/>
  <c r="J38" i="35"/>
  <c r="G38" i="35"/>
  <c r="H38" i="35"/>
  <c r="K38" i="35"/>
  <c r="C38" i="35"/>
  <c r="L38" i="35"/>
  <c r="E38" i="35"/>
  <c r="J37" i="36"/>
  <c r="K37" i="36"/>
  <c r="D37" i="36"/>
  <c r="C37" i="36"/>
  <c r="L37" i="36"/>
  <c r="E37" i="36"/>
  <c r="G37" i="36"/>
  <c r="H37" i="36"/>
  <c r="I37" i="36"/>
  <c r="F37" i="36"/>
  <c r="J32" i="35"/>
  <c r="K32" i="35"/>
  <c r="G32" i="35"/>
  <c r="D32" i="35"/>
  <c r="F32" i="35"/>
  <c r="C32" i="35"/>
  <c r="H32" i="35"/>
  <c r="E32" i="35"/>
  <c r="I32" i="35"/>
  <c r="L32" i="35"/>
  <c r="D30" i="35"/>
  <c r="I30" i="35"/>
  <c r="E30" i="35"/>
  <c r="H30" i="35"/>
  <c r="K30" i="35"/>
  <c r="J30" i="35"/>
  <c r="L30" i="35"/>
  <c r="C30" i="35"/>
  <c r="G30" i="35"/>
  <c r="F30" i="35"/>
  <c r="E29" i="40"/>
  <c r="G33" i="35"/>
  <c r="D33" i="35"/>
  <c r="E33" i="35"/>
  <c r="L33" i="35"/>
  <c r="F33" i="35"/>
  <c r="J33" i="35"/>
  <c r="H33" i="35"/>
  <c r="K33" i="35"/>
  <c r="I33" i="35"/>
  <c r="C33" i="35"/>
  <c r="C34" i="35"/>
  <c r="J34" i="35"/>
  <c r="H34" i="35"/>
  <c r="G34" i="35"/>
  <c r="I34" i="35"/>
  <c r="D34" i="35"/>
  <c r="E34" i="35"/>
  <c r="L34" i="35"/>
  <c r="K34" i="35"/>
  <c r="F34" i="35"/>
  <c r="L32" i="36"/>
  <c r="C32" i="36"/>
  <c r="K32" i="36"/>
  <c r="H32" i="36"/>
  <c r="D32" i="36"/>
  <c r="J32" i="36"/>
  <c r="I32" i="36"/>
  <c r="E32" i="36"/>
  <c r="G32" i="36"/>
  <c r="F32" i="36"/>
  <c r="G30" i="36"/>
  <c r="I30" i="36"/>
  <c r="J30" i="36"/>
  <c r="K30" i="36"/>
  <c r="F30" i="36"/>
  <c r="L30" i="36"/>
  <c r="H30" i="36"/>
  <c r="C30" i="36"/>
  <c r="E30" i="36"/>
  <c r="D30" i="36"/>
  <c r="C37" i="35"/>
  <c r="H37" i="35"/>
  <c r="K37" i="35"/>
  <c r="J37" i="35"/>
  <c r="G37" i="35"/>
  <c r="E37" i="35"/>
  <c r="I37" i="35"/>
  <c r="F37" i="35"/>
  <c r="L37" i="35"/>
  <c r="D37" i="35"/>
  <c r="J29" i="35"/>
  <c r="E29" i="35"/>
  <c r="D29" i="35"/>
  <c r="F29" i="35"/>
  <c r="G29" i="35"/>
  <c r="I29" i="35"/>
  <c r="K29" i="35"/>
  <c r="C29" i="35"/>
  <c r="H29" i="35"/>
  <c r="L29" i="35"/>
  <c r="I31" i="35"/>
  <c r="E31" i="35"/>
  <c r="F31" i="35"/>
  <c r="L31" i="35"/>
  <c r="D31" i="35"/>
  <c r="J31" i="35"/>
  <c r="G31" i="35"/>
  <c r="H31" i="35"/>
  <c r="C31" i="35"/>
  <c r="K31" i="35"/>
  <c r="E36" i="36"/>
  <c r="D36" i="36"/>
  <c r="F36" i="36"/>
  <c r="H36" i="36"/>
  <c r="G36" i="36"/>
  <c r="K36" i="36"/>
  <c r="L36" i="36"/>
  <c r="I36" i="36"/>
  <c r="J36" i="36"/>
  <c r="C36" i="36"/>
  <c r="E28" i="36"/>
  <c r="I28" i="36"/>
  <c r="L28" i="36"/>
  <c r="C28" i="36"/>
  <c r="F28" i="36"/>
  <c r="G28" i="36"/>
  <c r="D28" i="36"/>
  <c r="K28" i="36"/>
  <c r="H28" i="36"/>
  <c r="J28" i="36"/>
  <c r="I38" i="36"/>
  <c r="K38" i="36"/>
  <c r="J38" i="36"/>
  <c r="H38" i="36"/>
  <c r="C38" i="36"/>
  <c r="F38" i="36"/>
  <c r="G38" i="36"/>
  <c r="L38" i="36"/>
  <c r="D38" i="36"/>
  <c r="E38" i="36"/>
  <c r="O11" i="40"/>
  <c r="O12" i="40"/>
  <c r="O13" i="40"/>
  <c r="C27" i="36" l="1"/>
  <c r="D32" i="34"/>
  <c r="C27" i="35"/>
  <c r="D11" i="34"/>
  <c r="H12" i="34"/>
  <c r="C19" i="39" l="1"/>
  <c r="D19" i="39"/>
  <c r="E19" i="39"/>
  <c r="F19" i="39"/>
  <c r="G19" i="39"/>
  <c r="H19" i="39"/>
  <c r="I19" i="39"/>
  <c r="J19" i="39"/>
  <c r="K19" i="39"/>
  <c r="B19" i="39"/>
  <c r="D45" i="35"/>
  <c r="E45" i="35"/>
  <c r="F45" i="35"/>
  <c r="G45" i="35"/>
  <c r="H45" i="35"/>
  <c r="I45" i="35"/>
  <c r="J45" i="35"/>
  <c r="K45" i="35"/>
  <c r="L45" i="35"/>
  <c r="D46" i="35"/>
  <c r="E46" i="35"/>
  <c r="F46" i="35"/>
  <c r="G46" i="35"/>
  <c r="H46" i="35"/>
  <c r="I46" i="35"/>
  <c r="J46" i="35"/>
  <c r="K46" i="35"/>
  <c r="L46" i="35"/>
  <c r="D47" i="35"/>
  <c r="E47" i="35"/>
  <c r="F47" i="35"/>
  <c r="G47" i="35"/>
  <c r="H47" i="35"/>
  <c r="I47" i="35"/>
  <c r="J47" i="35"/>
  <c r="K47" i="35"/>
  <c r="L47" i="35"/>
  <c r="D48" i="35"/>
  <c r="E48" i="35"/>
  <c r="F48" i="35"/>
  <c r="G48" i="35"/>
  <c r="H48" i="35"/>
  <c r="I48" i="35"/>
  <c r="J48" i="35"/>
  <c r="K48" i="35"/>
  <c r="L48" i="35"/>
  <c r="D49" i="35"/>
  <c r="E49" i="35"/>
  <c r="F49" i="35"/>
  <c r="G49" i="35"/>
  <c r="H49" i="35"/>
  <c r="I49" i="35"/>
  <c r="J49" i="35"/>
  <c r="K49" i="35"/>
  <c r="L49" i="35"/>
  <c r="D50" i="35"/>
  <c r="E50" i="35"/>
  <c r="F50" i="35"/>
  <c r="G50" i="35"/>
  <c r="H50" i="35"/>
  <c r="I50" i="35"/>
  <c r="J50" i="35"/>
  <c r="K50" i="35"/>
  <c r="L50" i="35"/>
  <c r="D51" i="35"/>
  <c r="E51" i="35"/>
  <c r="F51" i="35"/>
  <c r="G51" i="35"/>
  <c r="H51" i="35"/>
  <c r="I51" i="35"/>
  <c r="J51" i="35"/>
  <c r="K51" i="35"/>
  <c r="L51" i="35"/>
  <c r="D52" i="35"/>
  <c r="E52" i="35"/>
  <c r="F52" i="35"/>
  <c r="G52" i="35"/>
  <c r="H52" i="35"/>
  <c r="I52" i="35"/>
  <c r="J52" i="35"/>
  <c r="K52" i="35"/>
  <c r="L52" i="35"/>
  <c r="D53" i="35"/>
  <c r="E53" i="35"/>
  <c r="F53" i="35"/>
  <c r="G53" i="35"/>
  <c r="H53" i="35"/>
  <c r="I53" i="35"/>
  <c r="J53" i="35"/>
  <c r="K53" i="35"/>
  <c r="L53" i="35"/>
  <c r="D54" i="35"/>
  <c r="E54" i="35"/>
  <c r="F54" i="35"/>
  <c r="G54" i="35"/>
  <c r="H54" i="35"/>
  <c r="I54" i="35"/>
  <c r="J54" i="35"/>
  <c r="K54" i="35"/>
  <c r="L54" i="35"/>
  <c r="D55" i="35"/>
  <c r="E55" i="35"/>
  <c r="F55" i="35"/>
  <c r="G55" i="35"/>
  <c r="H55" i="35"/>
  <c r="I55" i="35"/>
  <c r="J55" i="35"/>
  <c r="K55" i="35"/>
  <c r="L55" i="35"/>
  <c r="C46" i="35"/>
  <c r="C47" i="35"/>
  <c r="C48" i="35"/>
  <c r="C49" i="35"/>
  <c r="C50" i="35"/>
  <c r="C51" i="35"/>
  <c r="C52" i="35"/>
  <c r="C53" i="35"/>
  <c r="C54" i="35"/>
  <c r="C55" i="35"/>
  <c r="C45" i="35"/>
  <c r="M12" i="35" l="1"/>
  <c r="M12" i="36" l="1"/>
  <c r="M28" i="36" s="1"/>
  <c r="M28" i="35"/>
  <c r="C60" i="35"/>
  <c r="C61" i="35"/>
  <c r="C64" i="35"/>
  <c r="C62" i="35"/>
  <c r="C63" i="35"/>
  <c r="C65" i="35"/>
  <c r="C66" i="35"/>
  <c r="C67" i="35"/>
  <c r="C44" i="36"/>
  <c r="C60" i="36" s="1"/>
  <c r="C45" i="36"/>
  <c r="C61" i="36" s="1"/>
  <c r="C46" i="36"/>
  <c r="C62" i="36" s="1"/>
  <c r="C47" i="36"/>
  <c r="C63" i="36" s="1"/>
  <c r="C48" i="36"/>
  <c r="C64" i="36" s="1"/>
  <c r="C49" i="36"/>
  <c r="C65" i="36" s="1"/>
  <c r="C50" i="36"/>
  <c r="C66" i="36" s="1"/>
  <c r="C51" i="36"/>
  <c r="C67" i="36" s="1"/>
  <c r="C52" i="36"/>
  <c r="C68" i="36" s="1"/>
  <c r="C53" i="36"/>
  <c r="C54" i="36"/>
  <c r="C55" i="36"/>
  <c r="C71" i="35"/>
  <c r="C69" i="36" l="1"/>
  <c r="C70" i="36"/>
  <c r="C70" i="35"/>
  <c r="C68" i="35"/>
  <c r="C39" i="36"/>
  <c r="C71" i="36"/>
  <c r="G70" i="40"/>
  <c r="G52" i="40"/>
  <c r="AI71" i="40"/>
  <c r="AC71" i="40"/>
  <c r="AI70" i="40"/>
  <c r="AJ72" i="40" s="1"/>
  <c r="AE70" i="40"/>
  <c r="Y70" i="40"/>
  <c r="S70" i="40"/>
  <c r="M70" i="40"/>
  <c r="AI66" i="40"/>
  <c r="AC66" i="40"/>
  <c r="W60" i="40"/>
  <c r="W62" i="40" s="1"/>
  <c r="P60" i="40"/>
  <c r="P59" i="40"/>
  <c r="AI55" i="40"/>
  <c r="AI56" i="40" s="1"/>
  <c r="AI64" i="40" s="1"/>
  <c r="AJ68" i="40" s="1"/>
  <c r="AC55" i="40"/>
  <c r="V55" i="40"/>
  <c r="W55" i="40"/>
  <c r="O55" i="40"/>
  <c r="O54" i="40"/>
  <c r="AI53" i="40"/>
  <c r="AC53" i="40"/>
  <c r="AC56" i="40" s="1"/>
  <c r="V53" i="40"/>
  <c r="W53" i="40" s="1"/>
  <c r="W56" i="40" s="1"/>
  <c r="U56" i="40"/>
  <c r="O53" i="40"/>
  <c r="AE52" i="40"/>
  <c r="Y52" i="40"/>
  <c r="S52" i="40"/>
  <c r="M52" i="40"/>
  <c r="AI28" i="40"/>
  <c r="Q28" i="40"/>
  <c r="W18" i="40"/>
  <c r="W20" i="40" s="1"/>
  <c r="P18" i="40"/>
  <c r="P17" i="40"/>
  <c r="AC28" i="40"/>
  <c r="AG14" i="40"/>
  <c r="AI24" i="40" s="1"/>
  <c r="AI29" i="40" s="1"/>
  <c r="AA13" i="40"/>
  <c r="AI11" i="40"/>
  <c r="AB11" i="40"/>
  <c r="V11" i="40" s="1"/>
  <c r="AA11" i="40"/>
  <c r="U14" i="40"/>
  <c r="I56" i="40" l="1"/>
  <c r="K66" i="40" s="1"/>
  <c r="C72" i="36"/>
  <c r="C39" i="35"/>
  <c r="C69" i="35"/>
  <c r="C72" i="35" s="1"/>
  <c r="O56" i="40"/>
  <c r="Q71" i="40" s="1"/>
  <c r="O14" i="40"/>
  <c r="Q29" i="40" s="1"/>
  <c r="R30" i="40" s="1"/>
  <c r="J13" i="40" s="1"/>
  <c r="Q18" i="40"/>
  <c r="Q20" i="40" s="1"/>
  <c r="Q60" i="40"/>
  <c r="Q62" i="40" s="1"/>
  <c r="Q70" i="40" s="1"/>
  <c r="I14" i="40"/>
  <c r="K24" i="40" s="1"/>
  <c r="AA14" i="40"/>
  <c r="AC24" i="40" s="1"/>
  <c r="AC29" i="40" s="1"/>
  <c r="AD30" i="40" s="1"/>
  <c r="AC64" i="40"/>
  <c r="AD68" i="40" s="1"/>
  <c r="W64" i="40"/>
  <c r="AJ74" i="40"/>
  <c r="AJ82" i="40" s="1"/>
  <c r="P53" i="40"/>
  <c r="Q53" i="40" s="1"/>
  <c r="AJ30" i="40"/>
  <c r="W29" i="40"/>
  <c r="X30" i="40" s="1"/>
  <c r="W24" i="40"/>
  <c r="W71" i="40"/>
  <c r="X72" i="40" s="1"/>
  <c r="W66" i="40"/>
  <c r="AI13" i="40"/>
  <c r="AI14" i="40" s="1"/>
  <c r="AI22" i="40" s="1"/>
  <c r="AJ26" i="40" s="1"/>
  <c r="AC70" i="40"/>
  <c r="AD72" i="40" s="1"/>
  <c r="AC11" i="40"/>
  <c r="W11" i="40"/>
  <c r="D11" i="40" l="1"/>
  <c r="E11" i="40" s="1"/>
  <c r="K71" i="40"/>
  <c r="K13" i="40"/>
  <c r="Q66" i="40"/>
  <c r="Q24" i="40"/>
  <c r="K29" i="40"/>
  <c r="R72" i="40"/>
  <c r="K55" i="40" s="1"/>
  <c r="T44" i="40"/>
  <c r="P55" i="40"/>
  <c r="X68" i="40"/>
  <c r="X74" i="40" s="1"/>
  <c r="AB13" i="40"/>
  <c r="P11" i="40"/>
  <c r="Q11" i="40" s="1"/>
  <c r="AJ32" i="40"/>
  <c r="AJ46" i="40" s="1"/>
  <c r="AD74" i="40"/>
  <c r="W77" i="40" s="1"/>
  <c r="P54" i="40"/>
  <c r="Q54" i="40" s="1"/>
  <c r="P12" i="40"/>
  <c r="Q12" i="40" s="1"/>
  <c r="U44" i="40"/>
  <c r="Q55" i="40" l="1"/>
  <c r="Q56" i="40" s="1"/>
  <c r="Q64" i="40" s="1"/>
  <c r="R68" i="40" s="1"/>
  <c r="R74" i="40" s="1"/>
  <c r="K53" i="40"/>
  <c r="K56" i="40" s="1"/>
  <c r="W78" i="40"/>
  <c r="X79" i="40" s="1"/>
  <c r="X81" i="40"/>
  <c r="AC13" i="40"/>
  <c r="AC14" i="40" s="1"/>
  <c r="AC22" i="40" s="1"/>
  <c r="AD26" i="40" s="1"/>
  <c r="V13" i="40"/>
  <c r="W13" i="40" s="1"/>
  <c r="W14" i="40" s="1"/>
  <c r="W22" i="40" s="1"/>
  <c r="X26" i="40" s="1"/>
  <c r="V44" i="40"/>
  <c r="W44" i="40" s="1"/>
  <c r="P13" i="40" s="1"/>
  <c r="J11" i="40" s="1"/>
  <c r="Q13" i="40" l="1"/>
  <c r="Q14" i="40" s="1"/>
  <c r="Q22" i="40" s="1"/>
  <c r="R26" i="40" s="1"/>
  <c r="R32" i="40" s="1"/>
  <c r="U43" i="40"/>
  <c r="U45" i="40" s="1"/>
  <c r="AD32" i="40"/>
  <c r="W35" i="40" s="1"/>
  <c r="T43" i="40"/>
  <c r="X32" i="40"/>
  <c r="W36" i="40" l="1"/>
  <c r="X37" i="40" s="1"/>
  <c r="X39" i="40" s="1"/>
  <c r="K11" i="40" s="1"/>
  <c r="K14" i="40" s="1"/>
  <c r="T45" i="40"/>
  <c r="V43" i="40"/>
  <c r="V45" i="40" l="1"/>
  <c r="W43" i="40"/>
  <c r="W45" i="40" s="1"/>
  <c r="M22" i="35" l="1"/>
  <c r="M22" i="36" l="1"/>
  <c r="M38" i="36" s="1"/>
  <c r="M38" i="35"/>
  <c r="H35" i="34"/>
  <c r="H36" i="34" s="1"/>
  <c r="H37" i="34" s="1"/>
  <c r="H38" i="34" s="1"/>
  <c r="H39" i="34" s="1"/>
  <c r="H40" i="34" s="1"/>
  <c r="H41" i="34" s="1"/>
  <c r="H42" i="34" s="1"/>
  <c r="H43" i="34" s="1"/>
  <c r="I12" i="34" l="1"/>
  <c r="K52" i="36" l="1"/>
  <c r="E54" i="36"/>
  <c r="D55" i="36"/>
  <c r="E55" i="36"/>
  <c r="F55" i="36"/>
  <c r="G55" i="36"/>
  <c r="I55" i="36"/>
  <c r="J55" i="36"/>
  <c r="K55" i="36"/>
  <c r="L55" i="36"/>
  <c r="D45" i="36"/>
  <c r="E45" i="36"/>
  <c r="F45" i="36"/>
  <c r="G45" i="36"/>
  <c r="H45" i="36"/>
  <c r="I45" i="36"/>
  <c r="J45" i="36"/>
  <c r="K45" i="36"/>
  <c r="L45" i="36"/>
  <c r="D46" i="36"/>
  <c r="E46" i="36"/>
  <c r="F46" i="36"/>
  <c r="G46" i="36"/>
  <c r="I46" i="36"/>
  <c r="J46" i="36"/>
  <c r="K46" i="36"/>
  <c r="L46" i="36"/>
  <c r="D47" i="36"/>
  <c r="E47" i="36"/>
  <c r="F47" i="36"/>
  <c r="G47" i="36"/>
  <c r="I47" i="36"/>
  <c r="J47" i="36"/>
  <c r="K47" i="36"/>
  <c r="L47" i="36"/>
  <c r="D48" i="36"/>
  <c r="E48" i="36"/>
  <c r="F48" i="36"/>
  <c r="G48" i="36"/>
  <c r="I48" i="36"/>
  <c r="J48" i="36"/>
  <c r="K48" i="36"/>
  <c r="L48" i="36"/>
  <c r="D49" i="36"/>
  <c r="E49" i="36"/>
  <c r="F49" i="36"/>
  <c r="G49" i="36"/>
  <c r="I49" i="36"/>
  <c r="J49" i="36"/>
  <c r="K49" i="36"/>
  <c r="L49" i="36"/>
  <c r="D50" i="36"/>
  <c r="E50" i="36"/>
  <c r="F50" i="36"/>
  <c r="G50" i="36"/>
  <c r="I50" i="36"/>
  <c r="J50" i="36"/>
  <c r="K50" i="36"/>
  <c r="L50" i="36"/>
  <c r="D51" i="36"/>
  <c r="E51" i="36"/>
  <c r="F51" i="36"/>
  <c r="G51" i="36"/>
  <c r="I51" i="36"/>
  <c r="J51" i="36"/>
  <c r="K51" i="36"/>
  <c r="L51" i="36"/>
  <c r="D52" i="36"/>
  <c r="E52" i="36"/>
  <c r="F52" i="36"/>
  <c r="G52" i="36"/>
  <c r="I52" i="36"/>
  <c r="J52" i="36"/>
  <c r="L52" i="36"/>
  <c r="D53" i="36"/>
  <c r="E53" i="36"/>
  <c r="F53" i="36"/>
  <c r="G53" i="36"/>
  <c r="I53" i="36"/>
  <c r="J53" i="36"/>
  <c r="K53" i="36"/>
  <c r="L53" i="36"/>
  <c r="D54" i="36"/>
  <c r="F54" i="36"/>
  <c r="G54" i="36"/>
  <c r="I54" i="36"/>
  <c r="J54" i="36"/>
  <c r="K54" i="36"/>
  <c r="L54" i="36"/>
  <c r="D44" i="36"/>
  <c r="E44" i="36"/>
  <c r="F44" i="36"/>
  <c r="G44" i="36"/>
  <c r="H44" i="36"/>
  <c r="I44" i="36"/>
  <c r="J44" i="36"/>
  <c r="K44" i="36"/>
  <c r="L44" i="36"/>
  <c r="M11" i="35"/>
  <c r="M11" i="36" s="1"/>
  <c r="H46" i="36" l="1"/>
  <c r="H47" i="36" l="1"/>
  <c r="B12" i="35"/>
  <c r="B11" i="35"/>
  <c r="M21" i="35"/>
  <c r="B22" i="35"/>
  <c r="M21" i="36" l="1"/>
  <c r="M37" i="36" s="1"/>
  <c r="M37" i="35"/>
  <c r="H48" i="36"/>
  <c r="B21" i="35"/>
  <c r="H49" i="36" l="1"/>
  <c r="H50" i="36" l="1"/>
  <c r="H51" i="36" l="1"/>
  <c r="M16" i="35"/>
  <c r="M20" i="35"/>
  <c r="M17" i="35"/>
  <c r="M18" i="35"/>
  <c r="M19" i="35"/>
  <c r="B17" i="35" l="1"/>
  <c r="M17" i="36"/>
  <c r="M33" i="36" s="1"/>
  <c r="M33" i="35"/>
  <c r="B18" i="35"/>
  <c r="M18" i="36"/>
  <c r="M34" i="36" s="1"/>
  <c r="M34" i="35"/>
  <c r="B20" i="35"/>
  <c r="M20" i="36"/>
  <c r="M36" i="36" s="1"/>
  <c r="M36" i="35"/>
  <c r="B19" i="35"/>
  <c r="M19" i="36"/>
  <c r="M35" i="36" s="1"/>
  <c r="M35" i="35"/>
  <c r="B16" i="35"/>
  <c r="M16" i="36"/>
  <c r="M32" i="36" s="1"/>
  <c r="M32" i="35"/>
  <c r="H52" i="36"/>
  <c r="M13" i="35"/>
  <c r="M15" i="35"/>
  <c r="B13" i="35" l="1"/>
  <c r="M13" i="36"/>
  <c r="M29" i="36" s="1"/>
  <c r="M29" i="35"/>
  <c r="B15" i="35"/>
  <c r="M15" i="36"/>
  <c r="M31" i="36" s="1"/>
  <c r="M31" i="35"/>
  <c r="H53" i="36"/>
  <c r="M14" i="35"/>
  <c r="B14" i="35" l="1"/>
  <c r="M14" i="36"/>
  <c r="M30" i="36" s="1"/>
  <c r="M30" i="35"/>
  <c r="H55" i="36"/>
  <c r="H54" i="36"/>
  <c r="B21" i="36" l="1"/>
  <c r="B22" i="36"/>
  <c r="B19" i="36"/>
  <c r="B20" i="36"/>
  <c r="L68" i="36" l="1"/>
  <c r="L69" i="36"/>
  <c r="L71" i="36"/>
  <c r="K70" i="36"/>
  <c r="G69" i="36" l="1"/>
  <c r="K69" i="36"/>
  <c r="J69" i="36"/>
  <c r="E69" i="36"/>
  <c r="J68" i="36"/>
  <c r="E68" i="36"/>
  <c r="K68" i="36"/>
  <c r="G70" i="36"/>
  <c r="B39" i="36"/>
  <c r="G68" i="36"/>
  <c r="E70" i="36"/>
  <c r="D68" i="36"/>
  <c r="F68" i="36"/>
  <c r="H68" i="36"/>
  <c r="I68" i="36"/>
  <c r="D69" i="36"/>
  <c r="F69" i="36"/>
  <c r="H69" i="36"/>
  <c r="I69" i="36"/>
  <c r="L70" i="36"/>
  <c r="J70" i="36"/>
  <c r="D70" i="36"/>
  <c r="F70" i="36"/>
  <c r="H70" i="36"/>
  <c r="I70" i="36"/>
  <c r="F71" i="36"/>
  <c r="H71" i="36"/>
  <c r="I71" i="36"/>
  <c r="K71" i="36"/>
  <c r="E71" i="36"/>
  <c r="G71" i="36"/>
  <c r="J71" i="36"/>
  <c r="B39" i="35"/>
  <c r="D71" i="36" l="1"/>
  <c r="B68" i="36"/>
  <c r="B69" i="36"/>
  <c r="B70" i="36"/>
  <c r="I66" i="35"/>
  <c r="H66" i="35"/>
  <c r="F66" i="35"/>
  <c r="D66" i="35"/>
  <c r="K67" i="35"/>
  <c r="I67" i="35"/>
  <c r="H67" i="35"/>
  <c r="F67" i="35"/>
  <c r="D67" i="35"/>
  <c r="L65" i="35"/>
  <c r="J65" i="35"/>
  <c r="G65" i="35"/>
  <c r="E65" i="35"/>
  <c r="L66" i="35"/>
  <c r="J66" i="35"/>
  <c r="G66" i="35"/>
  <c r="E66" i="35"/>
  <c r="L67" i="35"/>
  <c r="J67" i="35"/>
  <c r="G67" i="35"/>
  <c r="E67" i="35"/>
  <c r="K65" i="35"/>
  <c r="I65" i="35"/>
  <c r="H65" i="35"/>
  <c r="F65" i="35"/>
  <c r="D65" i="35"/>
  <c r="K66" i="35"/>
  <c r="H65" i="36" l="1"/>
  <c r="K65" i="36"/>
  <c r="G67" i="36"/>
  <c r="L67" i="36"/>
  <c r="G66" i="36"/>
  <c r="L66" i="36"/>
  <c r="G65" i="36"/>
  <c r="L65" i="36"/>
  <c r="F67" i="36"/>
  <c r="I67" i="36"/>
  <c r="H66" i="36"/>
  <c r="K66" i="36"/>
  <c r="F65" i="36"/>
  <c r="I65" i="36"/>
  <c r="E67" i="36"/>
  <c r="J67" i="36"/>
  <c r="E66" i="36"/>
  <c r="J66" i="36"/>
  <c r="E65" i="36"/>
  <c r="J65" i="36"/>
  <c r="H67" i="36"/>
  <c r="K67" i="36"/>
  <c r="F66" i="36"/>
  <c r="I66" i="36"/>
  <c r="D64" i="36"/>
  <c r="D65" i="36"/>
  <c r="D66" i="36"/>
  <c r="D67" i="36"/>
  <c r="B65" i="35"/>
  <c r="B66" i="35"/>
  <c r="B67" i="35"/>
  <c r="F18" i="34" s="1"/>
  <c r="E18" i="34" s="1"/>
  <c r="L64" i="36"/>
  <c r="E64" i="36"/>
  <c r="K64" i="36"/>
  <c r="I64" i="36"/>
  <c r="H64" i="36"/>
  <c r="F64" i="36"/>
  <c r="J64" i="36"/>
  <c r="G64" i="36"/>
  <c r="K64" i="35"/>
  <c r="K70" i="35"/>
  <c r="K69" i="35"/>
  <c r="K68" i="35"/>
  <c r="K71" i="35"/>
  <c r="I64" i="35"/>
  <c r="I70" i="35"/>
  <c r="I69" i="35"/>
  <c r="I68" i="35"/>
  <c r="I71" i="35"/>
  <c r="H64" i="35"/>
  <c r="H71" i="35"/>
  <c r="H70" i="35"/>
  <c r="H69" i="35"/>
  <c r="H68" i="35"/>
  <c r="F64" i="35"/>
  <c r="F71" i="35"/>
  <c r="F70" i="35"/>
  <c r="F69" i="35"/>
  <c r="F68" i="35"/>
  <c r="D64" i="35"/>
  <c r="D71" i="35"/>
  <c r="D70" i="35"/>
  <c r="D69" i="35"/>
  <c r="D68" i="35"/>
  <c r="L64" i="35"/>
  <c r="L71" i="35"/>
  <c r="L70" i="35"/>
  <c r="L69" i="35"/>
  <c r="L68" i="35"/>
  <c r="J64" i="35"/>
  <c r="J71" i="35"/>
  <c r="J70" i="35"/>
  <c r="J69" i="35"/>
  <c r="J68" i="35"/>
  <c r="G64" i="35"/>
  <c r="G71" i="35"/>
  <c r="G70" i="35"/>
  <c r="G69" i="35"/>
  <c r="G68" i="35"/>
  <c r="E64" i="35"/>
  <c r="E71" i="35"/>
  <c r="E70" i="35"/>
  <c r="E69" i="35"/>
  <c r="E68" i="35"/>
  <c r="H14" i="34"/>
  <c r="H15" i="34" s="1"/>
  <c r="H16" i="34" s="1"/>
  <c r="H17" i="34" s="1"/>
  <c r="H18" i="34" s="1"/>
  <c r="H19" i="34" s="1"/>
  <c r="H20" i="34" s="1"/>
  <c r="H21" i="34" s="1"/>
  <c r="H22" i="34" s="1"/>
  <c r="H33" i="34"/>
  <c r="B67" i="36" l="1"/>
  <c r="F39" i="34" s="1"/>
  <c r="E39" i="34" s="1"/>
  <c r="B66" i="36"/>
  <c r="F38" i="34" s="1"/>
  <c r="E38" i="34" s="1"/>
  <c r="B65" i="36"/>
  <c r="F37" i="34" s="1"/>
  <c r="E37" i="34" s="1"/>
  <c r="F17" i="34"/>
  <c r="E17" i="34" s="1"/>
  <c r="F16" i="34"/>
  <c r="E16" i="34" s="1"/>
  <c r="B16" i="36"/>
  <c r="B17" i="36"/>
  <c r="B18" i="36"/>
  <c r="B71" i="35"/>
  <c r="F22" i="34" s="1"/>
  <c r="E22" i="34" s="1"/>
  <c r="B64" i="35"/>
  <c r="B70" i="35"/>
  <c r="F21" i="34" s="1"/>
  <c r="E21" i="34" s="1"/>
  <c r="B68" i="35"/>
  <c r="F19" i="34" s="1"/>
  <c r="E19" i="34" s="1"/>
  <c r="B69" i="35"/>
  <c r="F20" i="34" s="1"/>
  <c r="E20" i="34" s="1"/>
  <c r="B64" i="36"/>
  <c r="F36" i="34" s="1"/>
  <c r="E36" i="34" s="1"/>
  <c r="E63" i="35"/>
  <c r="E61" i="35"/>
  <c r="G62" i="35"/>
  <c r="G27" i="35"/>
  <c r="G60" i="35" s="1"/>
  <c r="G27" i="36"/>
  <c r="J62" i="35"/>
  <c r="J27" i="35"/>
  <c r="J60" i="35" s="1"/>
  <c r="J27" i="36"/>
  <c r="L63" i="35"/>
  <c r="L61" i="35"/>
  <c r="D63" i="35"/>
  <c r="D61" i="35"/>
  <c r="F27" i="35"/>
  <c r="F60" i="35" s="1"/>
  <c r="F27" i="36"/>
  <c r="F62" i="35"/>
  <c r="H63" i="35"/>
  <c r="H61" i="35"/>
  <c r="I62" i="35"/>
  <c r="K27" i="35"/>
  <c r="K60" i="35" s="1"/>
  <c r="K27" i="36"/>
  <c r="K63" i="35"/>
  <c r="K61" i="35"/>
  <c r="E62" i="35"/>
  <c r="E27" i="35"/>
  <c r="E60" i="35" s="1"/>
  <c r="E27" i="36"/>
  <c r="G63" i="35"/>
  <c r="G61" i="35"/>
  <c r="J63" i="35"/>
  <c r="J61" i="35"/>
  <c r="L62" i="35"/>
  <c r="L27" i="35"/>
  <c r="L60" i="35" s="1"/>
  <c r="L27" i="36"/>
  <c r="D27" i="35"/>
  <c r="D27" i="36"/>
  <c r="D62" i="35"/>
  <c r="F63" i="35"/>
  <c r="F61" i="35"/>
  <c r="H27" i="35"/>
  <c r="H60" i="35" s="1"/>
  <c r="H27" i="36"/>
  <c r="H62" i="35"/>
  <c r="I27" i="35"/>
  <c r="I60" i="35" s="1"/>
  <c r="I27" i="36"/>
  <c r="I61" i="35"/>
  <c r="K62" i="35"/>
  <c r="I13" i="34"/>
  <c r="I34" i="34"/>
  <c r="K34" i="34"/>
  <c r="K33" i="34"/>
  <c r="K13" i="34"/>
  <c r="K14" i="34"/>
  <c r="I36" i="34"/>
  <c r="K35" i="34"/>
  <c r="K15" i="34"/>
  <c r="C23" i="34"/>
  <c r="I11" i="34"/>
  <c r="I32" i="34"/>
  <c r="C44" i="34"/>
  <c r="I33" i="34"/>
  <c r="I14" i="34"/>
  <c r="I35" i="34"/>
  <c r="K36" i="34"/>
  <c r="K37" i="34"/>
  <c r="K38" i="34"/>
  <c r="G18" i="34"/>
  <c r="K39" i="34"/>
  <c r="K40" i="34"/>
  <c r="K41" i="34"/>
  <c r="K42" i="34"/>
  <c r="K43" i="34"/>
  <c r="K12" i="34"/>
  <c r="K16" i="34"/>
  <c r="K17" i="34"/>
  <c r="K18" i="34"/>
  <c r="K19" i="34"/>
  <c r="K20" i="34"/>
  <c r="K21" i="34"/>
  <c r="K22" i="34"/>
  <c r="K32" i="34" l="1"/>
  <c r="D44" i="34"/>
  <c r="K44" i="34" s="1"/>
  <c r="D60" i="35"/>
  <c r="G38" i="34"/>
  <c r="F61" i="36"/>
  <c r="J61" i="36"/>
  <c r="G61" i="36"/>
  <c r="K61" i="36"/>
  <c r="H61" i="36"/>
  <c r="L61" i="36"/>
  <c r="E61" i="36"/>
  <c r="I61" i="36"/>
  <c r="G37" i="34"/>
  <c r="G39" i="34"/>
  <c r="G16" i="34"/>
  <c r="K62" i="36"/>
  <c r="I63" i="36"/>
  <c r="H62" i="36"/>
  <c r="F63" i="36"/>
  <c r="J63" i="36"/>
  <c r="E62" i="36"/>
  <c r="K63" i="36"/>
  <c r="I62" i="36"/>
  <c r="L63" i="36"/>
  <c r="J62" i="36"/>
  <c r="G62" i="36"/>
  <c r="E63" i="36"/>
  <c r="G17" i="34"/>
  <c r="F15" i="34"/>
  <c r="E15" i="34" s="1"/>
  <c r="D62" i="36"/>
  <c r="D63" i="36"/>
  <c r="B15" i="36"/>
  <c r="B62" i="35"/>
  <c r="F13" i="34" s="1"/>
  <c r="B61" i="35"/>
  <c r="F12" i="34" s="1"/>
  <c r="I63" i="35"/>
  <c r="B63" i="35" s="1"/>
  <c r="F14" i="34" s="1"/>
  <c r="E72" i="35"/>
  <c r="E39" i="35"/>
  <c r="G36" i="34"/>
  <c r="D61" i="36"/>
  <c r="M27" i="35"/>
  <c r="I39" i="35"/>
  <c r="H72" i="35"/>
  <c r="H39" i="35"/>
  <c r="D39" i="35"/>
  <c r="L72" i="35"/>
  <c r="L39" i="35"/>
  <c r="K60" i="36"/>
  <c r="F60" i="36"/>
  <c r="J60" i="36"/>
  <c r="G60" i="36"/>
  <c r="I60" i="36"/>
  <c r="H60" i="36"/>
  <c r="D60" i="36"/>
  <c r="L60" i="36"/>
  <c r="E60" i="36"/>
  <c r="K72" i="35"/>
  <c r="K39" i="35"/>
  <c r="F72" i="35"/>
  <c r="F39" i="35"/>
  <c r="J72" i="35"/>
  <c r="J39" i="35"/>
  <c r="G72" i="35"/>
  <c r="G39" i="35"/>
  <c r="I15" i="34"/>
  <c r="I37" i="34"/>
  <c r="K11" i="34" l="1"/>
  <c r="D23" i="34"/>
  <c r="K23" i="34" s="1"/>
  <c r="I39" i="36"/>
  <c r="B61" i="36"/>
  <c r="F33" i="34" s="1"/>
  <c r="E33" i="34" s="1"/>
  <c r="H39" i="36"/>
  <c r="G39" i="36"/>
  <c r="E12" i="34"/>
  <c r="G12" i="34"/>
  <c r="F39" i="36"/>
  <c r="L39" i="36"/>
  <c r="K39" i="36"/>
  <c r="J39" i="36"/>
  <c r="E39" i="36"/>
  <c r="I72" i="36"/>
  <c r="J72" i="36"/>
  <c r="K72" i="36"/>
  <c r="H63" i="36"/>
  <c r="H72" i="36" s="1"/>
  <c r="G63" i="36"/>
  <c r="G72" i="36" s="1"/>
  <c r="L62" i="36"/>
  <c r="L72" i="36" s="1"/>
  <c r="F62" i="36"/>
  <c r="F72" i="36" s="1"/>
  <c r="E72" i="36"/>
  <c r="G15" i="34"/>
  <c r="D39" i="36"/>
  <c r="M27" i="36"/>
  <c r="B11" i="36"/>
  <c r="B12" i="36"/>
  <c r="B13" i="36"/>
  <c r="I72" i="35"/>
  <c r="B14" i="36"/>
  <c r="E14" i="34"/>
  <c r="G14" i="34"/>
  <c r="D72" i="35"/>
  <c r="B60" i="36"/>
  <c r="M39" i="35"/>
  <c r="E13" i="34"/>
  <c r="G13" i="34"/>
  <c r="D72" i="36"/>
  <c r="B60" i="35"/>
  <c r="F11" i="34" s="1"/>
  <c r="E11" i="34" s="1"/>
  <c r="I38" i="34"/>
  <c r="I16" i="34"/>
  <c r="G33" i="34" l="1"/>
  <c r="B63" i="36"/>
  <c r="F35" i="34" s="1"/>
  <c r="E35" i="34" s="1"/>
  <c r="B62" i="36"/>
  <c r="F34" i="34" s="1"/>
  <c r="G34" i="34" s="1"/>
  <c r="M39" i="36"/>
  <c r="F32" i="34"/>
  <c r="G11" i="34"/>
  <c r="I39" i="34"/>
  <c r="I17" i="34"/>
  <c r="G35" i="34" l="1"/>
  <c r="E34" i="34"/>
  <c r="E32" i="34"/>
  <c r="G32" i="34"/>
  <c r="I18" i="34"/>
  <c r="I40" i="34"/>
  <c r="I41" i="34" l="1"/>
  <c r="I19" i="34"/>
  <c r="I20" i="34" l="1"/>
  <c r="I43" i="34"/>
  <c r="I42" i="34"/>
  <c r="I44" i="34" l="1"/>
  <c r="H44" i="34" s="1"/>
  <c r="I21" i="34"/>
  <c r="I22" i="34" l="1"/>
  <c r="I23" i="34" s="1"/>
  <c r="H23" i="34" s="1"/>
  <c r="B72" i="35" l="1"/>
  <c r="L30" i="40" s="1"/>
  <c r="E13" i="40" s="1"/>
  <c r="E14" i="40" s="1"/>
  <c r="B71" i="36" l="1"/>
  <c r="F43" i="34" l="1"/>
  <c r="B72" i="36"/>
  <c r="L72" i="40" s="1"/>
  <c r="E55" i="40" s="1"/>
  <c r="E56" i="40" s="1"/>
  <c r="E43" i="34" l="1"/>
  <c r="G43" i="34"/>
  <c r="G21" i="34" l="1"/>
  <c r="E42" i="34"/>
  <c r="G22" i="34"/>
  <c r="G20" i="34"/>
  <c r="E41" i="34"/>
  <c r="F41" i="34" s="1"/>
  <c r="G41" i="34" s="1"/>
  <c r="G19" i="34"/>
  <c r="E40" i="34"/>
  <c r="F40" i="34" s="1"/>
  <c r="E44" i="34" l="1"/>
  <c r="F23" i="34"/>
  <c r="G40" i="34"/>
  <c r="F42" i="34"/>
  <c r="G42" i="34" s="1"/>
  <c r="K22" i="40" l="1"/>
  <c r="L26" i="40" s="1"/>
  <c r="L32" i="40" s="1"/>
  <c r="E16" i="40"/>
  <c r="F44" i="34"/>
  <c r="E58" i="40" s="1"/>
  <c r="E23" i="34"/>
  <c r="G23" i="34"/>
  <c r="E70" i="40" l="1"/>
  <c r="F72" i="40" s="1"/>
  <c r="E64" i="40"/>
  <c r="F68" i="40" s="1"/>
  <c r="E28" i="40"/>
  <c r="F30" i="40" s="1"/>
  <c r="E22" i="40"/>
  <c r="F26" i="40" s="1"/>
  <c r="G44" i="34"/>
  <c r="K64" i="40"/>
  <c r="L68" i="40" s="1"/>
  <c r="L74" i="40" s="1"/>
  <c r="F32" i="40" l="1"/>
  <c r="F74" i="40"/>
</calcChain>
</file>

<file path=xl/comments1.xml><?xml version="1.0" encoding="utf-8"?>
<comments xmlns="http://schemas.openxmlformats.org/spreadsheetml/2006/main">
  <authors>
    <author>Mike Young</author>
  </authors>
  <commentList>
    <comment ref="V17" authorId="0">
      <text>
        <r>
          <rPr>
            <b/>
            <sz val="9"/>
            <color indexed="81"/>
            <rFont val="Tahoma"/>
            <family val="2"/>
          </rPr>
          <t>Mike Young:</t>
        </r>
        <r>
          <rPr>
            <sz val="9"/>
            <color indexed="81"/>
            <rFont val="Tahoma"/>
            <family val="2"/>
          </rPr>
          <t xml:space="preserve">
adjusted to exclude $40,000 due to WM not receiving payment from SP due to bankruptcy.
If/when Brem Air receives compensation from bankruptcy procedings that amount will be added to future true-up calculations for the period in which the payment was received.</t>
        </r>
      </text>
    </comment>
    <comment ref="W19" authorId="0">
      <text>
        <r>
          <rPr>
            <b/>
            <sz val="9"/>
            <color indexed="81"/>
            <rFont val="Tahoma"/>
            <family val="2"/>
          </rPr>
          <t>Mike Young:</t>
        </r>
        <r>
          <rPr>
            <sz val="9"/>
            <color indexed="81"/>
            <rFont val="Tahoma"/>
            <family val="2"/>
          </rPr>
          <t xml:space="preserve">
$9875 is proportionate amount of $4000 revenue that was "written off" for SP Recycling bankruptcy</t>
        </r>
      </text>
    </comment>
    <comment ref="Q20" authorId="0">
      <text>
        <r>
          <rPr>
            <b/>
            <sz val="9"/>
            <color indexed="81"/>
            <rFont val="Tahoma"/>
            <family val="2"/>
          </rPr>
          <t>Mike Young:</t>
        </r>
        <r>
          <rPr>
            <sz val="9"/>
            <color indexed="81"/>
            <rFont val="Tahoma"/>
            <family val="2"/>
          </rPr>
          <t xml:space="preserve">
is this the actual revenue received?
No. This is the revenue calculated on the sale of all material by JMK each month and based on the material mix each month and the tonnage received from Brem-Air. The SP revenue is actual payment plus the WM cost embeddedin rates.</t>
        </r>
      </text>
    </comment>
    <comment ref="X37" authorId="0">
      <text>
        <r>
          <rPr>
            <b/>
            <sz val="9"/>
            <color indexed="81"/>
            <rFont val="Tahoma"/>
            <family val="2"/>
          </rPr>
          <t>Mike Young:</t>
        </r>
        <r>
          <rPr>
            <sz val="9"/>
            <color indexed="81"/>
            <rFont val="Tahoma"/>
            <family val="2"/>
          </rPr>
          <t xml:space="preserve">
This should have been divided by 7 months instead of 9 months. It was only paid out over 7 months.</t>
        </r>
      </text>
    </comment>
  </commentList>
</comments>
</file>

<file path=xl/comments2.xml><?xml version="1.0" encoding="utf-8"?>
<comments xmlns="http://schemas.openxmlformats.org/spreadsheetml/2006/main">
  <authors>
    <author>WMI-USER</author>
  </authors>
  <commentList>
    <comment ref="K5" authorId="0">
      <text>
        <r>
          <rPr>
            <sz val="8"/>
            <color indexed="81"/>
            <rFont val="Tahoma"/>
            <family val="2"/>
          </rPr>
          <t xml:space="preserve">$0/ton….value pays for outbound freight.
</t>
        </r>
      </text>
    </comment>
  </commentList>
</comments>
</file>

<file path=xl/sharedStrings.xml><?xml version="1.0" encoding="utf-8"?>
<sst xmlns="http://schemas.openxmlformats.org/spreadsheetml/2006/main" count="649" uniqueCount="153">
  <si>
    <t>Tons</t>
  </si>
  <si>
    <t>UBC</t>
  </si>
  <si>
    <t>HDPE</t>
  </si>
  <si>
    <t>PET</t>
  </si>
  <si>
    <t>Glass</t>
  </si>
  <si>
    <t>January</t>
  </si>
  <si>
    <t>February</t>
  </si>
  <si>
    <t>Revenue</t>
  </si>
  <si>
    <t>March</t>
  </si>
  <si>
    <t>April</t>
  </si>
  <si>
    <t>May</t>
  </si>
  <si>
    <t>June</t>
  </si>
  <si>
    <t>July</t>
  </si>
  <si>
    <t>August</t>
  </si>
  <si>
    <t>September</t>
  </si>
  <si>
    <t>October</t>
  </si>
  <si>
    <t>November</t>
  </si>
  <si>
    <t>December</t>
  </si>
  <si>
    <t>WM - Brem-Air</t>
  </si>
  <si>
    <t>Tonnage Delivered to SP recycling &amp; JMK Recycling</t>
  </si>
  <si>
    <t>Residential</t>
  </si>
  <si>
    <t>Multi-family</t>
  </si>
  <si>
    <t>Weighted</t>
  </si>
  <si>
    <t>Total</t>
  </si>
  <si>
    <t>Res'l</t>
  </si>
  <si>
    <t>MF</t>
  </si>
  <si>
    <t>Average</t>
  </si>
  <si>
    <t>Revenue/</t>
  </si>
  <si>
    <t>Credit/</t>
  </si>
  <si>
    <t>Credits</t>
  </si>
  <si>
    <t>lbs./</t>
  </si>
  <si>
    <t>Customers</t>
  </si>
  <si>
    <t>Rate/ton</t>
  </si>
  <si>
    <t>Customer</t>
  </si>
  <si>
    <t>Billed</t>
  </si>
  <si>
    <t>Unit</t>
  </si>
  <si>
    <t>Oct</t>
  </si>
  <si>
    <t>Nov</t>
  </si>
  <si>
    <t>Dec</t>
  </si>
  <si>
    <t>Feb</t>
  </si>
  <si>
    <t>Mar</t>
  </si>
  <si>
    <t>Apr</t>
  </si>
  <si>
    <t>Jun</t>
  </si>
  <si>
    <t>Jul</t>
  </si>
  <si>
    <t>Aug</t>
  </si>
  <si>
    <t>Prior 12 Months</t>
  </si>
  <si>
    <t>Jan</t>
  </si>
  <si>
    <t>Baled</t>
  </si>
  <si>
    <t>Steel Cans</t>
  </si>
  <si>
    <t>Mixed</t>
  </si>
  <si>
    <t>MP</t>
  </si>
  <si>
    <t>OCC</t>
  </si>
  <si>
    <t>Aluminum</t>
  </si>
  <si>
    <t>Tin</t>
  </si>
  <si>
    <t>Natural</t>
  </si>
  <si>
    <t>Colored</t>
  </si>
  <si>
    <t>Plastics</t>
  </si>
  <si>
    <t>SS Mix:</t>
  </si>
  <si>
    <t>Price/ton:</t>
  </si>
  <si>
    <t>Sep</t>
  </si>
  <si>
    <t>SS Tons</t>
  </si>
  <si>
    <t>Revenue:</t>
  </si>
  <si>
    <t>JMK</t>
  </si>
  <si>
    <t xml:space="preserve">Recycling </t>
  </si>
  <si>
    <t>Facility</t>
  </si>
  <si>
    <t>Brem-Air commodity adjustment</t>
  </si>
  <si>
    <t>Based on previous UTC Staff analyses</t>
  </si>
  <si>
    <t>per docket TG-121822</t>
  </si>
  <si>
    <t>2012-2013</t>
  </si>
  <si>
    <t>Commodity</t>
  </si>
  <si>
    <t>Credit</t>
  </si>
  <si>
    <t>Projected Revenue Sep 2011-Aug 2012</t>
  </si>
  <si>
    <t>Sep - Oct projected value without adjustment factor</t>
  </si>
  <si>
    <t>Nov - Aug projected value without adjustment factor</t>
  </si>
  <si>
    <t>Actual Commodity Revenue (gross revenue from affiliated processor)</t>
  </si>
  <si>
    <t xml:space="preserve">    Revenues from JMK (Sept. - Jan) as a 3rd party</t>
  </si>
  <si>
    <t xml:space="preserve">    JMK Affiliated revenue (Feb. - Aug.)</t>
  </si>
  <si>
    <t>Less: processing fees (Sept - Jan)</t>
  </si>
  <si>
    <t>Net commodity Revenue</t>
  </si>
  <si>
    <t>Owe Customer (company)</t>
  </si>
  <si>
    <t>Total Customers</t>
  </si>
  <si>
    <t>Commodity Adjustment</t>
  </si>
  <si>
    <t>Projected Revenue Sep 2012-Aug 2013</t>
  </si>
  <si>
    <t>Projected Value</t>
  </si>
  <si>
    <t>Residential Commodity Adjustment</t>
  </si>
  <si>
    <t>Adjustment for Nov 2012- Jan 2013</t>
  </si>
  <si>
    <t>Adjustment</t>
  </si>
  <si>
    <t>Residential Commodity Credit</t>
  </si>
  <si>
    <t>Multi-family Commodity Adjustment</t>
  </si>
  <si>
    <t>Brem-Air Disposal</t>
  </si>
  <si>
    <t>WUTC Recycling Counts</t>
  </si>
  <si>
    <t>M/F</t>
  </si>
  <si>
    <t>Counts</t>
  </si>
  <si>
    <t>Units</t>
  </si>
  <si>
    <t>Average Count</t>
  </si>
  <si>
    <t>2013-2014</t>
  </si>
  <si>
    <t>Projected Revenue Sep 2013-Aug 2014</t>
  </si>
  <si>
    <t>Month</t>
  </si>
  <si>
    <t>Passback Price/ton schedule</t>
  </si>
  <si>
    <t>ONP 6</t>
  </si>
  <si>
    <t>Mixed Paper</t>
  </si>
  <si>
    <t>Alum.</t>
  </si>
  <si>
    <t>Plastics 3-7</t>
  </si>
  <si>
    <t>Residue</t>
  </si>
  <si>
    <t>Feb - Aug projected value without adjustment factor</t>
  </si>
  <si>
    <t>Summary of Single Stream Commodity Mix and Prices</t>
  </si>
  <si>
    <t>Residential Tonnage</t>
  </si>
  <si>
    <t>MF Tonnage</t>
  </si>
  <si>
    <t>WUTC</t>
  </si>
  <si>
    <t>Non -reg</t>
  </si>
  <si>
    <t>ONP</t>
  </si>
  <si>
    <t>%</t>
  </si>
  <si>
    <t>Reg.</t>
  </si>
  <si>
    <t>Do not use cumulative method</t>
  </si>
  <si>
    <t>per docket TG-131757</t>
  </si>
  <si>
    <t>Temporary Rates TG-121484</t>
  </si>
  <si>
    <t>2011-2012</t>
  </si>
  <si>
    <t>Projected Revenue Sep 2010-Aug 2011</t>
  </si>
  <si>
    <t>Sept - Oct. projected value without adjustment factor</t>
  </si>
  <si>
    <t>Nov - Jan projected value without adjustment factor</t>
  </si>
  <si>
    <t>Nov-Aug projected value without adjustment factor</t>
  </si>
  <si>
    <t>Actual Commodity Revenue (adj. to reflect current customers)</t>
  </si>
  <si>
    <t xml:space="preserve">    JMK Affiliated revenue (Sep. - Apr.)</t>
  </si>
  <si>
    <t xml:space="preserve">    SP Recycling revenue (May. - Aug.)</t>
  </si>
  <si>
    <t>Less: processing fees</t>
  </si>
  <si>
    <t>(3rd party processor - net of processing fees)</t>
  </si>
  <si>
    <t>Total Credit per TG-121484 @ $1.01</t>
  </si>
  <si>
    <t>Total Credit per TG-121822 @ $3.11</t>
  </si>
  <si>
    <t>Prior Period Adjustment</t>
  </si>
  <si>
    <t>Adj. for Nov 2012-Jan 2012 for prior year</t>
  </si>
  <si>
    <t>Adj. for Nov 2012-Jan 2012 for current year</t>
  </si>
  <si>
    <t>Total Adjustment</t>
  </si>
  <si>
    <t>Actual Credit</t>
  </si>
  <si>
    <t>Actual Commodity Revenue</t>
  </si>
  <si>
    <t>Multi-family Commodity Credit</t>
  </si>
  <si>
    <t>Total Credit per TG-121484 @ $0.17</t>
  </si>
  <si>
    <t>Total Credit per TG-121822 @ $0.50</t>
  </si>
  <si>
    <t>2014-2015</t>
  </si>
  <si>
    <t>Projected Revenue Sep 2014-Aug 2015</t>
  </si>
  <si>
    <t>2015-2016</t>
  </si>
  <si>
    <t>Sep., 2014</t>
  </si>
  <si>
    <t>Jan., 2015</t>
  </si>
  <si>
    <t>September 2014 - August 2015</t>
  </si>
  <si>
    <t>Newspaper</t>
  </si>
  <si>
    <t>Sep; 2014</t>
  </si>
  <si>
    <t>Jan; 2015</t>
  </si>
  <si>
    <t>Delivered</t>
  </si>
  <si>
    <t>Projected Revenue Sep 2015-Aug 2016</t>
  </si>
  <si>
    <t>Single</t>
  </si>
  <si>
    <t>Family</t>
  </si>
  <si>
    <t>Single Family</t>
  </si>
  <si>
    <t>Multi-Family</t>
  </si>
  <si>
    <t>Tonnage Delivered to JMK Recycling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</si>
</sst>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0_);_(&quot;$&quot;* \(#,##0.0000\);_(&quot;$&quot;* &quot;-&quot;??_);_(@_)"/>
  </numFmts>
  <fonts count="36" x14ac:knownFonts="1">
    <font>
      <sz val="10"/>
      <name val="Arial"/>
    </font>
    <font>
      <sz val="10"/>
      <name val="Arial"/>
      <family val="2"/>
    </font>
    <font>
      <b/>
      <sz val="12"/>
      <name val="Arial"/>
      <family val="2"/>
    </font>
    <font>
      <sz val="10"/>
      <color indexed="10"/>
      <name val="Arial"/>
      <family val="2"/>
    </font>
    <font>
      <sz val="8"/>
      <color indexed="81"/>
      <name val="Tahoma"/>
      <family val="2"/>
    </font>
    <font>
      <b/>
      <sz val="10"/>
      <name val="Arial"/>
      <family val="2"/>
    </font>
    <font>
      <b/>
      <u/>
      <sz val="10"/>
      <name val="Arial"/>
      <family val="2"/>
    </font>
    <font>
      <b/>
      <sz val="14"/>
      <name val="Arial"/>
      <family val="2"/>
    </font>
    <font>
      <sz val="10"/>
      <name val="Arial"/>
      <family val="2"/>
    </font>
    <font>
      <b/>
      <sz val="20"/>
      <name val="Arial"/>
      <family val="2"/>
    </font>
    <font>
      <b/>
      <sz val="11"/>
      <name val="Arial"/>
      <family val="2"/>
    </font>
    <font>
      <b/>
      <i/>
      <u/>
      <sz val="10"/>
      <name val="Arial"/>
      <family val="2"/>
    </font>
    <font>
      <u val="singleAccounting"/>
      <sz val="10"/>
      <name val="Arial"/>
      <family val="2"/>
    </font>
    <font>
      <b/>
      <u val="doubleAccounting"/>
      <sz val="10"/>
      <name val="Arial"/>
      <family val="2"/>
    </font>
    <font>
      <u val="doubleAccounting"/>
      <sz val="10"/>
      <name val="Arial"/>
      <family val="2"/>
    </font>
    <font>
      <sz val="12"/>
      <name val="Comic Sans MS"/>
      <family val="4"/>
    </font>
    <font>
      <b/>
      <sz val="11"/>
      <color indexed="10"/>
      <name val="Comic Sans MS"/>
      <family val="4"/>
    </font>
    <font>
      <b/>
      <sz val="16"/>
      <name val="Arial"/>
      <family val="2"/>
    </font>
    <font>
      <i/>
      <u/>
      <sz val="12"/>
      <name val="Comic Sans MS"/>
      <family val="4"/>
    </font>
    <font>
      <b/>
      <sz val="10"/>
      <name val="Comic Sans MS"/>
      <family val="4"/>
    </font>
    <font>
      <b/>
      <sz val="10"/>
      <color indexed="12"/>
      <name val="Arial"/>
      <family val="2"/>
    </font>
    <font>
      <sz val="9"/>
      <name val="Arial"/>
      <family val="2"/>
    </font>
    <font>
      <b/>
      <sz val="11"/>
      <name val="Comic Sans MS"/>
      <family val="4"/>
    </font>
    <font>
      <b/>
      <sz val="9"/>
      <color indexed="81"/>
      <name val="Tahoma"/>
      <family val="2"/>
    </font>
    <font>
      <sz val="9"/>
      <color indexed="81"/>
      <name val="Tahoma"/>
      <family val="2"/>
    </font>
    <font>
      <sz val="12"/>
      <name val="Arial"/>
      <family val="2"/>
    </font>
    <font>
      <u val="singleAccounting"/>
      <sz val="12"/>
      <name val="Arial"/>
      <family val="2"/>
    </font>
    <font>
      <b/>
      <u val="doubleAccounting"/>
      <sz val="12"/>
      <name val="Arial"/>
      <family val="2"/>
    </font>
    <font>
      <b/>
      <u/>
      <sz val="12"/>
      <name val="Arial"/>
      <family val="2"/>
    </font>
    <font>
      <sz val="10"/>
      <name val="Arial"/>
      <family val="2"/>
    </font>
    <font>
      <b/>
      <i/>
      <u/>
      <sz val="12"/>
      <name val="Arial"/>
      <family val="2"/>
    </font>
    <font>
      <b/>
      <u val="double"/>
      <sz val="12"/>
      <name val="Arial"/>
      <family val="2"/>
    </font>
    <font>
      <u/>
      <sz val="10"/>
      <name val="Arial"/>
      <family val="2"/>
    </font>
    <font>
      <u/>
      <sz val="12"/>
      <name val="Arial"/>
      <family val="2"/>
    </font>
    <font>
      <b/>
      <sz val="9"/>
      <color theme="1"/>
      <name val="Arial"/>
      <family val="2"/>
    </font>
    <font>
      <b/>
      <u val="double"/>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theme="6" tint="0.59999389629810485"/>
        <bgColor indexed="64"/>
      </patternFill>
    </fill>
    <fill>
      <patternFill patternType="solid">
        <fgColor theme="9" tint="0.79998168889431442"/>
        <bgColor indexed="64"/>
      </patternFill>
    </fill>
  </fills>
  <borders count="17">
    <border>
      <left/>
      <right/>
      <top/>
      <bottom/>
      <diagonal/>
    </border>
    <border>
      <left/>
      <right/>
      <top style="double">
        <color indexed="64"/>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theme="5"/>
      </left>
      <right style="thin">
        <color theme="5"/>
      </right>
      <top style="thin">
        <color theme="5"/>
      </top>
      <bottom style="thin">
        <color theme="5"/>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s>
  <cellStyleXfs count="11">
    <xf numFmtId="0" fontId="0" fillId="0" borderId="0"/>
    <xf numFmtId="0" fontId="1" fillId="0" borderId="1" applyNumberFormat="0" applyFill="0" applyAlignment="0" applyProtection="0"/>
    <xf numFmtId="43" fontId="8" fillId="0" borderId="0" applyFont="0" applyFill="0" applyBorder="0" applyAlignment="0" applyProtection="0"/>
    <xf numFmtId="44" fontId="8" fillId="0" borderId="0" applyFont="0" applyFill="0" applyBorder="0" applyAlignment="0" applyProtection="0"/>
    <xf numFmtId="0" fontId="1" fillId="0" borderId="0"/>
    <xf numFmtId="9"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2">
    <xf numFmtId="0" fontId="0" fillId="0" borderId="0" xfId="0"/>
    <xf numFmtId="0" fontId="2" fillId="0" borderId="0" xfId="0" applyFont="1"/>
    <xf numFmtId="0" fontId="5" fillId="0" borderId="0" xfId="0" applyFont="1" applyAlignment="1">
      <alignment horizontal="center"/>
    </xf>
    <xf numFmtId="0" fontId="0" fillId="0" borderId="0" xfId="0" applyAlignment="1">
      <alignment horizontal="center"/>
    </xf>
    <xf numFmtId="0" fontId="1" fillId="0" borderId="0" xfId="0" applyFont="1"/>
    <xf numFmtId="0" fontId="7" fillId="0" borderId="0" xfId="0" applyFont="1"/>
    <xf numFmtId="0" fontId="5" fillId="0" borderId="0" xfId="0" applyFont="1"/>
    <xf numFmtId="0" fontId="9" fillId="0" borderId="0" xfId="0" applyFont="1"/>
    <xf numFmtId="0" fontId="10" fillId="0" borderId="0" xfId="0" applyFont="1"/>
    <xf numFmtId="0" fontId="11" fillId="0" borderId="0" xfId="0" applyFont="1" applyAlignment="1">
      <alignment horizontal="center"/>
    </xf>
    <xf numFmtId="0" fontId="6" fillId="0" borderId="0" xfId="0" applyFont="1" applyAlignment="1">
      <alignment horizontal="center"/>
    </xf>
    <xf numFmtId="0" fontId="5" fillId="0" borderId="0" xfId="0" applyFont="1" applyAlignment="1" applyProtection="1">
      <alignment horizontal="center"/>
    </xf>
    <xf numFmtId="0" fontId="6" fillId="0" borderId="0" xfId="0" applyFont="1"/>
    <xf numFmtId="0" fontId="6" fillId="0" borderId="0" xfId="0" applyFont="1" applyAlignment="1" applyProtection="1">
      <alignment horizontal="center"/>
    </xf>
    <xf numFmtId="0" fontId="11" fillId="0" borderId="0" xfId="0" applyFont="1" applyProtection="1"/>
    <xf numFmtId="0" fontId="1" fillId="0" borderId="0" xfId="0" applyFont="1" applyProtection="1"/>
    <xf numFmtId="164" fontId="1" fillId="0" borderId="0" xfId="2" applyNumberFormat="1" applyFont="1"/>
    <xf numFmtId="43" fontId="0" fillId="0" borderId="0" xfId="0" applyNumberFormat="1"/>
    <xf numFmtId="44" fontId="0" fillId="0" borderId="0" xfId="3" applyFont="1"/>
    <xf numFmtId="165" fontId="1" fillId="0" borderId="0" xfId="3" applyNumberFormat="1" applyFont="1" applyBorder="1" applyAlignment="1" applyProtection="1">
      <alignment horizontal="center"/>
    </xf>
    <xf numFmtId="165" fontId="0" fillId="0" borderId="0" xfId="3" applyNumberFormat="1" applyFont="1"/>
    <xf numFmtId="43" fontId="0" fillId="0" borderId="0" xfId="2" applyFont="1"/>
    <xf numFmtId="44" fontId="1" fillId="0" borderId="0" xfId="3" applyFont="1"/>
    <xf numFmtId="164" fontId="12" fillId="0" borderId="0" xfId="2" applyNumberFormat="1" applyFont="1"/>
    <xf numFmtId="43" fontId="12" fillId="0" borderId="0" xfId="0" applyNumberFormat="1" applyFont="1"/>
    <xf numFmtId="44" fontId="12" fillId="0" borderId="0" xfId="3" applyFont="1"/>
    <xf numFmtId="165" fontId="12" fillId="0" borderId="0" xfId="3" applyNumberFormat="1" applyFont="1" applyBorder="1" applyAlignment="1" applyProtection="1">
      <alignment horizontal="center"/>
    </xf>
    <xf numFmtId="165" fontId="12" fillId="0" borderId="0" xfId="3" applyNumberFormat="1" applyFont="1"/>
    <xf numFmtId="43" fontId="12" fillId="0" borderId="0" xfId="2" applyFont="1"/>
    <xf numFmtId="0" fontId="12" fillId="0" borderId="0" xfId="0" applyFont="1"/>
    <xf numFmtId="164" fontId="13" fillId="0" borderId="0" xfId="0" applyNumberFormat="1" applyFont="1"/>
    <xf numFmtId="43" fontId="13" fillId="0" borderId="0" xfId="0" applyNumberFormat="1" applyFont="1"/>
    <xf numFmtId="44" fontId="13" fillId="0" borderId="0" xfId="0" applyNumberFormat="1" applyFont="1" applyProtection="1"/>
    <xf numFmtId="165" fontId="13" fillId="0" borderId="0" xfId="3" applyNumberFormat="1" applyFont="1" applyProtection="1"/>
    <xf numFmtId="44" fontId="13" fillId="0" borderId="0" xfId="3" applyFont="1"/>
    <xf numFmtId="0" fontId="14" fillId="0" borderId="0" xfId="0" applyFont="1"/>
    <xf numFmtId="43" fontId="13" fillId="0" borderId="0" xfId="2" applyFont="1"/>
    <xf numFmtId="0" fontId="13" fillId="0" borderId="0" xfId="0" applyFont="1"/>
    <xf numFmtId="44" fontId="0" fillId="0" borderId="0" xfId="0" applyNumberFormat="1"/>
    <xf numFmtId="165" fontId="13" fillId="0" borderId="0" xfId="0" applyNumberFormat="1" applyFont="1"/>
    <xf numFmtId="0" fontId="1" fillId="0" borderId="0" xfId="4"/>
    <xf numFmtId="0" fontId="5" fillId="0" borderId="0" xfId="4" applyFont="1" applyAlignment="1">
      <alignment horizontal="center"/>
    </xf>
    <xf numFmtId="0" fontId="6" fillId="0" borderId="0" xfId="4" applyFont="1" applyAlignment="1">
      <alignment horizontal="center"/>
    </xf>
    <xf numFmtId="10" fontId="0" fillId="0" borderId="0" xfId="0" applyNumberFormat="1"/>
    <xf numFmtId="0" fontId="1" fillId="0" borderId="0" xfId="0" applyFont="1" applyAlignment="1" applyProtection="1">
      <alignment horizontal="center"/>
    </xf>
    <xf numFmtId="0" fontId="1" fillId="0" borderId="0" xfId="0" applyFont="1" applyAlignment="1">
      <alignment horizontal="center"/>
    </xf>
    <xf numFmtId="0" fontId="15" fillId="2" borderId="4" xfId="0" applyFont="1" applyFill="1" applyBorder="1"/>
    <xf numFmtId="0" fontId="15" fillId="2" borderId="5" xfId="0" applyFont="1" applyFill="1" applyBorder="1"/>
    <xf numFmtId="0" fontId="0" fillId="2" borderId="5" xfId="0" applyFill="1" applyBorder="1"/>
    <xf numFmtId="0" fontId="0" fillId="2" borderId="6" xfId="0" applyFill="1" applyBorder="1"/>
    <xf numFmtId="0" fontId="5" fillId="2" borderId="7" xfId="0" applyFont="1" applyFill="1" applyBorder="1"/>
    <xf numFmtId="0" fontId="5" fillId="2" borderId="0" xfId="0" applyFont="1" applyFill="1" applyBorder="1"/>
    <xf numFmtId="0" fontId="16" fillId="2" borderId="0" xfId="0" applyFont="1" applyFill="1" applyBorder="1"/>
    <xf numFmtId="0" fontId="0" fillId="2" borderId="0" xfId="0" applyFill="1" applyBorder="1"/>
    <xf numFmtId="0" fontId="0" fillId="2" borderId="8" xfId="0" applyFill="1" applyBorder="1"/>
    <xf numFmtId="15" fontId="5" fillId="2" borderId="7" xfId="0" applyNumberFormat="1" applyFont="1" applyFill="1" applyBorder="1"/>
    <xf numFmtId="15" fontId="5" fillId="2" borderId="0" xfId="0" applyNumberFormat="1" applyFont="1" applyFill="1" applyBorder="1"/>
    <xf numFmtId="0" fontId="0" fillId="2" borderId="7" xfId="0" applyFill="1" applyBorder="1"/>
    <xf numFmtId="0" fontId="5" fillId="2" borderId="0" xfId="0" applyFont="1" applyFill="1" applyBorder="1" applyAlignment="1">
      <alignment horizontal="center"/>
    </xf>
    <xf numFmtId="0" fontId="6" fillId="2" borderId="0" xfId="0" applyFont="1" applyFill="1" applyBorder="1" applyAlignment="1">
      <alignment horizontal="center"/>
    </xf>
    <xf numFmtId="0" fontId="19" fillId="2" borderId="9" xfId="0" applyFont="1" applyFill="1" applyBorder="1"/>
    <xf numFmtId="0" fontId="19" fillId="2" borderId="0" xfId="0" applyFont="1" applyFill="1" applyBorder="1"/>
    <xf numFmtId="0" fontId="0" fillId="2" borderId="0" xfId="0" applyFill="1" applyBorder="1" applyAlignment="1">
      <alignment horizontal="center"/>
    </xf>
    <xf numFmtId="0" fontId="1" fillId="2" borderId="7" xfId="0" applyFont="1" applyFill="1" applyBorder="1"/>
    <xf numFmtId="41" fontId="0" fillId="2" borderId="0" xfId="0" applyNumberFormat="1" applyFill="1" applyBorder="1"/>
    <xf numFmtId="0" fontId="21" fillId="2" borderId="0" xfId="0" applyFont="1" applyFill="1" applyBorder="1"/>
    <xf numFmtId="41" fontId="12" fillId="2" borderId="0" xfId="0" applyNumberFormat="1" applyFont="1" applyFill="1" applyBorder="1"/>
    <xf numFmtId="164" fontId="0" fillId="2" borderId="0" xfId="0" applyNumberFormat="1" applyFill="1" applyBorder="1"/>
    <xf numFmtId="41" fontId="12" fillId="2" borderId="10" xfId="0" applyNumberFormat="1" applyFont="1" applyFill="1" applyBorder="1"/>
    <xf numFmtId="0" fontId="1" fillId="2" borderId="7" xfId="0" applyFont="1" applyFill="1" applyBorder="1" applyAlignment="1">
      <alignment horizontal="right"/>
    </xf>
    <xf numFmtId="0" fontId="5" fillId="2" borderId="9" xfId="0" applyFont="1" applyFill="1" applyBorder="1"/>
    <xf numFmtId="44" fontId="0" fillId="2" borderId="0" xfId="0" applyNumberFormat="1" applyFill="1" applyBorder="1"/>
    <xf numFmtId="44" fontId="0" fillId="2" borderId="2" xfId="0" applyNumberFormat="1" applyFill="1" applyBorder="1"/>
    <xf numFmtId="0" fontId="5" fillId="2" borderId="2" xfId="0" applyFont="1" applyFill="1" applyBorder="1" applyAlignment="1">
      <alignment horizontal="center"/>
    </xf>
    <xf numFmtId="43" fontId="12" fillId="2" borderId="8" xfId="0" applyNumberFormat="1" applyFont="1" applyFill="1" applyBorder="1"/>
    <xf numFmtId="0" fontId="0" fillId="2" borderId="12" xfId="0" applyFill="1" applyBorder="1"/>
    <xf numFmtId="0" fontId="0" fillId="2" borderId="13" xfId="0" applyFill="1" applyBorder="1"/>
    <xf numFmtId="0" fontId="0" fillId="2" borderId="14" xfId="0" applyFill="1" applyBorder="1"/>
    <xf numFmtId="0" fontId="25" fillId="0" borderId="0" xfId="0" applyFont="1"/>
    <xf numFmtId="0" fontId="25" fillId="0" borderId="0" xfId="0" applyFont="1" applyAlignment="1">
      <alignment horizontal="center"/>
    </xf>
    <xf numFmtId="164" fontId="25" fillId="0" borderId="0" xfId="2" applyNumberFormat="1" applyFont="1"/>
    <xf numFmtId="164" fontId="26" fillId="0" borderId="0" xfId="2" applyNumberFormat="1" applyFont="1"/>
    <xf numFmtId="164" fontId="27" fillId="0" borderId="0" xfId="0" applyNumberFormat="1" applyFont="1"/>
    <xf numFmtId="0" fontId="27" fillId="0" borderId="0" xfId="0" applyFont="1"/>
    <xf numFmtId="0" fontId="28" fillId="0" borderId="0" xfId="0" applyFont="1" applyAlignment="1">
      <alignment horizontal="center"/>
    </xf>
    <xf numFmtId="44" fontId="0" fillId="2" borderId="8" xfId="0" applyNumberFormat="1" applyFill="1" applyBorder="1"/>
    <xf numFmtId="0" fontId="5" fillId="0" borderId="15" xfId="0" applyFont="1" applyBorder="1"/>
    <xf numFmtId="0" fontId="5" fillId="3" borderId="15" xfId="0" applyFont="1" applyFill="1" applyBorder="1"/>
    <xf numFmtId="0" fontId="0" fillId="3" borderId="15" xfId="0" applyFill="1" applyBorder="1"/>
    <xf numFmtId="0" fontId="5" fillId="3" borderId="15" xfId="0" applyFont="1" applyFill="1" applyBorder="1" applyAlignment="1">
      <alignment horizontal="center"/>
    </xf>
    <xf numFmtId="0" fontId="0" fillId="0" borderId="15" xfId="0" applyBorder="1"/>
    <xf numFmtId="0" fontId="5" fillId="3" borderId="15" xfId="0" applyFont="1" applyFill="1" applyBorder="1" applyAlignment="1" applyProtection="1">
      <alignment horizontal="center"/>
    </xf>
    <xf numFmtId="0" fontId="0" fillId="0" borderId="15" xfId="0" applyFill="1" applyBorder="1"/>
    <xf numFmtId="0" fontId="3" fillId="0" borderId="15" xfId="0" applyFont="1" applyFill="1" applyBorder="1"/>
    <xf numFmtId="17" fontId="5" fillId="0" borderId="15" xfId="0" applyNumberFormat="1" applyFont="1" applyFill="1" applyBorder="1" applyAlignment="1">
      <alignment horizontal="right"/>
    </xf>
    <xf numFmtId="44" fontId="1" fillId="0" borderId="15" xfId="3" applyFont="1" applyFill="1" applyBorder="1"/>
    <xf numFmtId="10" fontId="0" fillId="0" borderId="0" xfId="5" applyNumberFormat="1" applyFont="1"/>
    <xf numFmtId="0" fontId="6" fillId="0" borderId="0" xfId="4" applyFont="1" applyFill="1" applyAlignment="1">
      <alignment horizontal="center"/>
    </xf>
    <xf numFmtId="0" fontId="11" fillId="0" borderId="0" xfId="0" applyFont="1" applyAlignment="1">
      <alignment horizontal="center"/>
    </xf>
    <xf numFmtId="10" fontId="1" fillId="0" borderId="0" xfId="5" applyNumberFormat="1" applyFont="1" applyAlignment="1">
      <alignment horizontal="right"/>
    </xf>
    <xf numFmtId="10" fontId="1" fillId="0" borderId="0" xfId="4" applyNumberFormat="1" applyFont="1" applyAlignment="1">
      <alignment horizontal="right"/>
    </xf>
    <xf numFmtId="10" fontId="1" fillId="0" borderId="0" xfId="5" applyNumberFormat="1" applyFont="1"/>
    <xf numFmtId="44" fontId="5" fillId="0" borderId="15" xfId="0" applyNumberFormat="1" applyFont="1" applyBorder="1"/>
    <xf numFmtId="0" fontId="11" fillId="0" borderId="0" xfId="0" applyFont="1" applyAlignment="1">
      <alignment horizontal="left"/>
    </xf>
    <xf numFmtId="0" fontId="30" fillId="0" borderId="0" xfId="0" applyFont="1" applyAlignment="1">
      <alignment horizontal="left"/>
    </xf>
    <xf numFmtId="44" fontId="1" fillId="0" borderId="0" xfId="0" applyNumberFormat="1" applyFont="1"/>
    <xf numFmtId="2" fontId="0" fillId="0" borderId="0" xfId="0" applyNumberFormat="1"/>
    <xf numFmtId="9" fontId="0" fillId="0" borderId="0" xfId="5" applyFont="1"/>
    <xf numFmtId="10" fontId="1" fillId="0" borderId="0" xfId="0" applyNumberFormat="1" applyFont="1"/>
    <xf numFmtId="2" fontId="32" fillId="0" borderId="0" xfId="0" applyNumberFormat="1" applyFont="1"/>
    <xf numFmtId="44" fontId="20" fillId="2" borderId="0" xfId="6" applyFont="1" applyFill="1" applyBorder="1"/>
    <xf numFmtId="0" fontId="21" fillId="2" borderId="7" xfId="0" applyFont="1" applyFill="1" applyBorder="1"/>
    <xf numFmtId="44" fontId="1" fillId="2" borderId="8" xfId="6" applyFont="1" applyFill="1" applyBorder="1"/>
    <xf numFmtId="165" fontId="1" fillId="2" borderId="0" xfId="6" applyNumberFormat="1" applyFont="1" applyFill="1" applyBorder="1"/>
    <xf numFmtId="164" fontId="1" fillId="2" borderId="0" xfId="10" applyNumberFormat="1" applyFont="1" applyFill="1" applyBorder="1"/>
    <xf numFmtId="44" fontId="12" fillId="2" borderId="8" xfId="6" applyNumberFormat="1" applyFont="1" applyFill="1" applyBorder="1"/>
    <xf numFmtId="44" fontId="12" fillId="2" borderId="8" xfId="6" applyFont="1" applyFill="1" applyBorder="1"/>
    <xf numFmtId="44" fontId="22" fillId="2" borderId="11" xfId="6" applyNumberFormat="1" applyFont="1" applyFill="1" applyBorder="1"/>
    <xf numFmtId="44" fontId="22" fillId="2" borderId="11" xfId="6" applyFont="1" applyFill="1" applyBorder="1"/>
    <xf numFmtId="44" fontId="22" fillId="2" borderId="8" xfId="6" applyNumberFormat="1" applyFont="1" applyFill="1" applyBorder="1"/>
    <xf numFmtId="44" fontId="22" fillId="2" borderId="8" xfId="6" applyFont="1" applyFill="1" applyBorder="1"/>
    <xf numFmtId="0" fontId="0" fillId="2" borderId="0" xfId="0" applyFill="1"/>
    <xf numFmtId="0" fontId="1" fillId="2" borderId="0" xfId="0" applyFont="1" applyFill="1" applyBorder="1" applyAlignment="1">
      <alignment horizontal="right"/>
    </xf>
    <xf numFmtId="44" fontId="5" fillId="2" borderId="0" xfId="0" applyNumberFormat="1" applyFont="1" applyFill="1" applyBorder="1"/>
    <xf numFmtId="44" fontId="13" fillId="2" borderId="8" xfId="0" applyNumberFormat="1" applyFont="1" applyFill="1" applyBorder="1"/>
    <xf numFmtId="0" fontId="0" fillId="2" borderId="16" xfId="0" applyFill="1" applyBorder="1"/>
    <xf numFmtId="0" fontId="1" fillId="2" borderId="0" xfId="0" applyFont="1" applyFill="1" applyBorder="1"/>
    <xf numFmtId="44" fontId="1" fillId="2" borderId="8" xfId="6" applyNumberFormat="1" applyFont="1" applyFill="1" applyBorder="1"/>
    <xf numFmtId="0" fontId="1" fillId="2" borderId="2" xfId="0" applyFont="1" applyFill="1" applyBorder="1" applyAlignment="1">
      <alignment horizontal="right"/>
    </xf>
    <xf numFmtId="44" fontId="5" fillId="2" borderId="14" xfId="0" applyNumberFormat="1" applyFont="1" applyFill="1" applyBorder="1"/>
    <xf numFmtId="0" fontId="15" fillId="4" borderId="4" xfId="0" applyFont="1" applyFill="1" applyBorder="1"/>
    <xf numFmtId="0" fontId="15" fillId="4" borderId="5" xfId="0" applyFont="1" applyFill="1" applyBorder="1"/>
    <xf numFmtId="0" fontId="0" fillId="4" borderId="5" xfId="0" applyFill="1" applyBorder="1"/>
    <xf numFmtId="0" fontId="5" fillId="4" borderId="7" xfId="0" applyFont="1" applyFill="1" applyBorder="1"/>
    <xf numFmtId="0" fontId="5" fillId="4" borderId="0" xfId="0" applyFont="1" applyFill="1" applyBorder="1"/>
    <xf numFmtId="0" fontId="16" fillId="4" borderId="0" xfId="0" applyFont="1" applyFill="1" applyBorder="1"/>
    <xf numFmtId="0" fontId="0" fillId="4" borderId="0" xfId="0" applyFill="1" applyBorder="1"/>
    <xf numFmtId="15" fontId="5" fillId="4" borderId="7" xfId="0" applyNumberFormat="1" applyFont="1" applyFill="1" applyBorder="1"/>
    <xf numFmtId="15" fontId="5" fillId="4" borderId="0" xfId="0" applyNumberFormat="1" applyFont="1" applyFill="1" applyBorder="1"/>
    <xf numFmtId="0" fontId="0" fillId="4" borderId="7" xfId="0" applyFill="1" applyBorder="1"/>
    <xf numFmtId="0" fontId="5" fillId="4" borderId="0" xfId="0" applyFont="1" applyFill="1" applyBorder="1" applyAlignment="1">
      <alignment horizontal="center"/>
    </xf>
    <xf numFmtId="0" fontId="6" fillId="4" borderId="0" xfId="0" applyFont="1" applyFill="1" applyBorder="1" applyAlignment="1">
      <alignment horizontal="center"/>
    </xf>
    <xf numFmtId="0" fontId="19" fillId="4" borderId="9" xfId="0" applyFont="1" applyFill="1" applyBorder="1"/>
    <xf numFmtId="0" fontId="19" fillId="4" borderId="0" xfId="0" applyFont="1" applyFill="1" applyBorder="1"/>
    <xf numFmtId="0" fontId="0" fillId="4" borderId="0" xfId="0" applyFill="1" applyBorder="1" applyAlignment="1">
      <alignment horizontal="center"/>
    </xf>
    <xf numFmtId="0" fontId="1" fillId="4" borderId="7" xfId="0" applyFont="1" applyFill="1" applyBorder="1"/>
    <xf numFmtId="41" fontId="0" fillId="4" borderId="0" xfId="0" applyNumberFormat="1" applyFill="1" applyBorder="1"/>
    <xf numFmtId="44" fontId="20" fillId="4" borderId="0" xfId="3" applyFont="1" applyFill="1" applyBorder="1"/>
    <xf numFmtId="0" fontId="21" fillId="4" borderId="0" xfId="0" applyFont="1" applyFill="1" applyBorder="1"/>
    <xf numFmtId="41" fontId="12" fillId="4" borderId="0" xfId="0" applyNumberFormat="1" applyFont="1" applyFill="1" applyBorder="1"/>
    <xf numFmtId="41" fontId="5" fillId="4" borderId="0" xfId="0" applyNumberFormat="1" applyFont="1" applyFill="1" applyBorder="1"/>
    <xf numFmtId="164" fontId="0" fillId="4" borderId="0" xfId="0" applyNumberFormat="1" applyFill="1" applyBorder="1"/>
    <xf numFmtId="0" fontId="1" fillId="4" borderId="7" xfId="0" applyFont="1" applyFill="1" applyBorder="1" applyAlignment="1">
      <alignment horizontal="right"/>
    </xf>
    <xf numFmtId="44" fontId="1" fillId="4" borderId="0" xfId="3" applyFont="1" applyFill="1" applyBorder="1"/>
    <xf numFmtId="44" fontId="12" fillId="4" borderId="0" xfId="3" applyNumberFormat="1" applyFont="1" applyFill="1" applyBorder="1"/>
    <xf numFmtId="44" fontId="22" fillId="4" borderId="3" xfId="3" applyNumberFormat="1" applyFont="1" applyFill="1" applyBorder="1"/>
    <xf numFmtId="44" fontId="22" fillId="4" borderId="0" xfId="3" applyNumberFormat="1" applyFont="1" applyFill="1" applyBorder="1"/>
    <xf numFmtId="44" fontId="0" fillId="4" borderId="0" xfId="0" applyNumberFormat="1" applyFill="1" applyBorder="1"/>
    <xf numFmtId="0" fontId="5" fillId="4" borderId="2" xfId="0" applyFont="1" applyFill="1" applyBorder="1" applyAlignment="1">
      <alignment horizontal="center"/>
    </xf>
    <xf numFmtId="44" fontId="1" fillId="4" borderId="0" xfId="3" applyNumberFormat="1" applyFont="1" applyFill="1" applyBorder="1"/>
    <xf numFmtId="165" fontId="1" fillId="4" borderId="0" xfId="3" applyNumberFormat="1" applyFont="1" applyFill="1" applyBorder="1"/>
    <xf numFmtId="43" fontId="12" fillId="4" borderId="0" xfId="0" applyNumberFormat="1" applyFont="1" applyFill="1" applyBorder="1"/>
    <xf numFmtId="44" fontId="22" fillId="4" borderId="3" xfId="3" applyFont="1" applyFill="1" applyBorder="1"/>
    <xf numFmtId="44" fontId="22" fillId="4" borderId="0" xfId="3" applyFont="1" applyFill="1" applyBorder="1"/>
    <xf numFmtId="0" fontId="0" fillId="4" borderId="12" xfId="0" applyFill="1" applyBorder="1"/>
    <xf numFmtId="0" fontId="0" fillId="4" borderId="13" xfId="0" applyFill="1" applyBorder="1"/>
    <xf numFmtId="164" fontId="25" fillId="0" borderId="0" xfId="10" applyNumberFormat="1" applyFont="1"/>
    <xf numFmtId="164" fontId="26" fillId="0" borderId="0" xfId="10" applyNumberFormat="1" applyFont="1"/>
    <xf numFmtId="0" fontId="2" fillId="0" borderId="0" xfId="0" applyFont="1" applyAlignment="1">
      <alignment horizontal="center"/>
    </xf>
    <xf numFmtId="0" fontId="15" fillId="5" borderId="4" xfId="0" applyFont="1" applyFill="1" applyBorder="1"/>
    <xf numFmtId="0" fontId="15" fillId="5" borderId="5" xfId="0" applyFont="1" applyFill="1" applyBorder="1"/>
    <xf numFmtId="0" fontId="0" fillId="5" borderId="5" xfId="0" applyFill="1" applyBorder="1"/>
    <xf numFmtId="0" fontId="5" fillId="5" borderId="7" xfId="0" applyFont="1" applyFill="1" applyBorder="1"/>
    <xf numFmtId="0" fontId="5" fillId="5" borderId="0" xfId="0" applyFont="1" applyFill="1" applyBorder="1"/>
    <xf numFmtId="0" fontId="16" fillId="5" borderId="0" xfId="0" applyFont="1" applyFill="1" applyBorder="1"/>
    <xf numFmtId="0" fontId="0" fillId="5" borderId="0" xfId="0" applyFill="1" applyBorder="1"/>
    <xf numFmtId="15" fontId="5" fillId="5" borderId="7" xfId="0" applyNumberFormat="1" applyFont="1" applyFill="1" applyBorder="1"/>
    <xf numFmtId="15" fontId="5" fillId="5" borderId="0" xfId="0" applyNumberFormat="1" applyFont="1" applyFill="1" applyBorder="1"/>
    <xf numFmtId="0" fontId="0" fillId="5" borderId="7" xfId="0" applyFill="1" applyBorder="1"/>
    <xf numFmtId="0" fontId="5" fillId="5" borderId="0" xfId="0" applyFont="1" applyFill="1" applyBorder="1" applyAlignment="1">
      <alignment horizontal="center"/>
    </xf>
    <xf numFmtId="0" fontId="6" fillId="5" borderId="0" xfId="0" applyFont="1" applyFill="1" applyBorder="1" applyAlignment="1">
      <alignment horizontal="center"/>
    </xf>
    <xf numFmtId="0" fontId="19" fillId="5" borderId="9" xfId="0" applyFont="1" applyFill="1" applyBorder="1"/>
    <xf numFmtId="0" fontId="19" fillId="5" borderId="0" xfId="0" applyFont="1" applyFill="1" applyBorder="1"/>
    <xf numFmtId="0" fontId="0" fillId="5" borderId="0" xfId="0" applyFill="1" applyBorder="1" applyAlignment="1">
      <alignment horizontal="center"/>
    </xf>
    <xf numFmtId="0" fontId="1" fillId="5" borderId="7" xfId="0" applyFont="1" applyFill="1" applyBorder="1"/>
    <xf numFmtId="41" fontId="0" fillId="5" borderId="0" xfId="0" applyNumberFormat="1" applyFill="1" applyBorder="1"/>
    <xf numFmtId="44" fontId="20" fillId="5" borderId="0" xfId="3" applyFont="1" applyFill="1" applyBorder="1"/>
    <xf numFmtId="0" fontId="21" fillId="5" borderId="0" xfId="0" applyFont="1" applyFill="1" applyBorder="1"/>
    <xf numFmtId="41" fontId="12" fillId="5" borderId="0" xfId="0" applyNumberFormat="1" applyFont="1" applyFill="1" applyBorder="1"/>
    <xf numFmtId="41" fontId="5" fillId="5" borderId="0" xfId="0" applyNumberFormat="1" applyFont="1" applyFill="1" applyBorder="1"/>
    <xf numFmtId="164" fontId="0" fillId="5" borderId="0" xfId="0" applyNumberFormat="1" applyFill="1" applyBorder="1"/>
    <xf numFmtId="0" fontId="1" fillId="5" borderId="7" xfId="0" applyFont="1" applyFill="1" applyBorder="1" applyAlignment="1">
      <alignment horizontal="right"/>
    </xf>
    <xf numFmtId="44" fontId="1" fillId="5" borderId="0" xfId="3" applyFont="1" applyFill="1" applyBorder="1"/>
    <xf numFmtId="44" fontId="12" fillId="5" borderId="0" xfId="3" applyNumberFormat="1" applyFont="1" applyFill="1" applyBorder="1"/>
    <xf numFmtId="44" fontId="22" fillId="5" borderId="3" xfId="3" applyNumberFormat="1" applyFont="1" applyFill="1" applyBorder="1"/>
    <xf numFmtId="44" fontId="22" fillId="5" borderId="0" xfId="3" applyNumberFormat="1" applyFont="1" applyFill="1" applyBorder="1"/>
    <xf numFmtId="44" fontId="0" fillId="5" borderId="0" xfId="0" applyNumberFormat="1" applyFill="1" applyBorder="1"/>
    <xf numFmtId="0" fontId="5" fillId="5" borderId="2" xfId="0" applyFont="1" applyFill="1" applyBorder="1" applyAlignment="1">
      <alignment horizontal="center"/>
    </xf>
    <xf numFmtId="44" fontId="1" fillId="5" borderId="0" xfId="3" applyNumberFormat="1" applyFont="1" applyFill="1" applyBorder="1"/>
    <xf numFmtId="165" fontId="1" fillId="5" borderId="0" xfId="3" applyNumberFormat="1" applyFont="1" applyFill="1" applyBorder="1"/>
    <xf numFmtId="43" fontId="12" fillId="5" borderId="0" xfId="0" applyNumberFormat="1" applyFont="1" applyFill="1" applyBorder="1"/>
    <xf numFmtId="44" fontId="22" fillId="5" borderId="3" xfId="3" applyFont="1" applyFill="1" applyBorder="1"/>
    <xf numFmtId="44" fontId="22" fillId="5" borderId="0" xfId="3" applyFont="1" applyFill="1" applyBorder="1"/>
    <xf numFmtId="0" fontId="0" fillId="5" borderId="12" xfId="0" applyFill="1" applyBorder="1"/>
    <xf numFmtId="0" fontId="0" fillId="5" borderId="13" xfId="0" applyFill="1" applyBorder="1"/>
    <xf numFmtId="0" fontId="1" fillId="0" borderId="0" xfId="0" quotePrefix="1" applyFont="1"/>
    <xf numFmtId="10" fontId="1" fillId="0" borderId="0" xfId="5" applyNumberFormat="1" applyFont="1" applyFill="1" applyAlignment="1"/>
    <xf numFmtId="0" fontId="34" fillId="0" borderId="0" xfId="0" applyFont="1" applyBorder="1"/>
    <xf numFmtId="10" fontId="35" fillId="0" borderId="0" xfId="5" applyNumberFormat="1" applyFont="1"/>
    <xf numFmtId="166" fontId="25" fillId="0" borderId="0" xfId="5" applyNumberFormat="1" applyFont="1"/>
    <xf numFmtId="166" fontId="33" fillId="0" borderId="0" xfId="5" applyNumberFormat="1" applyFont="1"/>
    <xf numFmtId="166" fontId="31" fillId="0" borderId="0" xfId="5" applyNumberFormat="1" applyFont="1"/>
    <xf numFmtId="2" fontId="35" fillId="0" borderId="0" xfId="0" applyNumberFormat="1" applyFont="1"/>
    <xf numFmtId="10" fontId="32" fillId="0" borderId="0" xfId="5" applyNumberFormat="1" applyFont="1" applyFill="1" applyAlignment="1"/>
    <xf numFmtId="167" fontId="20" fillId="5" borderId="0" xfId="3" applyNumberFormat="1" applyFont="1" applyFill="1" applyBorder="1"/>
    <xf numFmtId="44" fontId="20" fillId="5" borderId="0" xfId="3" applyNumberFormat="1" applyFont="1" applyFill="1" applyBorder="1"/>
    <xf numFmtId="0" fontId="18" fillId="2" borderId="7" xfId="0" applyFont="1" applyFill="1" applyBorder="1" applyAlignment="1">
      <alignment horizontal="center"/>
    </xf>
    <xf numFmtId="0" fontId="18" fillId="2" borderId="0" xfId="0" applyFont="1" applyFill="1" applyBorder="1" applyAlignment="1">
      <alignment horizontal="center"/>
    </xf>
    <xf numFmtId="0" fontId="18" fillId="2" borderId="8" xfId="0" applyFont="1" applyFill="1" applyBorder="1" applyAlignment="1">
      <alignment horizontal="center"/>
    </xf>
    <xf numFmtId="0" fontId="17" fillId="4" borderId="7" xfId="0" applyFont="1" applyFill="1" applyBorder="1" applyAlignment="1">
      <alignment horizontal="center"/>
    </xf>
    <xf numFmtId="0" fontId="17" fillId="4" borderId="0" xfId="0" applyFont="1" applyFill="1" applyBorder="1" applyAlignment="1">
      <alignment horizontal="center"/>
    </xf>
    <xf numFmtId="0" fontId="18" fillId="4" borderId="7" xfId="0" applyFont="1" applyFill="1" applyBorder="1" applyAlignment="1">
      <alignment horizontal="center"/>
    </xf>
    <xf numFmtId="0" fontId="18" fillId="4" borderId="0" xfId="0" applyFont="1" applyFill="1" applyBorder="1" applyAlignment="1">
      <alignment horizontal="center"/>
    </xf>
    <xf numFmtId="0" fontId="17" fillId="2" borderId="7" xfId="0" applyFont="1" applyFill="1" applyBorder="1" applyAlignment="1">
      <alignment horizontal="center"/>
    </xf>
    <xf numFmtId="0" fontId="17" fillId="2" borderId="0" xfId="0" applyFont="1" applyFill="1" applyBorder="1" applyAlignment="1">
      <alignment horizontal="center"/>
    </xf>
    <xf numFmtId="0" fontId="17" fillId="2" borderId="8" xfId="0" applyFont="1" applyFill="1" applyBorder="1" applyAlignment="1">
      <alignment horizontal="center"/>
    </xf>
    <xf numFmtId="0" fontId="17" fillId="5" borderId="7" xfId="0" applyFont="1" applyFill="1" applyBorder="1" applyAlignment="1">
      <alignment horizontal="center"/>
    </xf>
    <xf numFmtId="0" fontId="17" fillId="5" borderId="0" xfId="0" applyFont="1" applyFill="1" applyBorder="1" applyAlignment="1">
      <alignment horizontal="center"/>
    </xf>
    <xf numFmtId="0" fontId="18" fillId="5" borderId="7" xfId="0" applyFont="1" applyFill="1" applyBorder="1" applyAlignment="1">
      <alignment horizontal="center"/>
    </xf>
    <xf numFmtId="0" fontId="18" fillId="5" borderId="0" xfId="0" applyFont="1" applyFill="1" applyBorder="1" applyAlignment="1">
      <alignment horizontal="center"/>
    </xf>
    <xf numFmtId="0" fontId="2" fillId="0" borderId="0" xfId="0" applyFont="1" applyAlignment="1">
      <alignment horizontal="center"/>
    </xf>
    <xf numFmtId="0" fontId="30" fillId="0" borderId="0" xfId="0" applyFont="1" applyAlignment="1">
      <alignment horizontal="center"/>
    </xf>
  </cellXfs>
  <cellStyles count="11">
    <cellStyle name="Comma" xfId="2" builtinId="3"/>
    <cellStyle name="Comma 2" xfId="10"/>
    <cellStyle name="Currency" xfId="3" builtinId="4"/>
    <cellStyle name="Currency 2" xfId="6"/>
    <cellStyle name="Currency 5" xfId="7"/>
    <cellStyle name="Currency 6" xfId="8"/>
    <cellStyle name="Normal" xfId="0" builtinId="0"/>
    <cellStyle name="Normal 3" xfId="4"/>
    <cellStyle name="Percent" xfId="5" builtinId="5"/>
    <cellStyle name="Percent 4" xfId="9"/>
    <cellStyle name="Total" xfId="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weinst/Documents/WM%20Brem-Air/Commodity%20Rebates/2014/TG-131757%202012-09%20to%202013-08%20WUTC%20Rebate_0916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IL/TRANS/Company%20Filings%20-%20Solid%20Waste/Waste%20Management%20of%20Washington,%20Inc.%20%20(G-237)/BremAir/Year%202012/TG121484%20Comm%20Credit/Staffs%20analysis%202011-09%20to%202012-08%20WUTC%20Rebate_0906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sheetName val="staff notes"/>
      <sheetName val="Rebate Analysis"/>
      <sheetName val="Calculation of Revenue"/>
      <sheetName val="Res'l - SS Mix &amp; Prices"/>
      <sheetName val="MF - SS Mix &amp; Prices"/>
      <sheetName val="Customer Counts"/>
      <sheetName val="Commodity Prices"/>
    </sheetNames>
    <sheetDataSet>
      <sheetData sheetId="0"/>
      <sheetData sheetId="1">
        <row r="46">
          <cell r="E46">
            <v>7.7396315535804866E-2</v>
          </cell>
        </row>
      </sheetData>
      <sheetData sheetId="2"/>
      <sheetData sheetId="3">
        <row r="11">
          <cell r="F11">
            <v>43068.889191030001</v>
          </cell>
        </row>
        <row r="12">
          <cell r="F12">
            <v>67005.857535329997</v>
          </cell>
        </row>
        <row r="13">
          <cell r="F13">
            <v>91052.253646340003</v>
          </cell>
        </row>
        <row r="14">
          <cell r="F14">
            <v>81295.704845159984</v>
          </cell>
        </row>
        <row r="15">
          <cell r="F15">
            <v>82786.471563773302</v>
          </cell>
        </row>
        <row r="16">
          <cell r="F16">
            <v>76499.573344480188</v>
          </cell>
        </row>
        <row r="17">
          <cell r="F17">
            <v>80628.176685785031</v>
          </cell>
        </row>
        <row r="18">
          <cell r="F18">
            <v>81843.235736991061</v>
          </cell>
        </row>
        <row r="19">
          <cell r="F19">
            <v>97323.09120000001</v>
          </cell>
        </row>
        <row r="20">
          <cell r="F20">
            <v>80867.648400000005</v>
          </cell>
        </row>
        <row r="21">
          <cell r="F21">
            <v>94722.527099999992</v>
          </cell>
        </row>
        <row r="22">
          <cell r="F22">
            <v>90928.252999999997</v>
          </cell>
        </row>
        <row r="23">
          <cell r="F23">
            <v>968021.68224888959</v>
          </cell>
        </row>
        <row r="32">
          <cell r="F32">
            <v>1147.4613600300002</v>
          </cell>
        </row>
        <row r="33">
          <cell r="F33">
            <v>1552.6930932800001</v>
          </cell>
        </row>
        <row r="34">
          <cell r="F34">
            <v>3363.4648177799995</v>
          </cell>
        </row>
        <row r="35">
          <cell r="F35">
            <v>2080.4531733600002</v>
          </cell>
        </row>
        <row r="36">
          <cell r="F36">
            <v>2018.8992364536161</v>
          </cell>
        </row>
        <row r="37">
          <cell r="F37">
            <v>2095.2206118187014</v>
          </cell>
        </row>
        <row r="38">
          <cell r="F38">
            <v>2129.1214578340046</v>
          </cell>
        </row>
        <row r="39">
          <cell r="F39">
            <v>1993.5268098488809</v>
          </cell>
        </row>
        <row r="40">
          <cell r="F40">
            <v>3544.8671999999997</v>
          </cell>
        </row>
        <row r="41">
          <cell r="F41">
            <v>2047.8942</v>
          </cell>
        </row>
        <row r="42">
          <cell r="F42">
            <v>2411.3418000000001</v>
          </cell>
        </row>
        <row r="43">
          <cell r="F43">
            <v>2466.1831999999999</v>
          </cell>
        </row>
      </sheetData>
      <sheetData sheetId="4"/>
      <sheetData sheetId="5"/>
      <sheetData sheetId="6">
        <row r="8">
          <cell r="B8">
            <v>39211</v>
          </cell>
          <cell r="D8">
            <v>6468</v>
          </cell>
        </row>
        <row r="9">
          <cell r="B9">
            <v>39007</v>
          </cell>
          <cell r="D9">
            <v>6469</v>
          </cell>
        </row>
        <row r="10">
          <cell r="B10">
            <v>38743</v>
          </cell>
          <cell r="D10">
            <v>6468</v>
          </cell>
        </row>
        <row r="11">
          <cell r="B11">
            <v>38888</v>
          </cell>
          <cell r="D11">
            <v>6466</v>
          </cell>
        </row>
        <row r="12">
          <cell r="B12">
            <v>39105</v>
          </cell>
          <cell r="D12">
            <v>6466</v>
          </cell>
        </row>
        <row r="13">
          <cell r="B13">
            <v>38540</v>
          </cell>
          <cell r="D13">
            <v>6466</v>
          </cell>
        </row>
        <row r="14">
          <cell r="B14">
            <v>38929</v>
          </cell>
          <cell r="D14">
            <v>6466</v>
          </cell>
        </row>
        <row r="15">
          <cell r="B15">
            <v>38740</v>
          </cell>
          <cell r="D15">
            <v>6466</v>
          </cell>
        </row>
        <row r="16">
          <cell r="B16">
            <v>39167</v>
          </cell>
          <cell r="D16">
            <v>6461</v>
          </cell>
        </row>
        <row r="17">
          <cell r="B17">
            <v>39044</v>
          </cell>
          <cell r="D17">
            <v>6461</v>
          </cell>
        </row>
        <row r="18">
          <cell r="B18">
            <v>39564</v>
          </cell>
          <cell r="D18">
            <v>6462</v>
          </cell>
        </row>
        <row r="19">
          <cell r="B19">
            <v>39202</v>
          </cell>
          <cell r="D19">
            <v>6458</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2)"/>
      <sheetName val="Analysis"/>
      <sheetName val="Revenue"/>
      <sheetName val="Commodity Price analysis"/>
      <sheetName val="Customer Counts"/>
      <sheetName val="Sept.11"/>
      <sheetName val="Oct.11 "/>
      <sheetName val="Nov.11"/>
      <sheetName val="Dec.11"/>
      <sheetName val="Jan.12"/>
      <sheetName val="FEB.12"/>
      <sheetName val="March.12"/>
      <sheetName val="April.12"/>
      <sheetName val="May.12"/>
      <sheetName val="JUNE.12"/>
      <sheetName val="July.12"/>
      <sheetName val="August.12"/>
    </sheetNames>
    <sheetDataSet>
      <sheetData sheetId="0"/>
      <sheetData sheetId="1">
        <row r="11">
          <cell r="C11">
            <v>78484</v>
          </cell>
        </row>
        <row r="12">
          <cell r="C12">
            <v>390304</v>
          </cell>
        </row>
      </sheetData>
      <sheetData sheetId="2">
        <row r="24">
          <cell r="F24">
            <v>556969.23697813146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5"/>
  <sheetViews>
    <sheetView tabSelected="1" workbookViewId="0">
      <selection activeCell="H35" sqref="H35"/>
    </sheetView>
  </sheetViews>
  <sheetFormatPr defaultRowHeight="12.75" x14ac:dyDescent="0.2"/>
  <cols>
    <col min="1" max="1" width="58.85546875" bestFit="1" customWidth="1"/>
    <col min="3" max="3" width="10.42578125" bestFit="1" customWidth="1"/>
    <col min="4" max="4" width="11.28515625" bestFit="1" customWidth="1"/>
    <col min="5" max="5" width="10.28515625" bestFit="1" customWidth="1"/>
    <col min="6" max="6" width="9.7109375" bestFit="1" customWidth="1"/>
    <col min="7" max="7" width="58.85546875" bestFit="1" customWidth="1"/>
    <col min="9" max="9" width="10.42578125" bestFit="1" customWidth="1"/>
    <col min="10" max="10" width="11.28515625" bestFit="1" customWidth="1"/>
    <col min="11" max="11" width="10.28515625" bestFit="1" customWidth="1"/>
    <col min="12" max="12" width="9.28515625" bestFit="1" customWidth="1"/>
    <col min="13" max="13" width="40.28515625" customWidth="1"/>
    <col min="14" max="14" width="6.28515625" customWidth="1"/>
    <col min="15" max="15" width="12.42578125" customWidth="1"/>
    <col min="16" max="16" width="14.85546875" bestFit="1" customWidth="1"/>
    <col min="17" max="17" width="11.5703125" customWidth="1"/>
    <col min="18" max="18" width="10.5703125" bestFit="1" customWidth="1"/>
    <col min="19" max="19" width="40.28515625" customWidth="1"/>
    <col min="20" max="20" width="7.42578125" bestFit="1" customWidth="1"/>
    <col min="21" max="21" width="12.42578125" customWidth="1"/>
    <col min="22" max="22" width="14.85546875" bestFit="1" customWidth="1"/>
    <col min="23" max="23" width="11.5703125" customWidth="1"/>
    <col min="24" max="24" width="10.5703125" bestFit="1" customWidth="1"/>
    <col min="25" max="25" width="11" customWidth="1"/>
    <col min="26" max="26" width="41.5703125" customWidth="1"/>
    <col min="27" max="27" width="10.42578125" bestFit="1" customWidth="1"/>
    <col min="28" max="28" width="13.42578125" customWidth="1"/>
    <col min="29" max="29" width="11" customWidth="1"/>
    <col min="30" max="30" width="11.85546875" customWidth="1"/>
    <col min="31" max="31" width="35.85546875" customWidth="1"/>
    <col min="33" max="33" width="24.140625" customWidth="1"/>
    <col min="34" max="34" width="11" bestFit="1" customWidth="1"/>
    <col min="35" max="35" width="10.5703125" bestFit="1" customWidth="1"/>
    <col min="36" max="36" width="9.85546875" bestFit="1" customWidth="1"/>
  </cols>
  <sheetData>
    <row r="1" spans="1:36" ht="19.5" customHeight="1" x14ac:dyDescent="0.4">
      <c r="A1" s="169" t="s">
        <v>65</v>
      </c>
      <c r="B1" s="170"/>
      <c r="C1" s="171"/>
      <c r="D1" s="171"/>
      <c r="E1" s="171"/>
      <c r="F1" s="171"/>
      <c r="G1" s="130" t="s">
        <v>65</v>
      </c>
      <c r="H1" s="131"/>
      <c r="I1" s="132"/>
      <c r="J1" s="132"/>
      <c r="K1" s="132"/>
      <c r="L1" s="132"/>
      <c r="M1" s="46" t="s">
        <v>65</v>
      </c>
      <c r="N1" s="47"/>
      <c r="O1" s="48"/>
      <c r="P1" s="48"/>
      <c r="Q1" s="48"/>
      <c r="R1" s="49"/>
      <c r="S1" s="46" t="s">
        <v>65</v>
      </c>
      <c r="T1" s="47"/>
      <c r="U1" s="48"/>
      <c r="V1" s="48"/>
      <c r="W1" s="48"/>
      <c r="X1" s="49"/>
      <c r="Y1" s="46" t="s">
        <v>65</v>
      </c>
      <c r="Z1" s="47"/>
      <c r="AA1" s="48"/>
      <c r="AB1" s="48"/>
      <c r="AC1" s="48"/>
      <c r="AD1" s="49"/>
      <c r="AE1" s="46" t="s">
        <v>65</v>
      </c>
      <c r="AF1" s="47"/>
      <c r="AG1" s="48"/>
      <c r="AH1" s="48"/>
      <c r="AI1" s="48"/>
      <c r="AJ1" s="49"/>
    </row>
    <row r="2" spans="1:36" ht="18" x14ac:dyDescent="0.35">
      <c r="A2" s="172" t="s">
        <v>66</v>
      </c>
      <c r="B2" s="173"/>
      <c r="C2" s="174"/>
      <c r="D2" s="175"/>
      <c r="E2" s="175"/>
      <c r="F2" s="175"/>
      <c r="G2" s="133" t="s">
        <v>66</v>
      </c>
      <c r="H2" s="134"/>
      <c r="I2" s="135"/>
      <c r="J2" s="136"/>
      <c r="K2" s="136"/>
      <c r="L2" s="136"/>
      <c r="M2" s="50" t="s">
        <v>66</v>
      </c>
      <c r="N2" s="51"/>
      <c r="O2" s="52" t="s">
        <v>113</v>
      </c>
      <c r="P2" s="53"/>
      <c r="Q2" s="53"/>
      <c r="R2" s="54"/>
      <c r="S2" s="50" t="s">
        <v>66</v>
      </c>
      <c r="T2" s="51"/>
      <c r="U2" s="52" t="s">
        <v>113</v>
      </c>
      <c r="V2" s="53"/>
      <c r="W2" s="53"/>
      <c r="X2" s="54"/>
      <c r="Y2" s="50" t="s">
        <v>66</v>
      </c>
      <c r="Z2" s="51"/>
      <c r="AA2" s="52" t="s">
        <v>113</v>
      </c>
      <c r="AB2" s="53"/>
      <c r="AC2" s="53"/>
      <c r="AD2" s="54"/>
      <c r="AE2" s="50" t="s">
        <v>66</v>
      </c>
      <c r="AF2" s="51"/>
      <c r="AG2" s="52" t="s">
        <v>113</v>
      </c>
      <c r="AH2" s="53"/>
      <c r="AI2" s="53"/>
      <c r="AJ2" s="54"/>
    </row>
    <row r="3" spans="1:36" x14ac:dyDescent="0.2">
      <c r="A3" s="176"/>
      <c r="B3" s="177"/>
      <c r="C3" s="175"/>
      <c r="D3" s="175"/>
      <c r="E3" s="175"/>
      <c r="F3" s="175"/>
      <c r="G3" s="137"/>
      <c r="H3" s="138"/>
      <c r="I3" s="136"/>
      <c r="J3" s="136"/>
      <c r="K3" s="136"/>
      <c r="L3" s="136"/>
      <c r="M3" s="55" t="s">
        <v>114</v>
      </c>
      <c r="N3" s="56"/>
      <c r="O3" s="53"/>
      <c r="P3" s="53"/>
      <c r="Q3" s="53"/>
      <c r="R3" s="54"/>
      <c r="S3" s="55" t="s">
        <v>67</v>
      </c>
      <c r="T3" s="56"/>
      <c r="U3" s="53"/>
      <c r="V3" s="53"/>
      <c r="W3" s="53"/>
      <c r="X3" s="54"/>
      <c r="Y3" s="55" t="s">
        <v>115</v>
      </c>
      <c r="Z3" s="56"/>
      <c r="AA3" s="53"/>
      <c r="AB3" s="53"/>
      <c r="AC3" s="53"/>
      <c r="AD3" s="54"/>
      <c r="AE3" s="55"/>
      <c r="AF3" s="56"/>
      <c r="AG3" s="53"/>
      <c r="AH3" s="53"/>
      <c r="AI3" s="53"/>
      <c r="AJ3" s="54"/>
    </row>
    <row r="4" spans="1:36" ht="20.25" x14ac:dyDescent="0.3">
      <c r="A4" s="226" t="s">
        <v>139</v>
      </c>
      <c r="B4" s="227"/>
      <c r="C4" s="227"/>
      <c r="D4" s="227"/>
      <c r="E4" s="227"/>
      <c r="F4" s="227"/>
      <c r="G4" s="219" t="s">
        <v>137</v>
      </c>
      <c r="H4" s="220"/>
      <c r="I4" s="220"/>
      <c r="J4" s="220"/>
      <c r="K4" s="220"/>
      <c r="L4" s="220"/>
      <c r="M4" s="223" t="s">
        <v>95</v>
      </c>
      <c r="N4" s="224"/>
      <c r="O4" s="224"/>
      <c r="P4" s="224"/>
      <c r="Q4" s="224"/>
      <c r="R4" s="225"/>
      <c r="S4" s="223" t="s">
        <v>68</v>
      </c>
      <c r="T4" s="224"/>
      <c r="U4" s="224"/>
      <c r="V4" s="224"/>
      <c r="W4" s="224"/>
      <c r="X4" s="225"/>
      <c r="Y4" s="57"/>
      <c r="Z4" s="224" t="s">
        <v>68</v>
      </c>
      <c r="AA4" s="224"/>
      <c r="AB4" s="224"/>
      <c r="AC4" s="224"/>
      <c r="AD4" s="54"/>
      <c r="AE4" s="57"/>
      <c r="AF4" s="224" t="s">
        <v>116</v>
      </c>
      <c r="AG4" s="224"/>
      <c r="AH4" s="224"/>
      <c r="AI4" s="224"/>
      <c r="AJ4" s="54"/>
    </row>
    <row r="5" spans="1:36" x14ac:dyDescent="0.2">
      <c r="A5" s="178"/>
      <c r="B5" s="175"/>
      <c r="C5" s="175"/>
      <c r="D5" s="175"/>
      <c r="E5" s="175"/>
      <c r="F5" s="175"/>
      <c r="G5" s="139"/>
      <c r="H5" s="136"/>
      <c r="I5" s="136"/>
      <c r="J5" s="136"/>
      <c r="K5" s="136"/>
      <c r="L5" s="136"/>
      <c r="M5" s="57"/>
      <c r="N5" s="53"/>
      <c r="O5" s="53"/>
      <c r="P5" s="53"/>
      <c r="Q5" s="53"/>
      <c r="R5" s="54"/>
      <c r="S5" s="57"/>
      <c r="T5" s="53"/>
      <c r="U5" s="53"/>
      <c r="V5" s="53"/>
      <c r="W5" s="53"/>
      <c r="X5" s="54"/>
      <c r="Y5" s="57"/>
      <c r="Z5" s="53"/>
      <c r="AA5" s="53"/>
      <c r="AB5" s="53"/>
      <c r="AC5" s="53"/>
      <c r="AD5" s="54"/>
      <c r="AE5" s="57"/>
      <c r="AF5" s="53"/>
      <c r="AG5" s="53"/>
      <c r="AH5" s="53"/>
      <c r="AI5" s="53"/>
      <c r="AJ5" s="54"/>
    </row>
    <row r="6" spans="1:36" ht="19.5" x14ac:dyDescent="0.4">
      <c r="A6" s="228" t="s">
        <v>20</v>
      </c>
      <c r="B6" s="229"/>
      <c r="C6" s="229"/>
      <c r="D6" s="229"/>
      <c r="E6" s="229"/>
      <c r="F6" s="229"/>
      <c r="G6" s="221" t="s">
        <v>20</v>
      </c>
      <c r="H6" s="222"/>
      <c r="I6" s="222"/>
      <c r="J6" s="222"/>
      <c r="K6" s="222"/>
      <c r="L6" s="222"/>
      <c r="M6" s="216" t="s">
        <v>20</v>
      </c>
      <c r="N6" s="217"/>
      <c r="O6" s="217"/>
      <c r="P6" s="217"/>
      <c r="Q6" s="217"/>
      <c r="R6" s="218"/>
      <c r="S6" s="216" t="s">
        <v>20</v>
      </c>
      <c r="T6" s="217"/>
      <c r="U6" s="217"/>
      <c r="V6" s="217"/>
      <c r="W6" s="217"/>
      <c r="X6" s="218"/>
      <c r="Y6" s="216" t="s">
        <v>20</v>
      </c>
      <c r="Z6" s="217"/>
      <c r="AA6" s="217"/>
      <c r="AB6" s="217"/>
      <c r="AC6" s="217"/>
      <c r="AD6" s="218"/>
      <c r="AE6" s="216" t="s">
        <v>20</v>
      </c>
      <c r="AF6" s="217"/>
      <c r="AG6" s="217"/>
      <c r="AH6" s="217"/>
      <c r="AI6" s="217"/>
      <c r="AJ6" s="218"/>
    </row>
    <row r="7" spans="1:36" x14ac:dyDescent="0.2">
      <c r="A7" s="178"/>
      <c r="B7" s="175"/>
      <c r="C7" s="175"/>
      <c r="D7" s="175"/>
      <c r="E7" s="175"/>
      <c r="F7" s="175"/>
      <c r="G7" s="139"/>
      <c r="H7" s="136"/>
      <c r="I7" s="136"/>
      <c r="J7" s="136"/>
      <c r="K7" s="136"/>
      <c r="L7" s="136"/>
      <c r="M7" s="57"/>
      <c r="N7" s="53"/>
      <c r="O7" s="53"/>
      <c r="P7" s="53"/>
      <c r="Q7" s="53"/>
      <c r="R7" s="54"/>
      <c r="S7" s="57"/>
      <c r="T7" s="53"/>
      <c r="U7" s="53"/>
      <c r="V7" s="53"/>
      <c r="W7" s="53"/>
      <c r="X7" s="54"/>
      <c r="Y7" s="57"/>
      <c r="Z7" s="53"/>
      <c r="AA7" s="53"/>
      <c r="AB7" s="53"/>
      <c r="AC7" s="53"/>
      <c r="AD7" s="54"/>
      <c r="AE7" s="57"/>
      <c r="AF7" s="53"/>
      <c r="AG7" s="53"/>
      <c r="AH7" s="53"/>
      <c r="AI7" s="53"/>
      <c r="AJ7" s="54"/>
    </row>
    <row r="8" spans="1:36" x14ac:dyDescent="0.2">
      <c r="A8" s="178"/>
      <c r="B8" s="175"/>
      <c r="C8" s="179"/>
      <c r="D8" s="179" t="s">
        <v>69</v>
      </c>
      <c r="E8" s="179" t="s">
        <v>23</v>
      </c>
      <c r="F8" s="175"/>
      <c r="G8" s="139"/>
      <c r="H8" s="136"/>
      <c r="I8" s="140"/>
      <c r="J8" s="140" t="s">
        <v>69</v>
      </c>
      <c r="K8" s="140" t="s">
        <v>23</v>
      </c>
      <c r="L8" s="136"/>
      <c r="M8" s="57"/>
      <c r="N8" s="53"/>
      <c r="O8" s="58"/>
      <c r="P8" s="58" t="s">
        <v>69</v>
      </c>
      <c r="Q8" s="58" t="s">
        <v>23</v>
      </c>
      <c r="R8" s="54"/>
      <c r="S8" s="57"/>
      <c r="T8" s="53"/>
      <c r="U8" s="58"/>
      <c r="V8" s="58" t="s">
        <v>69</v>
      </c>
      <c r="W8" s="58" t="s">
        <v>23</v>
      </c>
      <c r="X8" s="54"/>
      <c r="Y8" s="57"/>
      <c r="Z8" s="53"/>
      <c r="AA8" s="58"/>
      <c r="AB8" s="58" t="s">
        <v>69</v>
      </c>
      <c r="AC8" s="58" t="s">
        <v>23</v>
      </c>
      <c r="AD8" s="54"/>
      <c r="AE8" s="57"/>
      <c r="AF8" s="53"/>
      <c r="AG8" s="58"/>
      <c r="AH8" s="58" t="s">
        <v>69</v>
      </c>
      <c r="AI8" s="58" t="s">
        <v>23</v>
      </c>
      <c r="AJ8" s="54"/>
    </row>
    <row r="9" spans="1:36" x14ac:dyDescent="0.2">
      <c r="A9" s="178"/>
      <c r="B9" s="175"/>
      <c r="C9" s="180" t="s">
        <v>31</v>
      </c>
      <c r="D9" s="180" t="s">
        <v>70</v>
      </c>
      <c r="E9" s="180" t="s">
        <v>29</v>
      </c>
      <c r="F9" s="175"/>
      <c r="G9" s="139"/>
      <c r="H9" s="136"/>
      <c r="I9" s="141" t="s">
        <v>31</v>
      </c>
      <c r="J9" s="141" t="s">
        <v>70</v>
      </c>
      <c r="K9" s="141" t="s">
        <v>29</v>
      </c>
      <c r="L9" s="136"/>
      <c r="M9" s="57"/>
      <c r="N9" s="53"/>
      <c r="O9" s="59" t="s">
        <v>31</v>
      </c>
      <c r="P9" s="59" t="s">
        <v>70</v>
      </c>
      <c r="Q9" s="59" t="s">
        <v>29</v>
      </c>
      <c r="R9" s="54"/>
      <c r="S9" s="57"/>
      <c r="T9" s="53"/>
      <c r="U9" s="59" t="s">
        <v>31</v>
      </c>
      <c r="V9" s="59" t="s">
        <v>70</v>
      </c>
      <c r="W9" s="59" t="s">
        <v>29</v>
      </c>
      <c r="X9" s="54"/>
      <c r="Y9" s="57"/>
      <c r="Z9" s="53"/>
      <c r="AA9" s="59" t="s">
        <v>31</v>
      </c>
      <c r="AB9" s="59" t="s">
        <v>70</v>
      </c>
      <c r="AC9" s="59" t="s">
        <v>29</v>
      </c>
      <c r="AD9" s="54"/>
      <c r="AE9" s="57"/>
      <c r="AF9" s="53"/>
      <c r="AG9" s="59" t="s">
        <v>31</v>
      </c>
      <c r="AH9" s="59" t="s">
        <v>70</v>
      </c>
      <c r="AI9" s="59" t="s">
        <v>29</v>
      </c>
      <c r="AJ9" s="54"/>
    </row>
    <row r="10" spans="1:36" ht="16.5" x14ac:dyDescent="0.35">
      <c r="A10" s="181" t="s">
        <v>138</v>
      </c>
      <c r="B10" s="182"/>
      <c r="C10" s="183"/>
      <c r="D10" s="183"/>
      <c r="E10" s="183"/>
      <c r="F10" s="175"/>
      <c r="G10" s="142" t="s">
        <v>96</v>
      </c>
      <c r="H10" s="143"/>
      <c r="I10" s="144"/>
      <c r="J10" s="144"/>
      <c r="K10" s="144"/>
      <c r="L10" s="136"/>
      <c r="M10" s="60" t="s">
        <v>82</v>
      </c>
      <c r="N10" s="61"/>
      <c r="O10" s="62"/>
      <c r="P10" s="62"/>
      <c r="Q10" s="62"/>
      <c r="R10" s="54"/>
      <c r="S10" s="60" t="s">
        <v>71</v>
      </c>
      <c r="T10" s="61"/>
      <c r="U10" s="62"/>
      <c r="V10" s="62"/>
      <c r="W10" s="62"/>
      <c r="X10" s="54"/>
      <c r="Y10" s="60" t="s">
        <v>71</v>
      </c>
      <c r="Z10" s="61"/>
      <c r="AA10" s="62"/>
      <c r="AB10" s="62"/>
      <c r="AC10" s="62"/>
      <c r="AD10" s="54"/>
      <c r="AE10" s="60" t="s">
        <v>117</v>
      </c>
      <c r="AF10" s="61"/>
      <c r="AG10" s="62"/>
      <c r="AH10" s="62"/>
      <c r="AI10" s="62"/>
      <c r="AJ10" s="54"/>
    </row>
    <row r="11" spans="1:36" x14ac:dyDescent="0.2">
      <c r="A11" s="184" t="s">
        <v>72</v>
      </c>
      <c r="B11" s="175"/>
      <c r="C11" s="185">
        <f>+'Customer Counts'!B9+'Customer Counts'!B10</f>
        <v>81939</v>
      </c>
      <c r="D11" s="215">
        <f>ROUND(+J13,2)</f>
        <v>2.0699999999999998</v>
      </c>
      <c r="E11" s="185">
        <f>C11*D11</f>
        <v>169613.72999999998</v>
      </c>
      <c r="F11" s="175"/>
      <c r="G11" s="145" t="s">
        <v>72</v>
      </c>
      <c r="H11" s="136"/>
      <c r="I11" s="146">
        <v>80957</v>
      </c>
      <c r="J11" s="147">
        <f>+P13</f>
        <v>3.2356577149958143</v>
      </c>
      <c r="K11" s="146">
        <f>I11*J11</f>
        <v>261949.14163291614</v>
      </c>
      <c r="L11" s="136"/>
      <c r="M11" s="63" t="s">
        <v>72</v>
      </c>
      <c r="N11" s="53"/>
      <c r="O11" s="64">
        <f>SUM('[1]Customer Counts'!B8:B9)</f>
        <v>78218</v>
      </c>
      <c r="P11" s="110">
        <f>AJ30</f>
        <v>1.5356794855835476</v>
      </c>
      <c r="Q11" s="64">
        <f>O11*P11</f>
        <v>120117.77800337393</v>
      </c>
      <c r="R11" s="54"/>
      <c r="S11" s="63" t="s">
        <v>72</v>
      </c>
      <c r="T11" s="53"/>
      <c r="U11" s="64">
        <v>78484</v>
      </c>
      <c r="V11" s="110">
        <f>AB11</f>
        <v>0.52</v>
      </c>
      <c r="W11" s="64">
        <f>U11*V11</f>
        <v>40811.68</v>
      </c>
      <c r="X11" s="54"/>
      <c r="Y11" s="57" t="s">
        <v>118</v>
      </c>
      <c r="Z11" s="53"/>
      <c r="AA11" s="64">
        <f>[2]Analysis!C11</f>
        <v>78484</v>
      </c>
      <c r="AB11" s="110">
        <f>AH13</f>
        <v>0.52</v>
      </c>
      <c r="AC11" s="64">
        <f>AA11*AB11</f>
        <v>40811.68</v>
      </c>
      <c r="AD11" s="54"/>
      <c r="AE11" s="57" t="s">
        <v>118</v>
      </c>
      <c r="AF11" s="53"/>
      <c r="AG11" s="64">
        <v>73345</v>
      </c>
      <c r="AH11" s="110">
        <v>0.19</v>
      </c>
      <c r="AI11" s="64">
        <f>AG11*AH11</f>
        <v>13935.55</v>
      </c>
      <c r="AJ11" s="54"/>
    </row>
    <row r="12" spans="1:36" x14ac:dyDescent="0.2">
      <c r="A12" s="184"/>
      <c r="B12" s="175"/>
      <c r="C12" s="185"/>
      <c r="D12" s="214"/>
      <c r="E12" s="185"/>
      <c r="F12" s="175"/>
      <c r="G12" s="145"/>
      <c r="H12" s="136"/>
      <c r="I12" s="146"/>
      <c r="J12" s="147"/>
      <c r="K12" s="146"/>
      <c r="L12" s="136"/>
      <c r="M12" s="63" t="s">
        <v>119</v>
      </c>
      <c r="N12" s="53"/>
      <c r="O12" s="64">
        <f>SUM('[1]Customer Counts'!B10:B12)</f>
        <v>116736</v>
      </c>
      <c r="P12" s="110">
        <f>AD30</f>
        <v>1.18810472319712</v>
      </c>
      <c r="Q12" s="64">
        <f>O12*P12</f>
        <v>138694.592967139</v>
      </c>
      <c r="R12" s="54"/>
      <c r="S12" s="63"/>
      <c r="T12" s="53"/>
      <c r="U12" s="64"/>
      <c r="V12" s="110"/>
      <c r="W12" s="64"/>
      <c r="X12" s="54"/>
      <c r="Y12" s="57"/>
      <c r="Z12" s="53"/>
      <c r="AA12" s="64"/>
      <c r="AB12" s="110"/>
      <c r="AC12" s="64"/>
      <c r="AD12" s="54"/>
      <c r="AE12" s="57"/>
      <c r="AF12" s="53"/>
      <c r="AG12" s="64"/>
      <c r="AH12" s="110"/>
      <c r="AI12" s="64"/>
      <c r="AJ12" s="54"/>
    </row>
    <row r="13" spans="1:36" ht="15" x14ac:dyDescent="0.35">
      <c r="A13" s="184" t="s">
        <v>73</v>
      </c>
      <c r="B13" s="187"/>
      <c r="C13" s="188">
        <f>+'Customer Counts'!B21-'Customer Counts'!B9-'Customer Counts'!B10</f>
        <v>415851</v>
      </c>
      <c r="D13" s="215">
        <f>ROUND(+L30,2)</f>
        <v>2.25</v>
      </c>
      <c r="E13" s="188">
        <f>C13*D13</f>
        <v>935664.75</v>
      </c>
      <c r="F13" s="175"/>
      <c r="G13" s="145" t="s">
        <v>73</v>
      </c>
      <c r="H13" s="148"/>
      <c r="I13" s="149">
        <v>407475</v>
      </c>
      <c r="J13" s="147">
        <f>+R30</f>
        <v>2.0678038241741565</v>
      </c>
      <c r="K13" s="149">
        <f>I13*J13</f>
        <v>842578.36325536447</v>
      </c>
      <c r="L13" s="136"/>
      <c r="M13" s="63" t="s">
        <v>104</v>
      </c>
      <c r="N13" s="65"/>
      <c r="O13" s="66">
        <f>SUM('[1]Customer Counts'!B13:B19)</f>
        <v>273186</v>
      </c>
      <c r="P13" s="110">
        <f>X30+W44</f>
        <v>3.2356577149958143</v>
      </c>
      <c r="Q13" s="66">
        <f>O13*P13</f>
        <v>883936.38852884655</v>
      </c>
      <c r="R13" s="54"/>
      <c r="S13" s="63" t="s">
        <v>73</v>
      </c>
      <c r="T13" s="65"/>
      <c r="U13" s="66">
        <v>390304</v>
      </c>
      <c r="V13" s="110">
        <f>AB13</f>
        <v>1.5356794855835476</v>
      </c>
      <c r="W13" s="66">
        <f>U13*V13</f>
        <v>599381.84594120097</v>
      </c>
      <c r="X13" s="54"/>
      <c r="Y13" s="111" t="s">
        <v>120</v>
      </c>
      <c r="Z13" s="65"/>
      <c r="AA13" s="66">
        <f>[2]Analysis!C12</f>
        <v>390304</v>
      </c>
      <c r="AB13" s="110">
        <f>AJ30</f>
        <v>1.5356794855835476</v>
      </c>
      <c r="AC13" s="66">
        <f>AA13*AB13</f>
        <v>599381.84594120097</v>
      </c>
      <c r="AD13" s="54"/>
      <c r="AE13" s="111" t="s">
        <v>120</v>
      </c>
      <c r="AF13" s="65"/>
      <c r="AG13" s="66">
        <v>392581</v>
      </c>
      <c r="AH13" s="110">
        <v>0.52</v>
      </c>
      <c r="AI13" s="66">
        <f>AG13*AH13</f>
        <v>204142.12</v>
      </c>
      <c r="AJ13" s="54"/>
    </row>
    <row r="14" spans="1:36" x14ac:dyDescent="0.2">
      <c r="A14" s="172" t="s">
        <v>23</v>
      </c>
      <c r="B14" s="173"/>
      <c r="C14" s="189">
        <f>SUM(C11:C13)</f>
        <v>497790</v>
      </c>
      <c r="D14" s="173"/>
      <c r="E14" s="189">
        <f>SUM(E11:E13)</f>
        <v>1105278.48</v>
      </c>
      <c r="F14" s="173"/>
      <c r="G14" s="133" t="s">
        <v>23</v>
      </c>
      <c r="H14" s="134"/>
      <c r="I14" s="150">
        <f>SUM(I11:I13)</f>
        <v>488432</v>
      </c>
      <c r="J14" s="134"/>
      <c r="K14" s="150">
        <f>SUM(K11:K13)</f>
        <v>1104527.5048882805</v>
      </c>
      <c r="L14" s="134"/>
      <c r="M14" s="57" t="s">
        <v>23</v>
      </c>
      <c r="N14" s="53"/>
      <c r="O14" s="64">
        <f>SUM(O11:O13)</f>
        <v>468140</v>
      </c>
      <c r="P14" s="53"/>
      <c r="Q14" s="64">
        <f>SUM(Q11:Q13)</f>
        <v>1142748.7594993594</v>
      </c>
      <c r="R14" s="54"/>
      <c r="S14" s="57" t="s">
        <v>23</v>
      </c>
      <c r="T14" s="53"/>
      <c r="U14" s="64">
        <f>SUM(U11:U13)</f>
        <v>468788</v>
      </c>
      <c r="V14" s="53"/>
      <c r="W14" s="64">
        <f>SUM(W11:W13)</f>
        <v>640193.52594120102</v>
      </c>
      <c r="X14" s="54"/>
      <c r="Y14" s="57" t="s">
        <v>23</v>
      </c>
      <c r="Z14" s="53"/>
      <c r="AA14" s="64">
        <f>SUM(AA11:AA13)</f>
        <v>468788</v>
      </c>
      <c r="AB14" s="53"/>
      <c r="AC14" s="64">
        <f>SUM(AC11:AC13)</f>
        <v>640193.52594120102</v>
      </c>
      <c r="AD14" s="54"/>
      <c r="AE14" s="57" t="s">
        <v>23</v>
      </c>
      <c r="AF14" s="53"/>
      <c r="AG14" s="64">
        <f>SUM(AG11:AG13)</f>
        <v>465926</v>
      </c>
      <c r="AH14" s="53"/>
      <c r="AI14" s="64">
        <f>SUM(AI11:AI13)</f>
        <v>218077.66999999998</v>
      </c>
      <c r="AJ14" s="54"/>
    </row>
    <row r="15" spans="1:36" x14ac:dyDescent="0.2">
      <c r="A15" s="178"/>
      <c r="B15" s="175"/>
      <c r="C15" s="175"/>
      <c r="D15" s="175"/>
      <c r="E15" s="175"/>
      <c r="F15" s="175"/>
      <c r="G15" s="139"/>
      <c r="H15" s="136"/>
      <c r="I15" s="136"/>
      <c r="J15" s="136"/>
      <c r="K15" s="136"/>
      <c r="L15" s="136"/>
      <c r="M15" s="57"/>
      <c r="N15" s="53"/>
      <c r="O15" s="53"/>
      <c r="P15" s="53"/>
      <c r="Q15" s="53"/>
      <c r="R15" s="54"/>
      <c r="S15" s="57"/>
      <c r="T15" s="53"/>
      <c r="U15" s="53"/>
      <c r="V15" s="53"/>
      <c r="W15" s="53"/>
      <c r="X15" s="54"/>
      <c r="Y15" s="57"/>
      <c r="Z15" s="53"/>
      <c r="AA15" s="53"/>
      <c r="AB15" s="53"/>
      <c r="AC15" s="53"/>
      <c r="AD15" s="54"/>
      <c r="AE15" s="57"/>
      <c r="AF15" s="53"/>
      <c r="AG15" s="53"/>
      <c r="AH15" s="53"/>
      <c r="AI15" s="53"/>
      <c r="AJ15" s="54"/>
    </row>
    <row r="16" spans="1:36" x14ac:dyDescent="0.2">
      <c r="A16" s="184" t="s">
        <v>74</v>
      </c>
      <c r="B16" s="175"/>
      <c r="C16" s="175"/>
      <c r="D16" s="175"/>
      <c r="E16" s="185">
        <f>+'Calculation of Revenue'!F23</f>
        <v>1057229.1646778199</v>
      </c>
      <c r="F16" s="175"/>
      <c r="G16" s="145" t="s">
        <v>74</v>
      </c>
      <c r="H16" s="136"/>
      <c r="I16" s="136"/>
      <c r="J16" s="136"/>
      <c r="K16" s="146">
        <v>1098327.94009028</v>
      </c>
      <c r="L16" s="136"/>
      <c r="M16" s="63" t="s">
        <v>74</v>
      </c>
      <c r="N16" s="53"/>
      <c r="O16" s="53"/>
      <c r="P16" s="53"/>
      <c r="Q16" s="64"/>
      <c r="R16" s="54"/>
      <c r="S16" s="63" t="s">
        <v>74</v>
      </c>
      <c r="T16" s="53"/>
      <c r="U16" s="53"/>
      <c r="V16" s="53"/>
      <c r="W16" s="64"/>
      <c r="X16" s="54"/>
      <c r="Y16" s="50" t="s">
        <v>121</v>
      </c>
      <c r="Z16" s="53"/>
      <c r="AA16" s="53"/>
      <c r="AB16" s="53"/>
      <c r="AC16" s="64">
        <v>556969.23697813146</v>
      </c>
      <c r="AD16" s="54"/>
      <c r="AE16" s="50" t="s">
        <v>121</v>
      </c>
      <c r="AF16" s="53"/>
      <c r="AG16" s="53"/>
      <c r="AH16" s="53"/>
      <c r="AI16" s="64">
        <v>715513</v>
      </c>
      <c r="AJ16" s="54"/>
    </row>
    <row r="17" spans="1:36" x14ac:dyDescent="0.2">
      <c r="A17" s="184"/>
      <c r="B17" s="175"/>
      <c r="C17" s="175"/>
      <c r="D17" s="190"/>
      <c r="E17" s="185"/>
      <c r="F17" s="175"/>
      <c r="G17" s="145"/>
      <c r="H17" s="136"/>
      <c r="I17" s="136"/>
      <c r="J17" s="151"/>
      <c r="K17" s="146"/>
      <c r="L17" s="136"/>
      <c r="M17" s="63" t="s">
        <v>122</v>
      </c>
      <c r="N17" s="53"/>
      <c r="O17" s="53"/>
      <c r="P17" s="67">
        <f>SUM('[1]Calculation of Revenue'!F11:F18)</f>
        <v>604180.16254888952</v>
      </c>
      <c r="Q17" s="64"/>
      <c r="R17" s="54"/>
      <c r="S17" s="63" t="s">
        <v>75</v>
      </c>
      <c r="T17" s="53"/>
      <c r="U17" s="53"/>
      <c r="V17" s="67">
        <v>242325.97001047432</v>
      </c>
      <c r="W17" s="64"/>
      <c r="X17" s="54"/>
      <c r="Y17" s="50"/>
      <c r="Z17" s="53"/>
      <c r="AA17" s="53"/>
      <c r="AB17" s="53"/>
      <c r="AC17" s="64"/>
      <c r="AD17" s="54"/>
      <c r="AE17" s="50"/>
      <c r="AF17" s="53"/>
      <c r="AG17" s="53"/>
      <c r="AH17" s="53"/>
      <c r="AI17" s="64"/>
      <c r="AJ17" s="54"/>
    </row>
    <row r="18" spans="1:36" ht="15" x14ac:dyDescent="0.35">
      <c r="A18" s="184"/>
      <c r="B18" s="175"/>
      <c r="C18" s="175"/>
      <c r="D18" s="188"/>
      <c r="E18" s="185"/>
      <c r="F18" s="175"/>
      <c r="G18" s="145"/>
      <c r="H18" s="136"/>
      <c r="I18" s="136"/>
      <c r="J18" s="149"/>
      <c r="K18" s="146"/>
      <c r="L18" s="136"/>
      <c r="M18" s="63" t="s">
        <v>123</v>
      </c>
      <c r="N18" s="53"/>
      <c r="O18" s="53"/>
      <c r="P18" s="66">
        <f>SUM('[1]Calculation of Revenue'!F19:F22)</f>
        <v>363841.51970000006</v>
      </c>
      <c r="Q18" s="64">
        <f>+P18+P17</f>
        <v>968021.68224888959</v>
      </c>
      <c r="R18" s="54"/>
      <c r="S18" s="63" t="s">
        <v>76</v>
      </c>
      <c r="T18" s="53"/>
      <c r="U18" s="53"/>
      <c r="V18" s="66">
        <v>684391.1979439744</v>
      </c>
      <c r="W18" s="64">
        <f>+V18+V17</f>
        <v>926717.16795444873</v>
      </c>
      <c r="X18" s="54"/>
      <c r="Y18" s="50"/>
      <c r="Z18" s="53"/>
      <c r="AA18" s="53"/>
      <c r="AB18" s="53"/>
      <c r="AC18" s="64"/>
      <c r="AD18" s="54"/>
      <c r="AE18" s="50"/>
      <c r="AF18" s="53"/>
      <c r="AG18" s="53"/>
      <c r="AH18" s="53"/>
      <c r="AI18" s="64"/>
      <c r="AJ18" s="54"/>
    </row>
    <row r="19" spans="1:36" ht="15" x14ac:dyDescent="0.35">
      <c r="A19" s="184"/>
      <c r="B19" s="175"/>
      <c r="C19" s="175"/>
      <c r="D19" s="175"/>
      <c r="E19" s="188"/>
      <c r="F19" s="175"/>
      <c r="G19" s="145"/>
      <c r="H19" s="136"/>
      <c r="I19" s="136"/>
      <c r="J19" s="136"/>
      <c r="K19" s="149"/>
      <c r="L19" s="136"/>
      <c r="M19" s="63" t="s">
        <v>124</v>
      </c>
      <c r="N19" s="53"/>
      <c r="O19" s="53"/>
      <c r="P19" s="53"/>
      <c r="Q19" s="66">
        <v>0</v>
      </c>
      <c r="R19" s="54"/>
      <c r="S19" s="63" t="s">
        <v>77</v>
      </c>
      <c r="T19" s="53"/>
      <c r="U19" s="53"/>
      <c r="V19" s="53"/>
      <c r="W19" s="68">
        <v>-103633.18532232862</v>
      </c>
      <c r="X19" s="54"/>
      <c r="Y19" s="50" t="s">
        <v>125</v>
      </c>
      <c r="Z19" s="53"/>
      <c r="AA19" s="53"/>
      <c r="AB19" s="53"/>
      <c r="AC19" s="64"/>
      <c r="AD19" s="54"/>
      <c r="AE19" s="50" t="s">
        <v>125</v>
      </c>
      <c r="AF19" s="53"/>
      <c r="AG19" s="53"/>
      <c r="AH19" s="53"/>
      <c r="AI19" s="64"/>
      <c r="AJ19" s="54"/>
    </row>
    <row r="20" spans="1:36" x14ac:dyDescent="0.2">
      <c r="A20" s="191"/>
      <c r="B20" s="175"/>
      <c r="C20" s="175"/>
      <c r="D20" s="175"/>
      <c r="E20" s="185"/>
      <c r="F20" s="175"/>
      <c r="G20" s="152"/>
      <c r="H20" s="136"/>
      <c r="I20" s="136"/>
      <c r="J20" s="136"/>
      <c r="K20" s="146"/>
      <c r="L20" s="136"/>
      <c r="M20" s="69" t="s">
        <v>78</v>
      </c>
      <c r="N20" s="53"/>
      <c r="O20" s="53"/>
      <c r="P20" s="53"/>
      <c r="Q20" s="64">
        <f>+Q18+Q19</f>
        <v>968021.68224888959</v>
      </c>
      <c r="R20" s="54"/>
      <c r="S20" s="69" t="s">
        <v>78</v>
      </c>
      <c r="T20" s="53"/>
      <c r="U20" s="53"/>
      <c r="V20" s="53"/>
      <c r="W20" s="64">
        <f>+W18+W19</f>
        <v>823083.98263212014</v>
      </c>
      <c r="X20" s="54"/>
      <c r="Y20" s="50"/>
      <c r="Z20" s="53"/>
      <c r="AA20" s="53"/>
      <c r="AB20" s="53"/>
      <c r="AC20" s="64"/>
      <c r="AD20" s="54"/>
      <c r="AE20" s="50"/>
      <c r="AF20" s="53"/>
      <c r="AG20" s="53"/>
      <c r="AH20" s="53"/>
      <c r="AI20" s="64"/>
      <c r="AJ20" s="54"/>
    </row>
    <row r="21" spans="1:36" x14ac:dyDescent="0.2">
      <c r="A21" s="178"/>
      <c r="B21" s="175"/>
      <c r="C21" s="175"/>
      <c r="D21" s="175"/>
      <c r="E21" s="175"/>
      <c r="F21" s="175"/>
      <c r="G21" s="139"/>
      <c r="H21" s="136"/>
      <c r="I21" s="136"/>
      <c r="J21" s="136"/>
      <c r="K21" s="136"/>
      <c r="L21" s="136"/>
      <c r="M21" s="57"/>
      <c r="N21" s="53"/>
      <c r="O21" s="53"/>
      <c r="P21" s="53"/>
      <c r="Q21" s="53"/>
      <c r="R21" s="54"/>
      <c r="S21" s="57"/>
      <c r="T21" s="53"/>
      <c r="U21" s="53"/>
      <c r="V21" s="53"/>
      <c r="W21" s="53"/>
      <c r="X21" s="54"/>
      <c r="Y21" s="57"/>
      <c r="Z21" s="53"/>
      <c r="AA21" s="53"/>
      <c r="AB21" s="53"/>
      <c r="AC21" s="53"/>
      <c r="AD21" s="54"/>
      <c r="AE21" s="57"/>
      <c r="AF21" s="53"/>
      <c r="AG21" s="53"/>
      <c r="AH21" s="53"/>
      <c r="AI21" s="53"/>
      <c r="AJ21" s="54"/>
    </row>
    <row r="22" spans="1:36" x14ac:dyDescent="0.2">
      <c r="A22" s="178" t="s">
        <v>79</v>
      </c>
      <c r="B22" s="175"/>
      <c r="C22" s="175"/>
      <c r="D22" s="175"/>
      <c r="E22" s="185">
        <f>E16-E14</f>
        <v>-48049.315322180046</v>
      </c>
      <c r="F22" s="175"/>
      <c r="G22" s="139" t="s">
        <v>79</v>
      </c>
      <c r="H22" s="136"/>
      <c r="I22" s="136"/>
      <c r="J22" s="136"/>
      <c r="K22" s="146">
        <f>K16-K14</f>
        <v>-6199.5647980005015</v>
      </c>
      <c r="L22" s="136"/>
      <c r="M22" s="57" t="s">
        <v>79</v>
      </c>
      <c r="N22" s="53"/>
      <c r="O22" s="53"/>
      <c r="P22" s="53"/>
      <c r="Q22" s="64">
        <f>Q20-Q14</f>
        <v>-174727.07725046983</v>
      </c>
      <c r="R22" s="54"/>
      <c r="S22" s="57" t="s">
        <v>79</v>
      </c>
      <c r="T22" s="53"/>
      <c r="U22" s="53"/>
      <c r="V22" s="53"/>
      <c r="W22" s="64">
        <f>W20-W14</f>
        <v>182890.45669091912</v>
      </c>
      <c r="X22" s="54"/>
      <c r="Y22" s="57" t="s">
        <v>79</v>
      </c>
      <c r="Z22" s="53"/>
      <c r="AA22" s="53"/>
      <c r="AB22" s="53"/>
      <c r="AC22" s="64">
        <f>+AC16-AC14</f>
        <v>-83224.288963069557</v>
      </c>
      <c r="AD22" s="54"/>
      <c r="AE22" s="57" t="s">
        <v>79</v>
      </c>
      <c r="AF22" s="53"/>
      <c r="AG22" s="53"/>
      <c r="AH22" s="53"/>
      <c r="AI22" s="64">
        <f>+AI16-AI14</f>
        <v>497435.33</v>
      </c>
      <c r="AJ22" s="54"/>
    </row>
    <row r="23" spans="1:36" x14ac:dyDescent="0.2">
      <c r="A23" s="178"/>
      <c r="B23" s="175"/>
      <c r="C23" s="175"/>
      <c r="D23" s="175"/>
      <c r="E23" s="175"/>
      <c r="F23" s="175"/>
      <c r="G23" s="139"/>
      <c r="H23" s="136"/>
      <c r="I23" s="136"/>
      <c r="J23" s="136"/>
      <c r="K23" s="136"/>
      <c r="L23" s="136"/>
      <c r="M23" s="57"/>
      <c r="N23" s="53"/>
      <c r="O23" s="53"/>
      <c r="P23" s="53"/>
      <c r="Q23" s="53"/>
      <c r="R23" s="54"/>
      <c r="S23" s="57"/>
      <c r="T23" s="53"/>
      <c r="U23" s="53"/>
      <c r="V23" s="53"/>
      <c r="W23" s="53"/>
      <c r="X23" s="54"/>
      <c r="Y23" s="57"/>
      <c r="Z23" s="53"/>
      <c r="AA23" s="53"/>
      <c r="AB23" s="53"/>
      <c r="AC23" s="53"/>
      <c r="AD23" s="54"/>
      <c r="AE23" s="57"/>
      <c r="AF23" s="53"/>
      <c r="AG23" s="53"/>
      <c r="AH23" s="53"/>
      <c r="AI23" s="53"/>
      <c r="AJ23" s="54"/>
    </row>
    <row r="24" spans="1:36" x14ac:dyDescent="0.2">
      <c r="A24" s="178" t="s">
        <v>80</v>
      </c>
      <c r="B24" s="175"/>
      <c r="C24" s="175"/>
      <c r="D24" s="175"/>
      <c r="E24" s="185">
        <f>+C14</f>
        <v>497790</v>
      </c>
      <c r="F24" s="175"/>
      <c r="G24" s="139" t="s">
        <v>80</v>
      </c>
      <c r="H24" s="136"/>
      <c r="I24" s="136"/>
      <c r="J24" s="136"/>
      <c r="K24" s="146">
        <f>+I14</f>
        <v>488432</v>
      </c>
      <c r="L24" s="136"/>
      <c r="M24" s="57" t="s">
        <v>80</v>
      </c>
      <c r="N24" s="53"/>
      <c r="O24" s="53"/>
      <c r="P24" s="53"/>
      <c r="Q24" s="64">
        <f>+O14</f>
        <v>468140</v>
      </c>
      <c r="R24" s="54"/>
      <c r="S24" s="57" t="s">
        <v>80</v>
      </c>
      <c r="T24" s="53"/>
      <c r="U24" s="53"/>
      <c r="V24" s="53"/>
      <c r="W24" s="64">
        <f>+U14</f>
        <v>468788</v>
      </c>
      <c r="X24" s="54"/>
      <c r="Y24" s="63" t="s">
        <v>80</v>
      </c>
      <c r="Z24" s="53"/>
      <c r="AA24" s="53"/>
      <c r="AB24" s="53"/>
      <c r="AC24" s="64">
        <f>+AA14</f>
        <v>468788</v>
      </c>
      <c r="AD24" s="54"/>
      <c r="AE24" s="63" t="s">
        <v>80</v>
      </c>
      <c r="AF24" s="53"/>
      <c r="AG24" s="53"/>
      <c r="AH24" s="53"/>
      <c r="AI24" s="64">
        <f>+AG14</f>
        <v>465926</v>
      </c>
      <c r="AJ24" s="54"/>
    </row>
    <row r="25" spans="1:36" x14ac:dyDescent="0.2">
      <c r="A25" s="178"/>
      <c r="B25" s="175"/>
      <c r="C25" s="175"/>
      <c r="D25" s="175"/>
      <c r="E25" s="175"/>
      <c r="F25" s="175"/>
      <c r="G25" s="139"/>
      <c r="H25" s="136"/>
      <c r="I25" s="136"/>
      <c r="J25" s="136"/>
      <c r="K25" s="136"/>
      <c r="L25" s="136"/>
      <c r="M25" s="57"/>
      <c r="N25" s="53"/>
      <c r="O25" s="53"/>
      <c r="P25" s="53"/>
      <c r="Q25" s="53"/>
      <c r="R25" s="54"/>
      <c r="S25" s="57"/>
      <c r="T25" s="53"/>
      <c r="U25" s="53"/>
      <c r="V25" s="53"/>
      <c r="W25" s="53"/>
      <c r="X25" s="54"/>
      <c r="Y25" s="57"/>
      <c r="Z25" s="53"/>
      <c r="AA25" s="53"/>
      <c r="AB25" s="53"/>
      <c r="AC25" s="53"/>
      <c r="AD25" s="54"/>
      <c r="AE25" s="57"/>
      <c r="AF25" s="53"/>
      <c r="AG25" s="53"/>
      <c r="AH25" s="53"/>
      <c r="AI25" s="53"/>
      <c r="AJ25" s="54"/>
    </row>
    <row r="26" spans="1:36" x14ac:dyDescent="0.2">
      <c r="A26" s="178" t="s">
        <v>81</v>
      </c>
      <c r="B26" s="175"/>
      <c r="C26" s="175"/>
      <c r="D26" s="175"/>
      <c r="E26" s="175"/>
      <c r="F26" s="192">
        <f>ROUND(E22/E24,2)</f>
        <v>-0.1</v>
      </c>
      <c r="G26" s="139" t="s">
        <v>81</v>
      </c>
      <c r="H26" s="136"/>
      <c r="I26" s="136"/>
      <c r="J26" s="136"/>
      <c r="K26" s="136"/>
      <c r="L26" s="153">
        <f>ROUND(K22/K24,2)</f>
        <v>-0.01</v>
      </c>
      <c r="M26" s="57" t="s">
        <v>81</v>
      </c>
      <c r="N26" s="53"/>
      <c r="O26" s="53"/>
      <c r="P26" s="53"/>
      <c r="Q26" s="53"/>
      <c r="R26" s="112">
        <f>ROUND(Q22/Q24,2)</f>
        <v>-0.37</v>
      </c>
      <c r="S26" s="57" t="s">
        <v>81</v>
      </c>
      <c r="T26" s="53"/>
      <c r="U26" s="53"/>
      <c r="V26" s="53"/>
      <c r="W26" s="53"/>
      <c r="X26" s="112">
        <f>ROUND(W22/W24,2)</f>
        <v>0.39</v>
      </c>
      <c r="Y26" s="57" t="s">
        <v>81</v>
      </c>
      <c r="Z26" s="53"/>
      <c r="AA26" s="53"/>
      <c r="AB26" s="53"/>
      <c r="AC26" s="53"/>
      <c r="AD26" s="112">
        <f>ROUND(AC22/AC24,2)</f>
        <v>-0.18</v>
      </c>
      <c r="AE26" s="57" t="s">
        <v>81</v>
      </c>
      <c r="AF26" s="53"/>
      <c r="AG26" s="53"/>
      <c r="AH26" s="53"/>
      <c r="AI26" s="53"/>
      <c r="AJ26" s="112">
        <f>ROUND(AI22/AI24,2)</f>
        <v>1.07</v>
      </c>
    </row>
    <row r="27" spans="1:36" x14ac:dyDescent="0.2">
      <c r="A27" s="178"/>
      <c r="B27" s="175"/>
      <c r="C27" s="175"/>
      <c r="D27" s="175"/>
      <c r="E27" s="175"/>
      <c r="F27" s="192"/>
      <c r="G27" s="139"/>
      <c r="H27" s="136"/>
      <c r="I27" s="136"/>
      <c r="J27" s="136"/>
      <c r="K27" s="136"/>
      <c r="L27" s="153"/>
      <c r="M27" s="57"/>
      <c r="N27" s="53"/>
      <c r="O27" s="53"/>
      <c r="P27" s="53"/>
      <c r="Q27" s="53"/>
      <c r="R27" s="112"/>
      <c r="S27" s="57"/>
      <c r="T27" s="53"/>
      <c r="U27" s="53"/>
      <c r="V27" s="53"/>
      <c r="W27" s="53"/>
      <c r="X27" s="112"/>
      <c r="Y27" s="57"/>
      <c r="Z27" s="53"/>
      <c r="AA27" s="53"/>
      <c r="AB27" s="53"/>
      <c r="AC27" s="53"/>
      <c r="AD27" s="112"/>
      <c r="AE27" s="57"/>
      <c r="AF27" s="53"/>
      <c r="AG27" s="53"/>
      <c r="AH27" s="53"/>
      <c r="AI27" s="53"/>
      <c r="AJ27" s="112"/>
    </row>
    <row r="28" spans="1:36" ht="17.25" customHeight="1" x14ac:dyDescent="0.35">
      <c r="A28" s="181" t="s">
        <v>147</v>
      </c>
      <c r="B28" s="182"/>
      <c r="C28" s="175"/>
      <c r="D28" s="175"/>
      <c r="E28" s="185">
        <f>+E16</f>
        <v>1057229.1646778199</v>
      </c>
      <c r="F28" s="192"/>
      <c r="G28" s="142" t="s">
        <v>138</v>
      </c>
      <c r="H28" s="143"/>
      <c r="I28" s="136"/>
      <c r="J28" s="136"/>
      <c r="K28" s="146">
        <f>+K16</f>
        <v>1098327.94009028</v>
      </c>
      <c r="L28" s="153"/>
      <c r="M28" s="60" t="s">
        <v>96</v>
      </c>
      <c r="N28" s="61"/>
      <c r="O28" s="53"/>
      <c r="P28" s="53"/>
      <c r="Q28" s="64">
        <f>'[1]Calculation of Revenue'!F23</f>
        <v>968021.68224888959</v>
      </c>
      <c r="R28" s="112"/>
      <c r="S28" s="60" t="s">
        <v>82</v>
      </c>
      <c r="T28" s="61"/>
      <c r="U28" s="53"/>
      <c r="V28" s="53"/>
      <c r="W28" s="64">
        <v>1276870.4409176263</v>
      </c>
      <c r="X28" s="112"/>
      <c r="Y28" s="60" t="s">
        <v>82</v>
      </c>
      <c r="Z28" s="61"/>
      <c r="AA28" s="53"/>
      <c r="AB28" s="53"/>
      <c r="AC28" s="113">
        <f>+AC16</f>
        <v>556969.23697813146</v>
      </c>
      <c r="AD28" s="112"/>
      <c r="AE28" s="60" t="s">
        <v>71</v>
      </c>
      <c r="AF28" s="61"/>
      <c r="AG28" s="53"/>
      <c r="AH28" s="53"/>
      <c r="AI28" s="114">
        <f>+AI16</f>
        <v>715513</v>
      </c>
      <c r="AJ28" s="112"/>
    </row>
    <row r="29" spans="1:36" x14ac:dyDescent="0.2">
      <c r="A29" s="178" t="s">
        <v>80</v>
      </c>
      <c r="B29" s="175"/>
      <c r="C29" s="175"/>
      <c r="D29" s="175"/>
      <c r="E29" s="185">
        <f>+C14</f>
        <v>497790</v>
      </c>
      <c r="F29" s="192"/>
      <c r="G29" s="139" t="s">
        <v>80</v>
      </c>
      <c r="H29" s="136"/>
      <c r="I29" s="136"/>
      <c r="J29" s="136"/>
      <c r="K29" s="146">
        <f>+I14</f>
        <v>488432</v>
      </c>
      <c r="L29" s="153"/>
      <c r="M29" s="57" t="s">
        <v>80</v>
      </c>
      <c r="N29" s="53"/>
      <c r="O29" s="53"/>
      <c r="P29" s="53"/>
      <c r="Q29" s="64">
        <f>+O14</f>
        <v>468140</v>
      </c>
      <c r="R29" s="112"/>
      <c r="S29" s="57" t="s">
        <v>80</v>
      </c>
      <c r="T29" s="53"/>
      <c r="U29" s="53"/>
      <c r="V29" s="53"/>
      <c r="W29" s="64">
        <f>+U14</f>
        <v>468788</v>
      </c>
      <c r="X29" s="112"/>
      <c r="Y29" s="57" t="s">
        <v>80</v>
      </c>
      <c r="Z29" s="53"/>
      <c r="AA29" s="53"/>
      <c r="AB29" s="53"/>
      <c r="AC29" s="64">
        <f>+AC24</f>
        <v>468788</v>
      </c>
      <c r="AD29" s="112"/>
      <c r="AE29" s="57" t="s">
        <v>80</v>
      </c>
      <c r="AF29" s="53"/>
      <c r="AG29" s="53"/>
      <c r="AH29" s="53"/>
      <c r="AI29" s="64">
        <f>+AI24</f>
        <v>465926</v>
      </c>
      <c r="AJ29" s="112"/>
    </row>
    <row r="30" spans="1:36" ht="15" x14ac:dyDescent="0.35">
      <c r="A30" s="178" t="s">
        <v>83</v>
      </c>
      <c r="B30" s="175"/>
      <c r="C30" s="175"/>
      <c r="D30" s="175"/>
      <c r="E30" s="175"/>
      <c r="F30" s="193">
        <f>ROUND(+E28/E29,2)</f>
        <v>2.12</v>
      </c>
      <c r="G30" s="139" t="s">
        <v>83</v>
      </c>
      <c r="H30" s="136"/>
      <c r="I30" s="136"/>
      <c r="J30" s="136"/>
      <c r="K30" s="136"/>
      <c r="L30" s="154">
        <f>+K28/K29</f>
        <v>2.2486813724127002</v>
      </c>
      <c r="M30" s="57" t="s">
        <v>83</v>
      </c>
      <c r="N30" s="53"/>
      <c r="O30" s="53"/>
      <c r="P30" s="53"/>
      <c r="Q30" s="53"/>
      <c r="R30" s="115">
        <f>+Q28/Q29</f>
        <v>2.0678038241741565</v>
      </c>
      <c r="S30" s="57" t="s">
        <v>83</v>
      </c>
      <c r="T30" s="53"/>
      <c r="U30" s="53"/>
      <c r="V30" s="53"/>
      <c r="W30" s="53"/>
      <c r="X30" s="115">
        <f>+W28/W29</f>
        <v>2.7237694670461408</v>
      </c>
      <c r="Y30" s="57" t="s">
        <v>83</v>
      </c>
      <c r="Z30" s="53"/>
      <c r="AA30" s="53"/>
      <c r="AB30" s="53"/>
      <c r="AC30" s="53"/>
      <c r="AD30" s="116">
        <f>+AC28/AC29</f>
        <v>1.18810472319712</v>
      </c>
      <c r="AE30" s="57" t="s">
        <v>83</v>
      </c>
      <c r="AF30" s="53"/>
      <c r="AG30" s="53"/>
      <c r="AH30" s="53"/>
      <c r="AI30" s="53"/>
      <c r="AJ30" s="116">
        <f>+AI28/AI29</f>
        <v>1.5356794855835476</v>
      </c>
    </row>
    <row r="31" spans="1:36" x14ac:dyDescent="0.2">
      <c r="A31" s="178"/>
      <c r="B31" s="175"/>
      <c r="C31" s="175"/>
      <c r="D31" s="175"/>
      <c r="E31" s="175"/>
      <c r="F31" s="192"/>
      <c r="G31" s="139"/>
      <c r="H31" s="136"/>
      <c r="I31" s="136"/>
      <c r="J31" s="136"/>
      <c r="K31" s="136"/>
      <c r="L31" s="153"/>
      <c r="M31" s="57"/>
      <c r="N31" s="53"/>
      <c r="O31" s="53"/>
      <c r="P31" s="53"/>
      <c r="Q31" s="53"/>
      <c r="R31" s="112"/>
      <c r="S31" s="57"/>
      <c r="T31" s="53"/>
      <c r="U31" s="53"/>
      <c r="V31" s="53"/>
      <c r="W31" s="53"/>
      <c r="X31" s="112"/>
      <c r="Y31" s="57"/>
      <c r="Z31" s="53"/>
      <c r="AA31" s="53"/>
      <c r="AB31" s="53"/>
      <c r="AC31" s="53"/>
      <c r="AD31" s="112"/>
      <c r="AE31" s="57"/>
      <c r="AF31" s="53"/>
      <c r="AG31" s="53"/>
      <c r="AH31" s="53"/>
      <c r="AI31" s="53"/>
      <c r="AJ31" s="112"/>
    </row>
    <row r="32" spans="1:36" ht="18.75" thickBot="1" x14ac:dyDescent="0.4">
      <c r="A32" s="172" t="s">
        <v>84</v>
      </c>
      <c r="B32" s="173"/>
      <c r="C32" s="175"/>
      <c r="D32" s="175"/>
      <c r="E32" s="175"/>
      <c r="F32" s="194">
        <f>+F26+F30</f>
        <v>2.02</v>
      </c>
      <c r="G32" s="133" t="s">
        <v>84</v>
      </c>
      <c r="H32" s="134"/>
      <c r="I32" s="136"/>
      <c r="J32" s="136"/>
      <c r="K32" s="136"/>
      <c r="L32" s="155">
        <f>+L26+L30</f>
        <v>2.2386813724127004</v>
      </c>
      <c r="M32" s="50" t="s">
        <v>87</v>
      </c>
      <c r="N32" s="51"/>
      <c r="O32" s="53"/>
      <c r="P32" s="53"/>
      <c r="Q32" s="53"/>
      <c r="R32" s="117">
        <f>+R26+R30</f>
        <v>1.6978038241741564</v>
      </c>
      <c r="S32" s="50" t="s">
        <v>84</v>
      </c>
      <c r="T32" s="51"/>
      <c r="U32" s="53"/>
      <c r="V32" s="53"/>
      <c r="W32" s="53"/>
      <c r="X32" s="117">
        <f>+X26+X30</f>
        <v>3.1137694670461409</v>
      </c>
      <c r="Y32" s="50" t="s">
        <v>84</v>
      </c>
      <c r="Z32" s="51"/>
      <c r="AA32" s="53"/>
      <c r="AB32" s="53"/>
      <c r="AC32" s="53"/>
      <c r="AD32" s="118">
        <f>+AD30+AD26</f>
        <v>1.0081047231971201</v>
      </c>
      <c r="AE32" s="50" t="s">
        <v>84</v>
      </c>
      <c r="AF32" s="51"/>
      <c r="AG32" s="53"/>
      <c r="AH32" s="53"/>
      <c r="AI32" s="53"/>
      <c r="AJ32" s="118">
        <f>+AJ30+AJ26</f>
        <v>2.6056794855835479</v>
      </c>
    </row>
    <row r="33" spans="1:36" ht="18.75" thickTop="1" x14ac:dyDescent="0.35">
      <c r="A33" s="172"/>
      <c r="B33" s="173"/>
      <c r="C33" s="175"/>
      <c r="D33" s="175"/>
      <c r="E33" s="175"/>
      <c r="F33" s="195"/>
      <c r="G33" s="133"/>
      <c r="H33" s="134"/>
      <c r="I33" s="136"/>
      <c r="J33" s="136"/>
      <c r="K33" s="136"/>
      <c r="L33" s="156"/>
      <c r="M33" s="50"/>
      <c r="N33" s="51"/>
      <c r="O33" s="53"/>
      <c r="P33" s="53"/>
      <c r="Q33" s="53"/>
      <c r="R33" s="119"/>
      <c r="S33" s="50"/>
      <c r="T33" s="51"/>
      <c r="U33" s="53"/>
      <c r="V33" s="53"/>
      <c r="W33" s="53"/>
      <c r="X33" s="119"/>
      <c r="Y33" s="50"/>
      <c r="Z33" s="51"/>
      <c r="AA33" s="53"/>
      <c r="AB33" s="53"/>
      <c r="AC33" s="53"/>
      <c r="AD33" s="120"/>
      <c r="AE33" s="50"/>
      <c r="AF33" s="51"/>
      <c r="AG33" s="53"/>
      <c r="AH33" s="53"/>
      <c r="AI33" s="53"/>
      <c r="AJ33" s="120"/>
    </row>
    <row r="34" spans="1:36" ht="18" x14ac:dyDescent="0.35">
      <c r="A34" s="172"/>
      <c r="B34" s="173"/>
      <c r="C34" s="175"/>
      <c r="D34" s="175"/>
      <c r="E34" s="175"/>
      <c r="F34" s="195"/>
      <c r="G34" s="133"/>
      <c r="H34" s="134"/>
      <c r="I34" s="136"/>
      <c r="J34" s="136"/>
      <c r="K34" s="136"/>
      <c r="L34" s="156"/>
      <c r="M34" s="50"/>
      <c r="N34" s="51"/>
      <c r="O34" s="53"/>
      <c r="P34" s="53"/>
      <c r="Q34" s="53"/>
      <c r="R34" s="119"/>
      <c r="S34" s="70" t="s">
        <v>85</v>
      </c>
      <c r="T34" s="51"/>
      <c r="U34" s="53"/>
      <c r="V34" s="53"/>
      <c r="W34" s="53"/>
      <c r="X34" s="119"/>
      <c r="Y34" s="50"/>
      <c r="Z34" s="51"/>
      <c r="AA34" s="53"/>
      <c r="AB34" s="53"/>
      <c r="AC34" s="53"/>
      <c r="AD34" s="120"/>
      <c r="AE34" s="50"/>
      <c r="AF34" s="51"/>
      <c r="AG34" s="53"/>
      <c r="AH34" s="53"/>
      <c r="AI34" s="53"/>
      <c r="AJ34" s="120"/>
    </row>
    <row r="35" spans="1:36" ht="18" x14ac:dyDescent="0.35">
      <c r="A35" s="172"/>
      <c r="B35" s="173"/>
      <c r="C35" s="175"/>
      <c r="D35" s="175"/>
      <c r="E35" s="196"/>
      <c r="F35" s="195"/>
      <c r="G35" s="133"/>
      <c r="H35" s="134"/>
      <c r="I35" s="136"/>
      <c r="J35" s="136"/>
      <c r="K35" s="157"/>
      <c r="L35" s="156"/>
      <c r="M35" s="50"/>
      <c r="N35" s="51"/>
      <c r="O35" s="53"/>
      <c r="P35" s="53"/>
      <c r="Q35" s="71"/>
      <c r="R35" s="119"/>
      <c r="S35" s="50" t="s">
        <v>126</v>
      </c>
      <c r="T35" s="51"/>
      <c r="U35" s="53"/>
      <c r="V35" s="53"/>
      <c r="W35" s="71">
        <f>AD32*3</f>
        <v>3.02431416959136</v>
      </c>
      <c r="X35" s="119"/>
      <c r="Y35" s="50"/>
      <c r="Z35" s="51"/>
      <c r="AA35" s="53"/>
      <c r="AB35" s="53"/>
      <c r="AC35" s="53"/>
      <c r="AD35" s="120"/>
      <c r="AE35" s="50"/>
      <c r="AF35" s="51"/>
      <c r="AG35" s="53"/>
      <c r="AH35" s="53"/>
      <c r="AI35" s="53"/>
      <c r="AJ35" s="120"/>
    </row>
    <row r="36" spans="1:36" ht="18" x14ac:dyDescent="0.35">
      <c r="A36" s="172"/>
      <c r="B36" s="173"/>
      <c r="C36" s="175"/>
      <c r="D36" s="175"/>
      <c r="E36" s="196"/>
      <c r="F36" s="195"/>
      <c r="G36" s="133"/>
      <c r="H36" s="134"/>
      <c r="I36" s="136"/>
      <c r="J36" s="136"/>
      <c r="K36" s="157"/>
      <c r="L36" s="156"/>
      <c r="M36" s="50"/>
      <c r="N36" s="51"/>
      <c r="O36" s="53"/>
      <c r="P36" s="53"/>
      <c r="Q36" s="71"/>
      <c r="R36" s="119"/>
      <c r="S36" s="50" t="s">
        <v>127</v>
      </c>
      <c r="T36" s="51"/>
      <c r="U36" s="53"/>
      <c r="V36" s="53"/>
      <c r="W36" s="72">
        <f>X32*3</f>
        <v>9.3413084011384235</v>
      </c>
      <c r="X36" s="119"/>
      <c r="Y36" s="50"/>
      <c r="Z36" s="51"/>
      <c r="AA36" s="53"/>
      <c r="AB36" s="53"/>
      <c r="AC36" s="53"/>
      <c r="AD36" s="120"/>
      <c r="AE36" s="50"/>
      <c r="AF36" s="51"/>
      <c r="AG36" s="53"/>
      <c r="AH36" s="53"/>
      <c r="AI36" s="53"/>
      <c r="AJ36" s="120"/>
    </row>
    <row r="37" spans="1:36" ht="18" x14ac:dyDescent="0.35">
      <c r="A37" s="172"/>
      <c r="B37" s="173"/>
      <c r="C37" s="175"/>
      <c r="D37" s="175"/>
      <c r="E37" s="175"/>
      <c r="F37" s="196"/>
      <c r="G37" s="133"/>
      <c r="H37" s="134"/>
      <c r="I37" s="136"/>
      <c r="J37" s="136"/>
      <c r="K37" s="136"/>
      <c r="L37" s="157"/>
      <c r="M37" s="50"/>
      <c r="N37" s="51"/>
      <c r="O37" s="53"/>
      <c r="P37" s="53"/>
      <c r="Q37" s="53"/>
      <c r="R37" s="85"/>
      <c r="S37" s="50" t="s">
        <v>86</v>
      </c>
      <c r="T37" s="51"/>
      <c r="U37" s="53"/>
      <c r="V37" s="71"/>
      <c r="W37" s="53"/>
      <c r="X37" s="85">
        <f>(W36-W35)/9</f>
        <v>0.70188824794967375</v>
      </c>
      <c r="Y37" s="50"/>
      <c r="Z37" s="51"/>
      <c r="AA37" s="53"/>
      <c r="AB37" s="53"/>
      <c r="AC37" s="53"/>
      <c r="AD37" s="120"/>
      <c r="AE37" s="50"/>
      <c r="AF37" s="51"/>
      <c r="AG37" s="53"/>
      <c r="AH37" s="53"/>
      <c r="AI37" s="53"/>
      <c r="AJ37" s="120"/>
    </row>
    <row r="38" spans="1:36" ht="18" x14ac:dyDescent="0.35">
      <c r="A38" s="172"/>
      <c r="B38" s="173"/>
      <c r="C38" s="175"/>
      <c r="D38" s="175"/>
      <c r="E38" s="175"/>
      <c r="F38" s="195"/>
      <c r="G38" s="133"/>
      <c r="H38" s="134"/>
      <c r="I38" s="136"/>
      <c r="J38" s="136"/>
      <c r="K38" s="136"/>
      <c r="L38" s="156"/>
      <c r="M38" s="50"/>
      <c r="N38" s="51"/>
      <c r="O38" s="53"/>
      <c r="P38" s="53"/>
      <c r="Q38" s="53"/>
      <c r="R38" s="119"/>
      <c r="S38" s="50"/>
      <c r="T38" s="121"/>
      <c r="U38" s="121"/>
      <c r="V38" s="121"/>
      <c r="W38" s="121"/>
      <c r="X38" s="119"/>
      <c r="Y38" s="50"/>
      <c r="Z38" s="51"/>
      <c r="AA38" s="53"/>
      <c r="AB38" s="53"/>
      <c r="AC38" s="53"/>
      <c r="AD38" s="120"/>
      <c r="AE38" s="50"/>
      <c r="AF38" s="51"/>
      <c r="AG38" s="53"/>
      <c r="AH38" s="53"/>
      <c r="AI38" s="53"/>
      <c r="AJ38" s="120"/>
    </row>
    <row r="39" spans="1:36" ht="18.75" thickBot="1" x14ac:dyDescent="0.4">
      <c r="A39" s="172"/>
      <c r="B39" s="175"/>
      <c r="C39" s="175"/>
      <c r="D39" s="175"/>
      <c r="E39" s="175"/>
      <c r="F39" s="195"/>
      <c r="G39" s="133"/>
      <c r="H39" s="136"/>
      <c r="I39" s="136"/>
      <c r="J39" s="136"/>
      <c r="K39" s="136"/>
      <c r="L39" s="156"/>
      <c r="M39" s="50"/>
      <c r="N39" s="53"/>
      <c r="O39" s="53"/>
      <c r="P39" s="53"/>
      <c r="Q39" s="53"/>
      <c r="R39" s="119"/>
      <c r="S39" s="50" t="s">
        <v>87</v>
      </c>
      <c r="T39" s="121"/>
      <c r="U39" s="121"/>
      <c r="V39" s="121"/>
      <c r="W39" s="121"/>
      <c r="X39" s="117">
        <f>SUM(X32:X37)</f>
        <v>3.8156577149958144</v>
      </c>
      <c r="Y39" s="57"/>
      <c r="Z39" s="53"/>
      <c r="AA39" s="53"/>
      <c r="AB39" s="53"/>
      <c r="AC39" s="53"/>
      <c r="AD39" s="112"/>
      <c r="AE39" s="57"/>
      <c r="AF39" s="53"/>
      <c r="AG39" s="53"/>
      <c r="AH39" s="53"/>
      <c r="AI39" s="53"/>
      <c r="AJ39" s="112"/>
    </row>
    <row r="40" spans="1:36" ht="13.5" thickTop="1" x14ac:dyDescent="0.2">
      <c r="A40" s="178"/>
      <c r="B40" s="175"/>
      <c r="C40" s="175"/>
      <c r="D40" s="175"/>
      <c r="E40" s="175"/>
      <c r="F40" s="175"/>
      <c r="G40" s="139"/>
      <c r="H40" s="136"/>
      <c r="I40" s="136"/>
      <c r="J40" s="136"/>
      <c r="K40" s="136"/>
      <c r="L40" s="136"/>
      <c r="M40" s="57"/>
      <c r="N40" s="53"/>
      <c r="O40" s="53"/>
      <c r="P40" s="53"/>
      <c r="Q40" s="53"/>
      <c r="R40" s="54"/>
      <c r="S40" s="57"/>
      <c r="T40" s="53"/>
      <c r="U40" s="53"/>
      <c r="V40" s="53"/>
      <c r="W40" s="53"/>
      <c r="X40" s="54"/>
      <c r="Y40" s="57"/>
      <c r="Z40" s="53"/>
      <c r="AA40" s="53"/>
      <c r="AB40" s="53"/>
      <c r="AC40" s="53"/>
      <c r="AD40" s="54"/>
      <c r="AE40" s="57"/>
      <c r="AF40" s="53"/>
      <c r="AG40" s="53"/>
      <c r="AH40" s="53"/>
      <c r="AI40" s="122" t="s">
        <v>128</v>
      </c>
      <c r="AJ40" s="54">
        <v>-1.19</v>
      </c>
    </row>
    <row r="41" spans="1:36" x14ac:dyDescent="0.2">
      <c r="A41" s="178"/>
      <c r="B41" s="175"/>
      <c r="C41" s="175"/>
      <c r="D41" s="175"/>
      <c r="E41" s="175"/>
      <c r="F41" s="175"/>
      <c r="G41" s="139"/>
      <c r="H41" s="136"/>
      <c r="I41" s="136"/>
      <c r="J41" s="136"/>
      <c r="K41" s="136"/>
      <c r="L41" s="136"/>
      <c r="M41" s="57"/>
      <c r="N41" s="53"/>
      <c r="O41" s="53"/>
      <c r="P41" s="53"/>
      <c r="Q41" s="53"/>
      <c r="R41" s="54"/>
      <c r="S41" s="57"/>
      <c r="T41" s="53"/>
      <c r="U41" s="53"/>
      <c r="V41" s="53"/>
      <c r="W41" s="53"/>
      <c r="X41" s="54"/>
      <c r="Y41" s="57"/>
      <c r="Z41" s="53"/>
      <c r="AA41" s="53"/>
      <c r="AB41" s="53"/>
      <c r="AC41" s="53"/>
      <c r="AD41" s="54"/>
      <c r="AE41" s="57"/>
      <c r="AF41" s="53"/>
      <c r="AG41" s="53"/>
      <c r="AH41" s="53"/>
      <c r="AI41" s="122"/>
      <c r="AJ41" s="54"/>
    </row>
    <row r="42" spans="1:36" x14ac:dyDescent="0.2">
      <c r="A42" s="178"/>
      <c r="B42" s="175"/>
      <c r="C42" s="175"/>
      <c r="D42" s="175"/>
      <c r="E42" s="175"/>
      <c r="F42" s="175"/>
      <c r="G42" s="139"/>
      <c r="H42" s="136"/>
      <c r="I42" s="136"/>
      <c r="J42" s="136"/>
      <c r="K42" s="136"/>
      <c r="L42" s="136"/>
      <c r="M42" s="57"/>
      <c r="N42" s="53"/>
      <c r="O42" s="53"/>
      <c r="P42" s="53"/>
      <c r="Q42" s="53"/>
      <c r="R42" s="54"/>
      <c r="S42" s="57"/>
      <c r="T42" s="53"/>
      <c r="U42" s="53"/>
      <c r="V42" s="53"/>
      <c r="W42" s="53"/>
      <c r="X42" s="54"/>
      <c r="Y42" s="57"/>
      <c r="Z42" s="53"/>
      <c r="AA42" s="53"/>
      <c r="AB42" s="53"/>
      <c r="AC42" s="53"/>
      <c r="AD42" s="54"/>
      <c r="AE42" s="57"/>
      <c r="AF42" s="53"/>
      <c r="AG42" s="53"/>
      <c r="AH42" s="53"/>
      <c r="AI42" s="122"/>
      <c r="AJ42" s="54"/>
    </row>
    <row r="43" spans="1:36" x14ac:dyDescent="0.2">
      <c r="A43" s="178"/>
      <c r="B43" s="175"/>
      <c r="C43" s="175"/>
      <c r="D43" s="175"/>
      <c r="E43" s="175"/>
      <c r="F43" s="175"/>
      <c r="G43" s="139"/>
      <c r="H43" s="136"/>
      <c r="I43" s="136"/>
      <c r="J43" s="136"/>
      <c r="K43" s="136"/>
      <c r="L43" s="136"/>
      <c r="M43" s="57"/>
      <c r="N43" s="53"/>
      <c r="O43" s="53"/>
      <c r="P43" s="53"/>
      <c r="Q43" s="53"/>
      <c r="R43" s="54"/>
      <c r="S43" s="63" t="s">
        <v>129</v>
      </c>
      <c r="T43" s="123">
        <f>X26</f>
        <v>0.39</v>
      </c>
      <c r="U43" s="71">
        <f>AD26</f>
        <v>-0.18</v>
      </c>
      <c r="V43" s="71">
        <f>T43-U43</f>
        <v>0.57000000000000006</v>
      </c>
      <c r="W43" s="71">
        <f>V43*3/9</f>
        <v>0.19000000000000003</v>
      </c>
      <c r="X43" s="54"/>
      <c r="Y43" s="57"/>
      <c r="Z43" s="53"/>
      <c r="AA43" s="53"/>
      <c r="AB43" s="53"/>
      <c r="AC43" s="53"/>
      <c r="AD43" s="54"/>
      <c r="AE43" s="57"/>
      <c r="AF43" s="53"/>
      <c r="AG43" s="53"/>
      <c r="AH43" s="53"/>
      <c r="AI43" s="122"/>
      <c r="AJ43" s="54"/>
    </row>
    <row r="44" spans="1:36" x14ac:dyDescent="0.2">
      <c r="A44" s="178"/>
      <c r="B44" s="175"/>
      <c r="C44" s="175"/>
      <c r="D44" s="175"/>
      <c r="E44" s="175"/>
      <c r="F44" s="175"/>
      <c r="G44" s="139"/>
      <c r="H44" s="136"/>
      <c r="I44" s="136"/>
      <c r="J44" s="136"/>
      <c r="K44" s="136"/>
      <c r="L44" s="136"/>
      <c r="M44" s="57"/>
      <c r="N44" s="53"/>
      <c r="O44" s="53"/>
      <c r="P44" s="53"/>
      <c r="Q44" s="53"/>
      <c r="R44" s="54"/>
      <c r="S44" s="63" t="s">
        <v>130</v>
      </c>
      <c r="T44" s="72">
        <f>X30</f>
        <v>2.7237694670461408</v>
      </c>
      <c r="U44" s="72">
        <f>AD30</f>
        <v>1.18810472319712</v>
      </c>
      <c r="V44" s="72">
        <f>T44-U44</f>
        <v>1.5356647438490207</v>
      </c>
      <c r="W44" s="72">
        <f>V44*3/9</f>
        <v>0.51188824794967358</v>
      </c>
      <c r="X44" s="54"/>
      <c r="Y44" s="57"/>
      <c r="Z44" s="53"/>
      <c r="AA44" s="53"/>
      <c r="AB44" s="53"/>
      <c r="AC44" s="53"/>
      <c r="AD44" s="54"/>
      <c r="AE44" s="57"/>
      <c r="AF44" s="53"/>
      <c r="AG44" s="53"/>
      <c r="AH44" s="53"/>
      <c r="AI44" s="122"/>
      <c r="AJ44" s="54"/>
    </row>
    <row r="45" spans="1:36" ht="15" x14ac:dyDescent="0.35">
      <c r="A45" s="178"/>
      <c r="B45" s="175"/>
      <c r="C45" s="175"/>
      <c r="D45" s="175"/>
      <c r="E45" s="175"/>
      <c r="F45" s="175"/>
      <c r="G45" s="139"/>
      <c r="H45" s="136"/>
      <c r="I45" s="136"/>
      <c r="J45" s="136"/>
      <c r="K45" s="136"/>
      <c r="L45" s="136"/>
      <c r="M45" s="63"/>
      <c r="N45" s="53"/>
      <c r="O45" s="53"/>
      <c r="P45" s="71"/>
      <c r="Q45" s="53"/>
      <c r="R45" s="124"/>
      <c r="S45" s="63" t="s">
        <v>131</v>
      </c>
      <c r="T45" s="71">
        <f>SUM(T43:T44)</f>
        <v>3.1137694670461409</v>
      </c>
      <c r="U45" s="71">
        <f t="shared" ref="U45:W45" si="0">SUM(U43:U44)</f>
        <v>1.0081047231971201</v>
      </c>
      <c r="V45" s="71">
        <f t="shared" si="0"/>
        <v>2.1056647438490206</v>
      </c>
      <c r="W45" s="71">
        <f t="shared" si="0"/>
        <v>0.70188824794967364</v>
      </c>
      <c r="X45" s="124"/>
      <c r="Y45" s="57"/>
      <c r="Z45" s="53"/>
      <c r="AA45" s="53"/>
      <c r="AB45" s="53"/>
      <c r="AC45" s="53"/>
      <c r="AD45" s="125"/>
      <c r="AE45" s="57"/>
      <c r="AF45" s="53"/>
      <c r="AG45" s="53"/>
      <c r="AH45" s="53"/>
      <c r="AI45" s="53"/>
      <c r="AJ45" s="125"/>
    </row>
    <row r="46" spans="1:36" x14ac:dyDescent="0.2">
      <c r="A46" s="178"/>
      <c r="B46" s="175"/>
      <c r="C46" s="175"/>
      <c r="D46" s="175"/>
      <c r="E46" s="175"/>
      <c r="F46" s="175"/>
      <c r="G46" s="139"/>
      <c r="H46" s="136"/>
      <c r="I46" s="136"/>
      <c r="J46" s="136"/>
      <c r="K46" s="136"/>
      <c r="L46" s="136"/>
      <c r="M46" s="57"/>
      <c r="N46" s="53"/>
      <c r="O46" s="53"/>
      <c r="P46" s="71"/>
      <c r="Q46" s="53"/>
      <c r="R46" s="54"/>
      <c r="S46" s="57"/>
      <c r="T46" s="53"/>
      <c r="U46" s="53"/>
      <c r="V46" s="71"/>
      <c r="W46" s="53"/>
      <c r="X46" s="54"/>
      <c r="Y46" s="57"/>
      <c r="Z46" s="53"/>
      <c r="AA46" s="53"/>
      <c r="AB46" s="53"/>
      <c r="AC46" s="126"/>
      <c r="AD46" s="54"/>
      <c r="AE46" s="57"/>
      <c r="AF46" s="53"/>
      <c r="AG46" s="53"/>
      <c r="AH46" s="53"/>
      <c r="AI46" s="122" t="s">
        <v>132</v>
      </c>
      <c r="AJ46" s="85">
        <f>AJ32+AJ40</f>
        <v>1.4156794855835479</v>
      </c>
    </row>
    <row r="47" spans="1:36" x14ac:dyDescent="0.2">
      <c r="A47" s="178"/>
      <c r="B47" s="175"/>
      <c r="C47" s="175"/>
      <c r="D47" s="175"/>
      <c r="E47" s="175"/>
      <c r="F47" s="175"/>
      <c r="G47" s="139"/>
      <c r="H47" s="136"/>
      <c r="I47" s="136"/>
      <c r="J47" s="136"/>
      <c r="K47" s="136"/>
      <c r="L47" s="136"/>
      <c r="M47" s="57"/>
      <c r="N47" s="53"/>
      <c r="O47" s="53"/>
      <c r="P47" s="53"/>
      <c r="Q47" s="53"/>
      <c r="R47" s="54"/>
      <c r="S47" s="57"/>
      <c r="T47" s="53"/>
      <c r="U47" s="53"/>
      <c r="V47" s="53"/>
      <c r="W47" s="53"/>
      <c r="X47" s="54"/>
      <c r="Y47" s="57"/>
      <c r="Z47" s="53"/>
      <c r="AA47" s="53"/>
      <c r="AB47" s="53"/>
      <c r="AC47" s="53"/>
      <c r="AD47" s="54"/>
      <c r="AE47" s="57"/>
      <c r="AF47" s="53"/>
      <c r="AG47" s="53"/>
      <c r="AH47" s="53"/>
      <c r="AI47" s="53"/>
      <c r="AJ47" s="54"/>
    </row>
    <row r="48" spans="1:36" ht="19.5" x14ac:dyDescent="0.4">
      <c r="A48" s="228" t="s">
        <v>21</v>
      </c>
      <c r="B48" s="229"/>
      <c r="C48" s="229"/>
      <c r="D48" s="229"/>
      <c r="E48" s="229"/>
      <c r="F48" s="229"/>
      <c r="G48" s="221" t="s">
        <v>21</v>
      </c>
      <c r="H48" s="222"/>
      <c r="I48" s="222"/>
      <c r="J48" s="222"/>
      <c r="K48" s="222"/>
      <c r="L48" s="222"/>
      <c r="M48" s="216" t="s">
        <v>21</v>
      </c>
      <c r="N48" s="217"/>
      <c r="O48" s="217"/>
      <c r="P48" s="217"/>
      <c r="Q48" s="217"/>
      <c r="R48" s="218"/>
      <c r="S48" s="216" t="s">
        <v>21</v>
      </c>
      <c r="T48" s="217"/>
      <c r="U48" s="217"/>
      <c r="V48" s="217"/>
      <c r="W48" s="217"/>
      <c r="X48" s="218"/>
      <c r="Y48" s="216" t="s">
        <v>21</v>
      </c>
      <c r="Z48" s="217"/>
      <c r="AA48" s="217"/>
      <c r="AB48" s="217"/>
      <c r="AC48" s="217"/>
      <c r="AD48" s="218"/>
      <c r="AE48" s="216" t="s">
        <v>21</v>
      </c>
      <c r="AF48" s="217"/>
      <c r="AG48" s="217"/>
      <c r="AH48" s="217"/>
      <c r="AI48" s="217"/>
      <c r="AJ48" s="218"/>
    </row>
    <row r="49" spans="1:36" x14ac:dyDescent="0.2">
      <c r="A49" s="178"/>
      <c r="B49" s="175"/>
      <c r="C49" s="175"/>
      <c r="D49" s="175"/>
      <c r="E49" s="175"/>
      <c r="F49" s="175"/>
      <c r="G49" s="139"/>
      <c r="H49" s="136"/>
      <c r="I49" s="136"/>
      <c r="J49" s="136"/>
      <c r="K49" s="136"/>
      <c r="L49" s="136"/>
      <c r="M49" s="57"/>
      <c r="N49" s="53"/>
      <c r="O49" s="53"/>
      <c r="P49" s="53"/>
      <c r="Q49" s="53"/>
      <c r="R49" s="54"/>
      <c r="S49" s="57"/>
      <c r="T49" s="53"/>
      <c r="U49" s="53"/>
      <c r="V49" s="53"/>
      <c r="W49" s="53"/>
      <c r="X49" s="54"/>
      <c r="Y49" s="57"/>
      <c r="Z49" s="53"/>
      <c r="AA49" s="53"/>
      <c r="AB49" s="53"/>
      <c r="AC49" s="53"/>
      <c r="AD49" s="54"/>
      <c r="AE49" s="57"/>
      <c r="AF49" s="53"/>
      <c r="AG49" s="53"/>
      <c r="AH49" s="53"/>
      <c r="AI49" s="53"/>
      <c r="AJ49" s="54"/>
    </row>
    <row r="50" spans="1:36" x14ac:dyDescent="0.2">
      <c r="A50" s="178"/>
      <c r="B50" s="175"/>
      <c r="C50" s="179"/>
      <c r="D50" s="179" t="s">
        <v>69</v>
      </c>
      <c r="E50" s="179" t="s">
        <v>23</v>
      </c>
      <c r="F50" s="175"/>
      <c r="G50" s="139"/>
      <c r="H50" s="136"/>
      <c r="I50" s="140"/>
      <c r="J50" s="140" t="s">
        <v>69</v>
      </c>
      <c r="K50" s="140" t="s">
        <v>23</v>
      </c>
      <c r="L50" s="136"/>
      <c r="M50" s="57"/>
      <c r="N50" s="53"/>
      <c r="O50" s="58"/>
      <c r="P50" s="58" t="s">
        <v>69</v>
      </c>
      <c r="Q50" s="58" t="s">
        <v>23</v>
      </c>
      <c r="R50" s="54"/>
      <c r="S50" s="57"/>
      <c r="T50" s="53"/>
      <c r="U50" s="58"/>
      <c r="V50" s="58" t="s">
        <v>69</v>
      </c>
      <c r="W50" s="58" t="s">
        <v>23</v>
      </c>
      <c r="X50" s="54"/>
      <c r="Y50" s="57"/>
      <c r="Z50" s="53"/>
      <c r="AA50" s="58"/>
      <c r="AB50" s="58" t="s">
        <v>69</v>
      </c>
      <c r="AC50" s="58" t="s">
        <v>23</v>
      </c>
      <c r="AD50" s="54"/>
      <c r="AE50" s="57"/>
      <c r="AF50" s="53"/>
      <c r="AG50" s="58"/>
      <c r="AH50" s="58" t="s">
        <v>69</v>
      </c>
      <c r="AI50" s="58" t="s">
        <v>23</v>
      </c>
      <c r="AJ50" s="54"/>
    </row>
    <row r="51" spans="1:36" x14ac:dyDescent="0.2">
      <c r="A51" s="178"/>
      <c r="B51" s="175"/>
      <c r="C51" s="197" t="s">
        <v>31</v>
      </c>
      <c r="D51" s="197" t="s">
        <v>70</v>
      </c>
      <c r="E51" s="197" t="s">
        <v>29</v>
      </c>
      <c r="F51" s="175"/>
      <c r="G51" s="139"/>
      <c r="H51" s="136"/>
      <c r="I51" s="158" t="s">
        <v>31</v>
      </c>
      <c r="J51" s="158" t="s">
        <v>70</v>
      </c>
      <c r="K51" s="158" t="s">
        <v>29</v>
      </c>
      <c r="L51" s="136"/>
      <c r="M51" s="57"/>
      <c r="N51" s="53"/>
      <c r="O51" s="73" t="s">
        <v>31</v>
      </c>
      <c r="P51" s="73" t="s">
        <v>70</v>
      </c>
      <c r="Q51" s="73" t="s">
        <v>29</v>
      </c>
      <c r="R51" s="54"/>
      <c r="S51" s="57"/>
      <c r="T51" s="53"/>
      <c r="U51" s="73" t="s">
        <v>31</v>
      </c>
      <c r="V51" s="73" t="s">
        <v>70</v>
      </c>
      <c r="W51" s="73" t="s">
        <v>29</v>
      </c>
      <c r="X51" s="54"/>
      <c r="Y51" s="57"/>
      <c r="Z51" s="53"/>
      <c r="AA51" s="73" t="s">
        <v>31</v>
      </c>
      <c r="AB51" s="73" t="s">
        <v>70</v>
      </c>
      <c r="AC51" s="73" t="s">
        <v>29</v>
      </c>
      <c r="AD51" s="54"/>
      <c r="AE51" s="57"/>
      <c r="AF51" s="53"/>
      <c r="AG51" s="73" t="s">
        <v>31</v>
      </c>
      <c r="AH51" s="73" t="s">
        <v>70</v>
      </c>
      <c r="AI51" s="73" t="s">
        <v>29</v>
      </c>
      <c r="AJ51" s="54"/>
    </row>
    <row r="52" spans="1:36" ht="16.5" x14ac:dyDescent="0.35">
      <c r="A52" s="181" t="str">
        <f>A10</f>
        <v>Projected Revenue Sep 2014-Aug 2015</v>
      </c>
      <c r="B52" s="182"/>
      <c r="C52" s="183"/>
      <c r="D52" s="183"/>
      <c r="E52" s="183"/>
      <c r="F52" s="175"/>
      <c r="G52" s="142" t="str">
        <f>G10</f>
        <v>Projected Revenue Sep 2013-Aug 2014</v>
      </c>
      <c r="H52" s="143"/>
      <c r="I52" s="144"/>
      <c r="J52" s="144"/>
      <c r="K52" s="144"/>
      <c r="L52" s="136"/>
      <c r="M52" s="60" t="str">
        <f>M10</f>
        <v>Projected Revenue Sep 2012-Aug 2013</v>
      </c>
      <c r="N52" s="61"/>
      <c r="O52" s="62"/>
      <c r="P52" s="62"/>
      <c r="Q52" s="62"/>
      <c r="R52" s="54"/>
      <c r="S52" s="60" t="str">
        <f>S10</f>
        <v>Projected Revenue Sep 2011-Aug 2012</v>
      </c>
      <c r="T52" s="61"/>
      <c r="U52" s="62"/>
      <c r="V52" s="62"/>
      <c r="W52" s="62"/>
      <c r="X52" s="54"/>
      <c r="Y52" s="60" t="str">
        <f>Y10</f>
        <v>Projected Revenue Sep 2011-Aug 2012</v>
      </c>
      <c r="Z52" s="61"/>
      <c r="AA52" s="62"/>
      <c r="AB52" s="62"/>
      <c r="AC52" s="62"/>
      <c r="AD52" s="54"/>
      <c r="AE52" s="60" t="str">
        <f>AE10</f>
        <v>Projected Revenue Sep 2010-Aug 2011</v>
      </c>
      <c r="AF52" s="61"/>
      <c r="AG52" s="62"/>
      <c r="AH52" s="62"/>
      <c r="AI52" s="62"/>
      <c r="AJ52" s="54"/>
    </row>
    <row r="53" spans="1:36" x14ac:dyDescent="0.2">
      <c r="A53" s="184" t="s">
        <v>72</v>
      </c>
      <c r="B53" s="187"/>
      <c r="C53" s="185">
        <f>+'Customer Counts'!G9+'Customer Counts'!G10</f>
        <v>12902</v>
      </c>
      <c r="D53" s="186">
        <f>+J55</f>
        <v>0.34612226510957111</v>
      </c>
      <c r="E53" s="185">
        <f>C53*D53</f>
        <v>4465.6694644436866</v>
      </c>
      <c r="F53" s="175"/>
      <c r="G53" s="145" t="s">
        <v>72</v>
      </c>
      <c r="H53" s="148"/>
      <c r="I53" s="146">
        <v>12916</v>
      </c>
      <c r="J53" s="147">
        <v>0.49740439702613237</v>
      </c>
      <c r="K53" s="146">
        <f>I53*J53</f>
        <v>6424.4751919895261</v>
      </c>
      <c r="L53" s="136"/>
      <c r="M53" s="63" t="s">
        <v>72</v>
      </c>
      <c r="N53" s="65"/>
      <c r="O53" s="64">
        <f>SUM('[1]Customer Counts'!D8:D9)</f>
        <v>12937</v>
      </c>
      <c r="P53" s="110">
        <f>AJ72</f>
        <v>0.22971542278403512</v>
      </c>
      <c r="Q53" s="64">
        <f>P53*O53</f>
        <v>2971.8284245570621</v>
      </c>
      <c r="R53" s="54"/>
      <c r="S53" s="63" t="s">
        <v>72</v>
      </c>
      <c r="T53" s="65"/>
      <c r="U53" s="64">
        <v>13008</v>
      </c>
      <c r="V53" s="110">
        <f>AB53</f>
        <v>0.11</v>
      </c>
      <c r="W53" s="64">
        <f>V53*U53</f>
        <v>1430.88</v>
      </c>
      <c r="X53" s="54"/>
      <c r="Y53" s="57" t="s">
        <v>118</v>
      </c>
      <c r="Z53" s="65"/>
      <c r="AA53" s="64">
        <v>13028</v>
      </c>
      <c r="AB53" s="110">
        <v>0.11</v>
      </c>
      <c r="AC53" s="64">
        <f>AA53*AB53</f>
        <v>1433.08</v>
      </c>
      <c r="AD53" s="54"/>
      <c r="AE53" s="57" t="s">
        <v>118</v>
      </c>
      <c r="AF53" s="65"/>
      <c r="AG53" s="64">
        <v>13028</v>
      </c>
      <c r="AH53" s="110">
        <v>0.03</v>
      </c>
      <c r="AI53" s="64">
        <f>AG53*AH53</f>
        <v>390.84</v>
      </c>
      <c r="AJ53" s="54"/>
    </row>
    <row r="54" spans="1:36" x14ac:dyDescent="0.2">
      <c r="A54" s="184"/>
      <c r="B54" s="187"/>
      <c r="C54" s="185"/>
      <c r="D54" s="186"/>
      <c r="E54" s="185"/>
      <c r="F54" s="175"/>
      <c r="G54" s="145"/>
      <c r="H54" s="148"/>
      <c r="I54" s="146"/>
      <c r="J54" s="147"/>
      <c r="K54" s="146"/>
      <c r="L54" s="136"/>
      <c r="M54" s="63" t="s">
        <v>119</v>
      </c>
      <c r="N54" s="65"/>
      <c r="O54" s="64">
        <f>SUM('[1]Customer Counts'!D10:D12)</f>
        <v>19400</v>
      </c>
      <c r="P54" s="110">
        <f>AD72</f>
        <v>0.18781913488291288</v>
      </c>
      <c r="Q54" s="64">
        <f>P54*O54</f>
        <v>3643.69121672851</v>
      </c>
      <c r="R54" s="54"/>
      <c r="S54" s="63"/>
      <c r="T54" s="65"/>
      <c r="U54" s="64"/>
      <c r="V54" s="110"/>
      <c r="W54" s="64"/>
      <c r="X54" s="54"/>
      <c r="Y54" s="57"/>
      <c r="Z54" s="65"/>
      <c r="AA54" s="64"/>
      <c r="AB54" s="110"/>
      <c r="AC54" s="64"/>
      <c r="AD54" s="54"/>
      <c r="AE54" s="57"/>
      <c r="AF54" s="65"/>
      <c r="AG54" s="64"/>
      <c r="AH54" s="110"/>
      <c r="AI54" s="64"/>
      <c r="AJ54" s="54"/>
    </row>
    <row r="55" spans="1:36" ht="15" x14ac:dyDescent="0.35">
      <c r="A55" s="184" t="s">
        <v>73</v>
      </c>
      <c r="B55" s="187"/>
      <c r="C55" s="188">
        <f>+'Customer Counts'!G21-'Customer Counts'!G9-'Customer Counts'!G10</f>
        <v>64538</v>
      </c>
      <c r="D55" s="186">
        <f>+L72</f>
        <v>0.39292263980369369</v>
      </c>
      <c r="E55" s="188">
        <f>C55*D55</f>
        <v>25358.441327650784</v>
      </c>
      <c r="F55" s="175"/>
      <c r="G55" s="145" t="s">
        <v>73</v>
      </c>
      <c r="H55" s="148"/>
      <c r="I55" s="149">
        <v>64514</v>
      </c>
      <c r="J55" s="147">
        <v>0.34612226510957111</v>
      </c>
      <c r="K55" s="149">
        <f>I55*J55</f>
        <v>22329.731811278871</v>
      </c>
      <c r="L55" s="136"/>
      <c r="M55" s="63" t="s">
        <v>104</v>
      </c>
      <c r="N55" s="65"/>
      <c r="O55" s="66">
        <f>SUM('[1]Customer Counts'!D13:D19)</f>
        <v>45240</v>
      </c>
      <c r="P55" s="110">
        <f>X72+'[1]staff notes'!E46</f>
        <v>0.49740439702613237</v>
      </c>
      <c r="Q55" s="66">
        <f>P55*O55</f>
        <v>22502.57492146223</v>
      </c>
      <c r="R55" s="54"/>
      <c r="S55" s="63" t="s">
        <v>73</v>
      </c>
      <c r="T55" s="65"/>
      <c r="U55" s="66">
        <v>64878</v>
      </c>
      <c r="V55" s="110">
        <f>AB55</f>
        <v>0.23</v>
      </c>
      <c r="W55" s="66">
        <f>V55*U55</f>
        <v>14921.94</v>
      </c>
      <c r="X55" s="54"/>
      <c r="Y55" s="111" t="s">
        <v>120</v>
      </c>
      <c r="Z55" s="65"/>
      <c r="AA55" s="66">
        <v>65084</v>
      </c>
      <c r="AB55" s="110">
        <v>0.23</v>
      </c>
      <c r="AC55" s="66">
        <f>AA55*AB55</f>
        <v>14969.320000000002</v>
      </c>
      <c r="AD55" s="54"/>
      <c r="AE55" s="111" t="s">
        <v>120</v>
      </c>
      <c r="AF55" s="65"/>
      <c r="AG55" s="66">
        <v>65084</v>
      </c>
      <c r="AH55" s="110">
        <v>0.11</v>
      </c>
      <c r="AI55" s="66">
        <f>AG55*AH55</f>
        <v>7159.24</v>
      </c>
      <c r="AJ55" s="54"/>
    </row>
    <row r="56" spans="1:36" x14ac:dyDescent="0.2">
      <c r="A56" s="178" t="s">
        <v>23</v>
      </c>
      <c r="B56" s="175"/>
      <c r="C56" s="185">
        <f>SUM(C53:C55)</f>
        <v>77440</v>
      </c>
      <c r="D56" s="175"/>
      <c r="E56" s="185">
        <f>SUM(E53:E55)</f>
        <v>29824.110792094471</v>
      </c>
      <c r="F56" s="175"/>
      <c r="G56" s="139" t="s">
        <v>23</v>
      </c>
      <c r="H56" s="136"/>
      <c r="I56" s="146">
        <f>SUM(I53:I55)</f>
        <v>77430</v>
      </c>
      <c r="J56" s="136"/>
      <c r="K56" s="146">
        <f>SUM(K53:K55)</f>
        <v>28754.207003268399</v>
      </c>
      <c r="L56" s="136"/>
      <c r="M56" s="57" t="s">
        <v>23</v>
      </c>
      <c r="N56" s="53"/>
      <c r="O56" s="64">
        <f>SUM(O53:O55)</f>
        <v>77577</v>
      </c>
      <c r="P56" s="53"/>
      <c r="Q56" s="64">
        <f>SUM(Q53:Q55)</f>
        <v>29118.094562747803</v>
      </c>
      <c r="R56" s="54"/>
      <c r="S56" s="57" t="s">
        <v>23</v>
      </c>
      <c r="T56" s="53"/>
      <c r="U56" s="64">
        <f>SUM(U53:U55)</f>
        <v>77886</v>
      </c>
      <c r="V56" s="53"/>
      <c r="W56" s="64">
        <f>SUM(W53:W55)</f>
        <v>16352.82</v>
      </c>
      <c r="X56" s="54"/>
      <c r="Y56" s="57" t="s">
        <v>23</v>
      </c>
      <c r="Z56" s="53"/>
      <c r="AA56" s="64">
        <v>78397</v>
      </c>
      <c r="AB56" s="53"/>
      <c r="AC56" s="64">
        <f>+AC55+AC53</f>
        <v>16402.400000000001</v>
      </c>
      <c r="AD56" s="54"/>
      <c r="AE56" s="57" t="s">
        <v>23</v>
      </c>
      <c r="AF56" s="53"/>
      <c r="AG56" s="64">
        <v>78397</v>
      </c>
      <c r="AH56" s="53"/>
      <c r="AI56" s="64">
        <f>+AI55+AI53</f>
        <v>7550.08</v>
      </c>
      <c r="AJ56" s="54"/>
    </row>
    <row r="57" spans="1:36" x14ac:dyDescent="0.2">
      <c r="A57" s="178"/>
      <c r="B57" s="175"/>
      <c r="C57" s="175"/>
      <c r="D57" s="175"/>
      <c r="E57" s="175"/>
      <c r="F57" s="175"/>
      <c r="G57" s="139"/>
      <c r="H57" s="136"/>
      <c r="I57" s="136"/>
      <c r="J57" s="136"/>
      <c r="K57" s="136"/>
      <c r="L57" s="136"/>
      <c r="M57" s="57"/>
      <c r="N57" s="53"/>
      <c r="O57" s="53"/>
      <c r="P57" s="53"/>
      <c r="Q57" s="53"/>
      <c r="R57" s="54"/>
      <c r="S57" s="57"/>
      <c r="T57" s="53"/>
      <c r="U57" s="53"/>
      <c r="V57" s="53"/>
      <c r="W57" s="53"/>
      <c r="X57" s="54"/>
      <c r="Y57" s="57"/>
      <c r="Z57" s="53"/>
      <c r="AA57" s="53"/>
      <c r="AB57" s="53"/>
      <c r="AC57" s="53"/>
      <c r="AD57" s="54"/>
      <c r="AE57" s="57"/>
      <c r="AF57" s="53"/>
      <c r="AG57" s="53"/>
      <c r="AH57" s="53"/>
      <c r="AI57" s="53"/>
      <c r="AJ57" s="54"/>
    </row>
    <row r="58" spans="1:36" x14ac:dyDescent="0.2">
      <c r="A58" s="184" t="s">
        <v>74</v>
      </c>
      <c r="B58" s="175"/>
      <c r="C58" s="175"/>
      <c r="D58" s="175"/>
      <c r="E58" s="185">
        <f>+'Calculation of Revenue'!F44</f>
        <v>30075.481689875349</v>
      </c>
      <c r="F58" s="175"/>
      <c r="G58" s="145" t="s">
        <v>74</v>
      </c>
      <c r="H58" s="136"/>
      <c r="I58" s="136"/>
      <c r="J58" s="136"/>
      <c r="K58" s="146">
        <v>30424</v>
      </c>
      <c r="L58" s="136"/>
      <c r="M58" s="63" t="s">
        <v>74</v>
      </c>
      <c r="N58" s="53"/>
      <c r="O58" s="53"/>
      <c r="P58" s="53"/>
      <c r="Q58" s="64"/>
      <c r="R58" s="54"/>
      <c r="S58" s="63" t="s">
        <v>74</v>
      </c>
      <c r="T58" s="53"/>
      <c r="U58" s="53"/>
      <c r="V58" s="53"/>
      <c r="W58" s="64"/>
      <c r="X58" s="54"/>
      <c r="Y58" s="57" t="s">
        <v>133</v>
      </c>
      <c r="Z58" s="53"/>
      <c r="AA58" s="53"/>
      <c r="AB58" s="53"/>
      <c r="AC58" s="64">
        <v>14724.45671741572</v>
      </c>
      <c r="AD58" s="54"/>
      <c r="AE58" s="57" t="s">
        <v>133</v>
      </c>
      <c r="AF58" s="53"/>
      <c r="AG58" s="53"/>
      <c r="AH58" s="53"/>
      <c r="AI58" s="64">
        <v>18009</v>
      </c>
      <c r="AJ58" s="54"/>
    </row>
    <row r="59" spans="1:36" x14ac:dyDescent="0.2">
      <c r="A59" s="184"/>
      <c r="B59" s="175"/>
      <c r="C59" s="175"/>
      <c r="D59" s="190"/>
      <c r="E59" s="185"/>
      <c r="F59" s="175"/>
      <c r="G59" s="145"/>
      <c r="H59" s="136"/>
      <c r="I59" s="136"/>
      <c r="J59" s="151"/>
      <c r="K59" s="146"/>
      <c r="L59" s="136"/>
      <c r="M59" s="63" t="s">
        <v>122</v>
      </c>
      <c r="N59" s="53"/>
      <c r="O59" s="53"/>
      <c r="P59" s="67">
        <f>SUM('[1]Calculation of Revenue'!F32:F39)</f>
        <v>16380.840560405202</v>
      </c>
      <c r="Q59" s="64"/>
      <c r="R59" s="54"/>
      <c r="S59" s="63" t="s">
        <v>75</v>
      </c>
      <c r="T59" s="53"/>
      <c r="U59" s="53"/>
      <c r="V59" s="67">
        <v>7499.1949274278022</v>
      </c>
      <c r="W59" s="64"/>
      <c r="X59" s="54"/>
      <c r="Y59" s="57"/>
      <c r="Z59" s="53"/>
      <c r="AA59" s="53"/>
      <c r="AB59" s="53"/>
      <c r="AC59" s="64"/>
      <c r="AD59" s="54"/>
      <c r="AE59" s="57"/>
      <c r="AF59" s="53"/>
      <c r="AG59" s="53"/>
      <c r="AH59" s="53"/>
      <c r="AI59" s="64"/>
      <c r="AJ59" s="54"/>
    </row>
    <row r="60" spans="1:36" ht="15" x14ac:dyDescent="0.35">
      <c r="A60" s="184"/>
      <c r="B60" s="175"/>
      <c r="C60" s="175"/>
      <c r="D60" s="188"/>
      <c r="E60" s="185"/>
      <c r="F60" s="175"/>
      <c r="G60" s="145"/>
      <c r="H60" s="136"/>
      <c r="I60" s="136"/>
      <c r="J60" s="149"/>
      <c r="K60" s="146"/>
      <c r="L60" s="136"/>
      <c r="M60" s="63" t="s">
        <v>123</v>
      </c>
      <c r="N60" s="53"/>
      <c r="O60" s="53"/>
      <c r="P60" s="66">
        <f>SUM('[1]Calculation of Revenue'!F40:F43)</f>
        <v>10470.286399999999</v>
      </c>
      <c r="Q60" s="64">
        <f>+P60+P59</f>
        <v>26851.126960405199</v>
      </c>
      <c r="R60" s="54"/>
      <c r="S60" s="63" t="s">
        <v>76</v>
      </c>
      <c r="T60" s="53"/>
      <c r="U60" s="53"/>
      <c r="V60" s="66">
        <v>17891.931548133674</v>
      </c>
      <c r="W60" s="64">
        <f>+V60+V59</f>
        <v>25391.126475561476</v>
      </c>
      <c r="X60" s="54"/>
      <c r="Y60" s="57"/>
      <c r="Z60" s="53"/>
      <c r="AA60" s="53"/>
      <c r="AB60" s="53"/>
      <c r="AC60" s="64"/>
      <c r="AD60" s="54"/>
      <c r="AE60" s="57"/>
      <c r="AF60" s="53"/>
      <c r="AG60" s="53"/>
      <c r="AH60" s="53"/>
      <c r="AI60" s="64"/>
      <c r="AJ60" s="54"/>
    </row>
    <row r="61" spans="1:36" ht="15" x14ac:dyDescent="0.35">
      <c r="A61" s="184"/>
      <c r="B61" s="175"/>
      <c r="C61" s="175"/>
      <c r="D61" s="175"/>
      <c r="E61" s="188"/>
      <c r="F61" s="175"/>
      <c r="G61" s="145"/>
      <c r="H61" s="136"/>
      <c r="I61" s="136"/>
      <c r="J61" s="136"/>
      <c r="K61" s="149"/>
      <c r="L61" s="136"/>
      <c r="M61" s="63" t="s">
        <v>124</v>
      </c>
      <c r="N61" s="53"/>
      <c r="O61" s="53"/>
      <c r="P61" s="53"/>
      <c r="Q61" s="66">
        <v>0</v>
      </c>
      <c r="R61" s="54"/>
      <c r="S61" s="63" t="s">
        <v>77</v>
      </c>
      <c r="T61" s="53"/>
      <c r="U61" s="53"/>
      <c r="V61" s="53"/>
      <c r="W61" s="68">
        <v>-2755.8596578901588</v>
      </c>
      <c r="X61" s="54"/>
      <c r="Y61" s="57"/>
      <c r="Z61" s="53"/>
      <c r="AA61" s="53"/>
      <c r="AB61" s="53"/>
      <c r="AC61" s="64"/>
      <c r="AD61" s="54"/>
      <c r="AE61" s="57"/>
      <c r="AF61" s="53"/>
      <c r="AG61" s="53"/>
      <c r="AH61" s="53"/>
      <c r="AI61" s="64"/>
      <c r="AJ61" s="54"/>
    </row>
    <row r="62" spans="1:36" x14ac:dyDescent="0.2">
      <c r="A62" s="191"/>
      <c r="B62" s="175"/>
      <c r="C62" s="175"/>
      <c r="D62" s="175"/>
      <c r="E62" s="185"/>
      <c r="F62" s="175"/>
      <c r="G62" s="152"/>
      <c r="H62" s="136"/>
      <c r="I62" s="136"/>
      <c r="J62" s="136"/>
      <c r="K62" s="146"/>
      <c r="L62" s="136"/>
      <c r="M62" s="69" t="s">
        <v>78</v>
      </c>
      <c r="N62" s="53"/>
      <c r="O62" s="53"/>
      <c r="P62" s="53"/>
      <c r="Q62" s="64">
        <f>+Q60+Q61</f>
        <v>26851.126960405199</v>
      </c>
      <c r="R62" s="54"/>
      <c r="S62" s="69" t="s">
        <v>78</v>
      </c>
      <c r="T62" s="53"/>
      <c r="U62" s="53"/>
      <c r="V62" s="53"/>
      <c r="W62" s="64">
        <f>+W60+W61</f>
        <v>22635.266817671316</v>
      </c>
      <c r="X62" s="54"/>
      <c r="Y62" s="57"/>
      <c r="Z62" s="53"/>
      <c r="AA62" s="53"/>
      <c r="AB62" s="53"/>
      <c r="AC62" s="53"/>
      <c r="AD62" s="54"/>
      <c r="AE62" s="57"/>
      <c r="AF62" s="53"/>
      <c r="AG62" s="53"/>
      <c r="AH62" s="53"/>
      <c r="AI62" s="53"/>
      <c r="AJ62" s="54"/>
    </row>
    <row r="63" spans="1:36" x14ac:dyDescent="0.2">
      <c r="A63" s="191"/>
      <c r="B63" s="175"/>
      <c r="C63" s="175"/>
      <c r="D63" s="175"/>
      <c r="E63" s="185"/>
      <c r="F63" s="175"/>
      <c r="G63" s="152"/>
      <c r="H63" s="136"/>
      <c r="I63" s="136"/>
      <c r="J63" s="136"/>
      <c r="K63" s="146"/>
      <c r="L63" s="136"/>
      <c r="M63" s="69"/>
      <c r="N63" s="53"/>
      <c r="O63" s="53"/>
      <c r="P63" s="53"/>
      <c r="Q63" s="64"/>
      <c r="R63" s="54"/>
      <c r="S63" s="69"/>
      <c r="T63" s="53"/>
      <c r="U63" s="53"/>
      <c r="V63" s="53"/>
      <c r="W63" s="64"/>
      <c r="X63" s="54"/>
      <c r="Y63" s="57"/>
      <c r="Z63" s="53"/>
      <c r="AA63" s="53"/>
      <c r="AB63" s="53"/>
      <c r="AC63" s="53"/>
      <c r="AD63" s="54"/>
      <c r="AE63" s="57"/>
      <c r="AF63" s="53"/>
      <c r="AG63" s="53"/>
      <c r="AH63" s="53"/>
      <c r="AI63" s="53"/>
      <c r="AJ63" s="54"/>
    </row>
    <row r="64" spans="1:36" x14ac:dyDescent="0.2">
      <c r="A64" s="178" t="s">
        <v>79</v>
      </c>
      <c r="B64" s="175"/>
      <c r="C64" s="175"/>
      <c r="D64" s="175"/>
      <c r="E64" s="185">
        <f>E58-E56</f>
        <v>251.37089778087829</v>
      </c>
      <c r="F64" s="175"/>
      <c r="G64" s="139" t="s">
        <v>79</v>
      </c>
      <c r="H64" s="136"/>
      <c r="I64" s="136"/>
      <c r="J64" s="136"/>
      <c r="K64" s="146">
        <f>K58-K56</f>
        <v>1669.7929967316013</v>
      </c>
      <c r="L64" s="136"/>
      <c r="M64" s="57" t="s">
        <v>79</v>
      </c>
      <c r="N64" s="53"/>
      <c r="O64" s="53"/>
      <c r="P64" s="53"/>
      <c r="Q64" s="64">
        <f>Q62-Q56</f>
        <v>-2266.9676023426036</v>
      </c>
      <c r="R64" s="54"/>
      <c r="S64" s="57" t="s">
        <v>79</v>
      </c>
      <c r="T64" s="53"/>
      <c r="U64" s="53"/>
      <c r="V64" s="53"/>
      <c r="W64" s="64">
        <f>W62-W56</f>
        <v>6282.4468176713162</v>
      </c>
      <c r="X64" s="54"/>
      <c r="Y64" s="57" t="s">
        <v>79</v>
      </c>
      <c r="Z64" s="53"/>
      <c r="AA64" s="53"/>
      <c r="AB64" s="53"/>
      <c r="AC64" s="64">
        <f>AC58-AC56</f>
        <v>-1677.9432825842814</v>
      </c>
      <c r="AD64" s="54"/>
      <c r="AE64" s="57" t="s">
        <v>79</v>
      </c>
      <c r="AF64" s="53"/>
      <c r="AG64" s="53"/>
      <c r="AH64" s="53"/>
      <c r="AI64" s="64">
        <f>AI58-AI56</f>
        <v>10458.92</v>
      </c>
      <c r="AJ64" s="54"/>
    </row>
    <row r="65" spans="1:36" x14ac:dyDescent="0.2">
      <c r="A65" s="178"/>
      <c r="B65" s="175"/>
      <c r="C65" s="175"/>
      <c r="D65" s="175"/>
      <c r="E65" s="175"/>
      <c r="F65" s="175"/>
      <c r="G65" s="139"/>
      <c r="H65" s="136"/>
      <c r="I65" s="136"/>
      <c r="J65" s="136"/>
      <c r="K65" s="136"/>
      <c r="L65" s="136"/>
      <c r="M65" s="57"/>
      <c r="N65" s="53"/>
      <c r="O65" s="53"/>
      <c r="P65" s="53"/>
      <c r="Q65" s="53"/>
      <c r="R65" s="54"/>
      <c r="S65" s="57"/>
      <c r="T65" s="53"/>
      <c r="U65" s="53"/>
      <c r="V65" s="53"/>
      <c r="W65" s="53"/>
      <c r="X65" s="54"/>
      <c r="Y65" s="57"/>
      <c r="Z65" s="53"/>
      <c r="AA65" s="53"/>
      <c r="AB65" s="53"/>
      <c r="AC65" s="53"/>
      <c r="AD65" s="54"/>
      <c r="AE65" s="57"/>
      <c r="AF65" s="53"/>
      <c r="AG65" s="53"/>
      <c r="AH65" s="53"/>
      <c r="AI65" s="53"/>
      <c r="AJ65" s="54"/>
    </row>
    <row r="66" spans="1:36" x14ac:dyDescent="0.2">
      <c r="A66" s="178" t="s">
        <v>80</v>
      </c>
      <c r="B66" s="175"/>
      <c r="C66" s="175"/>
      <c r="D66" s="175"/>
      <c r="E66" s="185">
        <f>+C56</f>
        <v>77440</v>
      </c>
      <c r="F66" s="175"/>
      <c r="G66" s="139" t="s">
        <v>80</v>
      </c>
      <c r="H66" s="136"/>
      <c r="I66" s="136"/>
      <c r="J66" s="136"/>
      <c r="K66" s="146">
        <f>+I56</f>
        <v>77430</v>
      </c>
      <c r="L66" s="136"/>
      <c r="M66" s="57" t="s">
        <v>80</v>
      </c>
      <c r="N66" s="53"/>
      <c r="O66" s="53"/>
      <c r="P66" s="53"/>
      <c r="Q66" s="64">
        <f>+O56</f>
        <v>77577</v>
      </c>
      <c r="R66" s="54"/>
      <c r="S66" s="57" t="s">
        <v>80</v>
      </c>
      <c r="T66" s="53"/>
      <c r="U66" s="53"/>
      <c r="V66" s="53"/>
      <c r="W66" s="64">
        <f>+U56</f>
        <v>77886</v>
      </c>
      <c r="X66" s="54"/>
      <c r="Y66" s="57" t="s">
        <v>80</v>
      </c>
      <c r="Z66" s="53"/>
      <c r="AA66" s="53"/>
      <c r="AB66" s="53"/>
      <c r="AC66" s="64">
        <f>+AA56</f>
        <v>78397</v>
      </c>
      <c r="AD66" s="54"/>
      <c r="AE66" s="57" t="s">
        <v>80</v>
      </c>
      <c r="AF66" s="53"/>
      <c r="AG66" s="53"/>
      <c r="AH66" s="53"/>
      <c r="AI66" s="64">
        <f>+AG56</f>
        <v>78397</v>
      </c>
      <c r="AJ66" s="54"/>
    </row>
    <row r="67" spans="1:36" x14ac:dyDescent="0.2">
      <c r="A67" s="178"/>
      <c r="B67" s="175"/>
      <c r="C67" s="175"/>
      <c r="D67" s="175"/>
      <c r="E67" s="175"/>
      <c r="F67" s="175"/>
      <c r="G67" s="139"/>
      <c r="H67" s="136"/>
      <c r="I67" s="136"/>
      <c r="J67" s="136"/>
      <c r="K67" s="136"/>
      <c r="L67" s="136"/>
      <c r="M67" s="57"/>
      <c r="N67" s="53"/>
      <c r="O67" s="53"/>
      <c r="P67" s="53"/>
      <c r="Q67" s="53"/>
      <c r="R67" s="54"/>
      <c r="S67" s="57"/>
      <c r="T67" s="53"/>
      <c r="U67" s="53"/>
      <c r="V67" s="53"/>
      <c r="W67" s="53"/>
      <c r="X67" s="54"/>
      <c r="Y67" s="57"/>
      <c r="Z67" s="53"/>
      <c r="AA67" s="53"/>
      <c r="AB67" s="53"/>
      <c r="AC67" s="53"/>
      <c r="AD67" s="54"/>
      <c r="AE67" s="57"/>
      <c r="AF67" s="53"/>
      <c r="AG67" s="53"/>
      <c r="AH67" s="53"/>
      <c r="AI67" s="53"/>
      <c r="AJ67" s="54"/>
    </row>
    <row r="68" spans="1:36" x14ac:dyDescent="0.2">
      <c r="A68" s="178" t="s">
        <v>81</v>
      </c>
      <c r="B68" s="175"/>
      <c r="C68" s="175"/>
      <c r="D68" s="175"/>
      <c r="E68" s="175"/>
      <c r="F68" s="198">
        <f>ROUND(E64/E66,2)</f>
        <v>0</v>
      </c>
      <c r="G68" s="139" t="s">
        <v>81</v>
      </c>
      <c r="H68" s="136"/>
      <c r="I68" s="136"/>
      <c r="J68" s="136"/>
      <c r="K68" s="136"/>
      <c r="L68" s="159">
        <f>ROUND(K64/K66,2)</f>
        <v>0.02</v>
      </c>
      <c r="M68" s="57" t="s">
        <v>81</v>
      </c>
      <c r="N68" s="53"/>
      <c r="O68" s="53"/>
      <c r="P68" s="53"/>
      <c r="Q68" s="53"/>
      <c r="R68" s="127">
        <f>ROUND(Q64/Q66,2)</f>
        <v>-0.03</v>
      </c>
      <c r="S68" s="57" t="s">
        <v>81</v>
      </c>
      <c r="T68" s="53"/>
      <c r="U68" s="53"/>
      <c r="V68" s="53"/>
      <c r="W68" s="53"/>
      <c r="X68" s="127">
        <f>ROUND(W64/W66,2)</f>
        <v>0.08</v>
      </c>
      <c r="Y68" s="57" t="s">
        <v>81</v>
      </c>
      <c r="Z68" s="53"/>
      <c r="AA68" s="53"/>
      <c r="AB68" s="53"/>
      <c r="AC68" s="53"/>
      <c r="AD68" s="127">
        <f>ROUND(AC64/AC66,2)</f>
        <v>-0.02</v>
      </c>
      <c r="AE68" s="57" t="s">
        <v>81</v>
      </c>
      <c r="AF68" s="53"/>
      <c r="AG68" s="53"/>
      <c r="AH68" s="53"/>
      <c r="AI68" s="53"/>
      <c r="AJ68" s="127">
        <f>ROUND(AI64/AI66,2)</f>
        <v>0.13</v>
      </c>
    </row>
    <row r="69" spans="1:36" x14ac:dyDescent="0.2">
      <c r="A69" s="178"/>
      <c r="B69" s="175"/>
      <c r="C69" s="175"/>
      <c r="D69" s="175"/>
      <c r="E69" s="185"/>
      <c r="F69" s="175"/>
      <c r="G69" s="139"/>
      <c r="H69" s="136"/>
      <c r="I69" s="136"/>
      <c r="J69" s="136"/>
      <c r="K69" s="146"/>
      <c r="L69" s="136"/>
      <c r="M69" s="57"/>
      <c r="N69" s="53"/>
      <c r="O69" s="53"/>
      <c r="P69" s="53"/>
      <c r="Q69" s="64"/>
      <c r="R69" s="54"/>
      <c r="S69" s="57"/>
      <c r="T69" s="53"/>
      <c r="U69" s="53"/>
      <c r="V69" s="53"/>
      <c r="W69" s="64"/>
      <c r="X69" s="54"/>
      <c r="Y69" s="57"/>
      <c r="Z69" s="53"/>
      <c r="AA69" s="53"/>
      <c r="AB69" s="53"/>
      <c r="AC69" s="64"/>
      <c r="AD69" s="54"/>
      <c r="AE69" s="57"/>
      <c r="AF69" s="53"/>
      <c r="AG69" s="53"/>
      <c r="AH69" s="53"/>
      <c r="AI69" s="64"/>
      <c r="AJ69" s="54"/>
    </row>
    <row r="70" spans="1:36" ht="16.5" x14ac:dyDescent="0.35">
      <c r="A70" s="181" t="str">
        <f>A28</f>
        <v>Projected Revenue Sep 2015-Aug 2016</v>
      </c>
      <c r="B70" s="182"/>
      <c r="C70" s="175"/>
      <c r="D70" s="175"/>
      <c r="E70" s="199">
        <f>+E58</f>
        <v>30075.481689875349</v>
      </c>
      <c r="F70" s="175"/>
      <c r="G70" s="142" t="str">
        <f>G28</f>
        <v>Projected Revenue Sep 2014-Aug 2015</v>
      </c>
      <c r="H70" s="143"/>
      <c r="I70" s="136"/>
      <c r="J70" s="136"/>
      <c r="K70" s="160">
        <f>+K58</f>
        <v>30424</v>
      </c>
      <c r="L70" s="136"/>
      <c r="M70" s="60" t="str">
        <f>M28</f>
        <v>Projected Revenue Sep 2013-Aug 2014</v>
      </c>
      <c r="N70" s="61"/>
      <c r="O70" s="53"/>
      <c r="P70" s="53"/>
      <c r="Q70" s="113">
        <f>Q62</f>
        <v>26851.126960405199</v>
      </c>
      <c r="R70" s="54"/>
      <c r="S70" s="60" t="str">
        <f>S28</f>
        <v>Projected Revenue Sep 2012-Aug 2013</v>
      </c>
      <c r="T70" s="61"/>
      <c r="U70" s="53"/>
      <c r="V70" s="53"/>
      <c r="W70" s="113">
        <v>32712.749434955647</v>
      </c>
      <c r="X70" s="54"/>
      <c r="Y70" s="60" t="str">
        <f>Y28</f>
        <v>Projected Revenue Sep 2012-Aug 2013</v>
      </c>
      <c r="Z70" s="61"/>
      <c r="AA70" s="53"/>
      <c r="AB70" s="53"/>
      <c r="AC70" s="113">
        <f>+AC58</f>
        <v>14724.45671741572</v>
      </c>
      <c r="AD70" s="54"/>
      <c r="AE70" s="60" t="str">
        <f>AE28</f>
        <v>Projected Revenue Sep 2011-Aug 2012</v>
      </c>
      <c r="AF70" s="61"/>
      <c r="AG70" s="53"/>
      <c r="AH70" s="53"/>
      <c r="AI70" s="113">
        <f>+AI58</f>
        <v>18009</v>
      </c>
      <c r="AJ70" s="54"/>
    </row>
    <row r="71" spans="1:36" x14ac:dyDescent="0.2">
      <c r="A71" s="178" t="s">
        <v>80</v>
      </c>
      <c r="B71" s="175"/>
      <c r="C71" s="175"/>
      <c r="D71" s="175"/>
      <c r="E71" s="185">
        <f>+C56</f>
        <v>77440</v>
      </c>
      <c r="F71" s="175"/>
      <c r="G71" s="139" t="s">
        <v>80</v>
      </c>
      <c r="H71" s="136"/>
      <c r="I71" s="136"/>
      <c r="J71" s="136"/>
      <c r="K71" s="146">
        <f>+I56</f>
        <v>77430</v>
      </c>
      <c r="L71" s="136"/>
      <c r="M71" s="57" t="s">
        <v>80</v>
      </c>
      <c r="N71" s="53"/>
      <c r="O71" s="53"/>
      <c r="P71" s="53"/>
      <c r="Q71" s="64">
        <f>+O56</f>
        <v>77577</v>
      </c>
      <c r="R71" s="54"/>
      <c r="S71" s="57" t="s">
        <v>80</v>
      </c>
      <c r="T71" s="53"/>
      <c r="U71" s="53"/>
      <c r="V71" s="53"/>
      <c r="W71" s="64">
        <f>+U56</f>
        <v>77886</v>
      </c>
      <c r="X71" s="54"/>
      <c r="Y71" s="57" t="s">
        <v>80</v>
      </c>
      <c r="Z71" s="53"/>
      <c r="AA71" s="53"/>
      <c r="AB71" s="53"/>
      <c r="AC71" s="64">
        <f>+AA56</f>
        <v>78397</v>
      </c>
      <c r="AD71" s="54"/>
      <c r="AE71" s="57" t="s">
        <v>80</v>
      </c>
      <c r="AF71" s="53"/>
      <c r="AG71" s="53"/>
      <c r="AH71" s="53"/>
      <c r="AI71" s="64">
        <f>+AG56</f>
        <v>78397</v>
      </c>
      <c r="AJ71" s="54"/>
    </row>
    <row r="72" spans="1:36" ht="15" x14ac:dyDescent="0.35">
      <c r="A72" s="178" t="s">
        <v>83</v>
      </c>
      <c r="B72" s="175"/>
      <c r="C72" s="175"/>
      <c r="D72" s="175"/>
      <c r="E72" s="175"/>
      <c r="F72" s="200">
        <f>ROUND(+E70/E71,2)</f>
        <v>0.39</v>
      </c>
      <c r="G72" s="139" t="s">
        <v>83</v>
      </c>
      <c r="H72" s="136"/>
      <c r="I72" s="136"/>
      <c r="J72" s="136"/>
      <c r="K72" s="136"/>
      <c r="L72" s="161">
        <f>+K70/K71</f>
        <v>0.39292263980369369</v>
      </c>
      <c r="M72" s="57" t="s">
        <v>83</v>
      </c>
      <c r="N72" s="53"/>
      <c r="O72" s="53"/>
      <c r="P72" s="53"/>
      <c r="Q72" s="53"/>
      <c r="R72" s="74">
        <f>+Q70/Q71</f>
        <v>0.34612226510957111</v>
      </c>
      <c r="S72" s="57" t="s">
        <v>83</v>
      </c>
      <c r="T72" s="53"/>
      <c r="U72" s="53"/>
      <c r="V72" s="53"/>
      <c r="W72" s="53"/>
      <c r="X72" s="74">
        <f>+W70/W71</f>
        <v>0.42000808149032748</v>
      </c>
      <c r="Y72" s="57" t="s">
        <v>83</v>
      </c>
      <c r="Z72" s="53"/>
      <c r="AA72" s="53"/>
      <c r="AB72" s="53"/>
      <c r="AC72" s="53"/>
      <c r="AD72" s="116">
        <f>+AC70/AC71</f>
        <v>0.18781913488291288</v>
      </c>
      <c r="AE72" s="57" t="s">
        <v>83</v>
      </c>
      <c r="AF72" s="53"/>
      <c r="AG72" s="53"/>
      <c r="AH72" s="53"/>
      <c r="AI72" s="53"/>
      <c r="AJ72" s="116">
        <f>+AI70/AI71</f>
        <v>0.22971542278403512</v>
      </c>
    </row>
    <row r="73" spans="1:36" x14ac:dyDescent="0.2">
      <c r="A73" s="178"/>
      <c r="B73" s="175"/>
      <c r="C73" s="175"/>
      <c r="D73" s="175"/>
      <c r="E73" s="175"/>
      <c r="F73" s="175"/>
      <c r="G73" s="139"/>
      <c r="H73" s="136"/>
      <c r="I73" s="136"/>
      <c r="J73" s="136"/>
      <c r="K73" s="136"/>
      <c r="L73" s="136"/>
      <c r="M73" s="57"/>
      <c r="N73" s="53"/>
      <c r="O73" s="53"/>
      <c r="P73" s="53"/>
      <c r="Q73" s="53"/>
      <c r="R73" s="54"/>
      <c r="S73" s="57"/>
      <c r="T73" s="53"/>
      <c r="U73" s="53"/>
      <c r="V73" s="53"/>
      <c r="W73" s="53"/>
      <c r="X73" s="54"/>
      <c r="Y73" s="57"/>
      <c r="Z73" s="53"/>
      <c r="AA73" s="53"/>
      <c r="AB73" s="53"/>
      <c r="AC73" s="53"/>
      <c r="AD73" s="54"/>
      <c r="AE73" s="57"/>
      <c r="AF73" s="53"/>
      <c r="AG73" s="53"/>
      <c r="AH73" s="53"/>
      <c r="AI73" s="53"/>
      <c r="AJ73" s="54"/>
    </row>
    <row r="74" spans="1:36" ht="18.75" thickBot="1" x14ac:dyDescent="0.4">
      <c r="A74" s="172" t="s">
        <v>88</v>
      </c>
      <c r="B74" s="173"/>
      <c r="C74" s="175"/>
      <c r="D74" s="175"/>
      <c r="E74" s="175"/>
      <c r="F74" s="201">
        <f>+F72+F68</f>
        <v>0.39</v>
      </c>
      <c r="G74" s="133" t="s">
        <v>88</v>
      </c>
      <c r="H74" s="134"/>
      <c r="I74" s="136"/>
      <c r="J74" s="136"/>
      <c r="K74" s="136"/>
      <c r="L74" s="162">
        <f>+L72+L68</f>
        <v>0.4129226398036937</v>
      </c>
      <c r="M74" s="50" t="s">
        <v>134</v>
      </c>
      <c r="N74" s="51"/>
      <c r="O74" s="53"/>
      <c r="P74" s="53"/>
      <c r="Q74" s="53"/>
      <c r="R74" s="118">
        <f>+R72+R68</f>
        <v>0.31612226510957109</v>
      </c>
      <c r="S74" s="50" t="s">
        <v>88</v>
      </c>
      <c r="T74" s="51"/>
      <c r="U74" s="53"/>
      <c r="V74" s="53"/>
      <c r="W74" s="53"/>
      <c r="X74" s="118">
        <f>+X72+X68</f>
        <v>0.50000808149032749</v>
      </c>
      <c r="Y74" s="50" t="s">
        <v>88</v>
      </c>
      <c r="Z74" s="51"/>
      <c r="AA74" s="53"/>
      <c r="AB74" s="53"/>
      <c r="AC74" s="53"/>
      <c r="AD74" s="118">
        <f>+AD72+AD68</f>
        <v>0.16781913488291289</v>
      </c>
      <c r="AE74" s="50" t="s">
        <v>88</v>
      </c>
      <c r="AF74" s="51"/>
      <c r="AG74" s="53"/>
      <c r="AH74" s="53"/>
      <c r="AI74" s="53"/>
      <c r="AJ74" s="118">
        <f>+AJ72+AJ68</f>
        <v>0.35971542278403512</v>
      </c>
    </row>
    <row r="75" spans="1:36" ht="18.75" thickTop="1" x14ac:dyDescent="0.35">
      <c r="A75" s="172"/>
      <c r="B75" s="173"/>
      <c r="C75" s="175"/>
      <c r="D75" s="175"/>
      <c r="E75" s="175"/>
      <c r="F75" s="202"/>
      <c r="G75" s="133"/>
      <c r="H75" s="134"/>
      <c r="I75" s="136"/>
      <c r="J75" s="136"/>
      <c r="K75" s="136"/>
      <c r="L75" s="163"/>
      <c r="M75" s="50"/>
      <c r="N75" s="51"/>
      <c r="O75" s="53"/>
      <c r="P75" s="53"/>
      <c r="Q75" s="53"/>
      <c r="R75" s="120"/>
      <c r="S75" s="50"/>
      <c r="T75" s="51"/>
      <c r="U75" s="53"/>
      <c r="V75" s="53"/>
      <c r="W75" s="53"/>
      <c r="X75" s="120"/>
      <c r="Y75" s="50"/>
      <c r="Z75" s="51"/>
      <c r="AA75" s="53"/>
      <c r="AB75" s="53"/>
      <c r="AC75" s="53"/>
      <c r="AD75" s="120"/>
      <c r="AE75" s="50"/>
      <c r="AF75" s="51"/>
      <c r="AG75" s="53"/>
      <c r="AH75" s="53"/>
      <c r="AI75" s="53"/>
      <c r="AJ75" s="120"/>
    </row>
    <row r="76" spans="1:36" ht="18" x14ac:dyDescent="0.35">
      <c r="A76" s="172"/>
      <c r="B76" s="173"/>
      <c r="C76" s="175"/>
      <c r="D76" s="175"/>
      <c r="E76" s="175"/>
      <c r="F76" s="195"/>
      <c r="G76" s="133"/>
      <c r="H76" s="134"/>
      <c r="I76" s="136"/>
      <c r="J76" s="136"/>
      <c r="K76" s="136"/>
      <c r="L76" s="156"/>
      <c r="M76" s="50"/>
      <c r="N76" s="51"/>
      <c r="O76" s="53"/>
      <c r="P76" s="53"/>
      <c r="Q76" s="53"/>
      <c r="R76" s="119"/>
      <c r="S76" s="70" t="s">
        <v>85</v>
      </c>
      <c r="T76" s="51"/>
      <c r="U76" s="53"/>
      <c r="V76" s="53"/>
      <c r="W76" s="53"/>
      <c r="X76" s="119"/>
      <c r="Y76" s="50"/>
      <c r="Z76" s="51"/>
      <c r="AA76" s="53"/>
      <c r="AB76" s="53"/>
      <c r="AC76" s="53"/>
      <c r="AD76" s="120"/>
      <c r="AE76" s="50"/>
      <c r="AF76" s="51"/>
      <c r="AG76" s="53"/>
      <c r="AH76" s="53"/>
      <c r="AI76" s="53"/>
      <c r="AJ76" s="120"/>
    </row>
    <row r="77" spans="1:36" ht="18" x14ac:dyDescent="0.35">
      <c r="A77" s="172"/>
      <c r="B77" s="173"/>
      <c r="C77" s="175"/>
      <c r="D77" s="175"/>
      <c r="E77" s="196"/>
      <c r="F77" s="195"/>
      <c r="G77" s="133"/>
      <c r="H77" s="134"/>
      <c r="I77" s="136"/>
      <c r="J77" s="136"/>
      <c r="K77" s="157"/>
      <c r="L77" s="156"/>
      <c r="M77" s="50"/>
      <c r="N77" s="51"/>
      <c r="O77" s="53"/>
      <c r="P77" s="53"/>
      <c r="Q77" s="71"/>
      <c r="R77" s="119"/>
      <c r="S77" s="50" t="s">
        <v>135</v>
      </c>
      <c r="T77" s="51"/>
      <c r="U77" s="53"/>
      <c r="V77" s="53"/>
      <c r="W77" s="71">
        <f>AD74*3</f>
        <v>0.50345740464873867</v>
      </c>
      <c r="X77" s="119"/>
      <c r="Y77" s="50"/>
      <c r="Z77" s="51"/>
      <c r="AA77" s="53"/>
      <c r="AB77" s="53"/>
      <c r="AC77" s="53"/>
      <c r="AD77" s="120"/>
      <c r="AE77" s="50"/>
      <c r="AF77" s="51"/>
      <c r="AG77" s="53"/>
      <c r="AH77" s="53"/>
      <c r="AI77" s="53"/>
      <c r="AJ77" s="120"/>
    </row>
    <row r="78" spans="1:36" ht="18" x14ac:dyDescent="0.35">
      <c r="A78" s="172"/>
      <c r="B78" s="173"/>
      <c r="C78" s="175"/>
      <c r="D78" s="175"/>
      <c r="E78" s="196"/>
      <c r="F78" s="195"/>
      <c r="G78" s="133"/>
      <c r="H78" s="134"/>
      <c r="I78" s="136"/>
      <c r="J78" s="136"/>
      <c r="K78" s="157"/>
      <c r="L78" s="156"/>
      <c r="M78" s="50"/>
      <c r="N78" s="51"/>
      <c r="O78" s="53"/>
      <c r="P78" s="53"/>
      <c r="Q78" s="71"/>
      <c r="R78" s="119"/>
      <c r="S78" s="50" t="s">
        <v>136</v>
      </c>
      <c r="T78" s="51"/>
      <c r="U78" s="53"/>
      <c r="V78" s="53"/>
      <c r="W78" s="72">
        <f>X74*3</f>
        <v>1.5000242444709824</v>
      </c>
      <c r="X78" s="119"/>
      <c r="Y78" s="50"/>
      <c r="Z78" s="51"/>
      <c r="AA78" s="53"/>
      <c r="AB78" s="53"/>
      <c r="AC78" s="53"/>
      <c r="AD78" s="120"/>
      <c r="AE78" s="50"/>
      <c r="AF78" s="51"/>
      <c r="AG78" s="53"/>
      <c r="AH78" s="53"/>
      <c r="AI78" s="53"/>
      <c r="AJ78" s="120"/>
    </row>
    <row r="79" spans="1:36" ht="18" x14ac:dyDescent="0.35">
      <c r="A79" s="172"/>
      <c r="B79" s="173"/>
      <c r="C79" s="175"/>
      <c r="D79" s="175"/>
      <c r="E79" s="175"/>
      <c r="F79" s="196"/>
      <c r="G79" s="133"/>
      <c r="H79" s="134"/>
      <c r="I79" s="136"/>
      <c r="J79" s="136"/>
      <c r="K79" s="136"/>
      <c r="L79" s="157"/>
      <c r="M79" s="50"/>
      <c r="N79" s="51"/>
      <c r="O79" s="53"/>
      <c r="P79" s="53"/>
      <c r="Q79" s="53"/>
      <c r="R79" s="85"/>
      <c r="S79" s="50" t="s">
        <v>86</v>
      </c>
      <c r="T79" s="51"/>
      <c r="U79" s="53"/>
      <c r="V79" s="53"/>
      <c r="W79" s="53"/>
      <c r="X79" s="85">
        <f>(W78-W77)/9</f>
        <v>0.11072964886913819</v>
      </c>
      <c r="Y79" s="50"/>
      <c r="Z79" s="51"/>
      <c r="AA79" s="53"/>
      <c r="AB79" s="53"/>
      <c r="AC79" s="53"/>
      <c r="AD79" s="120"/>
      <c r="AE79" s="50"/>
      <c r="AF79" s="51"/>
      <c r="AG79" s="53"/>
      <c r="AH79" s="53"/>
      <c r="AI79" s="53"/>
      <c r="AJ79" s="120"/>
    </row>
    <row r="80" spans="1:36" ht="18" x14ac:dyDescent="0.35">
      <c r="A80" s="172"/>
      <c r="B80" s="173"/>
      <c r="C80" s="175"/>
      <c r="D80" s="175"/>
      <c r="E80" s="175"/>
      <c r="F80" s="195"/>
      <c r="G80" s="133"/>
      <c r="H80" s="134"/>
      <c r="I80" s="136"/>
      <c r="J80" s="136"/>
      <c r="K80" s="136"/>
      <c r="L80" s="156"/>
      <c r="M80" s="50"/>
      <c r="N80" s="51"/>
      <c r="O80" s="53"/>
      <c r="P80" s="53"/>
      <c r="Q80" s="53"/>
      <c r="R80" s="119"/>
      <c r="S80" s="50"/>
      <c r="T80" s="51"/>
      <c r="U80" s="53"/>
      <c r="V80" s="53"/>
      <c r="W80" s="53"/>
      <c r="X80" s="119"/>
      <c r="Y80" s="50"/>
      <c r="Z80" s="51"/>
      <c r="AA80" s="53"/>
      <c r="AB80" s="53"/>
      <c r="AC80" s="53"/>
      <c r="AD80" s="120"/>
      <c r="AE80" s="50"/>
      <c r="AF80" s="51"/>
      <c r="AG80" s="53"/>
      <c r="AH80" s="53"/>
      <c r="AI80" s="53"/>
      <c r="AJ80" s="120"/>
    </row>
    <row r="81" spans="1:36" ht="18.75" thickBot="1" x14ac:dyDescent="0.4">
      <c r="A81" s="172"/>
      <c r="B81" s="175"/>
      <c r="C81" s="175"/>
      <c r="D81" s="175"/>
      <c r="E81" s="175"/>
      <c r="F81" s="195"/>
      <c r="G81" s="133"/>
      <c r="H81" s="136"/>
      <c r="I81" s="136"/>
      <c r="J81" s="136"/>
      <c r="K81" s="136"/>
      <c r="L81" s="156"/>
      <c r="M81" s="50"/>
      <c r="N81" s="53"/>
      <c r="O81" s="53"/>
      <c r="P81" s="53"/>
      <c r="Q81" s="53"/>
      <c r="R81" s="119"/>
      <c r="S81" s="50" t="s">
        <v>87</v>
      </c>
      <c r="T81" s="53"/>
      <c r="U81" s="53"/>
      <c r="V81" s="53"/>
      <c r="W81" s="53"/>
      <c r="X81" s="117">
        <f>SUM(X74:X79)</f>
        <v>0.61073773035946566</v>
      </c>
      <c r="Y81" s="50"/>
      <c r="Z81" s="51"/>
      <c r="AA81" s="53"/>
      <c r="AB81" s="53"/>
      <c r="AC81" s="53"/>
      <c r="AD81" s="120"/>
      <c r="AE81" s="50"/>
      <c r="AF81" s="51"/>
      <c r="AG81" s="53"/>
      <c r="AH81" s="122" t="s">
        <v>128</v>
      </c>
      <c r="AI81" s="53"/>
      <c r="AJ81" s="120">
        <v>-0.2</v>
      </c>
    </row>
    <row r="82" spans="1:36" ht="14.25" thickTop="1" thickBot="1" x14ac:dyDescent="0.25">
      <c r="A82" s="203"/>
      <c r="B82" s="204"/>
      <c r="C82" s="204"/>
      <c r="D82" s="204"/>
      <c r="E82" s="204"/>
      <c r="F82" s="204"/>
      <c r="G82" s="164"/>
      <c r="H82" s="165"/>
      <c r="I82" s="165"/>
      <c r="J82" s="165"/>
      <c r="K82" s="165"/>
      <c r="L82" s="165"/>
      <c r="M82" s="75"/>
      <c r="N82" s="76"/>
      <c r="O82" s="76"/>
      <c r="P82" s="76"/>
      <c r="Q82" s="76"/>
      <c r="R82" s="77"/>
      <c r="S82" s="75"/>
      <c r="T82" s="76"/>
      <c r="U82" s="76"/>
      <c r="V82" s="76"/>
      <c r="W82" s="76"/>
      <c r="X82" s="77"/>
      <c r="Y82" s="75"/>
      <c r="Z82" s="76"/>
      <c r="AA82" s="76"/>
      <c r="AB82" s="76"/>
      <c r="AC82" s="76"/>
      <c r="AD82" s="77"/>
      <c r="AE82" s="75"/>
      <c r="AF82" s="76"/>
      <c r="AG82" s="76"/>
      <c r="AH82" s="128" t="s">
        <v>132</v>
      </c>
      <c r="AI82" s="76"/>
      <c r="AJ82" s="129">
        <f>SUM(AJ74:AJ81)</f>
        <v>0.15971542278403511</v>
      </c>
    </row>
    <row r="84" spans="1:36" x14ac:dyDescent="0.2">
      <c r="R84" s="38"/>
      <c r="X84" s="38"/>
      <c r="AD84" s="38"/>
    </row>
    <row r="85" spans="1:36" x14ac:dyDescent="0.2">
      <c r="R85" s="38"/>
      <c r="X85" s="38"/>
      <c r="AD85" s="38"/>
    </row>
  </sheetData>
  <mergeCells count="18">
    <mergeCell ref="A4:F4"/>
    <mergeCell ref="A6:F6"/>
    <mergeCell ref="A48:F48"/>
    <mergeCell ref="M48:R48"/>
    <mergeCell ref="S48:X48"/>
    <mergeCell ref="Y48:AD48"/>
    <mergeCell ref="AE48:AJ48"/>
    <mergeCell ref="G4:L4"/>
    <mergeCell ref="G6:L6"/>
    <mergeCell ref="G48:L48"/>
    <mergeCell ref="M4:R4"/>
    <mergeCell ref="S4:X4"/>
    <mergeCell ref="Z4:AC4"/>
    <mergeCell ref="AF4:AI4"/>
    <mergeCell ref="M6:R6"/>
    <mergeCell ref="S6:X6"/>
    <mergeCell ref="Y6:AD6"/>
    <mergeCell ref="AE6:AJ6"/>
  </mergeCells>
  <pageMargins left="0.7" right="0.45" top="0.5" bottom="0.5" header="0.3" footer="0.3"/>
  <pageSetup scale="6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election activeCell="B23" sqref="B23"/>
    </sheetView>
  </sheetViews>
  <sheetFormatPr defaultRowHeight="12.75" x14ac:dyDescent="0.2"/>
  <cols>
    <col min="1" max="1" width="18" customWidth="1"/>
    <col min="2" max="3" width="10.42578125" bestFit="1" customWidth="1"/>
    <col min="4" max="4" width="10.28515625" bestFit="1" customWidth="1"/>
    <col min="5" max="5" width="9.7109375" bestFit="1" customWidth="1"/>
    <col min="6" max="6" width="11.28515625" bestFit="1" customWidth="1"/>
    <col min="7" max="8" width="9.5703125" bestFit="1" customWidth="1"/>
    <col min="9" max="9" width="11.28515625" bestFit="1" customWidth="1"/>
    <col min="10" max="10" width="3" customWidth="1"/>
    <col min="11" max="11" width="9.5703125" bestFit="1" customWidth="1"/>
    <col min="12" max="12" width="2.7109375" customWidth="1"/>
    <col min="232" max="232" width="18" customWidth="1"/>
    <col min="233" max="233" width="7.85546875" customWidth="1"/>
    <col min="234" max="234" width="11.28515625" bestFit="1" customWidth="1"/>
    <col min="235" max="235" width="10.5703125" bestFit="1" customWidth="1"/>
    <col min="236" max="236" width="10.28515625" customWidth="1"/>
    <col min="237" max="237" width="12.5703125" bestFit="1" customWidth="1"/>
    <col min="238" max="238" width="10.5703125" bestFit="1" customWidth="1"/>
    <col min="239" max="239" width="9.85546875" bestFit="1" customWidth="1"/>
    <col min="240" max="240" width="13" bestFit="1" customWidth="1"/>
    <col min="241" max="241" width="2.140625" customWidth="1"/>
    <col min="242" max="242" width="10.5703125" bestFit="1" customWidth="1"/>
    <col min="243" max="243" width="7.85546875" bestFit="1" customWidth="1"/>
    <col min="244" max="244" width="9.85546875" bestFit="1" customWidth="1"/>
    <col min="245" max="245" width="11.28515625" bestFit="1" customWidth="1"/>
    <col min="246" max="247" width="9.85546875" bestFit="1" customWidth="1"/>
    <col min="248" max="248" width="12" bestFit="1" customWidth="1"/>
    <col min="249" max="249" width="1.85546875" customWidth="1"/>
    <col min="251" max="251" width="3" customWidth="1"/>
    <col min="488" max="488" width="18" customWidth="1"/>
    <col min="489" max="489" width="7.85546875" customWidth="1"/>
    <col min="490" max="490" width="11.28515625" bestFit="1" customWidth="1"/>
    <col min="491" max="491" width="10.5703125" bestFit="1" customWidth="1"/>
    <col min="492" max="492" width="10.28515625" customWidth="1"/>
    <col min="493" max="493" width="12.5703125" bestFit="1" customWidth="1"/>
    <col min="494" max="494" width="10.5703125" bestFit="1" customWidth="1"/>
    <col min="495" max="495" width="9.85546875" bestFit="1" customWidth="1"/>
    <col min="496" max="496" width="13" bestFit="1" customWidth="1"/>
    <col min="497" max="497" width="2.140625" customWidth="1"/>
    <col min="498" max="498" width="10.5703125" bestFit="1" customWidth="1"/>
    <col min="499" max="499" width="7.85546875" bestFit="1" customWidth="1"/>
    <col min="500" max="500" width="9.85546875" bestFit="1" customWidth="1"/>
    <col min="501" max="501" width="11.28515625" bestFit="1" customWidth="1"/>
    <col min="502" max="503" width="9.85546875" bestFit="1" customWidth="1"/>
    <col min="504" max="504" width="12" bestFit="1" customWidth="1"/>
    <col min="505" max="505" width="1.85546875" customWidth="1"/>
    <col min="507" max="507" width="3" customWidth="1"/>
    <col min="744" max="744" width="18" customWidth="1"/>
    <col min="745" max="745" width="7.85546875" customWidth="1"/>
    <col min="746" max="746" width="11.28515625" bestFit="1" customWidth="1"/>
    <col min="747" max="747" width="10.5703125" bestFit="1" customWidth="1"/>
    <col min="748" max="748" width="10.28515625" customWidth="1"/>
    <col min="749" max="749" width="12.5703125" bestFit="1" customWidth="1"/>
    <col min="750" max="750" width="10.5703125" bestFit="1" customWidth="1"/>
    <col min="751" max="751" width="9.85546875" bestFit="1" customWidth="1"/>
    <col min="752" max="752" width="13" bestFit="1" customWidth="1"/>
    <col min="753" max="753" width="2.140625" customWidth="1"/>
    <col min="754" max="754" width="10.5703125" bestFit="1" customWidth="1"/>
    <col min="755" max="755" width="7.85546875" bestFit="1" customWidth="1"/>
    <col min="756" max="756" width="9.85546875" bestFit="1" customWidth="1"/>
    <col min="757" max="757" width="11.28515625" bestFit="1" customWidth="1"/>
    <col min="758" max="759" width="9.85546875" bestFit="1" customWidth="1"/>
    <col min="760" max="760" width="12" bestFit="1" customWidth="1"/>
    <col min="761" max="761" width="1.85546875" customWidth="1"/>
    <col min="763" max="763" width="3" customWidth="1"/>
    <col min="1000" max="1000" width="18" customWidth="1"/>
    <col min="1001" max="1001" width="7.85546875" customWidth="1"/>
    <col min="1002" max="1002" width="11.28515625" bestFit="1" customWidth="1"/>
    <col min="1003" max="1003" width="10.5703125" bestFit="1" customWidth="1"/>
    <col min="1004" max="1004" width="10.28515625" customWidth="1"/>
    <col min="1005" max="1005" width="12.5703125" bestFit="1" customWidth="1"/>
    <col min="1006" max="1006" width="10.5703125" bestFit="1" customWidth="1"/>
    <col min="1007" max="1007" width="9.85546875" bestFit="1" customWidth="1"/>
    <col min="1008" max="1008" width="13" bestFit="1" customWidth="1"/>
    <col min="1009" max="1009" width="2.140625" customWidth="1"/>
    <col min="1010" max="1010" width="10.5703125" bestFit="1" customWidth="1"/>
    <col min="1011" max="1011" width="7.85546875" bestFit="1" customWidth="1"/>
    <col min="1012" max="1012" width="9.85546875" bestFit="1" customWidth="1"/>
    <col min="1013" max="1013" width="11.28515625" bestFit="1" customWidth="1"/>
    <col min="1014" max="1015" width="9.85546875" bestFit="1" customWidth="1"/>
    <col min="1016" max="1016" width="12" bestFit="1" customWidth="1"/>
    <col min="1017" max="1017" width="1.85546875" customWidth="1"/>
    <col min="1019" max="1019" width="3" customWidth="1"/>
    <col min="1256" max="1256" width="18" customWidth="1"/>
    <col min="1257" max="1257" width="7.85546875" customWidth="1"/>
    <col min="1258" max="1258" width="11.28515625" bestFit="1" customWidth="1"/>
    <col min="1259" max="1259" width="10.5703125" bestFit="1" customWidth="1"/>
    <col min="1260" max="1260" width="10.28515625" customWidth="1"/>
    <col min="1261" max="1261" width="12.5703125" bestFit="1" customWidth="1"/>
    <col min="1262" max="1262" width="10.5703125" bestFit="1" customWidth="1"/>
    <col min="1263" max="1263" width="9.85546875" bestFit="1" customWidth="1"/>
    <col min="1264" max="1264" width="13" bestFit="1" customWidth="1"/>
    <col min="1265" max="1265" width="2.140625" customWidth="1"/>
    <col min="1266" max="1266" width="10.5703125" bestFit="1" customWidth="1"/>
    <col min="1267" max="1267" width="7.85546875" bestFit="1" customWidth="1"/>
    <col min="1268" max="1268" width="9.85546875" bestFit="1" customWidth="1"/>
    <col min="1269" max="1269" width="11.28515625" bestFit="1" customWidth="1"/>
    <col min="1270" max="1271" width="9.85546875" bestFit="1" customWidth="1"/>
    <col min="1272" max="1272" width="12" bestFit="1" customWidth="1"/>
    <col min="1273" max="1273" width="1.85546875" customWidth="1"/>
    <col min="1275" max="1275" width="3" customWidth="1"/>
    <col min="1512" max="1512" width="18" customWidth="1"/>
    <col min="1513" max="1513" width="7.85546875" customWidth="1"/>
    <col min="1514" max="1514" width="11.28515625" bestFit="1" customWidth="1"/>
    <col min="1515" max="1515" width="10.5703125" bestFit="1" customWidth="1"/>
    <col min="1516" max="1516" width="10.28515625" customWidth="1"/>
    <col min="1517" max="1517" width="12.5703125" bestFit="1" customWidth="1"/>
    <col min="1518" max="1518" width="10.5703125" bestFit="1" customWidth="1"/>
    <col min="1519" max="1519" width="9.85546875" bestFit="1" customWidth="1"/>
    <col min="1520" max="1520" width="13" bestFit="1" customWidth="1"/>
    <col min="1521" max="1521" width="2.140625" customWidth="1"/>
    <col min="1522" max="1522" width="10.5703125" bestFit="1" customWidth="1"/>
    <col min="1523" max="1523" width="7.85546875" bestFit="1" customWidth="1"/>
    <col min="1524" max="1524" width="9.85546875" bestFit="1" customWidth="1"/>
    <col min="1525" max="1525" width="11.28515625" bestFit="1" customWidth="1"/>
    <col min="1526" max="1527" width="9.85546875" bestFit="1" customWidth="1"/>
    <col min="1528" max="1528" width="12" bestFit="1" customWidth="1"/>
    <col min="1529" max="1529" width="1.85546875" customWidth="1"/>
    <col min="1531" max="1531" width="3" customWidth="1"/>
    <col min="1768" max="1768" width="18" customWidth="1"/>
    <col min="1769" max="1769" width="7.85546875" customWidth="1"/>
    <col min="1770" max="1770" width="11.28515625" bestFit="1" customWidth="1"/>
    <col min="1771" max="1771" width="10.5703125" bestFit="1" customWidth="1"/>
    <col min="1772" max="1772" width="10.28515625" customWidth="1"/>
    <col min="1773" max="1773" width="12.5703125" bestFit="1" customWidth="1"/>
    <col min="1774" max="1774" width="10.5703125" bestFit="1" customWidth="1"/>
    <col min="1775" max="1775" width="9.85546875" bestFit="1" customWidth="1"/>
    <col min="1776" max="1776" width="13" bestFit="1" customWidth="1"/>
    <col min="1777" max="1777" width="2.140625" customWidth="1"/>
    <col min="1778" max="1778" width="10.5703125" bestFit="1" customWidth="1"/>
    <col min="1779" max="1779" width="7.85546875" bestFit="1" customWidth="1"/>
    <col min="1780" max="1780" width="9.85546875" bestFit="1" customWidth="1"/>
    <col min="1781" max="1781" width="11.28515625" bestFit="1" customWidth="1"/>
    <col min="1782" max="1783" width="9.85546875" bestFit="1" customWidth="1"/>
    <col min="1784" max="1784" width="12" bestFit="1" customWidth="1"/>
    <col min="1785" max="1785" width="1.85546875" customWidth="1"/>
    <col min="1787" max="1787" width="3" customWidth="1"/>
    <col min="2024" max="2024" width="18" customWidth="1"/>
    <col min="2025" max="2025" width="7.85546875" customWidth="1"/>
    <col min="2026" max="2026" width="11.28515625" bestFit="1" customWidth="1"/>
    <col min="2027" max="2027" width="10.5703125" bestFit="1" customWidth="1"/>
    <col min="2028" max="2028" width="10.28515625" customWidth="1"/>
    <col min="2029" max="2029" width="12.5703125" bestFit="1" customWidth="1"/>
    <col min="2030" max="2030" width="10.5703125" bestFit="1" customWidth="1"/>
    <col min="2031" max="2031" width="9.85546875" bestFit="1" customWidth="1"/>
    <col min="2032" max="2032" width="13" bestFit="1" customWidth="1"/>
    <col min="2033" max="2033" width="2.140625" customWidth="1"/>
    <col min="2034" max="2034" width="10.5703125" bestFit="1" customWidth="1"/>
    <col min="2035" max="2035" width="7.85546875" bestFit="1" customWidth="1"/>
    <col min="2036" max="2036" width="9.85546875" bestFit="1" customWidth="1"/>
    <col min="2037" max="2037" width="11.28515625" bestFit="1" customWidth="1"/>
    <col min="2038" max="2039" width="9.85546875" bestFit="1" customWidth="1"/>
    <col min="2040" max="2040" width="12" bestFit="1" customWidth="1"/>
    <col min="2041" max="2041" width="1.85546875" customWidth="1"/>
    <col min="2043" max="2043" width="3" customWidth="1"/>
    <col min="2280" max="2280" width="18" customWidth="1"/>
    <col min="2281" max="2281" width="7.85546875" customWidth="1"/>
    <col min="2282" max="2282" width="11.28515625" bestFit="1" customWidth="1"/>
    <col min="2283" max="2283" width="10.5703125" bestFit="1" customWidth="1"/>
    <col min="2284" max="2284" width="10.28515625" customWidth="1"/>
    <col min="2285" max="2285" width="12.5703125" bestFit="1" customWidth="1"/>
    <col min="2286" max="2286" width="10.5703125" bestFit="1" customWidth="1"/>
    <col min="2287" max="2287" width="9.85546875" bestFit="1" customWidth="1"/>
    <col min="2288" max="2288" width="13" bestFit="1" customWidth="1"/>
    <col min="2289" max="2289" width="2.140625" customWidth="1"/>
    <col min="2290" max="2290" width="10.5703125" bestFit="1" customWidth="1"/>
    <col min="2291" max="2291" width="7.85546875" bestFit="1" customWidth="1"/>
    <col min="2292" max="2292" width="9.85546875" bestFit="1" customWidth="1"/>
    <col min="2293" max="2293" width="11.28515625" bestFit="1" customWidth="1"/>
    <col min="2294" max="2295" width="9.85546875" bestFit="1" customWidth="1"/>
    <col min="2296" max="2296" width="12" bestFit="1" customWidth="1"/>
    <col min="2297" max="2297" width="1.85546875" customWidth="1"/>
    <col min="2299" max="2299" width="3" customWidth="1"/>
    <col min="2536" max="2536" width="18" customWidth="1"/>
    <col min="2537" max="2537" width="7.85546875" customWidth="1"/>
    <col min="2538" max="2538" width="11.28515625" bestFit="1" customWidth="1"/>
    <col min="2539" max="2539" width="10.5703125" bestFit="1" customWidth="1"/>
    <col min="2540" max="2540" width="10.28515625" customWidth="1"/>
    <col min="2541" max="2541" width="12.5703125" bestFit="1" customWidth="1"/>
    <col min="2542" max="2542" width="10.5703125" bestFit="1" customWidth="1"/>
    <col min="2543" max="2543" width="9.85546875" bestFit="1" customWidth="1"/>
    <col min="2544" max="2544" width="13" bestFit="1" customWidth="1"/>
    <col min="2545" max="2545" width="2.140625" customWidth="1"/>
    <col min="2546" max="2546" width="10.5703125" bestFit="1" customWidth="1"/>
    <col min="2547" max="2547" width="7.85546875" bestFit="1" customWidth="1"/>
    <col min="2548" max="2548" width="9.85546875" bestFit="1" customWidth="1"/>
    <col min="2549" max="2549" width="11.28515625" bestFit="1" customWidth="1"/>
    <col min="2550" max="2551" width="9.85546875" bestFit="1" customWidth="1"/>
    <col min="2552" max="2552" width="12" bestFit="1" customWidth="1"/>
    <col min="2553" max="2553" width="1.85546875" customWidth="1"/>
    <col min="2555" max="2555" width="3" customWidth="1"/>
    <col min="2792" max="2792" width="18" customWidth="1"/>
    <col min="2793" max="2793" width="7.85546875" customWidth="1"/>
    <col min="2794" max="2794" width="11.28515625" bestFit="1" customWidth="1"/>
    <col min="2795" max="2795" width="10.5703125" bestFit="1" customWidth="1"/>
    <col min="2796" max="2796" width="10.28515625" customWidth="1"/>
    <col min="2797" max="2797" width="12.5703125" bestFit="1" customWidth="1"/>
    <col min="2798" max="2798" width="10.5703125" bestFit="1" customWidth="1"/>
    <col min="2799" max="2799" width="9.85546875" bestFit="1" customWidth="1"/>
    <col min="2800" max="2800" width="13" bestFit="1" customWidth="1"/>
    <col min="2801" max="2801" width="2.140625" customWidth="1"/>
    <col min="2802" max="2802" width="10.5703125" bestFit="1" customWidth="1"/>
    <col min="2803" max="2803" width="7.85546875" bestFit="1" customWidth="1"/>
    <col min="2804" max="2804" width="9.85546875" bestFit="1" customWidth="1"/>
    <col min="2805" max="2805" width="11.28515625" bestFit="1" customWidth="1"/>
    <col min="2806" max="2807" width="9.85546875" bestFit="1" customWidth="1"/>
    <col min="2808" max="2808" width="12" bestFit="1" customWidth="1"/>
    <col min="2809" max="2809" width="1.85546875" customWidth="1"/>
    <col min="2811" max="2811" width="3" customWidth="1"/>
    <col min="3048" max="3048" width="18" customWidth="1"/>
    <col min="3049" max="3049" width="7.85546875" customWidth="1"/>
    <col min="3050" max="3050" width="11.28515625" bestFit="1" customWidth="1"/>
    <col min="3051" max="3051" width="10.5703125" bestFit="1" customWidth="1"/>
    <col min="3052" max="3052" width="10.28515625" customWidth="1"/>
    <col min="3053" max="3053" width="12.5703125" bestFit="1" customWidth="1"/>
    <col min="3054" max="3054" width="10.5703125" bestFit="1" customWidth="1"/>
    <col min="3055" max="3055" width="9.85546875" bestFit="1" customWidth="1"/>
    <col min="3056" max="3056" width="13" bestFit="1" customWidth="1"/>
    <col min="3057" max="3057" width="2.140625" customWidth="1"/>
    <col min="3058" max="3058" width="10.5703125" bestFit="1" customWidth="1"/>
    <col min="3059" max="3059" width="7.85546875" bestFit="1" customWidth="1"/>
    <col min="3060" max="3060" width="9.85546875" bestFit="1" customWidth="1"/>
    <col min="3061" max="3061" width="11.28515625" bestFit="1" customWidth="1"/>
    <col min="3062" max="3063" width="9.85546875" bestFit="1" customWidth="1"/>
    <col min="3064" max="3064" width="12" bestFit="1" customWidth="1"/>
    <col min="3065" max="3065" width="1.85546875" customWidth="1"/>
    <col min="3067" max="3067" width="3" customWidth="1"/>
    <col min="3304" max="3304" width="18" customWidth="1"/>
    <col min="3305" max="3305" width="7.85546875" customWidth="1"/>
    <col min="3306" max="3306" width="11.28515625" bestFit="1" customWidth="1"/>
    <col min="3307" max="3307" width="10.5703125" bestFit="1" customWidth="1"/>
    <col min="3308" max="3308" width="10.28515625" customWidth="1"/>
    <col min="3309" max="3309" width="12.5703125" bestFit="1" customWidth="1"/>
    <col min="3310" max="3310" width="10.5703125" bestFit="1" customWidth="1"/>
    <col min="3311" max="3311" width="9.85546875" bestFit="1" customWidth="1"/>
    <col min="3312" max="3312" width="13" bestFit="1" customWidth="1"/>
    <col min="3313" max="3313" width="2.140625" customWidth="1"/>
    <col min="3314" max="3314" width="10.5703125" bestFit="1" customWidth="1"/>
    <col min="3315" max="3315" width="7.85546875" bestFit="1" customWidth="1"/>
    <col min="3316" max="3316" width="9.85546875" bestFit="1" customWidth="1"/>
    <col min="3317" max="3317" width="11.28515625" bestFit="1" customWidth="1"/>
    <col min="3318" max="3319" width="9.85546875" bestFit="1" customWidth="1"/>
    <col min="3320" max="3320" width="12" bestFit="1" customWidth="1"/>
    <col min="3321" max="3321" width="1.85546875" customWidth="1"/>
    <col min="3323" max="3323" width="3" customWidth="1"/>
    <col min="3560" max="3560" width="18" customWidth="1"/>
    <col min="3561" max="3561" width="7.85546875" customWidth="1"/>
    <col min="3562" max="3562" width="11.28515625" bestFit="1" customWidth="1"/>
    <col min="3563" max="3563" width="10.5703125" bestFit="1" customWidth="1"/>
    <col min="3564" max="3564" width="10.28515625" customWidth="1"/>
    <col min="3565" max="3565" width="12.5703125" bestFit="1" customWidth="1"/>
    <col min="3566" max="3566" width="10.5703125" bestFit="1" customWidth="1"/>
    <col min="3567" max="3567" width="9.85546875" bestFit="1" customWidth="1"/>
    <col min="3568" max="3568" width="13" bestFit="1" customWidth="1"/>
    <col min="3569" max="3569" width="2.140625" customWidth="1"/>
    <col min="3570" max="3570" width="10.5703125" bestFit="1" customWidth="1"/>
    <col min="3571" max="3571" width="7.85546875" bestFit="1" customWidth="1"/>
    <col min="3572" max="3572" width="9.85546875" bestFit="1" customWidth="1"/>
    <col min="3573" max="3573" width="11.28515625" bestFit="1" customWidth="1"/>
    <col min="3574" max="3575" width="9.85546875" bestFit="1" customWidth="1"/>
    <col min="3576" max="3576" width="12" bestFit="1" customWidth="1"/>
    <col min="3577" max="3577" width="1.85546875" customWidth="1"/>
    <col min="3579" max="3579" width="3" customWidth="1"/>
    <col min="3816" max="3816" width="18" customWidth="1"/>
    <col min="3817" max="3817" width="7.85546875" customWidth="1"/>
    <col min="3818" max="3818" width="11.28515625" bestFit="1" customWidth="1"/>
    <col min="3819" max="3819" width="10.5703125" bestFit="1" customWidth="1"/>
    <col min="3820" max="3820" width="10.28515625" customWidth="1"/>
    <col min="3821" max="3821" width="12.5703125" bestFit="1" customWidth="1"/>
    <col min="3822" max="3822" width="10.5703125" bestFit="1" customWidth="1"/>
    <col min="3823" max="3823" width="9.85546875" bestFit="1" customWidth="1"/>
    <col min="3824" max="3824" width="13" bestFit="1" customWidth="1"/>
    <col min="3825" max="3825" width="2.140625" customWidth="1"/>
    <col min="3826" max="3826" width="10.5703125" bestFit="1" customWidth="1"/>
    <col min="3827" max="3827" width="7.85546875" bestFit="1" customWidth="1"/>
    <col min="3828" max="3828" width="9.85546875" bestFit="1" customWidth="1"/>
    <col min="3829" max="3829" width="11.28515625" bestFit="1" customWidth="1"/>
    <col min="3830" max="3831" width="9.85546875" bestFit="1" customWidth="1"/>
    <col min="3832" max="3832" width="12" bestFit="1" customWidth="1"/>
    <col min="3833" max="3833" width="1.85546875" customWidth="1"/>
    <col min="3835" max="3835" width="3" customWidth="1"/>
    <col min="4072" max="4072" width="18" customWidth="1"/>
    <col min="4073" max="4073" width="7.85546875" customWidth="1"/>
    <col min="4074" max="4074" width="11.28515625" bestFit="1" customWidth="1"/>
    <col min="4075" max="4075" width="10.5703125" bestFit="1" customWidth="1"/>
    <col min="4076" max="4076" width="10.28515625" customWidth="1"/>
    <col min="4077" max="4077" width="12.5703125" bestFit="1" customWidth="1"/>
    <col min="4078" max="4078" width="10.5703125" bestFit="1" customWidth="1"/>
    <col min="4079" max="4079" width="9.85546875" bestFit="1" customWidth="1"/>
    <col min="4080" max="4080" width="13" bestFit="1" customWidth="1"/>
    <col min="4081" max="4081" width="2.140625" customWidth="1"/>
    <col min="4082" max="4082" width="10.5703125" bestFit="1" customWidth="1"/>
    <col min="4083" max="4083" width="7.85546875" bestFit="1" customWidth="1"/>
    <col min="4084" max="4084" width="9.85546875" bestFit="1" customWidth="1"/>
    <col min="4085" max="4085" width="11.28515625" bestFit="1" customWidth="1"/>
    <col min="4086" max="4087" width="9.85546875" bestFit="1" customWidth="1"/>
    <col min="4088" max="4088" width="12" bestFit="1" customWidth="1"/>
    <col min="4089" max="4089" width="1.85546875" customWidth="1"/>
    <col min="4091" max="4091" width="3" customWidth="1"/>
    <col min="4328" max="4328" width="18" customWidth="1"/>
    <col min="4329" max="4329" width="7.85546875" customWidth="1"/>
    <col min="4330" max="4330" width="11.28515625" bestFit="1" customWidth="1"/>
    <col min="4331" max="4331" width="10.5703125" bestFit="1" customWidth="1"/>
    <col min="4332" max="4332" width="10.28515625" customWidth="1"/>
    <col min="4333" max="4333" width="12.5703125" bestFit="1" customWidth="1"/>
    <col min="4334" max="4334" width="10.5703125" bestFit="1" customWidth="1"/>
    <col min="4335" max="4335" width="9.85546875" bestFit="1" customWidth="1"/>
    <col min="4336" max="4336" width="13" bestFit="1" customWidth="1"/>
    <col min="4337" max="4337" width="2.140625" customWidth="1"/>
    <col min="4338" max="4338" width="10.5703125" bestFit="1" customWidth="1"/>
    <col min="4339" max="4339" width="7.85546875" bestFit="1" customWidth="1"/>
    <col min="4340" max="4340" width="9.85546875" bestFit="1" customWidth="1"/>
    <col min="4341" max="4341" width="11.28515625" bestFit="1" customWidth="1"/>
    <col min="4342" max="4343" width="9.85546875" bestFit="1" customWidth="1"/>
    <col min="4344" max="4344" width="12" bestFit="1" customWidth="1"/>
    <col min="4345" max="4345" width="1.85546875" customWidth="1"/>
    <col min="4347" max="4347" width="3" customWidth="1"/>
    <col min="4584" max="4584" width="18" customWidth="1"/>
    <col min="4585" max="4585" width="7.85546875" customWidth="1"/>
    <col min="4586" max="4586" width="11.28515625" bestFit="1" customWidth="1"/>
    <col min="4587" max="4587" width="10.5703125" bestFit="1" customWidth="1"/>
    <col min="4588" max="4588" width="10.28515625" customWidth="1"/>
    <col min="4589" max="4589" width="12.5703125" bestFit="1" customWidth="1"/>
    <col min="4590" max="4590" width="10.5703125" bestFit="1" customWidth="1"/>
    <col min="4591" max="4591" width="9.85546875" bestFit="1" customWidth="1"/>
    <col min="4592" max="4592" width="13" bestFit="1" customWidth="1"/>
    <col min="4593" max="4593" width="2.140625" customWidth="1"/>
    <col min="4594" max="4594" width="10.5703125" bestFit="1" customWidth="1"/>
    <col min="4595" max="4595" width="7.85546875" bestFit="1" customWidth="1"/>
    <col min="4596" max="4596" width="9.85546875" bestFit="1" customWidth="1"/>
    <col min="4597" max="4597" width="11.28515625" bestFit="1" customWidth="1"/>
    <col min="4598" max="4599" width="9.85546875" bestFit="1" customWidth="1"/>
    <col min="4600" max="4600" width="12" bestFit="1" customWidth="1"/>
    <col min="4601" max="4601" width="1.85546875" customWidth="1"/>
    <col min="4603" max="4603" width="3" customWidth="1"/>
    <col min="4840" max="4840" width="18" customWidth="1"/>
    <col min="4841" max="4841" width="7.85546875" customWidth="1"/>
    <col min="4842" max="4842" width="11.28515625" bestFit="1" customWidth="1"/>
    <col min="4843" max="4843" width="10.5703125" bestFit="1" customWidth="1"/>
    <col min="4844" max="4844" width="10.28515625" customWidth="1"/>
    <col min="4845" max="4845" width="12.5703125" bestFit="1" customWidth="1"/>
    <col min="4846" max="4846" width="10.5703125" bestFit="1" customWidth="1"/>
    <col min="4847" max="4847" width="9.85546875" bestFit="1" customWidth="1"/>
    <col min="4848" max="4848" width="13" bestFit="1" customWidth="1"/>
    <col min="4849" max="4849" width="2.140625" customWidth="1"/>
    <col min="4850" max="4850" width="10.5703125" bestFit="1" customWidth="1"/>
    <col min="4851" max="4851" width="7.85546875" bestFit="1" customWidth="1"/>
    <col min="4852" max="4852" width="9.85546875" bestFit="1" customWidth="1"/>
    <col min="4853" max="4853" width="11.28515625" bestFit="1" customWidth="1"/>
    <col min="4854" max="4855" width="9.85546875" bestFit="1" customWidth="1"/>
    <col min="4856" max="4856" width="12" bestFit="1" customWidth="1"/>
    <col min="4857" max="4857" width="1.85546875" customWidth="1"/>
    <col min="4859" max="4859" width="3" customWidth="1"/>
    <col min="5096" max="5096" width="18" customWidth="1"/>
    <col min="5097" max="5097" width="7.85546875" customWidth="1"/>
    <col min="5098" max="5098" width="11.28515625" bestFit="1" customWidth="1"/>
    <col min="5099" max="5099" width="10.5703125" bestFit="1" customWidth="1"/>
    <col min="5100" max="5100" width="10.28515625" customWidth="1"/>
    <col min="5101" max="5101" width="12.5703125" bestFit="1" customWidth="1"/>
    <col min="5102" max="5102" width="10.5703125" bestFit="1" customWidth="1"/>
    <col min="5103" max="5103" width="9.85546875" bestFit="1" customWidth="1"/>
    <col min="5104" max="5104" width="13" bestFit="1" customWidth="1"/>
    <col min="5105" max="5105" width="2.140625" customWidth="1"/>
    <col min="5106" max="5106" width="10.5703125" bestFit="1" customWidth="1"/>
    <col min="5107" max="5107" width="7.85546875" bestFit="1" customWidth="1"/>
    <col min="5108" max="5108" width="9.85546875" bestFit="1" customWidth="1"/>
    <col min="5109" max="5109" width="11.28515625" bestFit="1" customWidth="1"/>
    <col min="5110" max="5111" width="9.85546875" bestFit="1" customWidth="1"/>
    <col min="5112" max="5112" width="12" bestFit="1" customWidth="1"/>
    <col min="5113" max="5113" width="1.85546875" customWidth="1"/>
    <col min="5115" max="5115" width="3" customWidth="1"/>
    <col min="5352" max="5352" width="18" customWidth="1"/>
    <col min="5353" max="5353" width="7.85546875" customWidth="1"/>
    <col min="5354" max="5354" width="11.28515625" bestFit="1" customWidth="1"/>
    <col min="5355" max="5355" width="10.5703125" bestFit="1" customWidth="1"/>
    <col min="5356" max="5356" width="10.28515625" customWidth="1"/>
    <col min="5357" max="5357" width="12.5703125" bestFit="1" customWidth="1"/>
    <col min="5358" max="5358" width="10.5703125" bestFit="1" customWidth="1"/>
    <col min="5359" max="5359" width="9.85546875" bestFit="1" customWidth="1"/>
    <col min="5360" max="5360" width="13" bestFit="1" customWidth="1"/>
    <col min="5361" max="5361" width="2.140625" customWidth="1"/>
    <col min="5362" max="5362" width="10.5703125" bestFit="1" customWidth="1"/>
    <col min="5363" max="5363" width="7.85546875" bestFit="1" customWidth="1"/>
    <col min="5364" max="5364" width="9.85546875" bestFit="1" customWidth="1"/>
    <col min="5365" max="5365" width="11.28515625" bestFit="1" customWidth="1"/>
    <col min="5366" max="5367" width="9.85546875" bestFit="1" customWidth="1"/>
    <col min="5368" max="5368" width="12" bestFit="1" customWidth="1"/>
    <col min="5369" max="5369" width="1.85546875" customWidth="1"/>
    <col min="5371" max="5371" width="3" customWidth="1"/>
    <col min="5608" max="5608" width="18" customWidth="1"/>
    <col min="5609" max="5609" width="7.85546875" customWidth="1"/>
    <col min="5610" max="5610" width="11.28515625" bestFit="1" customWidth="1"/>
    <col min="5611" max="5611" width="10.5703125" bestFit="1" customWidth="1"/>
    <col min="5612" max="5612" width="10.28515625" customWidth="1"/>
    <col min="5613" max="5613" width="12.5703125" bestFit="1" customWidth="1"/>
    <col min="5614" max="5614" width="10.5703125" bestFit="1" customWidth="1"/>
    <col min="5615" max="5615" width="9.85546875" bestFit="1" customWidth="1"/>
    <col min="5616" max="5616" width="13" bestFit="1" customWidth="1"/>
    <col min="5617" max="5617" width="2.140625" customWidth="1"/>
    <col min="5618" max="5618" width="10.5703125" bestFit="1" customWidth="1"/>
    <col min="5619" max="5619" width="7.85546875" bestFit="1" customWidth="1"/>
    <col min="5620" max="5620" width="9.85546875" bestFit="1" customWidth="1"/>
    <col min="5621" max="5621" width="11.28515625" bestFit="1" customWidth="1"/>
    <col min="5622" max="5623" width="9.85546875" bestFit="1" customWidth="1"/>
    <col min="5624" max="5624" width="12" bestFit="1" customWidth="1"/>
    <col min="5625" max="5625" width="1.85546875" customWidth="1"/>
    <col min="5627" max="5627" width="3" customWidth="1"/>
    <col min="5864" max="5864" width="18" customWidth="1"/>
    <col min="5865" max="5865" width="7.85546875" customWidth="1"/>
    <col min="5866" max="5866" width="11.28515625" bestFit="1" customWidth="1"/>
    <col min="5867" max="5867" width="10.5703125" bestFit="1" customWidth="1"/>
    <col min="5868" max="5868" width="10.28515625" customWidth="1"/>
    <col min="5869" max="5869" width="12.5703125" bestFit="1" customWidth="1"/>
    <col min="5870" max="5870" width="10.5703125" bestFit="1" customWidth="1"/>
    <col min="5871" max="5871" width="9.85546875" bestFit="1" customWidth="1"/>
    <col min="5872" max="5872" width="13" bestFit="1" customWidth="1"/>
    <col min="5873" max="5873" width="2.140625" customWidth="1"/>
    <col min="5874" max="5874" width="10.5703125" bestFit="1" customWidth="1"/>
    <col min="5875" max="5875" width="7.85546875" bestFit="1" customWidth="1"/>
    <col min="5876" max="5876" width="9.85546875" bestFit="1" customWidth="1"/>
    <col min="5877" max="5877" width="11.28515625" bestFit="1" customWidth="1"/>
    <col min="5878" max="5879" width="9.85546875" bestFit="1" customWidth="1"/>
    <col min="5880" max="5880" width="12" bestFit="1" customWidth="1"/>
    <col min="5881" max="5881" width="1.85546875" customWidth="1"/>
    <col min="5883" max="5883" width="3" customWidth="1"/>
    <col min="6120" max="6120" width="18" customWidth="1"/>
    <col min="6121" max="6121" width="7.85546875" customWidth="1"/>
    <col min="6122" max="6122" width="11.28515625" bestFit="1" customWidth="1"/>
    <col min="6123" max="6123" width="10.5703125" bestFit="1" customWidth="1"/>
    <col min="6124" max="6124" width="10.28515625" customWidth="1"/>
    <col min="6125" max="6125" width="12.5703125" bestFit="1" customWidth="1"/>
    <col min="6126" max="6126" width="10.5703125" bestFit="1" customWidth="1"/>
    <col min="6127" max="6127" width="9.85546875" bestFit="1" customWidth="1"/>
    <col min="6128" max="6128" width="13" bestFit="1" customWidth="1"/>
    <col min="6129" max="6129" width="2.140625" customWidth="1"/>
    <col min="6130" max="6130" width="10.5703125" bestFit="1" customWidth="1"/>
    <col min="6131" max="6131" width="7.85546875" bestFit="1" customWidth="1"/>
    <col min="6132" max="6132" width="9.85546875" bestFit="1" customWidth="1"/>
    <col min="6133" max="6133" width="11.28515625" bestFit="1" customWidth="1"/>
    <col min="6134" max="6135" width="9.85546875" bestFit="1" customWidth="1"/>
    <col min="6136" max="6136" width="12" bestFit="1" customWidth="1"/>
    <col min="6137" max="6137" width="1.85546875" customWidth="1"/>
    <col min="6139" max="6139" width="3" customWidth="1"/>
    <col min="6376" max="6376" width="18" customWidth="1"/>
    <col min="6377" max="6377" width="7.85546875" customWidth="1"/>
    <col min="6378" max="6378" width="11.28515625" bestFit="1" customWidth="1"/>
    <col min="6379" max="6379" width="10.5703125" bestFit="1" customWidth="1"/>
    <col min="6380" max="6380" width="10.28515625" customWidth="1"/>
    <col min="6381" max="6381" width="12.5703125" bestFit="1" customWidth="1"/>
    <col min="6382" max="6382" width="10.5703125" bestFit="1" customWidth="1"/>
    <col min="6383" max="6383" width="9.85546875" bestFit="1" customWidth="1"/>
    <col min="6384" max="6384" width="13" bestFit="1" customWidth="1"/>
    <col min="6385" max="6385" width="2.140625" customWidth="1"/>
    <col min="6386" max="6386" width="10.5703125" bestFit="1" customWidth="1"/>
    <col min="6387" max="6387" width="7.85546875" bestFit="1" customWidth="1"/>
    <col min="6388" max="6388" width="9.85546875" bestFit="1" customWidth="1"/>
    <col min="6389" max="6389" width="11.28515625" bestFit="1" customWidth="1"/>
    <col min="6390" max="6391" width="9.85546875" bestFit="1" customWidth="1"/>
    <col min="6392" max="6392" width="12" bestFit="1" customWidth="1"/>
    <col min="6393" max="6393" width="1.85546875" customWidth="1"/>
    <col min="6395" max="6395" width="3" customWidth="1"/>
    <col min="6632" max="6632" width="18" customWidth="1"/>
    <col min="6633" max="6633" width="7.85546875" customWidth="1"/>
    <col min="6634" max="6634" width="11.28515625" bestFit="1" customWidth="1"/>
    <col min="6635" max="6635" width="10.5703125" bestFit="1" customWidth="1"/>
    <col min="6636" max="6636" width="10.28515625" customWidth="1"/>
    <col min="6637" max="6637" width="12.5703125" bestFit="1" customWidth="1"/>
    <col min="6638" max="6638" width="10.5703125" bestFit="1" customWidth="1"/>
    <col min="6639" max="6639" width="9.85546875" bestFit="1" customWidth="1"/>
    <col min="6640" max="6640" width="13" bestFit="1" customWidth="1"/>
    <col min="6641" max="6641" width="2.140625" customWidth="1"/>
    <col min="6642" max="6642" width="10.5703125" bestFit="1" customWidth="1"/>
    <col min="6643" max="6643" width="7.85546875" bestFit="1" customWidth="1"/>
    <col min="6644" max="6644" width="9.85546875" bestFit="1" customWidth="1"/>
    <col min="6645" max="6645" width="11.28515625" bestFit="1" customWidth="1"/>
    <col min="6646" max="6647" width="9.85546875" bestFit="1" customWidth="1"/>
    <col min="6648" max="6648" width="12" bestFit="1" customWidth="1"/>
    <col min="6649" max="6649" width="1.85546875" customWidth="1"/>
    <col min="6651" max="6651" width="3" customWidth="1"/>
    <col min="6888" max="6888" width="18" customWidth="1"/>
    <col min="6889" max="6889" width="7.85546875" customWidth="1"/>
    <col min="6890" max="6890" width="11.28515625" bestFit="1" customWidth="1"/>
    <col min="6891" max="6891" width="10.5703125" bestFit="1" customWidth="1"/>
    <col min="6892" max="6892" width="10.28515625" customWidth="1"/>
    <col min="6893" max="6893" width="12.5703125" bestFit="1" customWidth="1"/>
    <col min="6894" max="6894" width="10.5703125" bestFit="1" customWidth="1"/>
    <col min="6895" max="6895" width="9.85546875" bestFit="1" customWidth="1"/>
    <col min="6896" max="6896" width="13" bestFit="1" customWidth="1"/>
    <col min="6897" max="6897" width="2.140625" customWidth="1"/>
    <col min="6898" max="6898" width="10.5703125" bestFit="1" customWidth="1"/>
    <col min="6899" max="6899" width="7.85546875" bestFit="1" customWidth="1"/>
    <col min="6900" max="6900" width="9.85546875" bestFit="1" customWidth="1"/>
    <col min="6901" max="6901" width="11.28515625" bestFit="1" customWidth="1"/>
    <col min="6902" max="6903" width="9.85546875" bestFit="1" customWidth="1"/>
    <col min="6904" max="6904" width="12" bestFit="1" customWidth="1"/>
    <col min="6905" max="6905" width="1.85546875" customWidth="1"/>
    <col min="6907" max="6907" width="3" customWidth="1"/>
    <col min="7144" max="7144" width="18" customWidth="1"/>
    <col min="7145" max="7145" width="7.85546875" customWidth="1"/>
    <col min="7146" max="7146" width="11.28515625" bestFit="1" customWidth="1"/>
    <col min="7147" max="7147" width="10.5703125" bestFit="1" customWidth="1"/>
    <col min="7148" max="7148" width="10.28515625" customWidth="1"/>
    <col min="7149" max="7149" width="12.5703125" bestFit="1" customWidth="1"/>
    <col min="7150" max="7150" width="10.5703125" bestFit="1" customWidth="1"/>
    <col min="7151" max="7151" width="9.85546875" bestFit="1" customWidth="1"/>
    <col min="7152" max="7152" width="13" bestFit="1" customWidth="1"/>
    <col min="7153" max="7153" width="2.140625" customWidth="1"/>
    <col min="7154" max="7154" width="10.5703125" bestFit="1" customWidth="1"/>
    <col min="7155" max="7155" width="7.85546875" bestFit="1" customWidth="1"/>
    <col min="7156" max="7156" width="9.85546875" bestFit="1" customWidth="1"/>
    <col min="7157" max="7157" width="11.28515625" bestFit="1" customWidth="1"/>
    <col min="7158" max="7159" width="9.85546875" bestFit="1" customWidth="1"/>
    <col min="7160" max="7160" width="12" bestFit="1" customWidth="1"/>
    <col min="7161" max="7161" width="1.85546875" customWidth="1"/>
    <col min="7163" max="7163" width="3" customWidth="1"/>
    <col min="7400" max="7400" width="18" customWidth="1"/>
    <col min="7401" max="7401" width="7.85546875" customWidth="1"/>
    <col min="7402" max="7402" width="11.28515625" bestFit="1" customWidth="1"/>
    <col min="7403" max="7403" width="10.5703125" bestFit="1" customWidth="1"/>
    <col min="7404" max="7404" width="10.28515625" customWidth="1"/>
    <col min="7405" max="7405" width="12.5703125" bestFit="1" customWidth="1"/>
    <col min="7406" max="7406" width="10.5703125" bestFit="1" customWidth="1"/>
    <col min="7407" max="7407" width="9.85546875" bestFit="1" customWidth="1"/>
    <col min="7408" max="7408" width="13" bestFit="1" customWidth="1"/>
    <col min="7409" max="7409" width="2.140625" customWidth="1"/>
    <col min="7410" max="7410" width="10.5703125" bestFit="1" customWidth="1"/>
    <col min="7411" max="7411" width="7.85546875" bestFit="1" customWidth="1"/>
    <col min="7412" max="7412" width="9.85546875" bestFit="1" customWidth="1"/>
    <col min="7413" max="7413" width="11.28515625" bestFit="1" customWidth="1"/>
    <col min="7414" max="7415" width="9.85546875" bestFit="1" customWidth="1"/>
    <col min="7416" max="7416" width="12" bestFit="1" customWidth="1"/>
    <col min="7417" max="7417" width="1.85546875" customWidth="1"/>
    <col min="7419" max="7419" width="3" customWidth="1"/>
    <col min="7656" max="7656" width="18" customWidth="1"/>
    <col min="7657" max="7657" width="7.85546875" customWidth="1"/>
    <col min="7658" max="7658" width="11.28515625" bestFit="1" customWidth="1"/>
    <col min="7659" max="7659" width="10.5703125" bestFit="1" customWidth="1"/>
    <col min="7660" max="7660" width="10.28515625" customWidth="1"/>
    <col min="7661" max="7661" width="12.5703125" bestFit="1" customWidth="1"/>
    <col min="7662" max="7662" width="10.5703125" bestFit="1" customWidth="1"/>
    <col min="7663" max="7663" width="9.85546875" bestFit="1" customWidth="1"/>
    <col min="7664" max="7664" width="13" bestFit="1" customWidth="1"/>
    <col min="7665" max="7665" width="2.140625" customWidth="1"/>
    <col min="7666" max="7666" width="10.5703125" bestFit="1" customWidth="1"/>
    <col min="7667" max="7667" width="7.85546875" bestFit="1" customWidth="1"/>
    <col min="7668" max="7668" width="9.85546875" bestFit="1" customWidth="1"/>
    <col min="7669" max="7669" width="11.28515625" bestFit="1" customWidth="1"/>
    <col min="7670" max="7671" width="9.85546875" bestFit="1" customWidth="1"/>
    <col min="7672" max="7672" width="12" bestFit="1" customWidth="1"/>
    <col min="7673" max="7673" width="1.85546875" customWidth="1"/>
    <col min="7675" max="7675" width="3" customWidth="1"/>
    <col min="7912" max="7912" width="18" customWidth="1"/>
    <col min="7913" max="7913" width="7.85546875" customWidth="1"/>
    <col min="7914" max="7914" width="11.28515625" bestFit="1" customWidth="1"/>
    <col min="7915" max="7915" width="10.5703125" bestFit="1" customWidth="1"/>
    <col min="7916" max="7916" width="10.28515625" customWidth="1"/>
    <col min="7917" max="7917" width="12.5703125" bestFit="1" customWidth="1"/>
    <col min="7918" max="7918" width="10.5703125" bestFit="1" customWidth="1"/>
    <col min="7919" max="7919" width="9.85546875" bestFit="1" customWidth="1"/>
    <col min="7920" max="7920" width="13" bestFit="1" customWidth="1"/>
    <col min="7921" max="7921" width="2.140625" customWidth="1"/>
    <col min="7922" max="7922" width="10.5703125" bestFit="1" customWidth="1"/>
    <col min="7923" max="7923" width="7.85546875" bestFit="1" customWidth="1"/>
    <col min="7924" max="7924" width="9.85546875" bestFit="1" customWidth="1"/>
    <col min="7925" max="7925" width="11.28515625" bestFit="1" customWidth="1"/>
    <col min="7926" max="7927" width="9.85546875" bestFit="1" customWidth="1"/>
    <col min="7928" max="7928" width="12" bestFit="1" customWidth="1"/>
    <col min="7929" max="7929" width="1.85546875" customWidth="1"/>
    <col min="7931" max="7931" width="3" customWidth="1"/>
    <col min="8168" max="8168" width="18" customWidth="1"/>
    <col min="8169" max="8169" width="7.85546875" customWidth="1"/>
    <col min="8170" max="8170" width="11.28515625" bestFit="1" customWidth="1"/>
    <col min="8171" max="8171" width="10.5703125" bestFit="1" customWidth="1"/>
    <col min="8172" max="8172" width="10.28515625" customWidth="1"/>
    <col min="8173" max="8173" width="12.5703125" bestFit="1" customWidth="1"/>
    <col min="8174" max="8174" width="10.5703125" bestFit="1" customWidth="1"/>
    <col min="8175" max="8175" width="9.85546875" bestFit="1" customWidth="1"/>
    <col min="8176" max="8176" width="13" bestFit="1" customWidth="1"/>
    <col min="8177" max="8177" width="2.140625" customWidth="1"/>
    <col min="8178" max="8178" width="10.5703125" bestFit="1" customWidth="1"/>
    <col min="8179" max="8179" width="7.85546875" bestFit="1" customWidth="1"/>
    <col min="8180" max="8180" width="9.85546875" bestFit="1" customWidth="1"/>
    <col min="8181" max="8181" width="11.28515625" bestFit="1" customWidth="1"/>
    <col min="8182" max="8183" width="9.85546875" bestFit="1" customWidth="1"/>
    <col min="8184" max="8184" width="12" bestFit="1" customWidth="1"/>
    <col min="8185" max="8185" width="1.85546875" customWidth="1"/>
    <col min="8187" max="8187" width="3" customWidth="1"/>
    <col min="8424" max="8424" width="18" customWidth="1"/>
    <col min="8425" max="8425" width="7.85546875" customWidth="1"/>
    <col min="8426" max="8426" width="11.28515625" bestFit="1" customWidth="1"/>
    <col min="8427" max="8427" width="10.5703125" bestFit="1" customWidth="1"/>
    <col min="8428" max="8428" width="10.28515625" customWidth="1"/>
    <col min="8429" max="8429" width="12.5703125" bestFit="1" customWidth="1"/>
    <col min="8430" max="8430" width="10.5703125" bestFit="1" customWidth="1"/>
    <col min="8431" max="8431" width="9.85546875" bestFit="1" customWidth="1"/>
    <col min="8432" max="8432" width="13" bestFit="1" customWidth="1"/>
    <col min="8433" max="8433" width="2.140625" customWidth="1"/>
    <col min="8434" max="8434" width="10.5703125" bestFit="1" customWidth="1"/>
    <col min="8435" max="8435" width="7.85546875" bestFit="1" customWidth="1"/>
    <col min="8436" max="8436" width="9.85546875" bestFit="1" customWidth="1"/>
    <col min="8437" max="8437" width="11.28515625" bestFit="1" customWidth="1"/>
    <col min="8438" max="8439" width="9.85546875" bestFit="1" customWidth="1"/>
    <col min="8440" max="8440" width="12" bestFit="1" customWidth="1"/>
    <col min="8441" max="8441" width="1.85546875" customWidth="1"/>
    <col min="8443" max="8443" width="3" customWidth="1"/>
    <col min="8680" max="8680" width="18" customWidth="1"/>
    <col min="8681" max="8681" width="7.85546875" customWidth="1"/>
    <col min="8682" max="8682" width="11.28515625" bestFit="1" customWidth="1"/>
    <col min="8683" max="8683" width="10.5703125" bestFit="1" customWidth="1"/>
    <col min="8684" max="8684" width="10.28515625" customWidth="1"/>
    <col min="8685" max="8685" width="12.5703125" bestFit="1" customWidth="1"/>
    <col min="8686" max="8686" width="10.5703125" bestFit="1" customWidth="1"/>
    <col min="8687" max="8687" width="9.85546875" bestFit="1" customWidth="1"/>
    <col min="8688" max="8688" width="13" bestFit="1" customWidth="1"/>
    <col min="8689" max="8689" width="2.140625" customWidth="1"/>
    <col min="8690" max="8690" width="10.5703125" bestFit="1" customWidth="1"/>
    <col min="8691" max="8691" width="7.85546875" bestFit="1" customWidth="1"/>
    <col min="8692" max="8692" width="9.85546875" bestFit="1" customWidth="1"/>
    <col min="8693" max="8693" width="11.28515625" bestFit="1" customWidth="1"/>
    <col min="8694" max="8695" width="9.85546875" bestFit="1" customWidth="1"/>
    <col min="8696" max="8696" width="12" bestFit="1" customWidth="1"/>
    <col min="8697" max="8697" width="1.85546875" customWidth="1"/>
    <col min="8699" max="8699" width="3" customWidth="1"/>
    <col min="8936" max="8936" width="18" customWidth="1"/>
    <col min="8937" max="8937" width="7.85546875" customWidth="1"/>
    <col min="8938" max="8938" width="11.28515625" bestFit="1" customWidth="1"/>
    <col min="8939" max="8939" width="10.5703125" bestFit="1" customWidth="1"/>
    <col min="8940" max="8940" width="10.28515625" customWidth="1"/>
    <col min="8941" max="8941" width="12.5703125" bestFit="1" customWidth="1"/>
    <col min="8942" max="8942" width="10.5703125" bestFit="1" customWidth="1"/>
    <col min="8943" max="8943" width="9.85546875" bestFit="1" customWidth="1"/>
    <col min="8944" max="8944" width="13" bestFit="1" customWidth="1"/>
    <col min="8945" max="8945" width="2.140625" customWidth="1"/>
    <col min="8946" max="8946" width="10.5703125" bestFit="1" customWidth="1"/>
    <col min="8947" max="8947" width="7.85546875" bestFit="1" customWidth="1"/>
    <col min="8948" max="8948" width="9.85546875" bestFit="1" customWidth="1"/>
    <col min="8949" max="8949" width="11.28515625" bestFit="1" customWidth="1"/>
    <col min="8950" max="8951" width="9.85546875" bestFit="1" customWidth="1"/>
    <col min="8952" max="8952" width="12" bestFit="1" customWidth="1"/>
    <col min="8953" max="8953" width="1.85546875" customWidth="1"/>
    <col min="8955" max="8955" width="3" customWidth="1"/>
    <col min="9192" max="9192" width="18" customWidth="1"/>
    <col min="9193" max="9193" width="7.85546875" customWidth="1"/>
    <col min="9194" max="9194" width="11.28515625" bestFit="1" customWidth="1"/>
    <col min="9195" max="9195" width="10.5703125" bestFit="1" customWidth="1"/>
    <col min="9196" max="9196" width="10.28515625" customWidth="1"/>
    <col min="9197" max="9197" width="12.5703125" bestFit="1" customWidth="1"/>
    <col min="9198" max="9198" width="10.5703125" bestFit="1" customWidth="1"/>
    <col min="9199" max="9199" width="9.85546875" bestFit="1" customWidth="1"/>
    <col min="9200" max="9200" width="13" bestFit="1" customWidth="1"/>
    <col min="9201" max="9201" width="2.140625" customWidth="1"/>
    <col min="9202" max="9202" width="10.5703125" bestFit="1" customWidth="1"/>
    <col min="9203" max="9203" width="7.85546875" bestFit="1" customWidth="1"/>
    <col min="9204" max="9204" width="9.85546875" bestFit="1" customWidth="1"/>
    <col min="9205" max="9205" width="11.28515625" bestFit="1" customWidth="1"/>
    <col min="9206" max="9207" width="9.85546875" bestFit="1" customWidth="1"/>
    <col min="9208" max="9208" width="12" bestFit="1" customWidth="1"/>
    <col min="9209" max="9209" width="1.85546875" customWidth="1"/>
    <col min="9211" max="9211" width="3" customWidth="1"/>
    <col min="9448" max="9448" width="18" customWidth="1"/>
    <col min="9449" max="9449" width="7.85546875" customWidth="1"/>
    <col min="9450" max="9450" width="11.28515625" bestFit="1" customWidth="1"/>
    <col min="9451" max="9451" width="10.5703125" bestFit="1" customWidth="1"/>
    <col min="9452" max="9452" width="10.28515625" customWidth="1"/>
    <col min="9453" max="9453" width="12.5703125" bestFit="1" customWidth="1"/>
    <col min="9454" max="9454" width="10.5703125" bestFit="1" customWidth="1"/>
    <col min="9455" max="9455" width="9.85546875" bestFit="1" customWidth="1"/>
    <col min="9456" max="9456" width="13" bestFit="1" customWidth="1"/>
    <col min="9457" max="9457" width="2.140625" customWidth="1"/>
    <col min="9458" max="9458" width="10.5703125" bestFit="1" customWidth="1"/>
    <col min="9459" max="9459" width="7.85546875" bestFit="1" customWidth="1"/>
    <col min="9460" max="9460" width="9.85546875" bestFit="1" customWidth="1"/>
    <col min="9461" max="9461" width="11.28515625" bestFit="1" customWidth="1"/>
    <col min="9462" max="9463" width="9.85546875" bestFit="1" customWidth="1"/>
    <col min="9464" max="9464" width="12" bestFit="1" customWidth="1"/>
    <col min="9465" max="9465" width="1.85546875" customWidth="1"/>
    <col min="9467" max="9467" width="3" customWidth="1"/>
    <col min="9704" max="9704" width="18" customWidth="1"/>
    <col min="9705" max="9705" width="7.85546875" customWidth="1"/>
    <col min="9706" max="9706" width="11.28515625" bestFit="1" customWidth="1"/>
    <col min="9707" max="9707" width="10.5703125" bestFit="1" customWidth="1"/>
    <col min="9708" max="9708" width="10.28515625" customWidth="1"/>
    <col min="9709" max="9709" width="12.5703125" bestFit="1" customWidth="1"/>
    <col min="9710" max="9710" width="10.5703125" bestFit="1" customWidth="1"/>
    <col min="9711" max="9711" width="9.85546875" bestFit="1" customWidth="1"/>
    <col min="9712" max="9712" width="13" bestFit="1" customWidth="1"/>
    <col min="9713" max="9713" width="2.140625" customWidth="1"/>
    <col min="9714" max="9714" width="10.5703125" bestFit="1" customWidth="1"/>
    <col min="9715" max="9715" width="7.85546875" bestFit="1" customWidth="1"/>
    <col min="9716" max="9716" width="9.85546875" bestFit="1" customWidth="1"/>
    <col min="9717" max="9717" width="11.28515625" bestFit="1" customWidth="1"/>
    <col min="9718" max="9719" width="9.85546875" bestFit="1" customWidth="1"/>
    <col min="9720" max="9720" width="12" bestFit="1" customWidth="1"/>
    <col min="9721" max="9721" width="1.85546875" customWidth="1"/>
    <col min="9723" max="9723" width="3" customWidth="1"/>
    <col min="9960" max="9960" width="18" customWidth="1"/>
    <col min="9961" max="9961" width="7.85546875" customWidth="1"/>
    <col min="9962" max="9962" width="11.28515625" bestFit="1" customWidth="1"/>
    <col min="9963" max="9963" width="10.5703125" bestFit="1" customWidth="1"/>
    <col min="9964" max="9964" width="10.28515625" customWidth="1"/>
    <col min="9965" max="9965" width="12.5703125" bestFit="1" customWidth="1"/>
    <col min="9966" max="9966" width="10.5703125" bestFit="1" customWidth="1"/>
    <col min="9967" max="9967" width="9.85546875" bestFit="1" customWidth="1"/>
    <col min="9968" max="9968" width="13" bestFit="1" customWidth="1"/>
    <col min="9969" max="9969" width="2.140625" customWidth="1"/>
    <col min="9970" max="9970" width="10.5703125" bestFit="1" customWidth="1"/>
    <col min="9971" max="9971" width="7.85546875" bestFit="1" customWidth="1"/>
    <col min="9972" max="9972" width="9.85546875" bestFit="1" customWidth="1"/>
    <col min="9973" max="9973" width="11.28515625" bestFit="1" customWidth="1"/>
    <col min="9974" max="9975" width="9.85546875" bestFit="1" customWidth="1"/>
    <col min="9976" max="9976" width="12" bestFit="1" customWidth="1"/>
    <col min="9977" max="9977" width="1.85546875" customWidth="1"/>
    <col min="9979" max="9979" width="3" customWidth="1"/>
    <col min="10216" max="10216" width="18" customWidth="1"/>
    <col min="10217" max="10217" width="7.85546875" customWidth="1"/>
    <col min="10218" max="10218" width="11.28515625" bestFit="1" customWidth="1"/>
    <col min="10219" max="10219" width="10.5703125" bestFit="1" customWidth="1"/>
    <col min="10220" max="10220" width="10.28515625" customWidth="1"/>
    <col min="10221" max="10221" width="12.5703125" bestFit="1" customWidth="1"/>
    <col min="10222" max="10222" width="10.5703125" bestFit="1" customWidth="1"/>
    <col min="10223" max="10223" width="9.85546875" bestFit="1" customWidth="1"/>
    <col min="10224" max="10224" width="13" bestFit="1" customWidth="1"/>
    <col min="10225" max="10225" width="2.140625" customWidth="1"/>
    <col min="10226" max="10226" width="10.5703125" bestFit="1" customWidth="1"/>
    <col min="10227" max="10227" width="7.85546875" bestFit="1" customWidth="1"/>
    <col min="10228" max="10228" width="9.85546875" bestFit="1" customWidth="1"/>
    <col min="10229" max="10229" width="11.28515625" bestFit="1" customWidth="1"/>
    <col min="10230" max="10231" width="9.85546875" bestFit="1" customWidth="1"/>
    <col min="10232" max="10232" width="12" bestFit="1" customWidth="1"/>
    <col min="10233" max="10233" width="1.85546875" customWidth="1"/>
    <col min="10235" max="10235" width="3" customWidth="1"/>
    <col min="10472" max="10472" width="18" customWidth="1"/>
    <col min="10473" max="10473" width="7.85546875" customWidth="1"/>
    <col min="10474" max="10474" width="11.28515625" bestFit="1" customWidth="1"/>
    <col min="10475" max="10475" width="10.5703125" bestFit="1" customWidth="1"/>
    <col min="10476" max="10476" width="10.28515625" customWidth="1"/>
    <col min="10477" max="10477" width="12.5703125" bestFit="1" customWidth="1"/>
    <col min="10478" max="10478" width="10.5703125" bestFit="1" customWidth="1"/>
    <col min="10479" max="10479" width="9.85546875" bestFit="1" customWidth="1"/>
    <col min="10480" max="10480" width="13" bestFit="1" customWidth="1"/>
    <col min="10481" max="10481" width="2.140625" customWidth="1"/>
    <col min="10482" max="10482" width="10.5703125" bestFit="1" customWidth="1"/>
    <col min="10483" max="10483" width="7.85546875" bestFit="1" customWidth="1"/>
    <col min="10484" max="10484" width="9.85546875" bestFit="1" customWidth="1"/>
    <col min="10485" max="10485" width="11.28515625" bestFit="1" customWidth="1"/>
    <col min="10486" max="10487" width="9.85546875" bestFit="1" customWidth="1"/>
    <col min="10488" max="10488" width="12" bestFit="1" customWidth="1"/>
    <col min="10489" max="10489" width="1.85546875" customWidth="1"/>
    <col min="10491" max="10491" width="3" customWidth="1"/>
    <col min="10728" max="10728" width="18" customWidth="1"/>
    <col min="10729" max="10729" width="7.85546875" customWidth="1"/>
    <col min="10730" max="10730" width="11.28515625" bestFit="1" customWidth="1"/>
    <col min="10731" max="10731" width="10.5703125" bestFit="1" customWidth="1"/>
    <col min="10732" max="10732" width="10.28515625" customWidth="1"/>
    <col min="10733" max="10733" width="12.5703125" bestFit="1" customWidth="1"/>
    <col min="10734" max="10734" width="10.5703125" bestFit="1" customWidth="1"/>
    <col min="10735" max="10735" width="9.85546875" bestFit="1" customWidth="1"/>
    <col min="10736" max="10736" width="13" bestFit="1" customWidth="1"/>
    <col min="10737" max="10737" width="2.140625" customWidth="1"/>
    <col min="10738" max="10738" width="10.5703125" bestFit="1" customWidth="1"/>
    <col min="10739" max="10739" width="7.85546875" bestFit="1" customWidth="1"/>
    <col min="10740" max="10740" width="9.85546875" bestFit="1" customWidth="1"/>
    <col min="10741" max="10741" width="11.28515625" bestFit="1" customWidth="1"/>
    <col min="10742" max="10743" width="9.85546875" bestFit="1" customWidth="1"/>
    <col min="10744" max="10744" width="12" bestFit="1" customWidth="1"/>
    <col min="10745" max="10745" width="1.85546875" customWidth="1"/>
    <col min="10747" max="10747" width="3" customWidth="1"/>
    <col min="10984" max="10984" width="18" customWidth="1"/>
    <col min="10985" max="10985" width="7.85546875" customWidth="1"/>
    <col min="10986" max="10986" width="11.28515625" bestFit="1" customWidth="1"/>
    <col min="10987" max="10987" width="10.5703125" bestFit="1" customWidth="1"/>
    <col min="10988" max="10988" width="10.28515625" customWidth="1"/>
    <col min="10989" max="10989" width="12.5703125" bestFit="1" customWidth="1"/>
    <col min="10990" max="10990" width="10.5703125" bestFit="1" customWidth="1"/>
    <col min="10991" max="10991" width="9.85546875" bestFit="1" customWidth="1"/>
    <col min="10992" max="10992" width="13" bestFit="1" customWidth="1"/>
    <col min="10993" max="10993" width="2.140625" customWidth="1"/>
    <col min="10994" max="10994" width="10.5703125" bestFit="1" customWidth="1"/>
    <col min="10995" max="10995" width="7.85546875" bestFit="1" customWidth="1"/>
    <col min="10996" max="10996" width="9.85546875" bestFit="1" customWidth="1"/>
    <col min="10997" max="10997" width="11.28515625" bestFit="1" customWidth="1"/>
    <col min="10998" max="10999" width="9.85546875" bestFit="1" customWidth="1"/>
    <col min="11000" max="11000" width="12" bestFit="1" customWidth="1"/>
    <col min="11001" max="11001" width="1.85546875" customWidth="1"/>
    <col min="11003" max="11003" width="3" customWidth="1"/>
    <col min="11240" max="11240" width="18" customWidth="1"/>
    <col min="11241" max="11241" width="7.85546875" customWidth="1"/>
    <col min="11242" max="11242" width="11.28515625" bestFit="1" customWidth="1"/>
    <col min="11243" max="11243" width="10.5703125" bestFit="1" customWidth="1"/>
    <col min="11244" max="11244" width="10.28515625" customWidth="1"/>
    <col min="11245" max="11245" width="12.5703125" bestFit="1" customWidth="1"/>
    <col min="11246" max="11246" width="10.5703125" bestFit="1" customWidth="1"/>
    <col min="11247" max="11247" width="9.85546875" bestFit="1" customWidth="1"/>
    <col min="11248" max="11248" width="13" bestFit="1" customWidth="1"/>
    <col min="11249" max="11249" width="2.140625" customWidth="1"/>
    <col min="11250" max="11250" width="10.5703125" bestFit="1" customWidth="1"/>
    <col min="11251" max="11251" width="7.85546875" bestFit="1" customWidth="1"/>
    <col min="11252" max="11252" width="9.85546875" bestFit="1" customWidth="1"/>
    <col min="11253" max="11253" width="11.28515625" bestFit="1" customWidth="1"/>
    <col min="11254" max="11255" width="9.85546875" bestFit="1" customWidth="1"/>
    <col min="11256" max="11256" width="12" bestFit="1" customWidth="1"/>
    <col min="11257" max="11257" width="1.85546875" customWidth="1"/>
    <col min="11259" max="11259" width="3" customWidth="1"/>
    <col min="11496" max="11496" width="18" customWidth="1"/>
    <col min="11497" max="11497" width="7.85546875" customWidth="1"/>
    <col min="11498" max="11498" width="11.28515625" bestFit="1" customWidth="1"/>
    <col min="11499" max="11499" width="10.5703125" bestFit="1" customWidth="1"/>
    <col min="11500" max="11500" width="10.28515625" customWidth="1"/>
    <col min="11501" max="11501" width="12.5703125" bestFit="1" customWidth="1"/>
    <col min="11502" max="11502" width="10.5703125" bestFit="1" customWidth="1"/>
    <col min="11503" max="11503" width="9.85546875" bestFit="1" customWidth="1"/>
    <col min="11504" max="11504" width="13" bestFit="1" customWidth="1"/>
    <col min="11505" max="11505" width="2.140625" customWidth="1"/>
    <col min="11506" max="11506" width="10.5703125" bestFit="1" customWidth="1"/>
    <col min="11507" max="11507" width="7.85546875" bestFit="1" customWidth="1"/>
    <col min="11508" max="11508" width="9.85546875" bestFit="1" customWidth="1"/>
    <col min="11509" max="11509" width="11.28515625" bestFit="1" customWidth="1"/>
    <col min="11510" max="11511" width="9.85546875" bestFit="1" customWidth="1"/>
    <col min="11512" max="11512" width="12" bestFit="1" customWidth="1"/>
    <col min="11513" max="11513" width="1.85546875" customWidth="1"/>
    <col min="11515" max="11515" width="3" customWidth="1"/>
    <col min="11752" max="11752" width="18" customWidth="1"/>
    <col min="11753" max="11753" width="7.85546875" customWidth="1"/>
    <col min="11754" max="11754" width="11.28515625" bestFit="1" customWidth="1"/>
    <col min="11755" max="11755" width="10.5703125" bestFit="1" customWidth="1"/>
    <col min="11756" max="11756" width="10.28515625" customWidth="1"/>
    <col min="11757" max="11757" width="12.5703125" bestFit="1" customWidth="1"/>
    <col min="11758" max="11758" width="10.5703125" bestFit="1" customWidth="1"/>
    <col min="11759" max="11759" width="9.85546875" bestFit="1" customWidth="1"/>
    <col min="11760" max="11760" width="13" bestFit="1" customWidth="1"/>
    <col min="11761" max="11761" width="2.140625" customWidth="1"/>
    <col min="11762" max="11762" width="10.5703125" bestFit="1" customWidth="1"/>
    <col min="11763" max="11763" width="7.85546875" bestFit="1" customWidth="1"/>
    <col min="11764" max="11764" width="9.85546875" bestFit="1" customWidth="1"/>
    <col min="11765" max="11765" width="11.28515625" bestFit="1" customWidth="1"/>
    <col min="11766" max="11767" width="9.85546875" bestFit="1" customWidth="1"/>
    <col min="11768" max="11768" width="12" bestFit="1" customWidth="1"/>
    <col min="11769" max="11769" width="1.85546875" customWidth="1"/>
    <col min="11771" max="11771" width="3" customWidth="1"/>
    <col min="12008" max="12008" width="18" customWidth="1"/>
    <col min="12009" max="12009" width="7.85546875" customWidth="1"/>
    <col min="12010" max="12010" width="11.28515625" bestFit="1" customWidth="1"/>
    <col min="12011" max="12011" width="10.5703125" bestFit="1" customWidth="1"/>
    <col min="12012" max="12012" width="10.28515625" customWidth="1"/>
    <col min="12013" max="12013" width="12.5703125" bestFit="1" customWidth="1"/>
    <col min="12014" max="12014" width="10.5703125" bestFit="1" customWidth="1"/>
    <col min="12015" max="12015" width="9.85546875" bestFit="1" customWidth="1"/>
    <col min="12016" max="12016" width="13" bestFit="1" customWidth="1"/>
    <col min="12017" max="12017" width="2.140625" customWidth="1"/>
    <col min="12018" max="12018" width="10.5703125" bestFit="1" customWidth="1"/>
    <col min="12019" max="12019" width="7.85546875" bestFit="1" customWidth="1"/>
    <col min="12020" max="12020" width="9.85546875" bestFit="1" customWidth="1"/>
    <col min="12021" max="12021" width="11.28515625" bestFit="1" customWidth="1"/>
    <col min="12022" max="12023" width="9.85546875" bestFit="1" customWidth="1"/>
    <col min="12024" max="12024" width="12" bestFit="1" customWidth="1"/>
    <col min="12025" max="12025" width="1.85546875" customWidth="1"/>
    <col min="12027" max="12027" width="3" customWidth="1"/>
    <col min="12264" max="12264" width="18" customWidth="1"/>
    <col min="12265" max="12265" width="7.85546875" customWidth="1"/>
    <col min="12266" max="12266" width="11.28515625" bestFit="1" customWidth="1"/>
    <col min="12267" max="12267" width="10.5703125" bestFit="1" customWidth="1"/>
    <col min="12268" max="12268" width="10.28515625" customWidth="1"/>
    <col min="12269" max="12269" width="12.5703125" bestFit="1" customWidth="1"/>
    <col min="12270" max="12270" width="10.5703125" bestFit="1" customWidth="1"/>
    <col min="12271" max="12271" width="9.85546875" bestFit="1" customWidth="1"/>
    <col min="12272" max="12272" width="13" bestFit="1" customWidth="1"/>
    <col min="12273" max="12273" width="2.140625" customWidth="1"/>
    <col min="12274" max="12274" width="10.5703125" bestFit="1" customWidth="1"/>
    <col min="12275" max="12275" width="7.85546875" bestFit="1" customWidth="1"/>
    <col min="12276" max="12276" width="9.85546875" bestFit="1" customWidth="1"/>
    <col min="12277" max="12277" width="11.28515625" bestFit="1" customWidth="1"/>
    <col min="12278" max="12279" width="9.85546875" bestFit="1" customWidth="1"/>
    <col min="12280" max="12280" width="12" bestFit="1" customWidth="1"/>
    <col min="12281" max="12281" width="1.85546875" customWidth="1"/>
    <col min="12283" max="12283" width="3" customWidth="1"/>
    <col min="12520" max="12520" width="18" customWidth="1"/>
    <col min="12521" max="12521" width="7.85546875" customWidth="1"/>
    <col min="12522" max="12522" width="11.28515625" bestFit="1" customWidth="1"/>
    <col min="12523" max="12523" width="10.5703125" bestFit="1" customWidth="1"/>
    <col min="12524" max="12524" width="10.28515625" customWidth="1"/>
    <col min="12525" max="12525" width="12.5703125" bestFit="1" customWidth="1"/>
    <col min="12526" max="12526" width="10.5703125" bestFit="1" customWidth="1"/>
    <col min="12527" max="12527" width="9.85546875" bestFit="1" customWidth="1"/>
    <col min="12528" max="12528" width="13" bestFit="1" customWidth="1"/>
    <col min="12529" max="12529" width="2.140625" customWidth="1"/>
    <col min="12530" max="12530" width="10.5703125" bestFit="1" customWidth="1"/>
    <col min="12531" max="12531" width="7.85546875" bestFit="1" customWidth="1"/>
    <col min="12532" max="12532" width="9.85546875" bestFit="1" customWidth="1"/>
    <col min="12533" max="12533" width="11.28515625" bestFit="1" customWidth="1"/>
    <col min="12534" max="12535" width="9.85546875" bestFit="1" customWidth="1"/>
    <col min="12536" max="12536" width="12" bestFit="1" customWidth="1"/>
    <col min="12537" max="12537" width="1.85546875" customWidth="1"/>
    <col min="12539" max="12539" width="3" customWidth="1"/>
    <col min="12776" max="12776" width="18" customWidth="1"/>
    <col min="12777" max="12777" width="7.85546875" customWidth="1"/>
    <col min="12778" max="12778" width="11.28515625" bestFit="1" customWidth="1"/>
    <col min="12779" max="12779" width="10.5703125" bestFit="1" customWidth="1"/>
    <col min="12780" max="12780" width="10.28515625" customWidth="1"/>
    <col min="12781" max="12781" width="12.5703125" bestFit="1" customWidth="1"/>
    <col min="12782" max="12782" width="10.5703125" bestFit="1" customWidth="1"/>
    <col min="12783" max="12783" width="9.85546875" bestFit="1" customWidth="1"/>
    <col min="12784" max="12784" width="13" bestFit="1" customWidth="1"/>
    <col min="12785" max="12785" width="2.140625" customWidth="1"/>
    <col min="12786" max="12786" width="10.5703125" bestFit="1" customWidth="1"/>
    <col min="12787" max="12787" width="7.85546875" bestFit="1" customWidth="1"/>
    <col min="12788" max="12788" width="9.85546875" bestFit="1" customWidth="1"/>
    <col min="12789" max="12789" width="11.28515625" bestFit="1" customWidth="1"/>
    <col min="12790" max="12791" width="9.85546875" bestFit="1" customWidth="1"/>
    <col min="12792" max="12792" width="12" bestFit="1" customWidth="1"/>
    <col min="12793" max="12793" width="1.85546875" customWidth="1"/>
    <col min="12795" max="12795" width="3" customWidth="1"/>
    <col min="13032" max="13032" width="18" customWidth="1"/>
    <col min="13033" max="13033" width="7.85546875" customWidth="1"/>
    <col min="13034" max="13034" width="11.28515625" bestFit="1" customWidth="1"/>
    <col min="13035" max="13035" width="10.5703125" bestFit="1" customWidth="1"/>
    <col min="13036" max="13036" width="10.28515625" customWidth="1"/>
    <col min="13037" max="13037" width="12.5703125" bestFit="1" customWidth="1"/>
    <col min="13038" max="13038" width="10.5703125" bestFit="1" customWidth="1"/>
    <col min="13039" max="13039" width="9.85546875" bestFit="1" customWidth="1"/>
    <col min="13040" max="13040" width="13" bestFit="1" customWidth="1"/>
    <col min="13041" max="13041" width="2.140625" customWidth="1"/>
    <col min="13042" max="13042" width="10.5703125" bestFit="1" customWidth="1"/>
    <col min="13043" max="13043" width="7.85546875" bestFit="1" customWidth="1"/>
    <col min="13044" max="13044" width="9.85546875" bestFit="1" customWidth="1"/>
    <col min="13045" max="13045" width="11.28515625" bestFit="1" customWidth="1"/>
    <col min="13046" max="13047" width="9.85546875" bestFit="1" customWidth="1"/>
    <col min="13048" max="13048" width="12" bestFit="1" customWidth="1"/>
    <col min="13049" max="13049" width="1.85546875" customWidth="1"/>
    <col min="13051" max="13051" width="3" customWidth="1"/>
    <col min="13288" max="13288" width="18" customWidth="1"/>
    <col min="13289" max="13289" width="7.85546875" customWidth="1"/>
    <col min="13290" max="13290" width="11.28515625" bestFit="1" customWidth="1"/>
    <col min="13291" max="13291" width="10.5703125" bestFit="1" customWidth="1"/>
    <col min="13292" max="13292" width="10.28515625" customWidth="1"/>
    <col min="13293" max="13293" width="12.5703125" bestFit="1" customWidth="1"/>
    <col min="13294" max="13294" width="10.5703125" bestFit="1" customWidth="1"/>
    <col min="13295" max="13295" width="9.85546875" bestFit="1" customWidth="1"/>
    <col min="13296" max="13296" width="13" bestFit="1" customWidth="1"/>
    <col min="13297" max="13297" width="2.140625" customWidth="1"/>
    <col min="13298" max="13298" width="10.5703125" bestFit="1" customWidth="1"/>
    <col min="13299" max="13299" width="7.85546875" bestFit="1" customWidth="1"/>
    <col min="13300" max="13300" width="9.85546875" bestFit="1" customWidth="1"/>
    <col min="13301" max="13301" width="11.28515625" bestFit="1" customWidth="1"/>
    <col min="13302" max="13303" width="9.85546875" bestFit="1" customWidth="1"/>
    <col min="13304" max="13304" width="12" bestFit="1" customWidth="1"/>
    <col min="13305" max="13305" width="1.85546875" customWidth="1"/>
    <col min="13307" max="13307" width="3" customWidth="1"/>
    <col min="13544" max="13544" width="18" customWidth="1"/>
    <col min="13545" max="13545" width="7.85546875" customWidth="1"/>
    <col min="13546" max="13546" width="11.28515625" bestFit="1" customWidth="1"/>
    <col min="13547" max="13547" width="10.5703125" bestFit="1" customWidth="1"/>
    <col min="13548" max="13548" width="10.28515625" customWidth="1"/>
    <col min="13549" max="13549" width="12.5703125" bestFit="1" customWidth="1"/>
    <col min="13550" max="13550" width="10.5703125" bestFit="1" customWidth="1"/>
    <col min="13551" max="13551" width="9.85546875" bestFit="1" customWidth="1"/>
    <col min="13552" max="13552" width="13" bestFit="1" customWidth="1"/>
    <col min="13553" max="13553" width="2.140625" customWidth="1"/>
    <col min="13554" max="13554" width="10.5703125" bestFit="1" customWidth="1"/>
    <col min="13555" max="13555" width="7.85546875" bestFit="1" customWidth="1"/>
    <col min="13556" max="13556" width="9.85546875" bestFit="1" customWidth="1"/>
    <col min="13557" max="13557" width="11.28515625" bestFit="1" customWidth="1"/>
    <col min="13558" max="13559" width="9.85546875" bestFit="1" customWidth="1"/>
    <col min="13560" max="13560" width="12" bestFit="1" customWidth="1"/>
    <col min="13561" max="13561" width="1.85546875" customWidth="1"/>
    <col min="13563" max="13563" width="3" customWidth="1"/>
    <col min="13800" max="13800" width="18" customWidth="1"/>
    <col min="13801" max="13801" width="7.85546875" customWidth="1"/>
    <col min="13802" max="13802" width="11.28515625" bestFit="1" customWidth="1"/>
    <col min="13803" max="13803" width="10.5703125" bestFit="1" customWidth="1"/>
    <col min="13804" max="13804" width="10.28515625" customWidth="1"/>
    <col min="13805" max="13805" width="12.5703125" bestFit="1" customWidth="1"/>
    <col min="13806" max="13806" width="10.5703125" bestFit="1" customWidth="1"/>
    <col min="13807" max="13807" width="9.85546875" bestFit="1" customWidth="1"/>
    <col min="13808" max="13808" width="13" bestFit="1" customWidth="1"/>
    <col min="13809" max="13809" width="2.140625" customWidth="1"/>
    <col min="13810" max="13810" width="10.5703125" bestFit="1" customWidth="1"/>
    <col min="13811" max="13811" width="7.85546875" bestFit="1" customWidth="1"/>
    <col min="13812" max="13812" width="9.85546875" bestFit="1" customWidth="1"/>
    <col min="13813" max="13813" width="11.28515625" bestFit="1" customWidth="1"/>
    <col min="13814" max="13815" width="9.85546875" bestFit="1" customWidth="1"/>
    <col min="13816" max="13816" width="12" bestFit="1" customWidth="1"/>
    <col min="13817" max="13817" width="1.85546875" customWidth="1"/>
    <col min="13819" max="13819" width="3" customWidth="1"/>
    <col min="14056" max="14056" width="18" customWidth="1"/>
    <col min="14057" max="14057" width="7.85546875" customWidth="1"/>
    <col min="14058" max="14058" width="11.28515625" bestFit="1" customWidth="1"/>
    <col min="14059" max="14059" width="10.5703125" bestFit="1" customWidth="1"/>
    <col min="14060" max="14060" width="10.28515625" customWidth="1"/>
    <col min="14061" max="14061" width="12.5703125" bestFit="1" customWidth="1"/>
    <col min="14062" max="14062" width="10.5703125" bestFit="1" customWidth="1"/>
    <col min="14063" max="14063" width="9.85546875" bestFit="1" customWidth="1"/>
    <col min="14064" max="14064" width="13" bestFit="1" customWidth="1"/>
    <col min="14065" max="14065" width="2.140625" customWidth="1"/>
    <col min="14066" max="14066" width="10.5703125" bestFit="1" customWidth="1"/>
    <col min="14067" max="14067" width="7.85546875" bestFit="1" customWidth="1"/>
    <col min="14068" max="14068" width="9.85546875" bestFit="1" customWidth="1"/>
    <col min="14069" max="14069" width="11.28515625" bestFit="1" customWidth="1"/>
    <col min="14070" max="14071" width="9.85546875" bestFit="1" customWidth="1"/>
    <col min="14072" max="14072" width="12" bestFit="1" customWidth="1"/>
    <col min="14073" max="14073" width="1.85546875" customWidth="1"/>
    <col min="14075" max="14075" width="3" customWidth="1"/>
    <col min="14312" max="14312" width="18" customWidth="1"/>
    <col min="14313" max="14313" width="7.85546875" customWidth="1"/>
    <col min="14314" max="14314" width="11.28515625" bestFit="1" customWidth="1"/>
    <col min="14315" max="14315" width="10.5703125" bestFit="1" customWidth="1"/>
    <col min="14316" max="14316" width="10.28515625" customWidth="1"/>
    <col min="14317" max="14317" width="12.5703125" bestFit="1" customWidth="1"/>
    <col min="14318" max="14318" width="10.5703125" bestFit="1" customWidth="1"/>
    <col min="14319" max="14319" width="9.85546875" bestFit="1" customWidth="1"/>
    <col min="14320" max="14320" width="13" bestFit="1" customWidth="1"/>
    <col min="14321" max="14321" width="2.140625" customWidth="1"/>
    <col min="14322" max="14322" width="10.5703125" bestFit="1" customWidth="1"/>
    <col min="14323" max="14323" width="7.85546875" bestFit="1" customWidth="1"/>
    <col min="14324" max="14324" width="9.85546875" bestFit="1" customWidth="1"/>
    <col min="14325" max="14325" width="11.28515625" bestFit="1" customWidth="1"/>
    <col min="14326" max="14327" width="9.85546875" bestFit="1" customWidth="1"/>
    <col min="14328" max="14328" width="12" bestFit="1" customWidth="1"/>
    <col min="14329" max="14329" width="1.85546875" customWidth="1"/>
    <col min="14331" max="14331" width="3" customWidth="1"/>
    <col min="14568" max="14568" width="18" customWidth="1"/>
    <col min="14569" max="14569" width="7.85546875" customWidth="1"/>
    <col min="14570" max="14570" width="11.28515625" bestFit="1" customWidth="1"/>
    <col min="14571" max="14571" width="10.5703125" bestFit="1" customWidth="1"/>
    <col min="14572" max="14572" width="10.28515625" customWidth="1"/>
    <col min="14573" max="14573" width="12.5703125" bestFit="1" customWidth="1"/>
    <col min="14574" max="14574" width="10.5703125" bestFit="1" customWidth="1"/>
    <col min="14575" max="14575" width="9.85546875" bestFit="1" customWidth="1"/>
    <col min="14576" max="14576" width="13" bestFit="1" customWidth="1"/>
    <col min="14577" max="14577" width="2.140625" customWidth="1"/>
    <col min="14578" max="14578" width="10.5703125" bestFit="1" customWidth="1"/>
    <col min="14579" max="14579" width="7.85546875" bestFit="1" customWidth="1"/>
    <col min="14580" max="14580" width="9.85546875" bestFit="1" customWidth="1"/>
    <col min="14581" max="14581" width="11.28515625" bestFit="1" customWidth="1"/>
    <col min="14582" max="14583" width="9.85546875" bestFit="1" customWidth="1"/>
    <col min="14584" max="14584" width="12" bestFit="1" customWidth="1"/>
    <col min="14585" max="14585" width="1.85546875" customWidth="1"/>
    <col min="14587" max="14587" width="3" customWidth="1"/>
    <col min="14824" max="14824" width="18" customWidth="1"/>
    <col min="14825" max="14825" width="7.85546875" customWidth="1"/>
    <col min="14826" max="14826" width="11.28515625" bestFit="1" customWidth="1"/>
    <col min="14827" max="14827" width="10.5703125" bestFit="1" customWidth="1"/>
    <col min="14828" max="14828" width="10.28515625" customWidth="1"/>
    <col min="14829" max="14829" width="12.5703125" bestFit="1" customWidth="1"/>
    <col min="14830" max="14830" width="10.5703125" bestFit="1" customWidth="1"/>
    <col min="14831" max="14831" width="9.85546875" bestFit="1" customWidth="1"/>
    <col min="14832" max="14832" width="13" bestFit="1" customWidth="1"/>
    <col min="14833" max="14833" width="2.140625" customWidth="1"/>
    <col min="14834" max="14834" width="10.5703125" bestFit="1" customWidth="1"/>
    <col min="14835" max="14835" width="7.85546875" bestFit="1" customWidth="1"/>
    <col min="14836" max="14836" width="9.85546875" bestFit="1" customWidth="1"/>
    <col min="14837" max="14837" width="11.28515625" bestFit="1" customWidth="1"/>
    <col min="14838" max="14839" width="9.85546875" bestFit="1" customWidth="1"/>
    <col min="14840" max="14840" width="12" bestFit="1" customWidth="1"/>
    <col min="14841" max="14841" width="1.85546875" customWidth="1"/>
    <col min="14843" max="14843" width="3" customWidth="1"/>
    <col min="15080" max="15080" width="18" customWidth="1"/>
    <col min="15081" max="15081" width="7.85546875" customWidth="1"/>
    <col min="15082" max="15082" width="11.28515625" bestFit="1" customWidth="1"/>
    <col min="15083" max="15083" width="10.5703125" bestFit="1" customWidth="1"/>
    <col min="15084" max="15084" width="10.28515625" customWidth="1"/>
    <col min="15085" max="15085" width="12.5703125" bestFit="1" customWidth="1"/>
    <col min="15086" max="15086" width="10.5703125" bestFit="1" customWidth="1"/>
    <col min="15087" max="15087" width="9.85546875" bestFit="1" customWidth="1"/>
    <col min="15088" max="15088" width="13" bestFit="1" customWidth="1"/>
    <col min="15089" max="15089" width="2.140625" customWidth="1"/>
    <col min="15090" max="15090" width="10.5703125" bestFit="1" customWidth="1"/>
    <col min="15091" max="15091" width="7.85546875" bestFit="1" customWidth="1"/>
    <col min="15092" max="15092" width="9.85546875" bestFit="1" customWidth="1"/>
    <col min="15093" max="15093" width="11.28515625" bestFit="1" customWidth="1"/>
    <col min="15094" max="15095" width="9.85546875" bestFit="1" customWidth="1"/>
    <col min="15096" max="15096" width="12" bestFit="1" customWidth="1"/>
    <col min="15097" max="15097" width="1.85546875" customWidth="1"/>
    <col min="15099" max="15099" width="3" customWidth="1"/>
    <col min="15336" max="15336" width="18" customWidth="1"/>
    <col min="15337" max="15337" width="7.85546875" customWidth="1"/>
    <col min="15338" max="15338" width="11.28515625" bestFit="1" customWidth="1"/>
    <col min="15339" max="15339" width="10.5703125" bestFit="1" customWidth="1"/>
    <col min="15340" max="15340" width="10.28515625" customWidth="1"/>
    <col min="15341" max="15341" width="12.5703125" bestFit="1" customWidth="1"/>
    <col min="15342" max="15342" width="10.5703125" bestFit="1" customWidth="1"/>
    <col min="15343" max="15343" width="9.85546875" bestFit="1" customWidth="1"/>
    <col min="15344" max="15344" width="13" bestFit="1" customWidth="1"/>
    <col min="15345" max="15345" width="2.140625" customWidth="1"/>
    <col min="15346" max="15346" width="10.5703125" bestFit="1" customWidth="1"/>
    <col min="15347" max="15347" width="7.85546875" bestFit="1" customWidth="1"/>
    <col min="15348" max="15348" width="9.85546875" bestFit="1" customWidth="1"/>
    <col min="15349" max="15349" width="11.28515625" bestFit="1" customWidth="1"/>
    <col min="15350" max="15351" width="9.85546875" bestFit="1" customWidth="1"/>
    <col min="15352" max="15352" width="12" bestFit="1" customWidth="1"/>
    <col min="15353" max="15353" width="1.85546875" customWidth="1"/>
    <col min="15355" max="15355" width="3" customWidth="1"/>
    <col min="15592" max="15592" width="18" customWidth="1"/>
    <col min="15593" max="15593" width="7.85546875" customWidth="1"/>
    <col min="15594" max="15594" width="11.28515625" bestFit="1" customWidth="1"/>
    <col min="15595" max="15595" width="10.5703125" bestFit="1" customWidth="1"/>
    <col min="15596" max="15596" width="10.28515625" customWidth="1"/>
    <col min="15597" max="15597" width="12.5703125" bestFit="1" customWidth="1"/>
    <col min="15598" max="15598" width="10.5703125" bestFit="1" customWidth="1"/>
    <col min="15599" max="15599" width="9.85546875" bestFit="1" customWidth="1"/>
    <col min="15600" max="15600" width="13" bestFit="1" customWidth="1"/>
    <col min="15601" max="15601" width="2.140625" customWidth="1"/>
    <col min="15602" max="15602" width="10.5703125" bestFit="1" customWidth="1"/>
    <col min="15603" max="15603" width="7.85546875" bestFit="1" customWidth="1"/>
    <col min="15604" max="15604" width="9.85546875" bestFit="1" customWidth="1"/>
    <col min="15605" max="15605" width="11.28515625" bestFit="1" customWidth="1"/>
    <col min="15606" max="15607" width="9.85546875" bestFit="1" customWidth="1"/>
    <col min="15608" max="15608" width="12" bestFit="1" customWidth="1"/>
    <col min="15609" max="15609" width="1.85546875" customWidth="1"/>
    <col min="15611" max="15611" width="3" customWidth="1"/>
    <col min="15848" max="15848" width="18" customWidth="1"/>
    <col min="15849" max="15849" width="7.85546875" customWidth="1"/>
    <col min="15850" max="15850" width="11.28515625" bestFit="1" customWidth="1"/>
    <col min="15851" max="15851" width="10.5703125" bestFit="1" customWidth="1"/>
    <col min="15852" max="15852" width="10.28515625" customWidth="1"/>
    <col min="15853" max="15853" width="12.5703125" bestFit="1" customWidth="1"/>
    <col min="15854" max="15854" width="10.5703125" bestFit="1" customWidth="1"/>
    <col min="15855" max="15855" width="9.85546875" bestFit="1" customWidth="1"/>
    <col min="15856" max="15856" width="13" bestFit="1" customWidth="1"/>
    <col min="15857" max="15857" width="2.140625" customWidth="1"/>
    <col min="15858" max="15858" width="10.5703125" bestFit="1" customWidth="1"/>
    <col min="15859" max="15859" width="7.85546875" bestFit="1" customWidth="1"/>
    <col min="15860" max="15860" width="9.85546875" bestFit="1" customWidth="1"/>
    <col min="15861" max="15861" width="11.28515625" bestFit="1" customWidth="1"/>
    <col min="15862" max="15863" width="9.85546875" bestFit="1" customWidth="1"/>
    <col min="15864" max="15864" width="12" bestFit="1" customWidth="1"/>
    <col min="15865" max="15865" width="1.85546875" customWidth="1"/>
    <col min="15867" max="15867" width="3" customWidth="1"/>
    <col min="16104" max="16104" width="18" customWidth="1"/>
    <col min="16105" max="16105" width="7.85546875" customWidth="1"/>
    <col min="16106" max="16106" width="11.28515625" bestFit="1" customWidth="1"/>
    <col min="16107" max="16107" width="10.5703125" bestFit="1" customWidth="1"/>
    <col min="16108" max="16108" width="10.28515625" customWidth="1"/>
    <col min="16109" max="16109" width="12.5703125" bestFit="1" customWidth="1"/>
    <col min="16110" max="16110" width="10.5703125" bestFit="1" customWidth="1"/>
    <col min="16111" max="16111" width="9.85546875" bestFit="1" customWidth="1"/>
    <col min="16112" max="16112" width="13" bestFit="1" customWidth="1"/>
    <col min="16113" max="16113" width="2.140625" customWidth="1"/>
    <col min="16114" max="16114" width="10.5703125" bestFit="1" customWidth="1"/>
    <col min="16115" max="16115" width="7.85546875" bestFit="1" customWidth="1"/>
    <col min="16116" max="16116" width="9.85546875" bestFit="1" customWidth="1"/>
    <col min="16117" max="16117" width="11.28515625" bestFit="1" customWidth="1"/>
    <col min="16118" max="16119" width="9.85546875" bestFit="1" customWidth="1"/>
    <col min="16120" max="16120" width="12" bestFit="1" customWidth="1"/>
    <col min="16121" max="16121" width="1.85546875" customWidth="1"/>
    <col min="16123" max="16123" width="3" customWidth="1"/>
  </cols>
  <sheetData>
    <row r="1" spans="1:11" ht="26.25" x14ac:dyDescent="0.4">
      <c r="A1" s="7" t="s">
        <v>18</v>
      </c>
    </row>
    <row r="2" spans="1:11" ht="15" x14ac:dyDescent="0.25">
      <c r="A2" s="8" t="s">
        <v>19</v>
      </c>
    </row>
    <row r="6" spans="1:11" ht="15" x14ac:dyDescent="0.2">
      <c r="A6" s="104" t="s">
        <v>20</v>
      </c>
      <c r="B6" s="98"/>
      <c r="C6" s="98"/>
      <c r="D6" s="98"/>
      <c r="E6" s="98"/>
      <c r="F6" s="98"/>
      <c r="G6" s="98"/>
    </row>
    <row r="7" spans="1:11" x14ac:dyDescent="0.2">
      <c r="D7" s="9"/>
      <c r="E7" s="2" t="s">
        <v>22</v>
      </c>
      <c r="F7" s="9"/>
      <c r="H7" s="4"/>
      <c r="I7" s="2" t="s">
        <v>23</v>
      </c>
      <c r="J7" s="4"/>
      <c r="K7" s="2" t="s">
        <v>24</v>
      </c>
    </row>
    <row r="8" spans="1:11" x14ac:dyDescent="0.2">
      <c r="B8" s="2" t="s">
        <v>63</v>
      </c>
      <c r="D8" s="2"/>
      <c r="E8" s="2" t="s">
        <v>26</v>
      </c>
      <c r="F8" s="9"/>
      <c r="G8" s="2" t="s">
        <v>27</v>
      </c>
      <c r="H8" s="11" t="s">
        <v>28</v>
      </c>
      <c r="I8" s="11" t="s">
        <v>29</v>
      </c>
      <c r="J8" s="4"/>
      <c r="K8" s="11" t="s">
        <v>30</v>
      </c>
    </row>
    <row r="9" spans="1:11" x14ac:dyDescent="0.2">
      <c r="B9" s="10" t="s">
        <v>64</v>
      </c>
      <c r="C9" s="12" t="s">
        <v>31</v>
      </c>
      <c r="D9" s="10" t="s">
        <v>0</v>
      </c>
      <c r="E9" s="10" t="s">
        <v>32</v>
      </c>
      <c r="F9" s="10" t="s">
        <v>7</v>
      </c>
      <c r="G9" s="10" t="s">
        <v>33</v>
      </c>
      <c r="H9" s="13" t="s">
        <v>33</v>
      </c>
      <c r="I9" s="13" t="s">
        <v>34</v>
      </c>
      <c r="K9" s="13" t="s">
        <v>33</v>
      </c>
    </row>
    <row r="10" spans="1:11" x14ac:dyDescent="0.2">
      <c r="A10" s="14"/>
      <c r="B10" s="3"/>
    </row>
    <row r="11" spans="1:11" x14ac:dyDescent="0.2">
      <c r="A11" s="15" t="s">
        <v>140</v>
      </c>
      <c r="B11" s="45" t="s">
        <v>62</v>
      </c>
      <c r="C11" s="16">
        <f>+'Customer Counts'!B9</f>
        <v>41047</v>
      </c>
      <c r="D11" s="17">
        <f>+'Reg. Res''l - SS Mix &amp; Prices'!B27</f>
        <v>927.42006453172655</v>
      </c>
      <c r="E11" s="18">
        <f t="shared" ref="E11:E12" si="0">+F11/D11</f>
        <v>107.45145200000002</v>
      </c>
      <c r="F11" s="19">
        <f>+'Reg. Res''l - SS Mix &amp; Prices'!B60</f>
        <v>99652.632547867732</v>
      </c>
      <c r="G11" s="18">
        <f t="shared" ref="G11:G23" si="1">+F11/C11</f>
        <v>2.4277689611388831</v>
      </c>
      <c r="H11" s="18">
        <v>1.7</v>
      </c>
      <c r="I11" s="20">
        <f t="shared" ref="I11:I22" si="2">+H11*C11</f>
        <v>69779.899999999994</v>
      </c>
      <c r="K11" s="21">
        <f t="shared" ref="K11:K23" si="3">+D11*2000/C11</f>
        <v>45.188202038235509</v>
      </c>
    </row>
    <row r="12" spans="1:11" x14ac:dyDescent="0.2">
      <c r="A12" s="15" t="s">
        <v>36</v>
      </c>
      <c r="B12" s="3" t="s">
        <v>62</v>
      </c>
      <c r="C12" s="16">
        <f>+'Customer Counts'!B10</f>
        <v>40892</v>
      </c>
      <c r="D12" s="17">
        <f>+'Reg. Res''l - SS Mix &amp; Prices'!B28</f>
        <v>975.50822050947909</v>
      </c>
      <c r="E12" s="18">
        <f t="shared" si="0"/>
        <v>107.75312099999999</v>
      </c>
      <c r="F12" s="19">
        <f>+'Reg. Res''l - SS Mix &amp; Prices'!B61</f>
        <v>105114.05532105257</v>
      </c>
      <c r="G12" s="18">
        <f t="shared" ref="G12" si="4">+F12/C12</f>
        <v>2.5705285953500092</v>
      </c>
      <c r="H12" s="18">
        <f>+H11</f>
        <v>1.7</v>
      </c>
      <c r="I12" s="20">
        <f t="shared" ref="I12" si="5">+H12*C12</f>
        <v>69516.399999999994</v>
      </c>
      <c r="K12" s="21">
        <f t="shared" si="3"/>
        <v>47.711445784480048</v>
      </c>
    </row>
    <row r="13" spans="1:11" x14ac:dyDescent="0.2">
      <c r="A13" s="15" t="s">
        <v>37</v>
      </c>
      <c r="B13" s="3" t="s">
        <v>62</v>
      </c>
      <c r="C13" s="16">
        <f>+'Customer Counts'!B11</f>
        <v>41027</v>
      </c>
      <c r="D13" s="17">
        <f>+'Reg. Res''l - SS Mix &amp; Prices'!B29</f>
        <v>798.13708864760315</v>
      </c>
      <c r="E13" s="18">
        <f t="shared" ref="E13:E22" si="6">+F13/D13</f>
        <v>131.636695</v>
      </c>
      <c r="F13" s="19">
        <f>+'Reg. Res''l - SS Mix &amp; Prices'!B62</f>
        <v>105064.1285064925</v>
      </c>
      <c r="G13" s="18">
        <f t="shared" si="1"/>
        <v>2.560853304080057</v>
      </c>
      <c r="H13" s="18">
        <v>2.2400000000000002</v>
      </c>
      <c r="I13" s="20">
        <f t="shared" si="2"/>
        <v>91900.48000000001</v>
      </c>
      <c r="K13" s="21">
        <f t="shared" si="3"/>
        <v>38.907894247573701</v>
      </c>
    </row>
    <row r="14" spans="1:11" x14ac:dyDescent="0.2">
      <c r="A14" s="15" t="s">
        <v>38</v>
      </c>
      <c r="B14" s="3" t="s">
        <v>62</v>
      </c>
      <c r="C14" s="16">
        <f>+'Customer Counts'!B12</f>
        <v>41189</v>
      </c>
      <c r="D14" s="17">
        <f>+'Reg. Res''l - SS Mix &amp; Prices'!B30</f>
        <v>960.45780022259339</v>
      </c>
      <c r="E14" s="18">
        <f t="shared" si="6"/>
        <v>104.61109399999997</v>
      </c>
      <c r="F14" s="19">
        <f>+'Reg. Res''l - SS Mix &amp; Prices'!B63</f>
        <v>100474.5412221189</v>
      </c>
      <c r="G14" s="18">
        <f t="shared" si="1"/>
        <v>2.4393537406132437</v>
      </c>
      <c r="H14" s="18">
        <f>+H13</f>
        <v>2.2400000000000002</v>
      </c>
      <c r="I14" s="20">
        <f t="shared" si="2"/>
        <v>92263.360000000015</v>
      </c>
      <c r="K14" s="21">
        <f t="shared" si="3"/>
        <v>46.636616583194218</v>
      </c>
    </row>
    <row r="15" spans="1:11" x14ac:dyDescent="0.2">
      <c r="A15" s="15" t="s">
        <v>141</v>
      </c>
      <c r="B15" s="3" t="s">
        <v>62</v>
      </c>
      <c r="C15" s="16">
        <f>+'Customer Counts'!B13</f>
        <v>41276</v>
      </c>
      <c r="D15" s="17">
        <f>+'Reg. Res''l - SS Mix &amp; Prices'!B31</f>
        <v>908.64581235872208</v>
      </c>
      <c r="E15" s="18">
        <f t="shared" si="6"/>
        <v>104.44040200000002</v>
      </c>
      <c r="F15" s="19">
        <f>+'Reg. Res''l - SS Mix &amp; Prices'!B64</f>
        <v>94899.333918361517</v>
      </c>
      <c r="G15" s="18">
        <f t="shared" si="1"/>
        <v>2.2991407577856751</v>
      </c>
      <c r="H15" s="18">
        <f t="shared" ref="H15:H22" si="7">+H14</f>
        <v>2.2400000000000002</v>
      </c>
      <c r="I15" s="20">
        <f t="shared" si="2"/>
        <v>92458.240000000005</v>
      </c>
      <c r="K15" s="21">
        <f t="shared" si="3"/>
        <v>44.027803680527285</v>
      </c>
    </row>
    <row r="16" spans="1:11" x14ac:dyDescent="0.2">
      <c r="A16" s="15" t="s">
        <v>39</v>
      </c>
      <c r="B16" s="3" t="s">
        <v>62</v>
      </c>
      <c r="C16" s="16">
        <f>+'Customer Counts'!B14</f>
        <v>41285</v>
      </c>
      <c r="D16" s="17">
        <f>+'Reg. Res''l - SS Mix &amp; Prices'!B32</f>
        <v>818.39325818800501</v>
      </c>
      <c r="E16" s="18">
        <f t="shared" si="6"/>
        <v>90.991361999999981</v>
      </c>
      <c r="F16" s="19">
        <f>+'Reg. Res''l - SS Mix &amp; Prices'!B65</f>
        <v>74466.717214144213</v>
      </c>
      <c r="G16" s="18">
        <f t="shared" si="1"/>
        <v>1.8037233187391113</v>
      </c>
      <c r="H16" s="18">
        <f t="shared" si="7"/>
        <v>2.2400000000000002</v>
      </c>
      <c r="I16" s="20">
        <f t="shared" si="2"/>
        <v>92478.400000000009</v>
      </c>
      <c r="K16" s="21">
        <f t="shared" si="3"/>
        <v>39.646034065060192</v>
      </c>
    </row>
    <row r="17" spans="1:14" x14ac:dyDescent="0.2">
      <c r="A17" s="15" t="s">
        <v>40</v>
      </c>
      <c r="B17" s="3" t="s">
        <v>62</v>
      </c>
      <c r="C17" s="16">
        <f>+'Customer Counts'!B15</f>
        <v>41530</v>
      </c>
      <c r="D17" s="17">
        <f>+'Reg. Res''l - SS Mix &amp; Prices'!B33</f>
        <v>888.58366033088555</v>
      </c>
      <c r="E17" s="18">
        <f t="shared" si="6"/>
        <v>84.310904999999977</v>
      </c>
      <c r="F17" s="19">
        <f>+'Reg. Res''l - SS Mix &amp; Prices'!B66</f>
        <v>74917.292570709542</v>
      </c>
      <c r="G17" s="18">
        <f t="shared" si="1"/>
        <v>1.8039319183893461</v>
      </c>
      <c r="H17" s="18">
        <f t="shared" si="7"/>
        <v>2.2400000000000002</v>
      </c>
      <c r="I17" s="20">
        <f t="shared" si="2"/>
        <v>93027.200000000012</v>
      </c>
      <c r="K17" s="21">
        <f t="shared" si="3"/>
        <v>42.792374684848809</v>
      </c>
    </row>
    <row r="18" spans="1:14" x14ac:dyDescent="0.2">
      <c r="A18" s="15" t="s">
        <v>41</v>
      </c>
      <c r="B18" s="3" t="s">
        <v>62</v>
      </c>
      <c r="C18" s="16">
        <f>+'Customer Counts'!B16</f>
        <v>41652</v>
      </c>
      <c r="D18" s="17">
        <f>+'Reg. Res''l - SS Mix &amp; Prices'!B34</f>
        <v>893.92172189470978</v>
      </c>
      <c r="E18" s="18">
        <f t="shared" si="6"/>
        <v>82.683149</v>
      </c>
      <c r="F18" s="19">
        <f>+'Reg. Res''l - SS Mix &amp; Prices'!B67</f>
        <v>73912.262925756848</v>
      </c>
      <c r="G18" s="18">
        <f t="shared" si="1"/>
        <v>1.7745189408853559</v>
      </c>
      <c r="H18" s="18">
        <f t="shared" si="7"/>
        <v>2.2400000000000002</v>
      </c>
      <c r="I18" s="20">
        <f t="shared" si="2"/>
        <v>93300.48000000001</v>
      </c>
      <c r="K18" s="21">
        <f t="shared" si="3"/>
        <v>42.923351670734164</v>
      </c>
    </row>
    <row r="19" spans="1:14" x14ac:dyDescent="0.2">
      <c r="A19" s="15" t="s">
        <v>10</v>
      </c>
      <c r="B19" s="3" t="s">
        <v>62</v>
      </c>
      <c r="C19" s="16">
        <f>+'Customer Counts'!B17</f>
        <v>41772</v>
      </c>
      <c r="D19" s="17">
        <f>+'Reg. Res''l - SS Mix &amp; Prices'!B35</f>
        <v>855.59886120265628</v>
      </c>
      <c r="E19" s="18">
        <f t="shared" si="6"/>
        <v>90.403323999999984</v>
      </c>
      <c r="F19" s="19">
        <f>+'Reg. Res''l - SS Mix &amp; Prices'!B68</f>
        <v>77348.981063334752</v>
      </c>
      <c r="G19" s="18">
        <f t="shared" si="1"/>
        <v>1.8516944619202995</v>
      </c>
      <c r="H19" s="18">
        <f t="shared" si="7"/>
        <v>2.2400000000000002</v>
      </c>
      <c r="I19" s="20">
        <f t="shared" si="2"/>
        <v>93569.280000000013</v>
      </c>
      <c r="K19" s="21">
        <f t="shared" si="3"/>
        <v>40.965185349164813</v>
      </c>
    </row>
    <row r="20" spans="1:14" x14ac:dyDescent="0.2">
      <c r="A20" s="15" t="s">
        <v>42</v>
      </c>
      <c r="B20" s="3" t="s">
        <v>62</v>
      </c>
      <c r="C20" s="16">
        <f>+'Customer Counts'!B18</f>
        <v>41896</v>
      </c>
      <c r="D20" s="17">
        <f>+'Reg. Res''l - SS Mix &amp; Prices'!B36</f>
        <v>911.07016826659867</v>
      </c>
      <c r="E20" s="18">
        <f t="shared" si="6"/>
        <v>100.049915</v>
      </c>
      <c r="F20" s="19">
        <f>+'Reg. Res''l - SS Mix &amp; Prices'!B69</f>
        <v>91152.492894108887</v>
      </c>
      <c r="G20" s="18">
        <f t="shared" si="1"/>
        <v>2.1756848599892327</v>
      </c>
      <c r="H20" s="18">
        <f t="shared" si="7"/>
        <v>2.2400000000000002</v>
      </c>
      <c r="I20" s="20">
        <f t="shared" si="2"/>
        <v>93847.040000000008</v>
      </c>
      <c r="K20" s="21">
        <f t="shared" si="3"/>
        <v>43.491988173887663</v>
      </c>
    </row>
    <row r="21" spans="1:14" x14ac:dyDescent="0.2">
      <c r="A21" s="15" t="s">
        <v>43</v>
      </c>
      <c r="B21" s="3" t="s">
        <v>62</v>
      </c>
      <c r="C21" s="16">
        <f>+'Customer Counts'!B19</f>
        <v>42054</v>
      </c>
      <c r="D21" s="17">
        <f>+'Reg. Res''l - SS Mix &amp; Prices'!B37</f>
        <v>921.4491187544337</v>
      </c>
      <c r="E21" s="18">
        <f t="shared" si="6"/>
        <v>102.96661900000001</v>
      </c>
      <c r="F21" s="19">
        <f>+'Reg. Res''l - SS Mix &amp; Prices'!B70</f>
        <v>94878.500338673533</v>
      </c>
      <c r="G21" s="18">
        <f t="shared" si="1"/>
        <v>2.2561111984275821</v>
      </c>
      <c r="H21" s="18">
        <f t="shared" si="7"/>
        <v>2.2400000000000002</v>
      </c>
      <c r="I21" s="20">
        <f t="shared" si="2"/>
        <v>94200.960000000006</v>
      </c>
      <c r="K21" s="21">
        <f t="shared" si="3"/>
        <v>43.82218665308573</v>
      </c>
    </row>
    <row r="22" spans="1:14" ht="15" x14ac:dyDescent="0.35">
      <c r="A22" s="15" t="s">
        <v>44</v>
      </c>
      <c r="B22" s="3" t="s">
        <v>62</v>
      </c>
      <c r="C22" s="23">
        <f>+'Customer Counts'!B20</f>
        <v>42170</v>
      </c>
      <c r="D22" s="24">
        <f>+'Reg. Res''l - SS Mix &amp; Prices'!B38</f>
        <v>794.16137314919945</v>
      </c>
      <c r="E22" s="25">
        <f t="shared" si="6"/>
        <v>82.285828000000009</v>
      </c>
      <c r="F22" s="26">
        <f>+'Reg. Res''l - SS Mix &amp; Prices'!B71</f>
        <v>65348.226155198856</v>
      </c>
      <c r="G22" s="25">
        <f t="shared" si="1"/>
        <v>1.5496378030637623</v>
      </c>
      <c r="H22" s="25">
        <f t="shared" si="7"/>
        <v>2.2400000000000002</v>
      </c>
      <c r="I22" s="27">
        <f t="shared" si="2"/>
        <v>94460.800000000003</v>
      </c>
      <c r="K22" s="28">
        <f t="shared" si="3"/>
        <v>37.664755662755482</v>
      </c>
    </row>
    <row r="23" spans="1:14" ht="15" x14ac:dyDescent="0.35">
      <c r="A23" s="11" t="s">
        <v>45</v>
      </c>
      <c r="B23" s="44"/>
      <c r="C23" s="30">
        <f>SUM(C11:C22)</f>
        <v>497790</v>
      </c>
      <c r="D23" s="31">
        <f>SUM(D11:D22)</f>
        <v>10653.347148056613</v>
      </c>
      <c r="E23" s="32">
        <f>+F23/D23</f>
        <v>99.239154604164014</v>
      </c>
      <c r="F23" s="33">
        <f>SUM(F11:F22)</f>
        <v>1057229.1646778199</v>
      </c>
      <c r="G23" s="34">
        <f t="shared" si="1"/>
        <v>2.1238457274710618</v>
      </c>
      <c r="H23" s="34">
        <f>+I23/C23</f>
        <v>2.1511129994576028</v>
      </c>
      <c r="I23" s="33">
        <f>SUM(I11:I22)</f>
        <v>1070802.54</v>
      </c>
      <c r="J23" s="35"/>
      <c r="K23" s="36">
        <f t="shared" si="3"/>
        <v>42.802575978049433</v>
      </c>
      <c r="N23" s="17"/>
    </row>
    <row r="24" spans="1:14" x14ac:dyDescent="0.2">
      <c r="B24" s="15"/>
      <c r="E24" s="15"/>
      <c r="F24" s="15"/>
    </row>
    <row r="25" spans="1:14" x14ac:dyDescent="0.2">
      <c r="B25" s="15"/>
      <c r="E25" s="15"/>
      <c r="F25" s="15"/>
    </row>
    <row r="26" spans="1:14" x14ac:dyDescent="0.2">
      <c r="B26" s="15"/>
      <c r="E26" s="15"/>
      <c r="F26" s="15"/>
    </row>
    <row r="27" spans="1:14" ht="15" x14ac:dyDescent="0.2">
      <c r="A27" s="104" t="s">
        <v>21</v>
      </c>
      <c r="B27" s="103"/>
      <c r="C27" s="103"/>
      <c r="D27" s="103"/>
      <c r="E27" s="103"/>
      <c r="F27" s="103"/>
      <c r="G27" s="103"/>
    </row>
    <row r="28" spans="1:14" x14ac:dyDescent="0.2">
      <c r="C28" s="10"/>
      <c r="D28" s="10"/>
      <c r="E28" s="2" t="s">
        <v>22</v>
      </c>
      <c r="H28" s="4"/>
      <c r="I28" s="2" t="s">
        <v>23</v>
      </c>
      <c r="K28" s="2" t="s">
        <v>25</v>
      </c>
    </row>
    <row r="29" spans="1:14" x14ac:dyDescent="0.2">
      <c r="B29" s="2" t="s">
        <v>63</v>
      </c>
      <c r="C29" s="10"/>
      <c r="D29" s="2"/>
      <c r="E29" s="2" t="s">
        <v>26</v>
      </c>
      <c r="G29" s="2" t="s">
        <v>27</v>
      </c>
      <c r="H29" s="11" t="s">
        <v>28</v>
      </c>
      <c r="I29" s="11" t="s">
        <v>29</v>
      </c>
      <c r="K29" s="11" t="s">
        <v>30</v>
      </c>
    </row>
    <row r="30" spans="1:14" x14ac:dyDescent="0.2">
      <c r="B30" s="10" t="s">
        <v>64</v>
      </c>
      <c r="C30" s="12" t="s">
        <v>31</v>
      </c>
      <c r="D30" s="10" t="s">
        <v>0</v>
      </c>
      <c r="E30" s="10" t="s">
        <v>32</v>
      </c>
      <c r="F30" s="10" t="s">
        <v>7</v>
      </c>
      <c r="G30" s="10" t="s">
        <v>33</v>
      </c>
      <c r="H30" s="13" t="s">
        <v>33</v>
      </c>
      <c r="I30" s="13" t="s">
        <v>34</v>
      </c>
      <c r="K30" s="13" t="s">
        <v>35</v>
      </c>
    </row>
    <row r="31" spans="1:14" x14ac:dyDescent="0.2">
      <c r="A31" s="14"/>
      <c r="B31" s="3"/>
    </row>
    <row r="32" spans="1:14" x14ac:dyDescent="0.2">
      <c r="A32" s="15" t="s">
        <v>140</v>
      </c>
      <c r="B32" s="45" t="s">
        <v>62</v>
      </c>
      <c r="C32" s="16">
        <f>+'Customer Counts'!G9</f>
        <v>6451</v>
      </c>
      <c r="D32" s="17">
        <f>+'Reg. MF - SS Mix &amp; Prices'!B27</f>
        <v>19.579996094621734</v>
      </c>
      <c r="E32" s="18">
        <f>+F32/D32</f>
        <v>107.45145200000003</v>
      </c>
      <c r="F32" s="19">
        <f>+'Reg. MF - SS Mix &amp; Prices'!B60</f>
        <v>2103.8990105214352</v>
      </c>
      <c r="G32" s="18">
        <f t="shared" ref="G32:G44" si="8">+F32/C32</f>
        <v>0.32613532948712376</v>
      </c>
      <c r="H32" s="18">
        <v>0.32</v>
      </c>
      <c r="I32" s="20">
        <f>+H32*C32</f>
        <v>2064.3200000000002</v>
      </c>
      <c r="K32" s="21">
        <f t="shared" ref="K32:K44" si="9">+D32*2000/C32</f>
        <v>6.0703754750028622</v>
      </c>
    </row>
    <row r="33" spans="1:14" x14ac:dyDescent="0.2">
      <c r="A33" s="15" t="s">
        <v>36</v>
      </c>
      <c r="B33" s="3" t="s">
        <v>62</v>
      </c>
      <c r="C33" s="16">
        <f>+'Customer Counts'!G10</f>
        <v>6451</v>
      </c>
      <c r="D33" s="17">
        <f>+'Reg. MF - SS Mix &amp; Prices'!B28</f>
        <v>20.757926984099761</v>
      </c>
      <c r="E33" s="18">
        <f t="shared" ref="E33:E43" si="10">+F33/D33</f>
        <v>107.75312099999998</v>
      </c>
      <c r="F33" s="19">
        <f>+'Reg. MF - SS Mix &amp; Prices'!B61</f>
        <v>2236.7314180268663</v>
      </c>
      <c r="G33" s="18">
        <f t="shared" si="8"/>
        <v>0.34672630879349964</v>
      </c>
      <c r="H33" s="18">
        <f>+H32</f>
        <v>0.32</v>
      </c>
      <c r="I33" s="20">
        <f t="shared" ref="I33:I43" si="11">+H33*C33</f>
        <v>2064.3200000000002</v>
      </c>
      <c r="K33" s="21">
        <f t="shared" si="9"/>
        <v>6.4355687441016158</v>
      </c>
    </row>
    <row r="34" spans="1:14" x14ac:dyDescent="0.2">
      <c r="A34" s="15" t="s">
        <v>37</v>
      </c>
      <c r="B34" s="3" t="s">
        <v>62</v>
      </c>
      <c r="C34" s="16">
        <f>+'Customer Counts'!G11</f>
        <v>6451</v>
      </c>
      <c r="D34" s="17">
        <f>+'Reg. MF - SS Mix &amp; Prices'!B29</f>
        <v>24.508190049455248</v>
      </c>
      <c r="E34" s="18">
        <f t="shared" si="10"/>
        <v>131.63669499999997</v>
      </c>
      <c r="F34" s="19">
        <f>+'Reg. MF - SS Mix &amp; Prices'!B62</f>
        <v>3226.1771385421748</v>
      </c>
      <c r="G34" s="18">
        <f t="shared" si="8"/>
        <v>0.50010496644584945</v>
      </c>
      <c r="H34" s="22">
        <v>0.41</v>
      </c>
      <c r="I34" s="20">
        <f t="shared" si="11"/>
        <v>2644.91</v>
      </c>
      <c r="K34" s="21">
        <f t="shared" si="9"/>
        <v>7.5982607501023862</v>
      </c>
    </row>
    <row r="35" spans="1:14" x14ac:dyDescent="0.2">
      <c r="A35" s="15" t="s">
        <v>38</v>
      </c>
      <c r="B35" s="3" t="s">
        <v>62</v>
      </c>
      <c r="C35" s="16">
        <f>+'Customer Counts'!G12</f>
        <v>6451</v>
      </c>
      <c r="D35" s="17">
        <f>+'Reg. MF - SS Mix &amp; Prices'!B30</f>
        <v>26.313284362826931</v>
      </c>
      <c r="E35" s="18">
        <f t="shared" si="10"/>
        <v>104.61109399999998</v>
      </c>
      <c r="F35" s="19">
        <f>+'Reg. MF - SS Mix &amp; Prices'!B63</f>
        <v>2752.6614639284176</v>
      </c>
      <c r="G35" s="18">
        <f t="shared" si="8"/>
        <v>0.4267030636999562</v>
      </c>
      <c r="H35" s="18">
        <f>+H34</f>
        <v>0.41</v>
      </c>
      <c r="I35" s="20">
        <f t="shared" si="11"/>
        <v>2644.91</v>
      </c>
      <c r="K35" s="21">
        <f t="shared" si="9"/>
        <v>8.1578931523258191</v>
      </c>
    </row>
    <row r="36" spans="1:14" x14ac:dyDescent="0.2">
      <c r="A36" s="15" t="s">
        <v>141</v>
      </c>
      <c r="B36" s="3" t="s">
        <v>62</v>
      </c>
      <c r="C36" s="16">
        <f>+'Customer Counts'!G13</f>
        <v>6451</v>
      </c>
      <c r="D36" s="17">
        <f>+'Reg. MF - SS Mix &amp; Prices'!B31</f>
        <v>28.942097089865587</v>
      </c>
      <c r="E36" s="18">
        <f t="shared" si="10"/>
        <v>104.44040200000001</v>
      </c>
      <c r="F36" s="19">
        <f>+'Reg. MF - SS Mix &amp; Prices'!B64</f>
        <v>3022.7242547885921</v>
      </c>
      <c r="G36" s="18">
        <f t="shared" si="8"/>
        <v>0.46856677333569868</v>
      </c>
      <c r="H36" s="18">
        <f t="shared" ref="H36:H43" si="12">+H35</f>
        <v>0.41</v>
      </c>
      <c r="I36" s="20">
        <f t="shared" si="11"/>
        <v>2644.91</v>
      </c>
      <c r="K36" s="21">
        <f t="shared" si="9"/>
        <v>8.9729025235980746</v>
      </c>
    </row>
    <row r="37" spans="1:14" x14ac:dyDescent="0.2">
      <c r="A37" s="15" t="s">
        <v>39</v>
      </c>
      <c r="B37" s="3" t="s">
        <v>62</v>
      </c>
      <c r="C37" s="16">
        <f>+'Customer Counts'!G14</f>
        <v>6451</v>
      </c>
      <c r="D37" s="17">
        <f>+'Reg. MF - SS Mix &amp; Prices'!B32</f>
        <v>27.425095703955769</v>
      </c>
      <c r="E37" s="18">
        <f t="shared" si="10"/>
        <v>90.991361999999995</v>
      </c>
      <c r="F37" s="19">
        <f>+'Reg. MF - SS Mix &amp; Prices'!B65</f>
        <v>2495.446811083284</v>
      </c>
      <c r="G37" s="18">
        <f t="shared" si="8"/>
        <v>0.38683100466335202</v>
      </c>
      <c r="H37" s="18">
        <f t="shared" si="12"/>
        <v>0.41</v>
      </c>
      <c r="I37" s="20">
        <f t="shared" si="11"/>
        <v>2644.91</v>
      </c>
      <c r="K37" s="21">
        <f t="shared" si="9"/>
        <v>8.5025874140306215</v>
      </c>
    </row>
    <row r="38" spans="1:14" x14ac:dyDescent="0.2">
      <c r="A38" s="15" t="s">
        <v>40</v>
      </c>
      <c r="B38" s="3" t="s">
        <v>62</v>
      </c>
      <c r="C38" s="16">
        <f>+'Customer Counts'!G15</f>
        <v>6451</v>
      </c>
      <c r="D38" s="17">
        <f>+'Reg. MF - SS Mix &amp; Prices'!B33</f>
        <v>27.057604750547483</v>
      </c>
      <c r="E38" s="18">
        <f t="shared" si="10"/>
        <v>84.310904999999991</v>
      </c>
      <c r="F38" s="19">
        <f>+'Reg. MF - SS Mix &amp; Prices'!B66</f>
        <v>2281.2511436509571</v>
      </c>
      <c r="G38" s="18">
        <f t="shared" si="8"/>
        <v>0.35362752188047702</v>
      </c>
      <c r="H38" s="18">
        <f t="shared" si="12"/>
        <v>0.41</v>
      </c>
      <c r="I38" s="20">
        <f t="shared" si="11"/>
        <v>2644.91</v>
      </c>
      <c r="K38" s="21">
        <f t="shared" si="9"/>
        <v>8.3886543948372285</v>
      </c>
    </row>
    <row r="39" spans="1:14" x14ac:dyDescent="0.2">
      <c r="A39" s="15" t="s">
        <v>41</v>
      </c>
      <c r="B39" s="3" t="s">
        <v>62</v>
      </c>
      <c r="C39" s="16">
        <f>+'Customer Counts'!G16</f>
        <v>6451</v>
      </c>
      <c r="D39" s="17">
        <f>+'Reg. MF - SS Mix &amp; Prices'!B34</f>
        <v>20.141291319155187</v>
      </c>
      <c r="E39" s="18">
        <f t="shared" si="10"/>
        <v>82.683149000000014</v>
      </c>
      <c r="F39" s="19">
        <f>+'Reg. MF - SS Mix &amp; Prices'!B67</f>
        <v>1665.3453911941151</v>
      </c>
      <c r="G39" s="18">
        <f t="shared" si="8"/>
        <v>0.25815306017580453</v>
      </c>
      <c r="H39" s="18">
        <f t="shared" si="12"/>
        <v>0.41</v>
      </c>
      <c r="I39" s="20">
        <f t="shared" si="11"/>
        <v>2644.91</v>
      </c>
      <c r="K39" s="21">
        <f t="shared" si="9"/>
        <v>6.2443935263231083</v>
      </c>
    </row>
    <row r="40" spans="1:14" x14ac:dyDescent="0.2">
      <c r="A40" s="15" t="s">
        <v>10</v>
      </c>
      <c r="B40" s="3" t="s">
        <v>62</v>
      </c>
      <c r="C40" s="16">
        <f>+'Customer Counts'!G17</f>
        <v>6595</v>
      </c>
      <c r="D40" s="17">
        <f>+'Reg. MF - SS Mix &amp; Prices'!B35</f>
        <v>25.362228338096191</v>
      </c>
      <c r="E40" s="18">
        <f>+E19</f>
        <v>90.403323999999984</v>
      </c>
      <c r="F40" s="19">
        <f>+E40*D40</f>
        <v>2292.8297458108909</v>
      </c>
      <c r="G40" s="18">
        <f t="shared" si="8"/>
        <v>0.34766182650657934</v>
      </c>
      <c r="H40" s="18">
        <f t="shared" si="12"/>
        <v>0.41</v>
      </c>
      <c r="I40" s="20">
        <f t="shared" si="11"/>
        <v>2703.95</v>
      </c>
      <c r="K40" s="21">
        <f t="shared" si="9"/>
        <v>7.6913505195136294</v>
      </c>
    </row>
    <row r="41" spans="1:14" x14ac:dyDescent="0.2">
      <c r="A41" s="15" t="s">
        <v>42</v>
      </c>
      <c r="B41" s="3" t="s">
        <v>62</v>
      </c>
      <c r="C41" s="16">
        <f>+'Customer Counts'!G18</f>
        <v>6444</v>
      </c>
      <c r="D41" s="17">
        <f>+'Reg. MF - SS Mix &amp; Prices'!B36</f>
        <v>27.701793627039443</v>
      </c>
      <c r="E41" s="18">
        <f>+E20</f>
        <v>100.049915</v>
      </c>
      <c r="F41" s="19">
        <f>+E41*D41</f>
        <v>2771.5620977328381</v>
      </c>
      <c r="G41" s="18">
        <f t="shared" si="8"/>
        <v>0.43009964272700779</v>
      </c>
      <c r="H41" s="18">
        <f t="shared" si="12"/>
        <v>0.41</v>
      </c>
      <c r="I41" s="20">
        <f t="shared" si="11"/>
        <v>2642.04</v>
      </c>
      <c r="K41" s="21">
        <f t="shared" si="9"/>
        <v>8.5977013119303045</v>
      </c>
    </row>
    <row r="42" spans="1:14" x14ac:dyDescent="0.2">
      <c r="A42" s="15" t="s">
        <v>43</v>
      </c>
      <c r="B42" s="3" t="s">
        <v>62</v>
      </c>
      <c r="C42" s="16">
        <f>+'Customer Counts'!G19</f>
        <v>6397</v>
      </c>
      <c r="D42" s="17">
        <f>+'Reg. MF - SS Mix &amp; Prices'!B37</f>
        <v>29.319009439967985</v>
      </c>
      <c r="E42" s="18">
        <f>+E21</f>
        <v>102.96661900000001</v>
      </c>
      <c r="F42" s="19">
        <f>+E42*D42</f>
        <v>3018.8792744625871</v>
      </c>
      <c r="G42" s="18">
        <f t="shared" si="8"/>
        <v>0.47192109965024026</v>
      </c>
      <c r="H42" s="18">
        <f t="shared" si="12"/>
        <v>0.41</v>
      </c>
      <c r="I42" s="20">
        <f t="shared" si="11"/>
        <v>2622.77</v>
      </c>
      <c r="K42" s="21">
        <f t="shared" si="9"/>
        <v>9.1664872408841589</v>
      </c>
    </row>
    <row r="43" spans="1:14" ht="15" x14ac:dyDescent="0.35">
      <c r="A43" s="15" t="s">
        <v>44</v>
      </c>
      <c r="B43" s="3" t="s">
        <v>62</v>
      </c>
      <c r="C43" s="23">
        <f>+'Customer Counts'!G20</f>
        <v>6396</v>
      </c>
      <c r="D43" s="24">
        <f>+'Reg. MF - SS Mix &amp; Prices'!B38</f>
        <v>26.832979551876107</v>
      </c>
      <c r="E43" s="25">
        <f t="shared" si="10"/>
        <v>82.285827999999995</v>
      </c>
      <c r="F43" s="26">
        <f>+'Reg. MF - SS Mix &amp; Prices'!B71</f>
        <v>2207.9739401331944</v>
      </c>
      <c r="G43" s="25">
        <f t="shared" si="8"/>
        <v>0.34521168544921738</v>
      </c>
      <c r="H43" s="25">
        <f t="shared" si="12"/>
        <v>0.41</v>
      </c>
      <c r="I43" s="27">
        <f t="shared" si="11"/>
        <v>2622.3599999999997</v>
      </c>
      <c r="K43" s="28">
        <f t="shared" si="9"/>
        <v>8.3905502038386821</v>
      </c>
      <c r="L43" s="29"/>
    </row>
    <row r="44" spans="1:14" ht="15" x14ac:dyDescent="0.35">
      <c r="A44" s="11" t="s">
        <v>45</v>
      </c>
      <c r="B44" s="44"/>
      <c r="C44" s="30">
        <f>SUM(C32:C43)</f>
        <v>77440</v>
      </c>
      <c r="D44" s="31">
        <f>SUM(D32:D43)</f>
        <v>303.94149731150748</v>
      </c>
      <c r="E44" s="32">
        <f>AVERAGE(E32:E43)</f>
        <v>99.131988833333324</v>
      </c>
      <c r="F44" s="33">
        <f>SUM(F32:F43)</f>
        <v>30075.481689875349</v>
      </c>
      <c r="G44" s="34">
        <f t="shared" si="8"/>
        <v>0.38837140611925813</v>
      </c>
      <c r="H44" s="34">
        <f>+I44/C44</f>
        <v>0.39500542355371904</v>
      </c>
      <c r="I44" s="33">
        <f>SUM(I32:I43)</f>
        <v>30589.22</v>
      </c>
      <c r="K44" s="36">
        <f t="shared" si="9"/>
        <v>7.8497287528798418</v>
      </c>
      <c r="L44" s="37"/>
      <c r="N44" s="17"/>
    </row>
    <row r="45" spans="1:14" x14ac:dyDescent="0.2">
      <c r="A45" s="15"/>
      <c r="B45" s="15"/>
    </row>
    <row r="46" spans="1:14" x14ac:dyDescent="0.2">
      <c r="A46" s="15"/>
      <c r="B46" s="15"/>
    </row>
  </sheetData>
  <pageMargins left="0.45" right="0.45" top="0.5" bottom="0.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workbookViewId="0">
      <pane xSplit="2" ySplit="8" topLeftCell="C23" activePane="bottomRight" state="frozen"/>
      <selection pane="topRight" activeCell="C1" sqref="C1"/>
      <selection pane="bottomLeft" activeCell="A9" sqref="A9"/>
      <selection pane="bottomRight" activeCell="C29" sqref="C29"/>
    </sheetView>
  </sheetViews>
  <sheetFormatPr defaultRowHeight="12.75" x14ac:dyDescent="0.2"/>
  <cols>
    <col min="2" max="2" width="11.28515625" bestFit="1" customWidth="1"/>
    <col min="3" max="3" width="11.140625" customWidth="1"/>
    <col min="4" max="5" width="9.7109375" bestFit="1" customWidth="1"/>
    <col min="6" max="6" width="10.28515625" bestFit="1" customWidth="1"/>
    <col min="7" max="7" width="10.7109375" bestFit="1" customWidth="1"/>
    <col min="8" max="8" width="9.28515625" bestFit="1" customWidth="1"/>
    <col min="9" max="10" width="10.28515625" bestFit="1" customWidth="1"/>
    <col min="11" max="11" width="8.7109375" bestFit="1" customWidth="1"/>
    <col min="12" max="12" width="10.28515625" bestFit="1" customWidth="1"/>
  </cols>
  <sheetData>
    <row r="1" spans="1:26" ht="26.25" x14ac:dyDescent="0.4">
      <c r="A1" s="7" t="s">
        <v>18</v>
      </c>
    </row>
    <row r="2" spans="1:26" ht="18" x14ac:dyDescent="0.25">
      <c r="A2" s="5" t="s">
        <v>106</v>
      </c>
    </row>
    <row r="3" spans="1:26" x14ac:dyDescent="0.2">
      <c r="A3" s="6" t="s">
        <v>105</v>
      </c>
    </row>
    <row r="4" spans="1:26" x14ac:dyDescent="0.2">
      <c r="C4" s="41"/>
      <c r="D4" s="41"/>
      <c r="E4" s="41"/>
      <c r="F4" s="41"/>
      <c r="G4" s="41"/>
      <c r="H4" s="41"/>
      <c r="I4" s="41"/>
      <c r="J4" s="41"/>
      <c r="K4" s="41"/>
      <c r="L4" s="41"/>
    </row>
    <row r="5" spans="1:26" x14ac:dyDescent="0.2">
      <c r="C5" s="42"/>
      <c r="D5" s="42"/>
      <c r="E5" s="42"/>
      <c r="F5" s="42"/>
      <c r="G5" s="42"/>
      <c r="H5" s="42"/>
      <c r="I5" s="42"/>
      <c r="J5" s="42"/>
      <c r="K5" s="42"/>
      <c r="L5" s="42"/>
    </row>
    <row r="6" spans="1:26" x14ac:dyDescent="0.2">
      <c r="D6" s="40"/>
      <c r="E6" s="40"/>
      <c r="F6" s="40"/>
      <c r="G6" s="40"/>
      <c r="H6" s="40"/>
      <c r="I6" s="40"/>
      <c r="J6" s="40"/>
      <c r="K6" s="40"/>
      <c r="L6" s="40"/>
    </row>
    <row r="7" spans="1:26" x14ac:dyDescent="0.2">
      <c r="C7" s="2"/>
      <c r="D7" s="41" t="s">
        <v>47</v>
      </c>
      <c r="E7" s="41"/>
      <c r="F7" s="41" t="s">
        <v>1</v>
      </c>
      <c r="G7" s="41" t="s">
        <v>48</v>
      </c>
      <c r="H7" s="41"/>
      <c r="I7" s="41"/>
      <c r="J7" s="41" t="s">
        <v>2</v>
      </c>
      <c r="K7" s="41" t="s">
        <v>2</v>
      </c>
      <c r="L7" s="41" t="s">
        <v>49</v>
      </c>
    </row>
    <row r="8" spans="1:26" x14ac:dyDescent="0.2">
      <c r="B8" s="10" t="s">
        <v>23</v>
      </c>
      <c r="C8" s="10" t="s">
        <v>110</v>
      </c>
      <c r="D8" s="42" t="s">
        <v>50</v>
      </c>
      <c r="E8" s="42" t="s">
        <v>51</v>
      </c>
      <c r="F8" s="42" t="s">
        <v>52</v>
      </c>
      <c r="G8" s="42" t="s">
        <v>53</v>
      </c>
      <c r="H8" s="42" t="s">
        <v>4</v>
      </c>
      <c r="I8" s="42" t="s">
        <v>3</v>
      </c>
      <c r="J8" s="42" t="s">
        <v>54</v>
      </c>
      <c r="K8" s="42" t="s">
        <v>55</v>
      </c>
      <c r="L8" s="42" t="s">
        <v>56</v>
      </c>
      <c r="M8" s="97" t="s">
        <v>103</v>
      </c>
    </row>
    <row r="9" spans="1:26" x14ac:dyDescent="0.2">
      <c r="D9" s="42"/>
      <c r="E9" s="42"/>
      <c r="F9" s="42"/>
      <c r="G9" s="42"/>
      <c r="H9" s="42"/>
      <c r="I9" s="42"/>
      <c r="J9" s="42"/>
      <c r="K9" s="42"/>
      <c r="L9" s="42"/>
    </row>
    <row r="10" spans="1:26" x14ac:dyDescent="0.2">
      <c r="A10" s="12" t="s">
        <v>57</v>
      </c>
      <c r="D10" s="42"/>
      <c r="E10" s="42"/>
      <c r="F10" s="42"/>
      <c r="G10" s="42"/>
      <c r="H10" s="42"/>
      <c r="I10" s="42"/>
      <c r="J10" s="42"/>
      <c r="K10" s="42"/>
      <c r="L10" s="42"/>
    </row>
    <row r="11" spans="1:26" s="4" customFormat="1" x14ac:dyDescent="0.2">
      <c r="A11" s="4" t="s">
        <v>59</v>
      </c>
      <c r="B11" s="101">
        <f t="shared" ref="B11:B22" si="0">SUM(C11:M11)</f>
        <v>1</v>
      </c>
      <c r="C11" s="108">
        <f>+'Total Company Tonnage'!E11</f>
        <v>0.4622</v>
      </c>
      <c r="D11" s="108">
        <f>+'Total Company Tonnage'!F11</f>
        <v>5.2400000000000002E-2</v>
      </c>
      <c r="E11" s="108">
        <f>+'Total Company Tonnage'!G11</f>
        <v>0.1862</v>
      </c>
      <c r="F11" s="108">
        <f>+'Total Company Tonnage'!H11</f>
        <v>8.0000000000000002E-3</v>
      </c>
      <c r="G11" s="108">
        <f>+'Total Company Tonnage'!I11</f>
        <v>2.07E-2</v>
      </c>
      <c r="H11" s="108">
        <f>+'Total Company Tonnage'!J11</f>
        <v>0.11940000000000001</v>
      </c>
      <c r="I11" s="108">
        <f>+'Total Company Tonnage'!K11</f>
        <v>2.4299999999999999E-2</v>
      </c>
      <c r="J11" s="108">
        <f>+'Total Company Tonnage'!L11</f>
        <v>1.01E-2</v>
      </c>
      <c r="K11" s="108">
        <f>+'Total Company Tonnage'!M11</f>
        <v>6.1999999999999998E-3</v>
      </c>
      <c r="L11" s="108">
        <f>+'Total Company Tonnage'!N11</f>
        <v>2.2599999999999999E-2</v>
      </c>
      <c r="M11" s="108">
        <f t="shared" ref="M11:M22" si="1">1-SUM(C11:L11)</f>
        <v>8.7900000000000089E-2</v>
      </c>
    </row>
    <row r="12" spans="1:26" s="4" customFormat="1" x14ac:dyDescent="0.2">
      <c r="A12" s="4" t="s">
        <v>36</v>
      </c>
      <c r="B12" s="101">
        <f t="shared" si="0"/>
        <v>1</v>
      </c>
      <c r="C12" s="108">
        <f>+'Total Company Tonnage'!E12</f>
        <v>0.498</v>
      </c>
      <c r="D12" s="108">
        <f>+'Total Company Tonnage'!F12</f>
        <v>3.5400000000000001E-2</v>
      </c>
      <c r="E12" s="108">
        <f>+'Total Company Tonnage'!G12</f>
        <v>0.1918</v>
      </c>
      <c r="F12" s="108">
        <f>+'Total Company Tonnage'!H12</f>
        <v>8.0999999999999996E-3</v>
      </c>
      <c r="G12" s="108">
        <f>+'Total Company Tonnage'!I12</f>
        <v>1.9E-2</v>
      </c>
      <c r="H12" s="108">
        <f>+'Total Company Tonnage'!J12</f>
        <v>0.1062</v>
      </c>
      <c r="I12" s="108">
        <f>+'Total Company Tonnage'!K12</f>
        <v>2.5600000000000001E-2</v>
      </c>
      <c r="J12" s="108">
        <f>+'Total Company Tonnage'!L12</f>
        <v>1.0200000000000001E-2</v>
      </c>
      <c r="K12" s="108">
        <f>+'Total Company Tonnage'!M12</f>
        <v>8.8000000000000005E-3</v>
      </c>
      <c r="L12" s="108">
        <f>+'Total Company Tonnage'!N12</f>
        <v>1.83E-2</v>
      </c>
      <c r="M12" s="108">
        <f t="shared" si="1"/>
        <v>7.8600000000000114E-2</v>
      </c>
      <c r="Q12" s="108"/>
      <c r="R12" s="99"/>
      <c r="S12" s="100"/>
      <c r="T12" s="100"/>
      <c r="U12" s="100"/>
      <c r="V12" s="100"/>
      <c r="W12" s="100"/>
      <c r="X12" s="100"/>
      <c r="Y12" s="100"/>
      <c r="Z12" s="100"/>
    </row>
    <row r="13" spans="1:26" s="4" customFormat="1" x14ac:dyDescent="0.2">
      <c r="A13" s="4" t="s">
        <v>37</v>
      </c>
      <c r="B13" s="101">
        <f t="shared" si="0"/>
        <v>1</v>
      </c>
      <c r="C13" s="108">
        <f>+'Total Company Tonnage'!E13</f>
        <v>0.58109999999999995</v>
      </c>
      <c r="D13" s="108">
        <f>+'Total Company Tonnage'!F13</f>
        <v>3.8399999999999997E-2</v>
      </c>
      <c r="E13" s="108">
        <f>+'Total Company Tonnage'!G13</f>
        <v>8.2900000000000001E-2</v>
      </c>
      <c r="F13" s="108">
        <f>+'Total Company Tonnage'!H13</f>
        <v>2.18E-2</v>
      </c>
      <c r="G13" s="108">
        <f>+'Total Company Tonnage'!I13</f>
        <v>3.0499999999999999E-2</v>
      </c>
      <c r="H13" s="108">
        <f>+'Total Company Tonnage'!J13</f>
        <v>9.7600000000000006E-2</v>
      </c>
      <c r="I13" s="108">
        <f>+'Total Company Tonnage'!K13</f>
        <v>3.0099999999999998E-2</v>
      </c>
      <c r="J13" s="108">
        <f>+'Total Company Tonnage'!L13</f>
        <v>1.61E-2</v>
      </c>
      <c r="K13" s="108">
        <f>+'Total Company Tonnage'!M13</f>
        <v>9.9000000000000008E-3</v>
      </c>
      <c r="L13" s="108">
        <f>+'Total Company Tonnage'!N13</f>
        <v>1.6000000000000001E-3</v>
      </c>
      <c r="M13" s="108">
        <f t="shared" si="1"/>
        <v>8.9999999999999969E-2</v>
      </c>
      <c r="Q13" s="108"/>
      <c r="R13" s="108"/>
      <c r="S13" s="108"/>
      <c r="T13" s="108"/>
      <c r="U13" s="108"/>
      <c r="V13" s="108"/>
      <c r="W13" s="108"/>
      <c r="X13" s="108"/>
      <c r="Y13" s="108"/>
      <c r="Z13" s="108"/>
    </row>
    <row r="14" spans="1:26" s="4" customFormat="1" x14ac:dyDescent="0.2">
      <c r="A14" s="4" t="s">
        <v>38</v>
      </c>
      <c r="B14" s="101">
        <f t="shared" si="0"/>
        <v>1</v>
      </c>
      <c r="C14" s="108">
        <f>+'Total Company Tonnage'!E14</f>
        <v>0.40799999999999997</v>
      </c>
      <c r="D14" s="108">
        <f>+'Total Company Tonnage'!F14</f>
        <v>5.5500000000000001E-2</v>
      </c>
      <c r="E14" s="108">
        <f>+'Total Company Tonnage'!G14</f>
        <v>0.25069999999999998</v>
      </c>
      <c r="F14" s="108">
        <f>+'Total Company Tonnage'!H14</f>
        <v>9.5999999999999992E-3</v>
      </c>
      <c r="G14" s="108">
        <f>+'Total Company Tonnage'!I14</f>
        <v>2.1299999999999999E-2</v>
      </c>
      <c r="H14" s="108">
        <f>+'Total Company Tonnage'!J14</f>
        <v>0.1085</v>
      </c>
      <c r="I14" s="108">
        <f>+'Total Company Tonnage'!K14</f>
        <v>3.2099999999999997E-2</v>
      </c>
      <c r="J14" s="108">
        <f>+'Total Company Tonnage'!L14</f>
        <v>7.7000000000000002E-3</v>
      </c>
      <c r="K14" s="108">
        <f>+'Total Company Tonnage'!M14</f>
        <v>9.7999999999999997E-3</v>
      </c>
      <c r="L14" s="108">
        <f>+'Total Company Tonnage'!N14</f>
        <v>1.8800000000000001E-2</v>
      </c>
      <c r="M14" s="108">
        <f t="shared" si="1"/>
        <v>7.7999999999999847E-2</v>
      </c>
      <c r="Q14" s="108"/>
      <c r="R14" s="108"/>
      <c r="S14" s="108"/>
      <c r="T14" s="108"/>
      <c r="U14" s="108"/>
      <c r="V14" s="108"/>
      <c r="W14" s="108"/>
      <c r="X14" s="108"/>
      <c r="Y14" s="108"/>
      <c r="Z14" s="108"/>
    </row>
    <row r="15" spans="1:26" x14ac:dyDescent="0.2">
      <c r="A15" s="4" t="s">
        <v>46</v>
      </c>
      <c r="B15" s="101">
        <f t="shared" si="0"/>
        <v>1</v>
      </c>
      <c r="C15" s="108">
        <f>+'Total Company Tonnage'!E15</f>
        <v>0.53280000000000005</v>
      </c>
      <c r="D15" s="108">
        <f>+'Total Company Tonnage'!F15</f>
        <v>1.03E-2</v>
      </c>
      <c r="E15" s="108">
        <f>+'Total Company Tonnage'!G15</f>
        <v>0.2024</v>
      </c>
      <c r="F15" s="108">
        <f>+'Total Company Tonnage'!H15</f>
        <v>1.2200000000000001E-2</v>
      </c>
      <c r="G15" s="108">
        <f>+'Total Company Tonnage'!I15</f>
        <v>1.9400000000000001E-2</v>
      </c>
      <c r="H15" s="108">
        <f>+'Total Company Tonnage'!J15</f>
        <v>8.0799999999999997E-2</v>
      </c>
      <c r="I15" s="108">
        <f>+'Total Company Tonnage'!K15</f>
        <v>2.7300000000000001E-2</v>
      </c>
      <c r="J15" s="108">
        <f>+'Total Company Tonnage'!L15</f>
        <v>1.0500000000000001E-2</v>
      </c>
      <c r="K15" s="108">
        <f>+'Total Company Tonnage'!M15</f>
        <v>8.6E-3</v>
      </c>
      <c r="L15" s="108">
        <f>+'Total Company Tonnage'!N15</f>
        <v>2.4E-2</v>
      </c>
      <c r="M15" s="108">
        <f t="shared" si="1"/>
        <v>7.1699999999999986E-2</v>
      </c>
      <c r="Q15" s="43"/>
      <c r="R15" s="43"/>
      <c r="S15" s="43"/>
      <c r="T15" s="43"/>
      <c r="U15" s="43"/>
      <c r="V15" s="43"/>
      <c r="W15" s="43"/>
      <c r="X15" s="43"/>
      <c r="Y15" s="43"/>
      <c r="Z15" s="43"/>
    </row>
    <row r="16" spans="1:26" x14ac:dyDescent="0.2">
      <c r="A16" s="4" t="s">
        <v>39</v>
      </c>
      <c r="B16" s="101">
        <f t="shared" si="0"/>
        <v>1</v>
      </c>
      <c r="C16" s="108">
        <f>+'Total Company Tonnage'!E16</f>
        <v>0.48480000000000001</v>
      </c>
      <c r="D16" s="108">
        <f>+'Total Company Tonnage'!F16</f>
        <v>1.2800000000000001E-2</v>
      </c>
      <c r="E16" s="108">
        <f>+'Total Company Tonnage'!G16</f>
        <v>0.2402</v>
      </c>
      <c r="F16" s="108">
        <f>+'Total Company Tonnage'!H16</f>
        <v>8.6999999999999994E-3</v>
      </c>
      <c r="G16" s="108">
        <f>+'Total Company Tonnage'!I16</f>
        <v>2.1999999999999999E-2</v>
      </c>
      <c r="H16" s="108">
        <f>+'Total Company Tonnage'!J16</f>
        <v>0.10299999999999999</v>
      </c>
      <c r="I16" s="108">
        <f>+'Total Company Tonnage'!K16</f>
        <v>3.0499999999999999E-2</v>
      </c>
      <c r="J16" s="108">
        <f>+'Total Company Tonnage'!L16</f>
        <v>1.11E-2</v>
      </c>
      <c r="K16" s="108">
        <f>+'Total Company Tonnage'!M16</f>
        <v>9.1999999999999998E-3</v>
      </c>
      <c r="L16" s="108">
        <f>+'Total Company Tonnage'!N16</f>
        <v>5.4999999999999997E-3</v>
      </c>
      <c r="M16" s="108">
        <f t="shared" si="1"/>
        <v>7.2200000000000042E-2</v>
      </c>
      <c r="Q16" s="43"/>
      <c r="R16" s="43"/>
      <c r="S16" s="43"/>
      <c r="T16" s="43"/>
      <c r="U16" s="43"/>
      <c r="V16" s="43"/>
      <c r="W16" s="43"/>
      <c r="X16" s="43"/>
      <c r="Y16" s="43"/>
      <c r="Z16" s="43"/>
    </row>
    <row r="17" spans="1:26" x14ac:dyDescent="0.2">
      <c r="A17" s="4" t="s">
        <v>40</v>
      </c>
      <c r="B17" s="101">
        <f t="shared" si="0"/>
        <v>1</v>
      </c>
      <c r="C17" s="108">
        <f>+'Total Company Tonnage'!E17</f>
        <v>0.45989999999999998</v>
      </c>
      <c r="D17" s="108">
        <f>+'Total Company Tonnage'!F17</f>
        <v>1.7399999999999999E-2</v>
      </c>
      <c r="E17" s="108">
        <f>+'Total Company Tonnage'!G17</f>
        <v>0.24859999999999999</v>
      </c>
      <c r="F17" s="108">
        <f>+'Total Company Tonnage'!H17</f>
        <v>7.9000000000000008E-3</v>
      </c>
      <c r="G17" s="108">
        <f>+'Total Company Tonnage'!I17</f>
        <v>2.0799999999999999E-2</v>
      </c>
      <c r="H17" s="108">
        <f>+'Total Company Tonnage'!J17</f>
        <v>0.1113</v>
      </c>
      <c r="I17" s="108">
        <f>+'Total Company Tonnage'!K17</f>
        <v>3.3799999999999997E-2</v>
      </c>
      <c r="J17" s="108">
        <f>+'Total Company Tonnage'!L17</f>
        <v>1.06E-2</v>
      </c>
      <c r="K17" s="108">
        <f>+'Total Company Tonnage'!M17</f>
        <v>1.04E-2</v>
      </c>
      <c r="L17" s="108">
        <f>+'Total Company Tonnage'!N17</f>
        <v>6.1999999999999998E-3</v>
      </c>
      <c r="M17" s="108">
        <f t="shared" si="1"/>
        <v>7.3100000000000054E-2</v>
      </c>
      <c r="Q17" s="43"/>
      <c r="R17" s="43"/>
      <c r="S17" s="43"/>
      <c r="T17" s="43"/>
      <c r="U17" s="43"/>
      <c r="V17" s="43"/>
      <c r="W17" s="43"/>
      <c r="X17" s="43"/>
      <c r="Y17" s="43"/>
      <c r="Z17" s="43"/>
    </row>
    <row r="18" spans="1:26" x14ac:dyDescent="0.2">
      <c r="A18" s="4" t="s">
        <v>41</v>
      </c>
      <c r="B18" s="101">
        <f t="shared" si="0"/>
        <v>1</v>
      </c>
      <c r="C18" s="108">
        <f>+'Total Company Tonnage'!E18</f>
        <v>0.47599999999999998</v>
      </c>
      <c r="D18" s="108">
        <f>+'Total Company Tonnage'!F18</f>
        <v>1.7000000000000001E-2</v>
      </c>
      <c r="E18" s="108">
        <f>+'Total Company Tonnage'!G18</f>
        <v>0.23630000000000001</v>
      </c>
      <c r="F18" s="108">
        <f>+'Total Company Tonnage'!H18</f>
        <v>8.6E-3</v>
      </c>
      <c r="G18" s="108">
        <f>+'Total Company Tonnage'!I18</f>
        <v>1.8599999999999998E-2</v>
      </c>
      <c r="H18" s="108">
        <f>+'Total Company Tonnage'!J18</f>
        <v>0.1103</v>
      </c>
      <c r="I18" s="108">
        <f>+'Total Company Tonnage'!K18</f>
        <v>3.27E-2</v>
      </c>
      <c r="J18" s="108">
        <f>+'Total Company Tonnage'!L18</f>
        <v>0.01</v>
      </c>
      <c r="K18" s="108">
        <f>+'Total Company Tonnage'!M18</f>
        <v>9.4000000000000004E-3</v>
      </c>
      <c r="L18" s="108">
        <f>+'Total Company Tonnage'!N18</f>
        <v>6.7000000000000002E-3</v>
      </c>
      <c r="M18" s="108">
        <f t="shared" si="1"/>
        <v>7.4400000000000022E-2</v>
      </c>
      <c r="Q18" s="43"/>
      <c r="R18" s="43"/>
      <c r="S18" s="43"/>
      <c r="T18" s="43"/>
      <c r="U18" s="43"/>
      <c r="V18" s="43"/>
      <c r="W18" s="43"/>
      <c r="X18" s="43"/>
      <c r="Y18" s="43"/>
      <c r="Z18" s="43"/>
    </row>
    <row r="19" spans="1:26" x14ac:dyDescent="0.2">
      <c r="A19" s="4" t="s">
        <v>10</v>
      </c>
      <c r="B19" s="101">
        <f t="shared" si="0"/>
        <v>1</v>
      </c>
      <c r="C19" s="108">
        <f>+'Total Company Tonnage'!E19</f>
        <v>0.48809999999999998</v>
      </c>
      <c r="D19" s="108">
        <f>+'Total Company Tonnage'!F19</f>
        <v>1.8599999999999998E-2</v>
      </c>
      <c r="E19" s="108">
        <f>+'Total Company Tonnage'!G19</f>
        <v>0.2205</v>
      </c>
      <c r="F19" s="108">
        <f>+'Total Company Tonnage'!H19</f>
        <v>8.3999999999999995E-3</v>
      </c>
      <c r="G19" s="108">
        <f>+'Total Company Tonnage'!I19</f>
        <v>1.8800000000000001E-2</v>
      </c>
      <c r="H19" s="108">
        <f>+'Total Company Tonnage'!J19</f>
        <v>0.1053</v>
      </c>
      <c r="I19" s="108">
        <f>+'Total Company Tonnage'!K19</f>
        <v>3.3599999999999998E-2</v>
      </c>
      <c r="J19" s="108">
        <f>+'Total Company Tonnage'!L19</f>
        <v>9.1999999999999998E-3</v>
      </c>
      <c r="K19" s="108">
        <f>+'Total Company Tonnage'!M19</f>
        <v>9.2999999999999992E-3</v>
      </c>
      <c r="L19" s="108">
        <f>+'Total Company Tonnage'!N19</f>
        <v>6.3E-3</v>
      </c>
      <c r="M19" s="108">
        <f t="shared" si="1"/>
        <v>8.1900000000000195E-2</v>
      </c>
      <c r="Q19" s="108"/>
      <c r="R19" s="108"/>
      <c r="S19" s="108"/>
      <c r="T19" s="108"/>
      <c r="U19" s="108"/>
      <c r="V19" s="108"/>
      <c r="W19" s="108"/>
      <c r="X19" s="108"/>
      <c r="Y19" s="108"/>
      <c r="Z19" s="108"/>
    </row>
    <row r="20" spans="1:26" x14ac:dyDescent="0.2">
      <c r="A20" s="4" t="s">
        <v>42</v>
      </c>
      <c r="B20" s="101">
        <f t="shared" si="0"/>
        <v>1</v>
      </c>
      <c r="C20" s="108">
        <f>+'Total Company Tonnage'!E20</f>
        <v>0.49359999999999998</v>
      </c>
      <c r="D20" s="108">
        <f>+'Total Company Tonnage'!F20</f>
        <v>1.6199999999999999E-2</v>
      </c>
      <c r="E20" s="108">
        <f>+'Total Company Tonnage'!G20</f>
        <v>0.22739999999999999</v>
      </c>
      <c r="F20" s="108">
        <f>+'Total Company Tonnage'!H20</f>
        <v>8.6999999999999994E-3</v>
      </c>
      <c r="G20" s="108">
        <f>+'Total Company Tonnage'!I20</f>
        <v>1.7899999999999999E-2</v>
      </c>
      <c r="H20" s="108">
        <f>+'Total Company Tonnage'!J20</f>
        <v>0.1041</v>
      </c>
      <c r="I20" s="108">
        <f>+'Total Company Tonnage'!K20</f>
        <v>2.9399999999999999E-2</v>
      </c>
      <c r="J20" s="108">
        <f>+'Total Company Tonnage'!L20</f>
        <v>9.7000000000000003E-3</v>
      </c>
      <c r="K20" s="108">
        <f>+'Total Company Tonnage'!M20</f>
        <v>8.3999999999999995E-3</v>
      </c>
      <c r="L20" s="108">
        <f>+'Total Company Tonnage'!N20</f>
        <v>7.4999999999999997E-3</v>
      </c>
      <c r="M20" s="108">
        <f t="shared" si="1"/>
        <v>7.7099999999999946E-2</v>
      </c>
      <c r="Q20" s="108"/>
      <c r="R20" s="108"/>
      <c r="S20" s="108"/>
      <c r="T20" s="108"/>
      <c r="U20" s="108"/>
      <c r="V20" s="108"/>
      <c r="W20" s="108"/>
      <c r="X20" s="108"/>
      <c r="Y20" s="108"/>
      <c r="Z20" s="108"/>
    </row>
    <row r="21" spans="1:26" x14ac:dyDescent="0.2">
      <c r="A21" s="4" t="s">
        <v>43</v>
      </c>
      <c r="B21" s="101">
        <f t="shared" si="0"/>
        <v>1</v>
      </c>
      <c r="C21" s="108">
        <f>+'Total Company Tonnage'!E21</f>
        <v>0.48930000000000001</v>
      </c>
      <c r="D21" s="108">
        <f>+'Total Company Tonnage'!F21</f>
        <v>1.6299999999999999E-2</v>
      </c>
      <c r="E21" s="108">
        <f>+'Total Company Tonnage'!G21</f>
        <v>0.23180000000000001</v>
      </c>
      <c r="F21" s="108">
        <f>+'Total Company Tonnage'!H21</f>
        <v>8.8999999999999999E-3</v>
      </c>
      <c r="G21" s="108">
        <f>+'Total Company Tonnage'!I21</f>
        <v>1.9599999999999999E-2</v>
      </c>
      <c r="H21" s="108">
        <f>+'Total Company Tonnage'!J21</f>
        <v>0.10349999999999999</v>
      </c>
      <c r="I21" s="108">
        <f>+'Total Company Tonnage'!K21</f>
        <v>3.0499999999999999E-2</v>
      </c>
      <c r="J21" s="108">
        <f>+'Total Company Tonnage'!L21</f>
        <v>9.7999999999999997E-3</v>
      </c>
      <c r="K21" s="108">
        <f>+'Total Company Tonnage'!M21</f>
        <v>8.2000000000000007E-3</v>
      </c>
      <c r="L21" s="108">
        <f>+'Total Company Tonnage'!N21</f>
        <v>7.4000000000000003E-3</v>
      </c>
      <c r="M21" s="108">
        <f t="shared" si="1"/>
        <v>7.4699999999999989E-2</v>
      </c>
      <c r="Q21" s="108"/>
      <c r="R21" s="108"/>
      <c r="S21" s="108"/>
      <c r="T21" s="108"/>
      <c r="U21" s="108"/>
      <c r="V21" s="108"/>
      <c r="W21" s="108"/>
      <c r="X21" s="108"/>
      <c r="Y21" s="108"/>
      <c r="Z21" s="108"/>
    </row>
    <row r="22" spans="1:26" x14ac:dyDescent="0.2">
      <c r="A22" s="4" t="s">
        <v>44</v>
      </c>
      <c r="B22" s="101">
        <f t="shared" si="0"/>
        <v>1</v>
      </c>
      <c r="C22" s="108">
        <f>+'Total Company Tonnage'!E22</f>
        <v>0.46129999999999999</v>
      </c>
      <c r="D22" s="108">
        <f>+'Total Company Tonnage'!F22</f>
        <v>3.5000000000000003E-2</v>
      </c>
      <c r="E22" s="108">
        <f>+'Total Company Tonnage'!G22</f>
        <v>0.19400000000000001</v>
      </c>
      <c r="F22" s="108">
        <f>+'Total Company Tonnage'!H22</f>
        <v>8.6E-3</v>
      </c>
      <c r="G22" s="108">
        <f>+'Total Company Tonnage'!I22</f>
        <v>1.41E-2</v>
      </c>
      <c r="H22" s="108">
        <f>+'Total Company Tonnage'!J22</f>
        <v>0.105</v>
      </c>
      <c r="I22" s="108">
        <f>+'Total Company Tonnage'!K22</f>
        <v>3.6299999999999999E-2</v>
      </c>
      <c r="J22" s="108">
        <f>+'Total Company Tonnage'!L22</f>
        <v>8.0999999999999996E-3</v>
      </c>
      <c r="K22" s="108">
        <f>+'Total Company Tonnage'!M22</f>
        <v>6.4000000000000003E-3</v>
      </c>
      <c r="L22" s="108">
        <f>+'Total Company Tonnage'!N22</f>
        <v>1E-3</v>
      </c>
      <c r="M22" s="108">
        <f t="shared" si="1"/>
        <v>0.13020000000000009</v>
      </c>
      <c r="Q22" s="108"/>
      <c r="R22" s="108"/>
      <c r="S22" s="108"/>
      <c r="T22" s="108"/>
      <c r="U22" s="108"/>
      <c r="V22" s="108"/>
      <c r="W22" s="108"/>
      <c r="X22" s="108"/>
      <c r="Y22" s="108"/>
      <c r="Z22" s="108"/>
    </row>
    <row r="23" spans="1:26" x14ac:dyDescent="0.2">
      <c r="C23" s="4"/>
    </row>
    <row r="26" spans="1:26" x14ac:dyDescent="0.2">
      <c r="A26" s="12" t="s">
        <v>60</v>
      </c>
    </row>
    <row r="27" spans="1:26" x14ac:dyDescent="0.2">
      <c r="A27" s="4" t="s">
        <v>59</v>
      </c>
      <c r="B27" s="17">
        <f>+'Total Company Tonnage'!D30*'Customer Counts'!E9</f>
        <v>927.42006453172655</v>
      </c>
      <c r="C27" s="21">
        <f t="shared" ref="C27:M27" si="2">+$B27*C11</f>
        <v>428.65355382656401</v>
      </c>
      <c r="D27" s="21">
        <f t="shared" si="2"/>
        <v>48.596811381462473</v>
      </c>
      <c r="E27" s="21">
        <f t="shared" si="2"/>
        <v>172.68561601580748</v>
      </c>
      <c r="F27" s="21">
        <f t="shared" si="2"/>
        <v>7.4193605162538123</v>
      </c>
      <c r="G27" s="21">
        <f t="shared" si="2"/>
        <v>19.197595335806739</v>
      </c>
      <c r="H27" s="21">
        <f t="shared" si="2"/>
        <v>110.73395570508815</v>
      </c>
      <c r="I27" s="21">
        <f t="shared" si="2"/>
        <v>22.536307568120954</v>
      </c>
      <c r="J27" s="21">
        <f t="shared" si="2"/>
        <v>9.3669426517704384</v>
      </c>
      <c r="K27" s="21">
        <f t="shared" si="2"/>
        <v>5.7500044000967048</v>
      </c>
      <c r="L27" s="21">
        <f t="shared" si="2"/>
        <v>20.959693458417018</v>
      </c>
      <c r="M27" s="21">
        <f t="shared" si="2"/>
        <v>81.520223672338844</v>
      </c>
      <c r="O27" s="17"/>
      <c r="P27" s="17"/>
    </row>
    <row r="28" spans="1:26" x14ac:dyDescent="0.2">
      <c r="A28" s="4" t="s">
        <v>36</v>
      </c>
      <c r="B28" s="17">
        <f>+'Total Company Tonnage'!D31*'Customer Counts'!E10</f>
        <v>975.50822050947909</v>
      </c>
      <c r="C28" s="21">
        <f t="shared" ref="C28:M28" si="3">+$B28*C12</f>
        <v>485.80309381372058</v>
      </c>
      <c r="D28" s="21">
        <f t="shared" si="3"/>
        <v>34.532991006035559</v>
      </c>
      <c r="E28" s="21">
        <f t="shared" si="3"/>
        <v>187.10247669371807</v>
      </c>
      <c r="F28" s="21">
        <f t="shared" si="3"/>
        <v>7.9016165861267798</v>
      </c>
      <c r="G28" s="21">
        <f t="shared" si="3"/>
        <v>18.534656189680103</v>
      </c>
      <c r="H28" s="21">
        <f t="shared" si="3"/>
        <v>103.59897301810668</v>
      </c>
      <c r="I28" s="21">
        <f t="shared" si="3"/>
        <v>24.973010445042664</v>
      </c>
      <c r="J28" s="21">
        <f t="shared" si="3"/>
        <v>9.9501838491966872</v>
      </c>
      <c r="K28" s="21">
        <f t="shared" si="3"/>
        <v>8.5844723404834173</v>
      </c>
      <c r="L28" s="21">
        <f t="shared" si="3"/>
        <v>17.851800435323469</v>
      </c>
      <c r="M28" s="21">
        <f t="shared" si="3"/>
        <v>76.674946132045164</v>
      </c>
      <c r="O28" s="17"/>
      <c r="P28" s="17"/>
    </row>
    <row r="29" spans="1:26" x14ac:dyDescent="0.2">
      <c r="A29" s="4" t="s">
        <v>37</v>
      </c>
      <c r="B29" s="17">
        <f>+'Total Company Tonnage'!D32*'Customer Counts'!E11</f>
        <v>798.13708864760315</v>
      </c>
      <c r="C29" s="21">
        <f t="shared" ref="C29:M29" si="4">+$B29*C13</f>
        <v>463.79746221312217</v>
      </c>
      <c r="D29" s="21">
        <f t="shared" si="4"/>
        <v>30.64846420406796</v>
      </c>
      <c r="E29" s="21">
        <f t="shared" si="4"/>
        <v>66.165564648886303</v>
      </c>
      <c r="F29" s="21">
        <f t="shared" si="4"/>
        <v>17.399388532517747</v>
      </c>
      <c r="G29" s="21">
        <f t="shared" si="4"/>
        <v>24.343181203751897</v>
      </c>
      <c r="H29" s="21">
        <f t="shared" si="4"/>
        <v>77.898179852006066</v>
      </c>
      <c r="I29" s="21">
        <f t="shared" si="4"/>
        <v>24.023926368292855</v>
      </c>
      <c r="J29" s="21">
        <f t="shared" si="4"/>
        <v>12.85000712722641</v>
      </c>
      <c r="K29" s="21">
        <f t="shared" si="4"/>
        <v>7.9015571776112719</v>
      </c>
      <c r="L29" s="21">
        <f t="shared" si="4"/>
        <v>1.2770193418361651</v>
      </c>
      <c r="M29" s="21">
        <f t="shared" si="4"/>
        <v>71.832337978284258</v>
      </c>
      <c r="O29" s="17"/>
      <c r="P29" s="17"/>
      <c r="R29" s="17"/>
      <c r="T29" s="107"/>
    </row>
    <row r="30" spans="1:26" x14ac:dyDescent="0.2">
      <c r="A30" s="4" t="s">
        <v>38</v>
      </c>
      <c r="B30" s="17">
        <f>+'Total Company Tonnage'!D33*'Customer Counts'!E12</f>
        <v>960.45780022259339</v>
      </c>
      <c r="C30" s="21">
        <f t="shared" ref="C30:M30" si="5">+$B30*C14</f>
        <v>391.86678249081808</v>
      </c>
      <c r="D30" s="21">
        <f t="shared" si="5"/>
        <v>53.305407912353935</v>
      </c>
      <c r="E30" s="21">
        <f t="shared" si="5"/>
        <v>240.78677051580414</v>
      </c>
      <c r="F30" s="21">
        <f t="shared" si="5"/>
        <v>9.2203948821368957</v>
      </c>
      <c r="G30" s="21">
        <f t="shared" si="5"/>
        <v>20.457751144741238</v>
      </c>
      <c r="H30" s="21">
        <f t="shared" si="5"/>
        <v>104.20967132415139</v>
      </c>
      <c r="I30" s="21">
        <f t="shared" si="5"/>
        <v>30.830695387145244</v>
      </c>
      <c r="J30" s="21">
        <f t="shared" si="5"/>
        <v>7.3955250617139692</v>
      </c>
      <c r="K30" s="21">
        <f t="shared" si="5"/>
        <v>9.4124864421814145</v>
      </c>
      <c r="L30" s="21">
        <f t="shared" si="5"/>
        <v>18.056606644184757</v>
      </c>
      <c r="M30" s="21">
        <f t="shared" si="5"/>
        <v>74.91570841736214</v>
      </c>
      <c r="O30" s="17"/>
      <c r="P30" s="17"/>
      <c r="R30" s="17"/>
      <c r="T30" s="107"/>
    </row>
    <row r="31" spans="1:26" x14ac:dyDescent="0.2">
      <c r="A31" s="4" t="s">
        <v>46</v>
      </c>
      <c r="B31" s="17">
        <f>+'Total Company Tonnage'!D34*'Customer Counts'!E13</f>
        <v>908.64581235872208</v>
      </c>
      <c r="C31" s="21">
        <f t="shared" ref="C31:M31" si="6">+$B31*C15</f>
        <v>484.12648882472718</v>
      </c>
      <c r="D31" s="21">
        <f t="shared" si="6"/>
        <v>9.3590518672948377</v>
      </c>
      <c r="E31" s="21">
        <f t="shared" si="6"/>
        <v>183.90991242140535</v>
      </c>
      <c r="F31" s="21">
        <f t="shared" si="6"/>
        <v>11.085478910776411</v>
      </c>
      <c r="G31" s="21">
        <f t="shared" si="6"/>
        <v>17.627728759759208</v>
      </c>
      <c r="H31" s="21">
        <f t="shared" si="6"/>
        <v>73.41858163858474</v>
      </c>
      <c r="I31" s="21">
        <f t="shared" si="6"/>
        <v>24.806030677393114</v>
      </c>
      <c r="J31" s="21">
        <f t="shared" si="6"/>
        <v>9.5407810297665829</v>
      </c>
      <c r="K31" s="21">
        <f t="shared" si="6"/>
        <v>7.8143539862850098</v>
      </c>
      <c r="L31" s="21">
        <f t="shared" si="6"/>
        <v>21.807499496609331</v>
      </c>
      <c r="M31" s="21">
        <f t="shared" si="6"/>
        <v>65.149904746120356</v>
      </c>
      <c r="O31" s="17"/>
      <c r="P31" s="17"/>
      <c r="R31" s="17"/>
      <c r="T31" s="107"/>
    </row>
    <row r="32" spans="1:26" x14ac:dyDescent="0.2">
      <c r="A32" s="4" t="s">
        <v>39</v>
      </c>
      <c r="B32" s="17">
        <f>+'Total Company Tonnage'!D35*'Customer Counts'!E14</f>
        <v>818.39325818800501</v>
      </c>
      <c r="C32" s="21">
        <f t="shared" ref="C32:M32" si="7">+$B32*C16</f>
        <v>396.75705156954484</v>
      </c>
      <c r="D32" s="21">
        <f t="shared" si="7"/>
        <v>10.475433704806465</v>
      </c>
      <c r="E32" s="21">
        <f t="shared" si="7"/>
        <v>196.57806061675879</v>
      </c>
      <c r="F32" s="21">
        <f t="shared" si="7"/>
        <v>7.1200213462356432</v>
      </c>
      <c r="G32" s="21">
        <f t="shared" si="7"/>
        <v>18.00465168013611</v>
      </c>
      <c r="H32" s="21">
        <f t="shared" si="7"/>
        <v>84.294505593364505</v>
      </c>
      <c r="I32" s="21">
        <f t="shared" si="7"/>
        <v>24.960994374734153</v>
      </c>
      <c r="J32" s="21">
        <f t="shared" si="7"/>
        <v>9.0841651658868567</v>
      </c>
      <c r="K32" s="21">
        <f t="shared" si="7"/>
        <v>7.5292179753296455</v>
      </c>
      <c r="L32" s="21">
        <f t="shared" si="7"/>
        <v>4.5011629200340275</v>
      </c>
      <c r="M32" s="21">
        <f t="shared" si="7"/>
        <v>59.087993241173997</v>
      </c>
      <c r="O32" s="17"/>
      <c r="P32" s="17"/>
      <c r="R32" s="17"/>
      <c r="T32" s="107"/>
    </row>
    <row r="33" spans="1:20" x14ac:dyDescent="0.2">
      <c r="A33" s="4" t="s">
        <v>40</v>
      </c>
      <c r="B33" s="17">
        <f>+'Total Company Tonnage'!D36*'Customer Counts'!E15</f>
        <v>888.58366033088555</v>
      </c>
      <c r="C33" s="21">
        <f t="shared" ref="C33:M33" si="8">+$B33*C17</f>
        <v>408.65962538617424</v>
      </c>
      <c r="D33" s="21">
        <f t="shared" si="8"/>
        <v>15.461355689757408</v>
      </c>
      <c r="E33" s="21">
        <f t="shared" si="8"/>
        <v>220.90189795825813</v>
      </c>
      <c r="F33" s="21">
        <f t="shared" si="8"/>
        <v>7.0198109166139968</v>
      </c>
      <c r="G33" s="21">
        <f t="shared" si="8"/>
        <v>18.48254013488242</v>
      </c>
      <c r="H33" s="21">
        <f t="shared" si="8"/>
        <v>98.899361394827565</v>
      </c>
      <c r="I33" s="21">
        <f t="shared" si="8"/>
        <v>30.034127719183928</v>
      </c>
      <c r="J33" s="21">
        <f t="shared" si="8"/>
        <v>9.4189867995073868</v>
      </c>
      <c r="K33" s="21">
        <f t="shared" si="8"/>
        <v>9.24127006744121</v>
      </c>
      <c r="L33" s="21">
        <f t="shared" si="8"/>
        <v>5.5092186940514898</v>
      </c>
      <c r="M33" s="21">
        <f t="shared" si="8"/>
        <v>64.955465570187783</v>
      </c>
      <c r="O33" s="17"/>
      <c r="P33" s="17"/>
      <c r="R33" s="17"/>
      <c r="T33" s="107"/>
    </row>
    <row r="34" spans="1:20" x14ac:dyDescent="0.2">
      <c r="A34" s="4" t="s">
        <v>41</v>
      </c>
      <c r="B34" s="17">
        <f>+'Total Company Tonnage'!D37*'Customer Counts'!E16</f>
        <v>893.92172189470978</v>
      </c>
      <c r="C34" s="21">
        <f t="shared" ref="C34:M34" si="9">+$B34*C18</f>
        <v>425.50673962188182</v>
      </c>
      <c r="D34" s="21">
        <f t="shared" si="9"/>
        <v>15.196669272210068</v>
      </c>
      <c r="E34" s="21">
        <f t="shared" si="9"/>
        <v>211.23370288371993</v>
      </c>
      <c r="F34" s="21">
        <f t="shared" si="9"/>
        <v>7.6877268082945038</v>
      </c>
      <c r="G34" s="21">
        <f t="shared" si="9"/>
        <v>16.626944027241599</v>
      </c>
      <c r="H34" s="21">
        <f t="shared" si="9"/>
        <v>98.599565924986479</v>
      </c>
      <c r="I34" s="21">
        <f t="shared" si="9"/>
        <v>29.231240305957009</v>
      </c>
      <c r="J34" s="21">
        <f t="shared" si="9"/>
        <v>8.939217218947098</v>
      </c>
      <c r="K34" s="21">
        <f t="shared" si="9"/>
        <v>8.4028641858102731</v>
      </c>
      <c r="L34" s="21">
        <f t="shared" si="9"/>
        <v>5.9892755366945556</v>
      </c>
      <c r="M34" s="21">
        <f t="shared" si="9"/>
        <v>66.507776108966425</v>
      </c>
      <c r="O34" s="17"/>
      <c r="P34" s="17"/>
      <c r="R34" s="17"/>
      <c r="T34" s="107"/>
    </row>
    <row r="35" spans="1:20" x14ac:dyDescent="0.2">
      <c r="A35" s="4" t="s">
        <v>10</v>
      </c>
      <c r="B35" s="17">
        <f>+'Total Company Tonnage'!D38*'Customer Counts'!E17</f>
        <v>855.59886120265628</v>
      </c>
      <c r="C35" s="21">
        <f t="shared" ref="C35:M35" si="10">+$B35*C19</f>
        <v>417.61780415301649</v>
      </c>
      <c r="D35" s="21">
        <f t="shared" si="10"/>
        <v>15.914138818369405</v>
      </c>
      <c r="E35" s="21">
        <f t="shared" si="10"/>
        <v>188.65954889518571</v>
      </c>
      <c r="F35" s="21">
        <f t="shared" si="10"/>
        <v>7.1870304341023123</v>
      </c>
      <c r="G35" s="21">
        <f t="shared" si="10"/>
        <v>16.085258590609939</v>
      </c>
      <c r="H35" s="21">
        <f t="shared" si="10"/>
        <v>90.09456008463971</v>
      </c>
      <c r="I35" s="21">
        <f t="shared" si="10"/>
        <v>28.748121736409249</v>
      </c>
      <c r="J35" s="21">
        <f t="shared" si="10"/>
        <v>7.8715095230644376</v>
      </c>
      <c r="K35" s="21">
        <f t="shared" si="10"/>
        <v>7.9570694091847027</v>
      </c>
      <c r="L35" s="21">
        <f t="shared" si="10"/>
        <v>5.3902728255767345</v>
      </c>
      <c r="M35" s="21">
        <f t="shared" si="10"/>
        <v>70.073546732497718</v>
      </c>
      <c r="O35" s="17"/>
      <c r="P35" s="17"/>
      <c r="R35" s="17"/>
      <c r="T35" s="107"/>
    </row>
    <row r="36" spans="1:20" x14ac:dyDescent="0.2">
      <c r="A36" s="4" t="s">
        <v>42</v>
      </c>
      <c r="B36" s="17">
        <f>+'Total Company Tonnage'!D39*'Customer Counts'!E18</f>
        <v>911.07016826659867</v>
      </c>
      <c r="C36" s="21">
        <f t="shared" ref="C36:M36" si="11">+$B36*C20</f>
        <v>449.70423505639309</v>
      </c>
      <c r="D36" s="21">
        <f t="shared" si="11"/>
        <v>14.759336725918898</v>
      </c>
      <c r="E36" s="21">
        <f t="shared" si="11"/>
        <v>207.17735626382452</v>
      </c>
      <c r="F36" s="21">
        <f t="shared" si="11"/>
        <v>7.9263104639194077</v>
      </c>
      <c r="G36" s="21">
        <f t="shared" si="11"/>
        <v>16.308156011972116</v>
      </c>
      <c r="H36" s="21">
        <f t="shared" si="11"/>
        <v>94.842404516552918</v>
      </c>
      <c r="I36" s="21">
        <f t="shared" si="11"/>
        <v>26.785462947037999</v>
      </c>
      <c r="J36" s="21">
        <f t="shared" si="11"/>
        <v>8.837380632186008</v>
      </c>
      <c r="K36" s="21">
        <f t="shared" si="11"/>
        <v>7.6529894134394283</v>
      </c>
      <c r="L36" s="21">
        <f t="shared" si="11"/>
        <v>6.8330262619994899</v>
      </c>
      <c r="M36" s="21">
        <f t="shared" si="11"/>
        <v>70.243509973354705</v>
      </c>
      <c r="O36" s="17"/>
      <c r="P36" s="17"/>
      <c r="R36" s="17"/>
      <c r="T36" s="107"/>
    </row>
    <row r="37" spans="1:20" x14ac:dyDescent="0.2">
      <c r="A37" s="4" t="s">
        <v>43</v>
      </c>
      <c r="B37" s="17">
        <f>+'Total Company Tonnage'!D40*'Customer Counts'!E19</f>
        <v>921.4491187544337</v>
      </c>
      <c r="C37" s="21">
        <f t="shared" ref="C37:M37" si="12">+$B37*C21</f>
        <v>450.86505380654444</v>
      </c>
      <c r="D37" s="21">
        <f t="shared" si="12"/>
        <v>15.019620635697269</v>
      </c>
      <c r="E37" s="21">
        <f t="shared" si="12"/>
        <v>213.59190572727775</v>
      </c>
      <c r="F37" s="21">
        <f t="shared" si="12"/>
        <v>8.2008971569144595</v>
      </c>
      <c r="G37" s="21">
        <f t="shared" si="12"/>
        <v>18.060402727586901</v>
      </c>
      <c r="H37" s="21">
        <f t="shared" si="12"/>
        <v>95.369983791083882</v>
      </c>
      <c r="I37" s="21">
        <f t="shared" si="12"/>
        <v>28.104198122010228</v>
      </c>
      <c r="J37" s="21">
        <f t="shared" si="12"/>
        <v>9.0302013637934504</v>
      </c>
      <c r="K37" s="21">
        <f t="shared" si="12"/>
        <v>7.5558827737863572</v>
      </c>
      <c r="L37" s="21">
        <f t="shared" si="12"/>
        <v>6.8187234787828093</v>
      </c>
      <c r="M37" s="21">
        <f t="shared" si="12"/>
        <v>68.832249170956189</v>
      </c>
      <c r="O37" s="17"/>
      <c r="P37" s="17"/>
      <c r="R37" s="17"/>
      <c r="T37" s="107"/>
    </row>
    <row r="38" spans="1:20" ht="15" x14ac:dyDescent="0.35">
      <c r="A38" s="4" t="s">
        <v>44</v>
      </c>
      <c r="B38" s="24">
        <f>+'Total Company Tonnage'!D41*'Customer Counts'!E20</f>
        <v>794.16137314919945</v>
      </c>
      <c r="C38" s="28">
        <f t="shared" ref="C38:M38" si="13">+$B38*C22</f>
        <v>366.34664143372572</v>
      </c>
      <c r="D38" s="28">
        <f t="shared" si="13"/>
        <v>27.795648060221982</v>
      </c>
      <c r="E38" s="28">
        <f t="shared" si="13"/>
        <v>154.06730639094471</v>
      </c>
      <c r="F38" s="28">
        <f t="shared" si="13"/>
        <v>6.8297878090831157</v>
      </c>
      <c r="G38" s="28">
        <f t="shared" si="13"/>
        <v>11.197675361403713</v>
      </c>
      <c r="H38" s="28">
        <f t="shared" si="13"/>
        <v>83.386944180665935</v>
      </c>
      <c r="I38" s="28">
        <f t="shared" si="13"/>
        <v>28.828057845315939</v>
      </c>
      <c r="J38" s="28">
        <f t="shared" si="13"/>
        <v>6.4327071225085151</v>
      </c>
      <c r="K38" s="28">
        <f t="shared" si="13"/>
        <v>5.0826327881548767</v>
      </c>
      <c r="L38" s="28">
        <f t="shared" si="13"/>
        <v>0.79416137314919943</v>
      </c>
      <c r="M38" s="28">
        <f t="shared" si="13"/>
        <v>103.39981078402585</v>
      </c>
      <c r="O38" s="17"/>
      <c r="P38" s="17"/>
      <c r="R38" s="17"/>
      <c r="T38" s="107"/>
    </row>
    <row r="39" spans="1:20" ht="15" x14ac:dyDescent="0.35">
      <c r="B39" s="31">
        <f>SUM(B27:B38)</f>
        <v>10653.347148056613</v>
      </c>
      <c r="C39" s="31">
        <f>SUM(C27:C38)</f>
        <v>5169.7045321962323</v>
      </c>
      <c r="D39" s="31">
        <f t="shared" ref="D39:L39" si="14">SUM(D27:D38)</f>
        <v>291.06492927819625</v>
      </c>
      <c r="E39" s="31">
        <f t="shared" si="14"/>
        <v>2242.8601190315912</v>
      </c>
      <c r="F39" s="31">
        <f t="shared" si="14"/>
        <v>104.99782436297508</v>
      </c>
      <c r="G39" s="31">
        <f t="shared" si="14"/>
        <v>214.92654116757203</v>
      </c>
      <c r="H39" s="31">
        <f t="shared" si="14"/>
        <v>1115.3466870240582</v>
      </c>
      <c r="I39" s="31">
        <f t="shared" si="14"/>
        <v>323.86217349664332</v>
      </c>
      <c r="J39" s="31">
        <f t="shared" si="14"/>
        <v>108.71760754556784</v>
      </c>
      <c r="K39" s="31">
        <f t="shared" si="14"/>
        <v>92.884800959804309</v>
      </c>
      <c r="L39" s="31">
        <f t="shared" si="14"/>
        <v>115.78846046665903</v>
      </c>
      <c r="M39" s="31">
        <f t="shared" ref="M39" si="15">SUM(M27:M38)</f>
        <v>873.19347252731325</v>
      </c>
    </row>
    <row r="43" spans="1:20" x14ac:dyDescent="0.2">
      <c r="A43" s="12" t="s">
        <v>58</v>
      </c>
    </row>
    <row r="44" spans="1:20" x14ac:dyDescent="0.2">
      <c r="A44" s="4" t="s">
        <v>59</v>
      </c>
      <c r="C44" s="38">
        <f>+'Commodity Prices'!B7</f>
        <v>93.93</v>
      </c>
      <c r="D44" s="38">
        <f>+'Commodity Prices'!C7</f>
        <v>85.93</v>
      </c>
      <c r="E44" s="38">
        <f>+'Commodity Prices'!D7</f>
        <v>123.74</v>
      </c>
      <c r="F44" s="38">
        <f>+'Commodity Prices'!E7</f>
        <v>1634.89</v>
      </c>
      <c r="G44" s="38">
        <f>+'Commodity Prices'!F7</f>
        <v>229</v>
      </c>
      <c r="H44" s="38">
        <f>+'Commodity Prices'!G7</f>
        <v>-53.34</v>
      </c>
      <c r="I44" s="38">
        <f>+'Commodity Prices'!H7</f>
        <v>362</v>
      </c>
      <c r="J44" s="38">
        <f>+'Commodity Prices'!I7</f>
        <v>982.6</v>
      </c>
      <c r="K44" s="38">
        <f>+'Commodity Prices'!J7</f>
        <v>667</v>
      </c>
      <c r="L44" s="38">
        <f>+'Commodity Prices'!K7</f>
        <v>96.77</v>
      </c>
    </row>
    <row r="45" spans="1:20" x14ac:dyDescent="0.2">
      <c r="A45" s="4" t="s">
        <v>36</v>
      </c>
      <c r="C45" s="38">
        <f>+'Commodity Prices'!B8</f>
        <v>87.1</v>
      </c>
      <c r="D45" s="38">
        <f>+'Commodity Prices'!C8</f>
        <v>78.099999999999994</v>
      </c>
      <c r="E45" s="38">
        <f>+'Commodity Prices'!D8</f>
        <v>124.91</v>
      </c>
      <c r="F45" s="38">
        <f>+'Commodity Prices'!E8</f>
        <v>1630.11</v>
      </c>
      <c r="G45" s="38">
        <f>+'Commodity Prices'!F8</f>
        <v>203.84</v>
      </c>
      <c r="H45" s="38">
        <f>+'Commodity Prices'!G8</f>
        <v>-53.34</v>
      </c>
      <c r="I45" s="38">
        <f>+'Commodity Prices'!H8</f>
        <v>347</v>
      </c>
      <c r="J45" s="38">
        <f>+'Commodity Prices'!I8</f>
        <v>979</v>
      </c>
      <c r="K45" s="38">
        <f>+'Commodity Prices'!J8</f>
        <v>657</v>
      </c>
      <c r="L45" s="38">
        <f>+'Commodity Prices'!K8</f>
        <v>87</v>
      </c>
    </row>
    <row r="46" spans="1:20" x14ac:dyDescent="0.2">
      <c r="A46" s="4" t="s">
        <v>37</v>
      </c>
      <c r="C46" s="38">
        <f>+'Commodity Prices'!B9</f>
        <v>86.1</v>
      </c>
      <c r="D46" s="38">
        <f>+'Commodity Prices'!C9</f>
        <v>76.099999999999994</v>
      </c>
      <c r="E46" s="38">
        <f>+'Commodity Prices'!D9</f>
        <v>123.91</v>
      </c>
      <c r="F46" s="38">
        <f>+'Commodity Prices'!E9</f>
        <v>1734.55</v>
      </c>
      <c r="G46" s="38">
        <f>+'Commodity Prices'!F9</f>
        <v>198</v>
      </c>
      <c r="H46" s="38">
        <f>+'Commodity Prices'!G9</f>
        <v>-53.34</v>
      </c>
      <c r="I46" s="38">
        <f>+'Commodity Prices'!H9</f>
        <v>322</v>
      </c>
      <c r="J46" s="38">
        <f>+'Commodity Prices'!I9</f>
        <v>837</v>
      </c>
      <c r="K46" s="38">
        <f>+'Commodity Prices'!J9</f>
        <v>657</v>
      </c>
      <c r="L46" s="38">
        <f>+'Commodity Prices'!K9</f>
        <v>57</v>
      </c>
      <c r="M46" s="105"/>
    </row>
    <row r="47" spans="1:20" x14ac:dyDescent="0.2">
      <c r="A47" s="4" t="s">
        <v>38</v>
      </c>
      <c r="C47" s="38">
        <f>+'Commodity Prices'!B10</f>
        <v>84.57</v>
      </c>
      <c r="D47" s="38">
        <f>+'Commodity Prices'!C10</f>
        <v>73.569999999999993</v>
      </c>
      <c r="E47" s="38">
        <f>+'Commodity Prices'!D10</f>
        <v>121.37</v>
      </c>
      <c r="F47" s="38">
        <f>+'Commodity Prices'!E10</f>
        <v>1705.09</v>
      </c>
      <c r="G47" s="38">
        <f>+'Commodity Prices'!F10</f>
        <v>192</v>
      </c>
      <c r="H47" s="38">
        <f>+'Commodity Prices'!G10</f>
        <v>-53.34</v>
      </c>
      <c r="I47" s="38">
        <f>+'Commodity Prices'!H10</f>
        <v>251.66</v>
      </c>
      <c r="J47" s="38">
        <f>+'Commodity Prices'!I10</f>
        <v>769.4</v>
      </c>
      <c r="K47" s="38">
        <f>+'Commodity Prices'!J10</f>
        <v>597</v>
      </c>
      <c r="L47" s="38">
        <f>+'Commodity Prices'!K10</f>
        <v>57</v>
      </c>
      <c r="M47" s="22"/>
    </row>
    <row r="48" spans="1:20" x14ac:dyDescent="0.2">
      <c r="A48" s="4" t="s">
        <v>46</v>
      </c>
      <c r="C48" s="38">
        <f>+'Commodity Prices'!B11</f>
        <v>82.23</v>
      </c>
      <c r="D48" s="38">
        <f>+'Commodity Prices'!C11</f>
        <v>71.180000000000007</v>
      </c>
      <c r="E48" s="38">
        <f>+'Commodity Prices'!D11</f>
        <v>119.84</v>
      </c>
      <c r="F48" s="38">
        <f>+'Commodity Prices'!E11</f>
        <v>1606.97</v>
      </c>
      <c r="G48" s="38">
        <f>+'Commodity Prices'!F11</f>
        <v>148.13999999999999</v>
      </c>
      <c r="H48" s="38">
        <f>+'Commodity Prices'!G11</f>
        <v>-53.34</v>
      </c>
      <c r="I48" s="38">
        <f>+'Commodity Prices'!H11</f>
        <v>232.7</v>
      </c>
      <c r="J48" s="38">
        <f>+'Commodity Prices'!I11</f>
        <v>587</v>
      </c>
      <c r="K48" s="38">
        <f>+'Commodity Prices'!J11</f>
        <v>417</v>
      </c>
      <c r="L48" s="38">
        <f>+'Commodity Prices'!K11</f>
        <v>57</v>
      </c>
      <c r="M48" s="22"/>
    </row>
    <row r="49" spans="1:13" x14ac:dyDescent="0.2">
      <c r="A49" s="4" t="s">
        <v>39</v>
      </c>
      <c r="C49" s="38">
        <f>+'Commodity Prices'!B12</f>
        <v>80.08</v>
      </c>
      <c r="D49" s="38">
        <f>+'Commodity Prices'!C12</f>
        <v>68.33</v>
      </c>
      <c r="E49" s="38">
        <f>+'Commodity Prices'!D12</f>
        <v>109.97</v>
      </c>
      <c r="F49" s="38">
        <f>+'Commodity Prices'!E12</f>
        <v>1747</v>
      </c>
      <c r="G49" s="38">
        <f>+'Commodity Prices'!F12</f>
        <v>79.14</v>
      </c>
      <c r="H49" s="38">
        <f>+'Commodity Prices'!G12</f>
        <v>-53.34</v>
      </c>
      <c r="I49" s="38">
        <f>+'Commodity Prices'!H12</f>
        <v>160</v>
      </c>
      <c r="J49" s="38">
        <f>+'Commodity Prices'!I12</f>
        <v>487</v>
      </c>
      <c r="K49" s="38">
        <f>+'Commodity Prices'!J12</f>
        <v>320</v>
      </c>
      <c r="L49" s="38">
        <f>+'Commodity Prices'!K12</f>
        <v>37</v>
      </c>
      <c r="M49" s="18"/>
    </row>
    <row r="50" spans="1:13" x14ac:dyDescent="0.2">
      <c r="A50" s="4" t="s">
        <v>40</v>
      </c>
      <c r="C50" s="38">
        <f>+'Commodity Prices'!B13</f>
        <v>71.91</v>
      </c>
      <c r="D50" s="38">
        <f>+'Commodity Prices'!C13</f>
        <v>56.33</v>
      </c>
      <c r="E50" s="38">
        <f>+'Commodity Prices'!D13</f>
        <v>94.86</v>
      </c>
      <c r="F50" s="38">
        <f>+'Commodity Prices'!E13</f>
        <v>1647</v>
      </c>
      <c r="G50" s="38">
        <f>+'Commodity Prices'!F13</f>
        <v>147</v>
      </c>
      <c r="H50" s="38">
        <f>+'Commodity Prices'!G13</f>
        <v>-53.34</v>
      </c>
      <c r="I50" s="38">
        <f>+'Commodity Prices'!H13</f>
        <v>167</v>
      </c>
      <c r="J50" s="38">
        <f>+'Commodity Prices'!I13</f>
        <v>527</v>
      </c>
      <c r="K50" s="38">
        <f>+'Commodity Prices'!J13</f>
        <v>477</v>
      </c>
      <c r="L50" s="38">
        <f>+'Commodity Prices'!K13</f>
        <v>57</v>
      </c>
      <c r="M50" s="18"/>
    </row>
    <row r="51" spans="1:13" x14ac:dyDescent="0.2">
      <c r="A51" s="4" t="s">
        <v>41</v>
      </c>
      <c r="C51" s="38">
        <f>+'Commodity Prices'!B14</f>
        <v>71.900000000000006</v>
      </c>
      <c r="D51" s="38">
        <f>+'Commodity Prices'!C14</f>
        <v>56.83</v>
      </c>
      <c r="E51" s="38">
        <f>+'Commodity Prices'!D14</f>
        <v>93.19</v>
      </c>
      <c r="F51" s="38">
        <f>+'Commodity Prices'!E14</f>
        <v>1336.87</v>
      </c>
      <c r="G51" s="38">
        <f>+'Commodity Prices'!F14</f>
        <v>79.14</v>
      </c>
      <c r="H51" s="38">
        <f>+'Commodity Prices'!G14</f>
        <v>-53.34</v>
      </c>
      <c r="I51" s="38">
        <f>+'Commodity Prices'!H14</f>
        <v>203.54</v>
      </c>
      <c r="J51" s="38">
        <f>+'Commodity Prices'!I14</f>
        <v>577.66999999999996</v>
      </c>
      <c r="K51" s="38">
        <f>+'Commodity Prices'!J14</f>
        <v>607</v>
      </c>
      <c r="L51" s="38">
        <f>+'Commodity Prices'!K14</f>
        <v>37</v>
      </c>
      <c r="M51" s="18"/>
    </row>
    <row r="52" spans="1:13" x14ac:dyDescent="0.2">
      <c r="A52" s="4" t="s">
        <v>10</v>
      </c>
      <c r="C52" s="38">
        <f>+'Commodity Prices'!B15</f>
        <v>78.47</v>
      </c>
      <c r="D52" s="38">
        <f>+'Commodity Prices'!C15</f>
        <v>66.61</v>
      </c>
      <c r="E52" s="38">
        <f>+'Commodity Prices'!D15</f>
        <v>113.05</v>
      </c>
      <c r="F52" s="38">
        <f>+'Commodity Prices'!E15</f>
        <v>1088</v>
      </c>
      <c r="G52" s="38">
        <f>+'Commodity Prices'!F15</f>
        <v>73.209999999999994</v>
      </c>
      <c r="H52" s="38">
        <f>+'Commodity Prices'!G15</f>
        <v>-53.34</v>
      </c>
      <c r="I52" s="38">
        <f>+'Commodity Prices'!H15</f>
        <v>244</v>
      </c>
      <c r="J52" s="38">
        <f>+'Commodity Prices'!I15</f>
        <v>700</v>
      </c>
      <c r="K52" s="38">
        <f>+'Commodity Prices'!J15</f>
        <v>625</v>
      </c>
      <c r="L52" s="38">
        <f>+'Commodity Prices'!K15</f>
        <v>93</v>
      </c>
      <c r="M52" s="18"/>
    </row>
    <row r="53" spans="1:13" x14ac:dyDescent="0.2">
      <c r="A53" s="4" t="s">
        <v>42</v>
      </c>
      <c r="C53" s="38">
        <f>+'Commodity Prices'!B16</f>
        <v>88.25</v>
      </c>
      <c r="D53" s="38">
        <f>+'Commodity Prices'!C16</f>
        <v>79.239999999999995</v>
      </c>
      <c r="E53" s="38">
        <f>+'Commodity Prices'!D16</f>
        <v>129.06</v>
      </c>
      <c r="F53" s="38">
        <f>+'Commodity Prices'!E16</f>
        <v>1057.98</v>
      </c>
      <c r="G53" s="38">
        <f>+'Commodity Prices'!F16</f>
        <v>102.69</v>
      </c>
      <c r="H53" s="38">
        <f>+'Commodity Prices'!G16</f>
        <v>-53.34</v>
      </c>
      <c r="I53" s="38">
        <f>+'Commodity Prices'!H16</f>
        <v>271</v>
      </c>
      <c r="J53" s="38">
        <f>+'Commodity Prices'!I16</f>
        <v>720</v>
      </c>
      <c r="K53" s="38">
        <f>+'Commodity Prices'!J16</f>
        <v>560</v>
      </c>
      <c r="L53" s="38">
        <f>+'Commodity Prices'!K16</f>
        <v>95</v>
      </c>
      <c r="M53" s="18"/>
    </row>
    <row r="54" spans="1:13" x14ac:dyDescent="0.2">
      <c r="A54" s="4" t="s">
        <v>43</v>
      </c>
      <c r="C54" s="38">
        <f>+'Commodity Prices'!B17</f>
        <v>92.65</v>
      </c>
      <c r="D54" s="38">
        <f>+'Commodity Prices'!C17</f>
        <v>82.65</v>
      </c>
      <c r="E54" s="38">
        <f>+'Commodity Prices'!D17</f>
        <v>131.09</v>
      </c>
      <c r="F54" s="38">
        <f>+'Commodity Prices'!E17</f>
        <v>1064.83</v>
      </c>
      <c r="G54" s="38">
        <f>+'Commodity Prices'!F17</f>
        <v>116.7</v>
      </c>
      <c r="H54" s="38">
        <f>+'Commodity Prices'!G17</f>
        <v>-53.34</v>
      </c>
      <c r="I54" s="38">
        <f>+'Commodity Prices'!H17</f>
        <v>255</v>
      </c>
      <c r="J54" s="38">
        <f>+'Commodity Prices'!I17</f>
        <v>750</v>
      </c>
      <c r="K54" s="38">
        <f>+'Commodity Prices'!J17</f>
        <v>480</v>
      </c>
      <c r="L54" s="38">
        <f>+'Commodity Prices'!K17</f>
        <v>80</v>
      </c>
    </row>
    <row r="55" spans="1:13" x14ac:dyDescent="0.2">
      <c r="A55" s="4" t="s">
        <v>44</v>
      </c>
      <c r="C55" s="38">
        <f>+'Commodity Prices'!B18</f>
        <v>82.81</v>
      </c>
      <c r="D55" s="38">
        <f>+'Commodity Prices'!C18</f>
        <v>72.489999999999995</v>
      </c>
      <c r="E55" s="38">
        <f>+'Commodity Prices'!D18</f>
        <v>117.23</v>
      </c>
      <c r="F55" s="38">
        <f>+'Commodity Prices'!E18</f>
        <v>1079.27</v>
      </c>
      <c r="G55" s="38">
        <f>+'Commodity Prices'!F18</f>
        <v>89.63</v>
      </c>
      <c r="H55" s="38">
        <f>+'Commodity Prices'!G18</f>
        <v>-53.34</v>
      </c>
      <c r="I55" s="38">
        <f>+'Commodity Prices'!H18</f>
        <v>175</v>
      </c>
      <c r="J55" s="38">
        <f>+'Commodity Prices'!I18</f>
        <v>603</v>
      </c>
      <c r="K55" s="38">
        <f>+'Commodity Prices'!J18</f>
        <v>403</v>
      </c>
      <c r="L55" s="38">
        <f>+'Commodity Prices'!K18</f>
        <v>45</v>
      </c>
    </row>
    <row r="59" spans="1:13" x14ac:dyDescent="0.2">
      <c r="A59" s="12" t="s">
        <v>61</v>
      </c>
    </row>
    <row r="60" spans="1:13" x14ac:dyDescent="0.2">
      <c r="A60" s="4" t="s">
        <v>59</v>
      </c>
      <c r="B60" s="20">
        <f t="shared" ref="B60:B71" si="16">SUM(C60:L60)</f>
        <v>99652.632547867732</v>
      </c>
      <c r="C60" s="20">
        <f>+C44*C27</f>
        <v>40263.428310929157</v>
      </c>
      <c r="D60" s="20">
        <f t="shared" ref="D60:L60" si="17">+D44*D27</f>
        <v>4175.924002009071</v>
      </c>
      <c r="E60" s="20">
        <f t="shared" si="17"/>
        <v>21368.118125796016</v>
      </c>
      <c r="F60" s="20">
        <f t="shared" si="17"/>
        <v>12129.838314418195</v>
      </c>
      <c r="G60" s="20">
        <f t="shared" si="17"/>
        <v>4396.2493318997431</v>
      </c>
      <c r="H60" s="20">
        <f t="shared" si="17"/>
        <v>-5906.5491973094022</v>
      </c>
      <c r="I60" s="20">
        <f t="shared" si="17"/>
        <v>8158.1433396597849</v>
      </c>
      <c r="J60" s="20">
        <f t="shared" si="17"/>
        <v>9203.9578496296326</v>
      </c>
      <c r="K60" s="20">
        <f t="shared" si="17"/>
        <v>3835.2529348645021</v>
      </c>
      <c r="L60" s="20">
        <f t="shared" si="17"/>
        <v>2028.2695359710146</v>
      </c>
    </row>
    <row r="61" spans="1:13" x14ac:dyDescent="0.2">
      <c r="A61" s="4" t="s">
        <v>36</v>
      </c>
      <c r="B61" s="20">
        <f t="shared" si="16"/>
        <v>105114.05532105257</v>
      </c>
      <c r="C61" s="20">
        <f t="shared" ref="C61" si="18">+C45*C28</f>
        <v>42313.449471175059</v>
      </c>
      <c r="D61" s="20">
        <f t="shared" ref="D61:L61" si="19">+D45*D28</f>
        <v>2697.0265975713769</v>
      </c>
      <c r="E61" s="20">
        <f t="shared" si="19"/>
        <v>23370.970363812325</v>
      </c>
      <c r="F61" s="20">
        <f t="shared" si="19"/>
        <v>12880.504213211125</v>
      </c>
      <c r="G61" s="20">
        <f t="shared" si="19"/>
        <v>3778.1043177043921</v>
      </c>
      <c r="H61" s="20">
        <f t="shared" si="19"/>
        <v>-5525.9692207858106</v>
      </c>
      <c r="I61" s="20">
        <f t="shared" si="19"/>
        <v>8665.6346244298038</v>
      </c>
      <c r="J61" s="20">
        <f t="shared" si="19"/>
        <v>9741.2299883635569</v>
      </c>
      <c r="K61" s="20">
        <f t="shared" si="19"/>
        <v>5639.9983276976054</v>
      </c>
      <c r="L61" s="20">
        <f t="shared" si="19"/>
        <v>1553.1066378731418</v>
      </c>
    </row>
    <row r="62" spans="1:13" x14ac:dyDescent="0.2">
      <c r="A62" s="4" t="s">
        <v>37</v>
      </c>
      <c r="B62" s="20">
        <f t="shared" si="16"/>
        <v>105064.1285064925</v>
      </c>
      <c r="C62" s="20">
        <f t="shared" ref="C62" si="20">+C46*C29</f>
        <v>39932.961496549819</v>
      </c>
      <c r="D62" s="20">
        <f t="shared" ref="D62:L62" si="21">+D46*D29</f>
        <v>2332.3481259295713</v>
      </c>
      <c r="E62" s="20">
        <f t="shared" si="21"/>
        <v>8198.5751156435017</v>
      </c>
      <c r="F62" s="20">
        <f t="shared" si="21"/>
        <v>30180.109379078658</v>
      </c>
      <c r="G62" s="20">
        <f t="shared" si="21"/>
        <v>4819.9498783428753</v>
      </c>
      <c r="H62" s="20">
        <f t="shared" si="21"/>
        <v>-4155.0889133060036</v>
      </c>
      <c r="I62" s="20">
        <f t="shared" si="21"/>
        <v>7735.704290590299</v>
      </c>
      <c r="J62" s="20">
        <f t="shared" si="21"/>
        <v>10755.455965488505</v>
      </c>
      <c r="K62" s="20">
        <f t="shared" si="21"/>
        <v>5191.3230656906053</v>
      </c>
      <c r="L62" s="20">
        <f t="shared" si="21"/>
        <v>72.790102484661404</v>
      </c>
    </row>
    <row r="63" spans="1:13" x14ac:dyDescent="0.2">
      <c r="A63" s="4" t="s">
        <v>38</v>
      </c>
      <c r="B63" s="20">
        <f t="shared" si="16"/>
        <v>100474.5412221189</v>
      </c>
      <c r="C63" s="20">
        <f t="shared" ref="C63" si="22">+C47*C30</f>
        <v>33140.173795248484</v>
      </c>
      <c r="D63" s="20">
        <f t="shared" ref="D63:L63" si="23">+D47*D30</f>
        <v>3921.6788601118787</v>
      </c>
      <c r="E63" s="20">
        <f t="shared" si="23"/>
        <v>29224.290337503149</v>
      </c>
      <c r="F63" s="20">
        <f t="shared" si="23"/>
        <v>15721.603109582798</v>
      </c>
      <c r="G63" s="20">
        <f t="shared" si="23"/>
        <v>3927.8882197903176</v>
      </c>
      <c r="H63" s="20">
        <f t="shared" si="23"/>
        <v>-5558.5438684302353</v>
      </c>
      <c r="I63" s="20">
        <f t="shared" si="23"/>
        <v>7758.8528011289718</v>
      </c>
      <c r="J63" s="20">
        <f t="shared" si="23"/>
        <v>5690.1169824827275</v>
      </c>
      <c r="K63" s="20">
        <f t="shared" si="23"/>
        <v>5619.2544059823049</v>
      </c>
      <c r="L63" s="20">
        <f t="shared" si="23"/>
        <v>1029.2265787185311</v>
      </c>
    </row>
    <row r="64" spans="1:13" x14ac:dyDescent="0.2">
      <c r="A64" s="4" t="s">
        <v>46</v>
      </c>
      <c r="B64" s="20">
        <f t="shared" si="16"/>
        <v>94899.333918361517</v>
      </c>
      <c r="C64" s="20">
        <f t="shared" ref="C64" si="24">+C48*C31</f>
        <v>39809.721176057319</v>
      </c>
      <c r="D64" s="20">
        <f t="shared" ref="D64:L64" si="25">+D48*D31</f>
        <v>666.17731191404664</v>
      </c>
      <c r="E64" s="20">
        <f t="shared" si="25"/>
        <v>22039.763904581218</v>
      </c>
      <c r="F64" s="20">
        <f t="shared" si="25"/>
        <v>17814.032045250369</v>
      </c>
      <c r="G64" s="20">
        <f t="shared" si="25"/>
        <v>2611.3717384707288</v>
      </c>
      <c r="H64" s="20">
        <f t="shared" si="25"/>
        <v>-3916.1471446021101</v>
      </c>
      <c r="I64" s="20">
        <f t="shared" si="25"/>
        <v>5772.3633386293777</v>
      </c>
      <c r="J64" s="20">
        <f t="shared" si="25"/>
        <v>5600.4384644729844</v>
      </c>
      <c r="K64" s="20">
        <f t="shared" si="25"/>
        <v>3258.5856122808491</v>
      </c>
      <c r="L64" s="20">
        <f t="shared" si="25"/>
        <v>1243.027471306732</v>
      </c>
    </row>
    <row r="65" spans="1:12" x14ac:dyDescent="0.2">
      <c r="A65" s="4" t="s">
        <v>39</v>
      </c>
      <c r="B65" s="20">
        <f t="shared" si="16"/>
        <v>74466.717214144213</v>
      </c>
      <c r="C65" s="20">
        <f t="shared" ref="C65" si="26">+C49*C32</f>
        <v>31772.30468968915</v>
      </c>
      <c r="D65" s="20">
        <f t="shared" ref="D65:L65" si="27">+D49*D32</f>
        <v>715.78638504942569</v>
      </c>
      <c r="E65" s="20">
        <f t="shared" si="27"/>
        <v>21617.689326024964</v>
      </c>
      <c r="F65" s="20">
        <f t="shared" si="27"/>
        <v>12438.677291873668</v>
      </c>
      <c r="G65" s="20">
        <f t="shared" si="27"/>
        <v>1424.8881339659717</v>
      </c>
      <c r="H65" s="20">
        <f t="shared" si="27"/>
        <v>-4496.2689283500631</v>
      </c>
      <c r="I65" s="20">
        <f t="shared" si="27"/>
        <v>3993.7590999574645</v>
      </c>
      <c r="J65" s="20">
        <f t="shared" si="27"/>
        <v>4423.9884357868996</v>
      </c>
      <c r="K65" s="20">
        <f t="shared" si="27"/>
        <v>2409.3497521054865</v>
      </c>
      <c r="L65" s="20">
        <f t="shared" si="27"/>
        <v>166.54302804125902</v>
      </c>
    </row>
    <row r="66" spans="1:12" x14ac:dyDescent="0.2">
      <c r="A66" s="4" t="s">
        <v>40</v>
      </c>
      <c r="B66" s="20">
        <f t="shared" si="16"/>
        <v>74917.292570709542</v>
      </c>
      <c r="C66" s="20">
        <f t="shared" ref="C66" si="28">+C50*C33</f>
        <v>29386.713661519789</v>
      </c>
      <c r="D66" s="20">
        <f t="shared" ref="D66:L66" si="29">+D50*D33</f>
        <v>870.93816600403477</v>
      </c>
      <c r="E66" s="20">
        <f t="shared" si="29"/>
        <v>20954.754040320367</v>
      </c>
      <c r="F66" s="20">
        <f t="shared" si="29"/>
        <v>11561.628579663253</v>
      </c>
      <c r="G66" s="20">
        <f t="shared" si="29"/>
        <v>2716.9333998277157</v>
      </c>
      <c r="H66" s="20">
        <f t="shared" si="29"/>
        <v>-5275.291936800103</v>
      </c>
      <c r="I66" s="20">
        <f t="shared" si="29"/>
        <v>5015.6993291037161</v>
      </c>
      <c r="J66" s="20">
        <f t="shared" si="29"/>
        <v>4963.8060433403925</v>
      </c>
      <c r="K66" s="20">
        <f t="shared" si="29"/>
        <v>4408.0858221694571</v>
      </c>
      <c r="L66" s="20">
        <f t="shared" si="29"/>
        <v>314.02546556093489</v>
      </c>
    </row>
    <row r="67" spans="1:12" x14ac:dyDescent="0.2">
      <c r="A67" s="4" t="s">
        <v>41</v>
      </c>
      <c r="B67" s="20">
        <f t="shared" si="16"/>
        <v>73912.262925756848</v>
      </c>
      <c r="C67" s="20">
        <f t="shared" ref="C67" si="30">+C51*C34</f>
        <v>30593.934578813307</v>
      </c>
      <c r="D67" s="20">
        <f t="shared" ref="D67:L67" si="31">+D51*D34</f>
        <v>863.62671473969817</v>
      </c>
      <c r="E67" s="20">
        <f t="shared" si="31"/>
        <v>19684.868771733858</v>
      </c>
      <c r="F67" s="20">
        <f t="shared" si="31"/>
        <v>10277.491338204673</v>
      </c>
      <c r="G67" s="20">
        <f t="shared" si="31"/>
        <v>1315.8563503159003</v>
      </c>
      <c r="H67" s="20">
        <f t="shared" si="31"/>
        <v>-5259.3008464387794</v>
      </c>
      <c r="I67" s="20">
        <f t="shared" si="31"/>
        <v>5949.7266518744891</v>
      </c>
      <c r="J67" s="20">
        <f t="shared" si="31"/>
        <v>5163.9176108691699</v>
      </c>
      <c r="K67" s="20">
        <f t="shared" si="31"/>
        <v>5100.5385607868357</v>
      </c>
      <c r="L67" s="20">
        <f t="shared" si="31"/>
        <v>221.60319485769855</v>
      </c>
    </row>
    <row r="68" spans="1:12" x14ac:dyDescent="0.2">
      <c r="A68" s="4" t="s">
        <v>10</v>
      </c>
      <c r="B68" s="20">
        <f t="shared" si="16"/>
        <v>77348.981063334752</v>
      </c>
      <c r="C68" s="20">
        <f t="shared" ref="C68" si="32">+C52*C35</f>
        <v>32770.4690918872</v>
      </c>
      <c r="D68" s="20">
        <f t="shared" ref="D68:L68" si="33">+D52*D35</f>
        <v>1060.0407866915862</v>
      </c>
      <c r="E68" s="20">
        <f t="shared" si="33"/>
        <v>21327.962002600743</v>
      </c>
      <c r="F68" s="20">
        <f t="shared" si="33"/>
        <v>7819.4891123033158</v>
      </c>
      <c r="G68" s="20">
        <f t="shared" si="33"/>
        <v>1177.6017814185536</v>
      </c>
      <c r="H68" s="20">
        <f t="shared" si="33"/>
        <v>-4805.6438349146829</v>
      </c>
      <c r="I68" s="20">
        <f t="shared" si="33"/>
        <v>7014.5417036838571</v>
      </c>
      <c r="J68" s="20">
        <f t="shared" si="33"/>
        <v>5510.0566661451066</v>
      </c>
      <c r="K68" s="20">
        <f t="shared" si="33"/>
        <v>4973.1683807404388</v>
      </c>
      <c r="L68" s="20">
        <f t="shared" si="33"/>
        <v>501.29537277863631</v>
      </c>
    </row>
    <row r="69" spans="1:12" x14ac:dyDescent="0.2">
      <c r="A69" s="4" t="s">
        <v>42</v>
      </c>
      <c r="B69" s="20">
        <f t="shared" si="16"/>
        <v>91152.492894108887</v>
      </c>
      <c r="C69" s="20">
        <f t="shared" ref="C69" si="34">+C53*C36</f>
        <v>39686.398743726691</v>
      </c>
      <c r="D69" s="20">
        <f t="shared" ref="D69:L69" si="35">+D53*D36</f>
        <v>1169.5298421618133</v>
      </c>
      <c r="E69" s="20">
        <f t="shared" si="35"/>
        <v>26738.309599409193</v>
      </c>
      <c r="F69" s="20">
        <f t="shared" si="35"/>
        <v>8385.8779446174558</v>
      </c>
      <c r="G69" s="20">
        <f t="shared" si="35"/>
        <v>1674.6845408694167</v>
      </c>
      <c r="H69" s="20">
        <f t="shared" si="35"/>
        <v>-5058.8938569129332</v>
      </c>
      <c r="I69" s="20">
        <f t="shared" si="35"/>
        <v>7258.8604586472975</v>
      </c>
      <c r="J69" s="20">
        <f t="shared" si="35"/>
        <v>6362.9140551739256</v>
      </c>
      <c r="K69" s="20">
        <f t="shared" si="35"/>
        <v>4285.6740715260803</v>
      </c>
      <c r="L69" s="20">
        <f t="shared" si="35"/>
        <v>649.13749488995154</v>
      </c>
    </row>
    <row r="70" spans="1:12" x14ac:dyDescent="0.2">
      <c r="A70" s="4" t="s">
        <v>43</v>
      </c>
      <c r="B70" s="20">
        <f t="shared" si="16"/>
        <v>94878.500338673533</v>
      </c>
      <c r="C70" s="20">
        <f t="shared" ref="C70" si="36">+C54*C37</f>
        <v>41772.647235176344</v>
      </c>
      <c r="D70" s="20">
        <f t="shared" ref="D70:L70" si="37">+D54*D37</f>
        <v>1241.3716455403794</v>
      </c>
      <c r="E70" s="20">
        <f t="shared" si="37"/>
        <v>27999.762921788843</v>
      </c>
      <c r="F70" s="20">
        <f t="shared" si="37"/>
        <v>8732.5613195972237</v>
      </c>
      <c r="G70" s="20">
        <f t="shared" si="37"/>
        <v>2107.6489983093916</v>
      </c>
      <c r="H70" s="20">
        <f t="shared" si="37"/>
        <v>-5087.0349354164146</v>
      </c>
      <c r="I70" s="20">
        <f t="shared" si="37"/>
        <v>7166.5705211126078</v>
      </c>
      <c r="J70" s="20">
        <f t="shared" si="37"/>
        <v>6772.6510228450879</v>
      </c>
      <c r="K70" s="20">
        <f t="shared" si="37"/>
        <v>3626.8237314174517</v>
      </c>
      <c r="L70" s="20">
        <f t="shared" si="37"/>
        <v>545.49787830262471</v>
      </c>
    </row>
    <row r="71" spans="1:12" ht="15" x14ac:dyDescent="0.35">
      <c r="A71" s="4" t="s">
        <v>44</v>
      </c>
      <c r="B71" s="27">
        <f t="shared" si="16"/>
        <v>65348.226155198856</v>
      </c>
      <c r="C71" s="27">
        <f t="shared" ref="C71" si="38">+C55*C38</f>
        <v>30337.165377126828</v>
      </c>
      <c r="D71" s="27">
        <f t="shared" ref="D71:L71" si="39">+D55*D38</f>
        <v>2014.9065278854914</v>
      </c>
      <c r="E71" s="27">
        <f t="shared" si="39"/>
        <v>18061.310328210449</v>
      </c>
      <c r="F71" s="27">
        <f t="shared" si="39"/>
        <v>7371.1850887091341</v>
      </c>
      <c r="G71" s="27">
        <f t="shared" si="39"/>
        <v>1003.6476426426148</v>
      </c>
      <c r="H71" s="27">
        <f t="shared" si="39"/>
        <v>-4447.8596025967208</v>
      </c>
      <c r="I71" s="27">
        <f t="shared" si="39"/>
        <v>5044.9101229302896</v>
      </c>
      <c r="J71" s="27">
        <f t="shared" si="39"/>
        <v>3878.9223948726344</v>
      </c>
      <c r="K71" s="27">
        <f t="shared" si="39"/>
        <v>2048.3010136264152</v>
      </c>
      <c r="L71" s="27">
        <f t="shared" si="39"/>
        <v>35.737261791713976</v>
      </c>
    </row>
    <row r="72" spans="1:12" ht="15" x14ac:dyDescent="0.35">
      <c r="B72" s="39">
        <f t="shared" ref="B72" si="40">SUM(B60:B71)</f>
        <v>1057229.1646778199</v>
      </c>
      <c r="C72" s="39">
        <f t="shared" ref="C72" si="41">SUM(C60:C71)</f>
        <v>431779.36762789916</v>
      </c>
      <c r="D72" s="39">
        <f>SUM(D60:D71)</f>
        <v>21729.354965608374</v>
      </c>
      <c r="E72" s="39">
        <f t="shared" ref="E72:L72" si="42">SUM(E60:E71)</f>
        <v>260586.37483742464</v>
      </c>
      <c r="F72" s="39">
        <f t="shared" si="42"/>
        <v>155312.99773650986</v>
      </c>
      <c r="G72" s="39">
        <f t="shared" si="42"/>
        <v>30954.824333557623</v>
      </c>
      <c r="H72" s="39">
        <f t="shared" si="42"/>
        <v>-59492.592285863262</v>
      </c>
      <c r="I72" s="39">
        <f t="shared" si="42"/>
        <v>79534.766281747958</v>
      </c>
      <c r="J72" s="39">
        <f t="shared" si="42"/>
        <v>78067.45547947062</v>
      </c>
      <c r="K72" s="39">
        <f t="shared" si="42"/>
        <v>50396.355678888031</v>
      </c>
      <c r="L72" s="39">
        <f t="shared" si="42"/>
        <v>8360.2600225769002</v>
      </c>
    </row>
    <row r="77" spans="1:12" x14ac:dyDescent="0.2">
      <c r="B77" s="17"/>
      <c r="C77" s="17"/>
      <c r="D77" s="17"/>
      <c r="E77" s="17"/>
      <c r="F77" s="17"/>
      <c r="G77" s="17"/>
      <c r="H77" s="17"/>
      <c r="I77" s="17"/>
      <c r="J77" s="17"/>
      <c r="K77" s="17"/>
      <c r="L77" s="17"/>
    </row>
    <row r="80" spans="1:12" x14ac:dyDescent="0.2">
      <c r="B80" s="2"/>
    </row>
    <row r="81" spans="2:2" x14ac:dyDescent="0.2">
      <c r="B81" s="2"/>
    </row>
    <row r="82" spans="2:2" x14ac:dyDescent="0.2">
      <c r="B82" s="41"/>
    </row>
    <row r="83" spans="2:2" x14ac:dyDescent="0.2">
      <c r="B83" s="41"/>
    </row>
    <row r="84" spans="2:2" x14ac:dyDescent="0.2">
      <c r="B84" s="41"/>
    </row>
    <row r="85" spans="2:2" x14ac:dyDescent="0.2">
      <c r="B85" s="41"/>
    </row>
    <row r="86" spans="2:2" x14ac:dyDescent="0.2">
      <c r="B86" s="41"/>
    </row>
    <row r="87" spans="2:2" x14ac:dyDescent="0.2">
      <c r="B87" s="41"/>
    </row>
    <row r="88" spans="2:2" x14ac:dyDescent="0.2">
      <c r="B88" s="41"/>
    </row>
    <row r="89" spans="2:2" x14ac:dyDescent="0.2">
      <c r="B89" s="41"/>
    </row>
    <row r="90" spans="2:2" x14ac:dyDescent="0.2">
      <c r="B90" s="41"/>
    </row>
  </sheetData>
  <pageMargins left="0.7" right="0.7" top="0.75" bottom="0.75" header="0.3" footer="0.3"/>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workbookViewId="0">
      <selection activeCell="D4" sqref="D4"/>
    </sheetView>
  </sheetViews>
  <sheetFormatPr defaultRowHeight="12.75" x14ac:dyDescent="0.2"/>
  <cols>
    <col min="2" max="2" width="9.7109375" bestFit="1" customWidth="1"/>
    <col min="3" max="3" width="9.7109375" customWidth="1"/>
    <col min="4" max="4" width="11.28515625" bestFit="1" customWidth="1"/>
    <col min="5" max="5" width="8.7109375" bestFit="1" customWidth="1"/>
    <col min="6" max="6" width="10.28515625" bestFit="1" customWidth="1"/>
    <col min="7" max="7" width="10.7109375" bestFit="1" customWidth="1"/>
    <col min="8" max="8" width="9.28515625" bestFit="1" customWidth="1"/>
    <col min="9" max="12" width="8.7109375" bestFit="1" customWidth="1"/>
  </cols>
  <sheetData>
    <row r="1" spans="1:13" ht="26.25" x14ac:dyDescent="0.4">
      <c r="A1" s="7" t="s">
        <v>18</v>
      </c>
    </row>
    <row r="2" spans="1:13" ht="18" x14ac:dyDescent="0.25">
      <c r="A2" s="5" t="s">
        <v>107</v>
      </c>
    </row>
    <row r="3" spans="1:13" x14ac:dyDescent="0.2">
      <c r="A3" s="6" t="s">
        <v>105</v>
      </c>
    </row>
    <row r="6" spans="1:13" x14ac:dyDescent="0.2">
      <c r="D6" s="40"/>
      <c r="E6" s="40"/>
      <c r="F6" s="40"/>
      <c r="G6" s="40"/>
      <c r="H6" s="40"/>
      <c r="I6" s="40"/>
      <c r="J6" s="40"/>
      <c r="K6" s="40"/>
      <c r="L6" s="40"/>
    </row>
    <row r="7" spans="1:13" x14ac:dyDescent="0.2">
      <c r="C7" s="2"/>
      <c r="D7" s="41" t="s">
        <v>47</v>
      </c>
      <c r="E7" s="41"/>
      <c r="F7" s="41" t="s">
        <v>1</v>
      </c>
      <c r="G7" s="41" t="s">
        <v>48</v>
      </c>
      <c r="H7" s="41"/>
      <c r="I7" s="41"/>
      <c r="J7" s="41" t="s">
        <v>2</v>
      </c>
      <c r="K7" s="41" t="s">
        <v>2</v>
      </c>
      <c r="L7" s="41" t="s">
        <v>49</v>
      </c>
    </row>
    <row r="8" spans="1:13" x14ac:dyDescent="0.2">
      <c r="B8" s="10" t="s">
        <v>23</v>
      </c>
      <c r="C8" s="10" t="s">
        <v>110</v>
      </c>
      <c r="D8" s="42" t="s">
        <v>50</v>
      </c>
      <c r="E8" s="42" t="s">
        <v>51</v>
      </c>
      <c r="F8" s="42" t="s">
        <v>52</v>
      </c>
      <c r="G8" s="42" t="s">
        <v>53</v>
      </c>
      <c r="H8" s="42" t="s">
        <v>4</v>
      </c>
      <c r="I8" s="42" t="s">
        <v>3</v>
      </c>
      <c r="J8" s="42" t="s">
        <v>54</v>
      </c>
      <c r="K8" s="42" t="s">
        <v>55</v>
      </c>
      <c r="L8" s="42" t="s">
        <v>56</v>
      </c>
      <c r="M8" s="97" t="s">
        <v>103</v>
      </c>
    </row>
    <row r="9" spans="1:13" x14ac:dyDescent="0.2">
      <c r="D9" s="42"/>
      <c r="E9" s="42"/>
      <c r="F9" s="42"/>
      <c r="G9" s="42"/>
      <c r="H9" s="42"/>
      <c r="I9" s="42"/>
      <c r="J9" s="42"/>
      <c r="K9" s="42"/>
      <c r="L9" s="42"/>
    </row>
    <row r="10" spans="1:13" x14ac:dyDescent="0.2">
      <c r="A10" s="12" t="s">
        <v>57</v>
      </c>
      <c r="D10" s="42"/>
      <c r="E10" s="42"/>
      <c r="F10" s="42"/>
      <c r="G10" s="42"/>
      <c r="H10" s="42"/>
      <c r="I10" s="42"/>
      <c r="J10" s="42"/>
      <c r="K10" s="42"/>
      <c r="L10" s="42"/>
    </row>
    <row r="11" spans="1:13" x14ac:dyDescent="0.2">
      <c r="A11" s="4" t="s">
        <v>59</v>
      </c>
      <c r="B11" s="101">
        <f t="shared" ref="B11:B22" si="0">SUM(C11:M11)</f>
        <v>1</v>
      </c>
      <c r="C11" s="96">
        <f>+'Reg. Res''l - SS Mix &amp; Prices'!C11</f>
        <v>0.4622</v>
      </c>
      <c r="D11" s="96">
        <f>+'Reg. Res''l - SS Mix &amp; Prices'!D11</f>
        <v>5.2400000000000002E-2</v>
      </c>
      <c r="E11" s="96">
        <f>+'Reg. Res''l - SS Mix &amp; Prices'!E11</f>
        <v>0.1862</v>
      </c>
      <c r="F11" s="96">
        <f>+'Reg. Res''l - SS Mix &amp; Prices'!F11</f>
        <v>8.0000000000000002E-3</v>
      </c>
      <c r="G11" s="96">
        <f>+'Reg. Res''l - SS Mix &amp; Prices'!G11</f>
        <v>2.07E-2</v>
      </c>
      <c r="H11" s="96">
        <f>+'Reg. Res''l - SS Mix &amp; Prices'!H11</f>
        <v>0.11940000000000001</v>
      </c>
      <c r="I11" s="96">
        <f>+'Reg. Res''l - SS Mix &amp; Prices'!I11</f>
        <v>2.4299999999999999E-2</v>
      </c>
      <c r="J11" s="96">
        <f>+'Reg. Res''l - SS Mix &amp; Prices'!J11</f>
        <v>1.01E-2</v>
      </c>
      <c r="K11" s="96">
        <f>+'Reg. Res''l - SS Mix &amp; Prices'!K11</f>
        <v>6.1999999999999998E-3</v>
      </c>
      <c r="L11" s="96">
        <f>+'Reg. Res''l - SS Mix &amp; Prices'!L11</f>
        <v>2.2599999999999999E-2</v>
      </c>
      <c r="M11" s="96">
        <f>+'Reg. Res''l - SS Mix &amp; Prices'!M11</f>
        <v>8.7900000000000089E-2</v>
      </c>
    </row>
    <row r="12" spans="1:13" x14ac:dyDescent="0.2">
      <c r="A12" s="4" t="s">
        <v>36</v>
      </c>
      <c r="B12" s="101">
        <f t="shared" si="0"/>
        <v>1</v>
      </c>
      <c r="C12" s="96">
        <f>+'Reg. Res''l - SS Mix &amp; Prices'!C12</f>
        <v>0.498</v>
      </c>
      <c r="D12" s="96">
        <f>+'Reg. Res''l - SS Mix &amp; Prices'!D12</f>
        <v>3.5400000000000001E-2</v>
      </c>
      <c r="E12" s="96">
        <f>+'Reg. Res''l - SS Mix &amp; Prices'!E12</f>
        <v>0.1918</v>
      </c>
      <c r="F12" s="96">
        <f>+'Reg. Res''l - SS Mix &amp; Prices'!F12</f>
        <v>8.0999999999999996E-3</v>
      </c>
      <c r="G12" s="96">
        <f>+'Reg. Res''l - SS Mix &amp; Prices'!G12</f>
        <v>1.9E-2</v>
      </c>
      <c r="H12" s="96">
        <f>+'Reg. Res''l - SS Mix &amp; Prices'!H12</f>
        <v>0.1062</v>
      </c>
      <c r="I12" s="96">
        <f>+'Reg. Res''l - SS Mix &amp; Prices'!I12</f>
        <v>2.5600000000000001E-2</v>
      </c>
      <c r="J12" s="96">
        <f>+'Reg. Res''l - SS Mix &amp; Prices'!J12</f>
        <v>1.0200000000000001E-2</v>
      </c>
      <c r="K12" s="96">
        <f>+'Reg. Res''l - SS Mix &amp; Prices'!K12</f>
        <v>8.8000000000000005E-3</v>
      </c>
      <c r="L12" s="96">
        <f>+'Reg. Res''l - SS Mix &amp; Prices'!L12</f>
        <v>1.83E-2</v>
      </c>
      <c r="M12" s="96">
        <f>+'Reg. Res''l - SS Mix &amp; Prices'!M12</f>
        <v>7.8600000000000114E-2</v>
      </c>
    </row>
    <row r="13" spans="1:13" x14ac:dyDescent="0.2">
      <c r="A13" s="4" t="s">
        <v>37</v>
      </c>
      <c r="B13" s="101">
        <f t="shared" si="0"/>
        <v>1</v>
      </c>
      <c r="C13" s="96">
        <f>+'Reg. Res''l - SS Mix &amp; Prices'!C13</f>
        <v>0.58109999999999995</v>
      </c>
      <c r="D13" s="96">
        <f>+'Reg. Res''l - SS Mix &amp; Prices'!D13</f>
        <v>3.8399999999999997E-2</v>
      </c>
      <c r="E13" s="96">
        <f>+'Reg. Res''l - SS Mix &amp; Prices'!E13</f>
        <v>8.2900000000000001E-2</v>
      </c>
      <c r="F13" s="96">
        <f>+'Reg. Res''l - SS Mix &amp; Prices'!F13</f>
        <v>2.18E-2</v>
      </c>
      <c r="G13" s="96">
        <f>+'Reg. Res''l - SS Mix &amp; Prices'!G13</f>
        <v>3.0499999999999999E-2</v>
      </c>
      <c r="H13" s="96">
        <f>+'Reg. Res''l - SS Mix &amp; Prices'!H13</f>
        <v>9.7600000000000006E-2</v>
      </c>
      <c r="I13" s="96">
        <f>+'Reg. Res''l - SS Mix &amp; Prices'!I13</f>
        <v>3.0099999999999998E-2</v>
      </c>
      <c r="J13" s="96">
        <f>+'Reg. Res''l - SS Mix &amp; Prices'!J13</f>
        <v>1.61E-2</v>
      </c>
      <c r="K13" s="96">
        <f>+'Reg. Res''l - SS Mix &amp; Prices'!K13</f>
        <v>9.9000000000000008E-3</v>
      </c>
      <c r="L13" s="96">
        <f>+'Reg. Res''l - SS Mix &amp; Prices'!L13</f>
        <v>1.6000000000000001E-3</v>
      </c>
      <c r="M13" s="96">
        <f>+'Reg. Res''l - SS Mix &amp; Prices'!M13</f>
        <v>8.9999999999999969E-2</v>
      </c>
    </row>
    <row r="14" spans="1:13" x14ac:dyDescent="0.2">
      <c r="A14" s="4" t="s">
        <v>38</v>
      </c>
      <c r="B14" s="101">
        <f t="shared" si="0"/>
        <v>1</v>
      </c>
      <c r="C14" s="96">
        <f>+'Reg. Res''l - SS Mix &amp; Prices'!C14</f>
        <v>0.40799999999999997</v>
      </c>
      <c r="D14" s="96">
        <f>+'Reg. Res''l - SS Mix &amp; Prices'!D14</f>
        <v>5.5500000000000001E-2</v>
      </c>
      <c r="E14" s="96">
        <f>+'Reg. Res''l - SS Mix &amp; Prices'!E14</f>
        <v>0.25069999999999998</v>
      </c>
      <c r="F14" s="96">
        <f>+'Reg. Res''l - SS Mix &amp; Prices'!F14</f>
        <v>9.5999999999999992E-3</v>
      </c>
      <c r="G14" s="96">
        <f>+'Reg. Res''l - SS Mix &amp; Prices'!G14</f>
        <v>2.1299999999999999E-2</v>
      </c>
      <c r="H14" s="96">
        <f>+'Reg. Res''l - SS Mix &amp; Prices'!H14</f>
        <v>0.1085</v>
      </c>
      <c r="I14" s="96">
        <f>+'Reg. Res''l - SS Mix &amp; Prices'!I14</f>
        <v>3.2099999999999997E-2</v>
      </c>
      <c r="J14" s="96">
        <f>+'Reg. Res''l - SS Mix &amp; Prices'!J14</f>
        <v>7.7000000000000002E-3</v>
      </c>
      <c r="K14" s="96">
        <f>+'Reg. Res''l - SS Mix &amp; Prices'!K14</f>
        <v>9.7999999999999997E-3</v>
      </c>
      <c r="L14" s="96">
        <f>+'Reg. Res''l - SS Mix &amp; Prices'!L14</f>
        <v>1.8800000000000001E-2</v>
      </c>
      <c r="M14" s="96">
        <f>+'Reg. Res''l - SS Mix &amp; Prices'!M14</f>
        <v>7.7999999999999847E-2</v>
      </c>
    </row>
    <row r="15" spans="1:13" x14ac:dyDescent="0.2">
      <c r="A15" s="4" t="s">
        <v>46</v>
      </c>
      <c r="B15" s="101">
        <f t="shared" si="0"/>
        <v>1</v>
      </c>
      <c r="C15" s="96">
        <f>+'Reg. Res''l - SS Mix &amp; Prices'!C15</f>
        <v>0.53280000000000005</v>
      </c>
      <c r="D15" s="96">
        <f>+'Reg. Res''l - SS Mix &amp; Prices'!D15</f>
        <v>1.03E-2</v>
      </c>
      <c r="E15" s="96">
        <f>+'Reg. Res''l - SS Mix &amp; Prices'!E15</f>
        <v>0.2024</v>
      </c>
      <c r="F15" s="96">
        <f>+'Reg. Res''l - SS Mix &amp; Prices'!F15</f>
        <v>1.2200000000000001E-2</v>
      </c>
      <c r="G15" s="96">
        <f>+'Reg. Res''l - SS Mix &amp; Prices'!G15</f>
        <v>1.9400000000000001E-2</v>
      </c>
      <c r="H15" s="96">
        <f>+'Reg. Res''l - SS Mix &amp; Prices'!H15</f>
        <v>8.0799999999999997E-2</v>
      </c>
      <c r="I15" s="96">
        <f>+'Reg. Res''l - SS Mix &amp; Prices'!I15</f>
        <v>2.7300000000000001E-2</v>
      </c>
      <c r="J15" s="96">
        <f>+'Reg. Res''l - SS Mix &amp; Prices'!J15</f>
        <v>1.0500000000000001E-2</v>
      </c>
      <c r="K15" s="96">
        <f>+'Reg. Res''l - SS Mix &amp; Prices'!K15</f>
        <v>8.6E-3</v>
      </c>
      <c r="L15" s="96">
        <f>+'Reg. Res''l - SS Mix &amp; Prices'!L15</f>
        <v>2.4E-2</v>
      </c>
      <c r="M15" s="96">
        <f>+'Reg. Res''l - SS Mix &amp; Prices'!M15</f>
        <v>7.1699999999999986E-2</v>
      </c>
    </row>
    <row r="16" spans="1:13" x14ac:dyDescent="0.2">
      <c r="A16" s="4" t="s">
        <v>39</v>
      </c>
      <c r="B16" s="101">
        <f t="shared" si="0"/>
        <v>1</v>
      </c>
      <c r="C16" s="96">
        <f>+'Reg. Res''l - SS Mix &amp; Prices'!C16</f>
        <v>0.48480000000000001</v>
      </c>
      <c r="D16" s="96">
        <f>+'Reg. Res''l - SS Mix &amp; Prices'!D16</f>
        <v>1.2800000000000001E-2</v>
      </c>
      <c r="E16" s="96">
        <f>+'Reg. Res''l - SS Mix &amp; Prices'!E16</f>
        <v>0.2402</v>
      </c>
      <c r="F16" s="96">
        <f>+'Reg. Res''l - SS Mix &amp; Prices'!F16</f>
        <v>8.6999999999999994E-3</v>
      </c>
      <c r="G16" s="96">
        <f>+'Reg. Res''l - SS Mix &amp; Prices'!G16</f>
        <v>2.1999999999999999E-2</v>
      </c>
      <c r="H16" s="96">
        <f>+'Reg. Res''l - SS Mix &amp; Prices'!H16</f>
        <v>0.10299999999999999</v>
      </c>
      <c r="I16" s="96">
        <f>+'Reg. Res''l - SS Mix &amp; Prices'!I16</f>
        <v>3.0499999999999999E-2</v>
      </c>
      <c r="J16" s="96">
        <f>+'Reg. Res''l - SS Mix &amp; Prices'!J16</f>
        <v>1.11E-2</v>
      </c>
      <c r="K16" s="96">
        <f>+'Reg. Res''l - SS Mix &amp; Prices'!K16</f>
        <v>9.1999999999999998E-3</v>
      </c>
      <c r="L16" s="96">
        <f>+'Reg. Res''l - SS Mix &amp; Prices'!L16</f>
        <v>5.4999999999999997E-3</v>
      </c>
      <c r="M16" s="96">
        <f>+'Reg. Res''l - SS Mix &amp; Prices'!M16</f>
        <v>7.2200000000000042E-2</v>
      </c>
    </row>
    <row r="17" spans="1:17" x14ac:dyDescent="0.2">
      <c r="A17" s="4" t="s">
        <v>40</v>
      </c>
      <c r="B17" s="101">
        <f t="shared" si="0"/>
        <v>1</v>
      </c>
      <c r="C17" s="96">
        <f>+'Reg. Res''l - SS Mix &amp; Prices'!C17</f>
        <v>0.45989999999999998</v>
      </c>
      <c r="D17" s="96">
        <f>+'Reg. Res''l - SS Mix &amp; Prices'!D17</f>
        <v>1.7399999999999999E-2</v>
      </c>
      <c r="E17" s="96">
        <f>+'Reg. Res''l - SS Mix &amp; Prices'!E17</f>
        <v>0.24859999999999999</v>
      </c>
      <c r="F17" s="96">
        <f>+'Reg. Res''l - SS Mix &amp; Prices'!F17</f>
        <v>7.9000000000000008E-3</v>
      </c>
      <c r="G17" s="96">
        <f>+'Reg. Res''l - SS Mix &amp; Prices'!G17</f>
        <v>2.0799999999999999E-2</v>
      </c>
      <c r="H17" s="96">
        <f>+'Reg. Res''l - SS Mix &amp; Prices'!H17</f>
        <v>0.1113</v>
      </c>
      <c r="I17" s="96">
        <f>+'Reg. Res''l - SS Mix &amp; Prices'!I17</f>
        <v>3.3799999999999997E-2</v>
      </c>
      <c r="J17" s="96">
        <f>+'Reg. Res''l - SS Mix &amp; Prices'!J17</f>
        <v>1.06E-2</v>
      </c>
      <c r="K17" s="96">
        <f>+'Reg. Res''l - SS Mix &amp; Prices'!K17</f>
        <v>1.04E-2</v>
      </c>
      <c r="L17" s="96">
        <f>+'Reg. Res''l - SS Mix &amp; Prices'!L17</f>
        <v>6.1999999999999998E-3</v>
      </c>
      <c r="M17" s="96">
        <f>+'Reg. Res''l - SS Mix &amp; Prices'!M17</f>
        <v>7.3100000000000054E-2</v>
      </c>
    </row>
    <row r="18" spans="1:17" x14ac:dyDescent="0.2">
      <c r="A18" s="4" t="s">
        <v>41</v>
      </c>
      <c r="B18" s="101">
        <f t="shared" si="0"/>
        <v>1</v>
      </c>
      <c r="C18" s="96">
        <f>+'Reg. Res''l - SS Mix &amp; Prices'!C18</f>
        <v>0.47599999999999998</v>
      </c>
      <c r="D18" s="96">
        <f>+'Reg. Res''l - SS Mix &amp; Prices'!D18</f>
        <v>1.7000000000000001E-2</v>
      </c>
      <c r="E18" s="96">
        <f>+'Reg. Res''l - SS Mix &amp; Prices'!E18</f>
        <v>0.23630000000000001</v>
      </c>
      <c r="F18" s="96">
        <f>+'Reg. Res''l - SS Mix &amp; Prices'!F18</f>
        <v>8.6E-3</v>
      </c>
      <c r="G18" s="96">
        <f>+'Reg. Res''l - SS Mix &amp; Prices'!G18</f>
        <v>1.8599999999999998E-2</v>
      </c>
      <c r="H18" s="96">
        <f>+'Reg. Res''l - SS Mix &amp; Prices'!H18</f>
        <v>0.1103</v>
      </c>
      <c r="I18" s="96">
        <f>+'Reg. Res''l - SS Mix &amp; Prices'!I18</f>
        <v>3.27E-2</v>
      </c>
      <c r="J18" s="96">
        <f>+'Reg. Res''l - SS Mix &amp; Prices'!J18</f>
        <v>0.01</v>
      </c>
      <c r="K18" s="96">
        <f>+'Reg. Res''l - SS Mix &amp; Prices'!K18</f>
        <v>9.4000000000000004E-3</v>
      </c>
      <c r="L18" s="96">
        <f>+'Reg. Res''l - SS Mix &amp; Prices'!L18</f>
        <v>6.7000000000000002E-3</v>
      </c>
      <c r="M18" s="96">
        <f>+'Reg. Res''l - SS Mix &amp; Prices'!M18</f>
        <v>7.4400000000000022E-2</v>
      </c>
    </row>
    <row r="19" spans="1:17" x14ac:dyDescent="0.2">
      <c r="A19" s="4" t="s">
        <v>10</v>
      </c>
      <c r="B19" s="101">
        <f t="shared" si="0"/>
        <v>1</v>
      </c>
      <c r="C19" s="96">
        <f>+'Reg. Res''l - SS Mix &amp; Prices'!C19</f>
        <v>0.48809999999999998</v>
      </c>
      <c r="D19" s="96">
        <f>+'Reg. Res''l - SS Mix &amp; Prices'!D19</f>
        <v>1.8599999999999998E-2</v>
      </c>
      <c r="E19" s="96">
        <f>+'Reg. Res''l - SS Mix &amp; Prices'!E19</f>
        <v>0.2205</v>
      </c>
      <c r="F19" s="96">
        <f>+'Reg. Res''l - SS Mix &amp; Prices'!F19</f>
        <v>8.3999999999999995E-3</v>
      </c>
      <c r="G19" s="96">
        <f>+'Reg. Res''l - SS Mix &amp; Prices'!G19</f>
        <v>1.8800000000000001E-2</v>
      </c>
      <c r="H19" s="96">
        <f>+'Reg. Res''l - SS Mix &amp; Prices'!H19</f>
        <v>0.1053</v>
      </c>
      <c r="I19" s="96">
        <f>+'Reg. Res''l - SS Mix &amp; Prices'!I19</f>
        <v>3.3599999999999998E-2</v>
      </c>
      <c r="J19" s="96">
        <f>+'Reg. Res''l - SS Mix &amp; Prices'!J19</f>
        <v>9.1999999999999998E-3</v>
      </c>
      <c r="K19" s="96">
        <f>+'Reg. Res''l - SS Mix &amp; Prices'!K19</f>
        <v>9.2999999999999992E-3</v>
      </c>
      <c r="L19" s="96">
        <f>+'Reg. Res''l - SS Mix &amp; Prices'!L19</f>
        <v>6.3E-3</v>
      </c>
      <c r="M19" s="96">
        <f>+'Reg. Res''l - SS Mix &amp; Prices'!M19</f>
        <v>8.1900000000000195E-2</v>
      </c>
    </row>
    <row r="20" spans="1:17" x14ac:dyDescent="0.2">
      <c r="A20" s="4" t="s">
        <v>42</v>
      </c>
      <c r="B20" s="101">
        <f t="shared" si="0"/>
        <v>1</v>
      </c>
      <c r="C20" s="96">
        <f>+'Reg. Res''l - SS Mix &amp; Prices'!C20</f>
        <v>0.49359999999999998</v>
      </c>
      <c r="D20" s="96">
        <f>+'Reg. Res''l - SS Mix &amp; Prices'!D20</f>
        <v>1.6199999999999999E-2</v>
      </c>
      <c r="E20" s="96">
        <f>+'Reg. Res''l - SS Mix &amp; Prices'!E20</f>
        <v>0.22739999999999999</v>
      </c>
      <c r="F20" s="96">
        <f>+'Reg. Res''l - SS Mix &amp; Prices'!F20</f>
        <v>8.6999999999999994E-3</v>
      </c>
      <c r="G20" s="96">
        <f>+'Reg. Res''l - SS Mix &amp; Prices'!G20</f>
        <v>1.7899999999999999E-2</v>
      </c>
      <c r="H20" s="96">
        <f>+'Reg. Res''l - SS Mix &amp; Prices'!H20</f>
        <v>0.1041</v>
      </c>
      <c r="I20" s="96">
        <f>+'Reg. Res''l - SS Mix &amp; Prices'!I20</f>
        <v>2.9399999999999999E-2</v>
      </c>
      <c r="J20" s="96">
        <f>+'Reg. Res''l - SS Mix &amp; Prices'!J20</f>
        <v>9.7000000000000003E-3</v>
      </c>
      <c r="K20" s="96">
        <f>+'Reg. Res''l - SS Mix &amp; Prices'!K20</f>
        <v>8.3999999999999995E-3</v>
      </c>
      <c r="L20" s="96">
        <f>+'Reg. Res''l - SS Mix &amp; Prices'!L20</f>
        <v>7.4999999999999997E-3</v>
      </c>
      <c r="M20" s="96">
        <f>+'Reg. Res''l - SS Mix &amp; Prices'!M20</f>
        <v>7.7099999999999946E-2</v>
      </c>
    </row>
    <row r="21" spans="1:17" x14ac:dyDescent="0.2">
      <c r="A21" s="4" t="s">
        <v>43</v>
      </c>
      <c r="B21" s="101">
        <f t="shared" si="0"/>
        <v>1</v>
      </c>
      <c r="C21" s="96">
        <f>+'Reg. Res''l - SS Mix &amp; Prices'!C21</f>
        <v>0.48930000000000001</v>
      </c>
      <c r="D21" s="96">
        <f>+'Reg. Res''l - SS Mix &amp; Prices'!D21</f>
        <v>1.6299999999999999E-2</v>
      </c>
      <c r="E21" s="96">
        <f>+'Reg. Res''l - SS Mix &amp; Prices'!E21</f>
        <v>0.23180000000000001</v>
      </c>
      <c r="F21" s="96">
        <f>+'Reg. Res''l - SS Mix &amp; Prices'!F21</f>
        <v>8.8999999999999999E-3</v>
      </c>
      <c r="G21" s="96">
        <f>+'Reg. Res''l - SS Mix &amp; Prices'!G21</f>
        <v>1.9599999999999999E-2</v>
      </c>
      <c r="H21" s="96">
        <f>+'Reg. Res''l - SS Mix &amp; Prices'!H21</f>
        <v>0.10349999999999999</v>
      </c>
      <c r="I21" s="96">
        <f>+'Reg. Res''l - SS Mix &amp; Prices'!I21</f>
        <v>3.0499999999999999E-2</v>
      </c>
      <c r="J21" s="96">
        <f>+'Reg. Res''l - SS Mix &amp; Prices'!J21</f>
        <v>9.7999999999999997E-3</v>
      </c>
      <c r="K21" s="96">
        <f>+'Reg. Res''l - SS Mix &amp; Prices'!K21</f>
        <v>8.2000000000000007E-3</v>
      </c>
      <c r="L21" s="96">
        <f>+'Reg. Res''l - SS Mix &amp; Prices'!L21</f>
        <v>7.4000000000000003E-3</v>
      </c>
      <c r="M21" s="96">
        <f>+'Reg. Res''l - SS Mix &amp; Prices'!M21</f>
        <v>7.4699999999999989E-2</v>
      </c>
    </row>
    <row r="22" spans="1:17" x14ac:dyDescent="0.2">
      <c r="A22" s="4" t="s">
        <v>44</v>
      </c>
      <c r="B22" s="101">
        <f t="shared" si="0"/>
        <v>1</v>
      </c>
      <c r="C22" s="96">
        <f>+'Reg. Res''l - SS Mix &amp; Prices'!C22</f>
        <v>0.46129999999999999</v>
      </c>
      <c r="D22" s="96">
        <f>+'Reg. Res''l - SS Mix &amp; Prices'!D22</f>
        <v>3.5000000000000003E-2</v>
      </c>
      <c r="E22" s="96">
        <f>+'Reg. Res''l - SS Mix &amp; Prices'!E22</f>
        <v>0.19400000000000001</v>
      </c>
      <c r="F22" s="96">
        <f>+'Reg. Res''l - SS Mix &amp; Prices'!F22</f>
        <v>8.6E-3</v>
      </c>
      <c r="G22" s="96">
        <f>+'Reg. Res''l - SS Mix &amp; Prices'!G22</f>
        <v>1.41E-2</v>
      </c>
      <c r="H22" s="96">
        <f>+'Reg. Res''l - SS Mix &amp; Prices'!H22</f>
        <v>0.105</v>
      </c>
      <c r="I22" s="96">
        <f>+'Reg. Res''l - SS Mix &amp; Prices'!I22</f>
        <v>3.6299999999999999E-2</v>
      </c>
      <c r="J22" s="96">
        <f>+'Reg. Res''l - SS Mix &amp; Prices'!J22</f>
        <v>8.0999999999999996E-3</v>
      </c>
      <c r="K22" s="96">
        <f>+'Reg. Res''l - SS Mix &amp; Prices'!K22</f>
        <v>6.4000000000000003E-3</v>
      </c>
      <c r="L22" s="96">
        <f>+'Reg. Res''l - SS Mix &amp; Prices'!L22</f>
        <v>1E-3</v>
      </c>
      <c r="M22" s="96">
        <f>+'Reg. Res''l - SS Mix &amp; Prices'!M22</f>
        <v>0.13020000000000009</v>
      </c>
    </row>
    <row r="26" spans="1:17" x14ac:dyDescent="0.2">
      <c r="A26" s="12" t="s">
        <v>60</v>
      </c>
    </row>
    <row r="27" spans="1:17" x14ac:dyDescent="0.2">
      <c r="A27" s="4" t="s">
        <v>59</v>
      </c>
      <c r="B27" s="106">
        <f>+'Total Company Tonnage'!D49*'Customer Counts'!E9</f>
        <v>19.579996094621734</v>
      </c>
      <c r="C27" s="21">
        <f t="shared" ref="C27:L38" si="1">+$B27*C11</f>
        <v>9.0498741949341657</v>
      </c>
      <c r="D27" s="21">
        <f t="shared" ref="D27:L27" si="2">+$B27*D11</f>
        <v>1.025991795358179</v>
      </c>
      <c r="E27" s="21">
        <f t="shared" si="2"/>
        <v>3.645795272818567</v>
      </c>
      <c r="F27" s="21">
        <f t="shared" si="2"/>
        <v>0.15663996875697386</v>
      </c>
      <c r="G27" s="21">
        <f t="shared" si="2"/>
        <v>0.40530591915866987</v>
      </c>
      <c r="H27" s="21">
        <f t="shared" si="2"/>
        <v>2.3378515336978349</v>
      </c>
      <c r="I27" s="21">
        <f t="shared" si="2"/>
        <v>0.47579390509930813</v>
      </c>
      <c r="J27" s="21">
        <f t="shared" si="2"/>
        <v>0.19775796055567951</v>
      </c>
      <c r="K27" s="21">
        <f t="shared" si="2"/>
        <v>0.12139597578665474</v>
      </c>
      <c r="L27" s="21">
        <f t="shared" si="2"/>
        <v>0.44250791173845117</v>
      </c>
      <c r="M27" s="21">
        <f t="shared" ref="M27:M38" si="3">+$B27*M11</f>
        <v>1.7210816567172522</v>
      </c>
      <c r="O27" s="106"/>
      <c r="Q27" s="107"/>
    </row>
    <row r="28" spans="1:17" x14ac:dyDescent="0.2">
      <c r="A28" s="4" t="s">
        <v>36</v>
      </c>
      <c r="B28" s="106">
        <f>+'Total Company Tonnage'!D50*'Customer Counts'!E10</f>
        <v>20.757926984099761</v>
      </c>
      <c r="C28" s="21">
        <f t="shared" si="1"/>
        <v>10.337447638081681</v>
      </c>
      <c r="D28" s="21">
        <f t="shared" si="1"/>
        <v>0.73483061523713156</v>
      </c>
      <c r="E28" s="21">
        <f t="shared" si="1"/>
        <v>3.9813703955503343</v>
      </c>
      <c r="F28" s="21">
        <f t="shared" si="1"/>
        <v>0.16813920857120807</v>
      </c>
      <c r="G28" s="21">
        <f t="shared" si="1"/>
        <v>0.39440061269789545</v>
      </c>
      <c r="H28" s="21">
        <f t="shared" si="1"/>
        <v>2.2044918457113947</v>
      </c>
      <c r="I28" s="21">
        <f t="shared" si="1"/>
        <v>0.53140293079295386</v>
      </c>
      <c r="J28" s="21">
        <f t="shared" si="1"/>
        <v>0.21173085523781757</v>
      </c>
      <c r="K28" s="21">
        <f t="shared" si="1"/>
        <v>0.18266975746007791</v>
      </c>
      <c r="L28" s="21">
        <f t="shared" si="1"/>
        <v>0.37987006380902566</v>
      </c>
      <c r="M28" s="21">
        <f t="shared" si="3"/>
        <v>1.6315730609502437</v>
      </c>
      <c r="O28" s="106"/>
      <c r="Q28" s="107"/>
    </row>
    <row r="29" spans="1:17" x14ac:dyDescent="0.2">
      <c r="A29" s="4" t="s">
        <v>37</v>
      </c>
      <c r="B29" s="106">
        <f>+'Total Company Tonnage'!D51*'Customer Counts'!E11</f>
        <v>24.508190049455248</v>
      </c>
      <c r="C29" s="21">
        <f t="shared" si="1"/>
        <v>14.241709237738442</v>
      </c>
      <c r="D29" s="21">
        <f t="shared" si="1"/>
        <v>0.94111449789908141</v>
      </c>
      <c r="E29" s="21">
        <f t="shared" si="1"/>
        <v>2.0317289550998399</v>
      </c>
      <c r="F29" s="21">
        <f t="shared" si="1"/>
        <v>0.53427854307812439</v>
      </c>
      <c r="G29" s="21">
        <f t="shared" si="1"/>
        <v>0.74749979650838505</v>
      </c>
      <c r="H29" s="21">
        <f t="shared" si="1"/>
        <v>2.3919993488268325</v>
      </c>
      <c r="I29" s="21">
        <f t="shared" si="1"/>
        <v>0.7376965204886029</v>
      </c>
      <c r="J29" s="21">
        <f t="shared" si="1"/>
        <v>0.39458185979622951</v>
      </c>
      <c r="K29" s="21">
        <f t="shared" si="1"/>
        <v>0.24263108148960696</v>
      </c>
      <c r="L29" s="21">
        <f t="shared" si="1"/>
        <v>3.9213104079128397E-2</v>
      </c>
      <c r="M29" s="21">
        <f t="shared" si="3"/>
        <v>2.2057371044509715</v>
      </c>
      <c r="O29" s="106"/>
      <c r="Q29" s="107"/>
    </row>
    <row r="30" spans="1:17" x14ac:dyDescent="0.2">
      <c r="A30" s="4" t="s">
        <v>38</v>
      </c>
      <c r="B30" s="106">
        <f>+'Total Company Tonnage'!D52*'Customer Counts'!E12</f>
        <v>26.313284362826931</v>
      </c>
      <c r="C30" s="21">
        <f t="shared" si="1"/>
        <v>10.735820020033387</v>
      </c>
      <c r="D30" s="21">
        <f t="shared" si="1"/>
        <v>1.4603872821368946</v>
      </c>
      <c r="E30" s="21">
        <f t="shared" si="1"/>
        <v>6.5967403897607113</v>
      </c>
      <c r="F30" s="21">
        <f t="shared" si="1"/>
        <v>0.2526075298831385</v>
      </c>
      <c r="G30" s="21">
        <f t="shared" si="1"/>
        <v>0.56047295692821364</v>
      </c>
      <c r="H30" s="21">
        <f t="shared" si="1"/>
        <v>2.8549913533667222</v>
      </c>
      <c r="I30" s="21">
        <f t="shared" si="1"/>
        <v>0.84465642804674435</v>
      </c>
      <c r="J30" s="21">
        <f t="shared" si="1"/>
        <v>0.20261228959376737</v>
      </c>
      <c r="K30" s="21">
        <f t="shared" si="1"/>
        <v>0.25787018675570389</v>
      </c>
      <c r="L30" s="21">
        <f t="shared" si="1"/>
        <v>0.49468974602114629</v>
      </c>
      <c r="M30" s="21">
        <f t="shared" si="3"/>
        <v>2.0524361803004965</v>
      </c>
      <c r="O30" s="106"/>
      <c r="Q30" s="107"/>
    </row>
    <row r="31" spans="1:17" x14ac:dyDescent="0.2">
      <c r="A31" s="4" t="s">
        <v>46</v>
      </c>
      <c r="B31" s="106">
        <f>+'Total Company Tonnage'!D53*'Customer Counts'!E13</f>
        <v>28.942097089865587</v>
      </c>
      <c r="C31" s="21">
        <f t="shared" si="1"/>
        <v>15.420349329480386</v>
      </c>
      <c r="D31" s="21">
        <f t="shared" si="1"/>
        <v>0.29810360002561553</v>
      </c>
      <c r="E31" s="21">
        <f t="shared" si="1"/>
        <v>5.8578804509887945</v>
      </c>
      <c r="F31" s="21">
        <f t="shared" si="1"/>
        <v>0.35309358449636019</v>
      </c>
      <c r="G31" s="21">
        <f t="shared" si="1"/>
        <v>0.56147668354339242</v>
      </c>
      <c r="H31" s="21">
        <f t="shared" si="1"/>
        <v>2.3385214448611396</v>
      </c>
      <c r="I31" s="21">
        <f t="shared" si="1"/>
        <v>0.79011925055333054</v>
      </c>
      <c r="J31" s="21">
        <f t="shared" si="1"/>
        <v>0.30389201944358868</v>
      </c>
      <c r="K31" s="21">
        <f t="shared" si="1"/>
        <v>0.24890203497284405</v>
      </c>
      <c r="L31" s="21">
        <f t="shared" si="1"/>
        <v>0.69461033015677409</v>
      </c>
      <c r="M31" s="21">
        <f t="shared" si="3"/>
        <v>2.0751483613433623</v>
      </c>
      <c r="O31" s="106"/>
      <c r="Q31" s="107"/>
    </row>
    <row r="32" spans="1:17" x14ac:dyDescent="0.2">
      <c r="A32" s="4" t="s">
        <v>39</v>
      </c>
      <c r="B32" s="106">
        <f>+'Total Company Tonnage'!D54*'Customer Counts'!E14</f>
        <v>27.425095703955769</v>
      </c>
      <c r="C32" s="21">
        <f t="shared" si="1"/>
        <v>13.295686397277757</v>
      </c>
      <c r="D32" s="21">
        <f t="shared" si="1"/>
        <v>0.35104122501063384</v>
      </c>
      <c r="E32" s="21">
        <f t="shared" si="1"/>
        <v>6.5875079880901755</v>
      </c>
      <c r="F32" s="21">
        <f t="shared" si="1"/>
        <v>0.23859833262441518</v>
      </c>
      <c r="G32" s="21">
        <f t="shared" si="1"/>
        <v>0.60335210548702689</v>
      </c>
      <c r="H32" s="21">
        <f t="shared" si="1"/>
        <v>2.8247848575074439</v>
      </c>
      <c r="I32" s="21">
        <f t="shared" si="1"/>
        <v>0.83646541897065096</v>
      </c>
      <c r="J32" s="21">
        <f t="shared" si="1"/>
        <v>0.30441856231390907</v>
      </c>
      <c r="K32" s="21">
        <f t="shared" si="1"/>
        <v>0.25231088047639305</v>
      </c>
      <c r="L32" s="21">
        <f t="shared" si="1"/>
        <v>0.15083802637175672</v>
      </c>
      <c r="M32" s="21">
        <f t="shared" si="3"/>
        <v>1.9800919098256076</v>
      </c>
      <c r="O32" s="106"/>
      <c r="Q32" s="107"/>
    </row>
    <row r="33" spans="1:17" x14ac:dyDescent="0.2">
      <c r="A33" s="4" t="s">
        <v>40</v>
      </c>
      <c r="B33" s="106">
        <f>+'Total Company Tonnage'!D55*'Customer Counts'!E15</f>
        <v>27.057604750547483</v>
      </c>
      <c r="C33" s="21">
        <f t="shared" si="1"/>
        <v>12.443792424776786</v>
      </c>
      <c r="D33" s="21">
        <f t="shared" si="1"/>
        <v>0.47080232265952615</v>
      </c>
      <c r="E33" s="21">
        <f t="shared" si="1"/>
        <v>6.7265205409861037</v>
      </c>
      <c r="F33" s="21">
        <f t="shared" si="1"/>
        <v>0.21375507752932513</v>
      </c>
      <c r="G33" s="21">
        <f t="shared" si="1"/>
        <v>0.56279817881138761</v>
      </c>
      <c r="H33" s="21">
        <f t="shared" si="1"/>
        <v>3.0115114087359349</v>
      </c>
      <c r="I33" s="21">
        <f t="shared" si="1"/>
        <v>0.91454704056850489</v>
      </c>
      <c r="J33" s="21">
        <f t="shared" si="1"/>
        <v>0.2868106103558033</v>
      </c>
      <c r="K33" s="21">
        <f t="shared" si="1"/>
        <v>0.2813990894056938</v>
      </c>
      <c r="L33" s="21">
        <f t="shared" si="1"/>
        <v>0.1677571494533944</v>
      </c>
      <c r="M33" s="21">
        <f t="shared" si="3"/>
        <v>1.9779109072650225</v>
      </c>
      <c r="O33" s="106"/>
      <c r="Q33" s="107"/>
    </row>
    <row r="34" spans="1:17" x14ac:dyDescent="0.2">
      <c r="A34" s="4" t="s">
        <v>41</v>
      </c>
      <c r="B34" s="106">
        <f>+'Total Company Tonnage'!D56*'Customer Counts'!E16</f>
        <v>20.141291319155187</v>
      </c>
      <c r="C34" s="21">
        <f t="shared" si="1"/>
        <v>9.5872546679178683</v>
      </c>
      <c r="D34" s="21">
        <f t="shared" si="1"/>
        <v>0.3424019524256382</v>
      </c>
      <c r="E34" s="21">
        <f t="shared" si="1"/>
        <v>4.7593871387163711</v>
      </c>
      <c r="F34" s="21">
        <f t="shared" si="1"/>
        <v>0.17321510534473461</v>
      </c>
      <c r="G34" s="21">
        <f t="shared" si="1"/>
        <v>0.37462801853628647</v>
      </c>
      <c r="H34" s="21">
        <f t="shared" si="1"/>
        <v>2.2215844325028171</v>
      </c>
      <c r="I34" s="21">
        <f t="shared" si="1"/>
        <v>0.65862022613637461</v>
      </c>
      <c r="J34" s="21">
        <f t="shared" si="1"/>
        <v>0.20141291319155186</v>
      </c>
      <c r="K34" s="21">
        <f t="shared" si="1"/>
        <v>0.18932813840005877</v>
      </c>
      <c r="L34" s="21">
        <f t="shared" si="1"/>
        <v>0.13494665183833976</v>
      </c>
      <c r="M34" s="21">
        <f t="shared" si="3"/>
        <v>1.4985120741451463</v>
      </c>
      <c r="O34" s="106"/>
      <c r="Q34" s="107"/>
    </row>
    <row r="35" spans="1:17" x14ac:dyDescent="0.2">
      <c r="A35" s="4" t="s">
        <v>10</v>
      </c>
      <c r="B35" s="106">
        <f>+'Total Company Tonnage'!D57*'Customer Counts'!E17</f>
        <v>25.362228338096191</v>
      </c>
      <c r="C35" s="21">
        <f t="shared" si="1"/>
        <v>12.379303651824751</v>
      </c>
      <c r="D35" s="21">
        <f t="shared" si="1"/>
        <v>0.47173744708858911</v>
      </c>
      <c r="E35" s="21">
        <f t="shared" si="1"/>
        <v>5.59237134855021</v>
      </c>
      <c r="F35" s="21">
        <f t="shared" si="1"/>
        <v>0.21304271804000799</v>
      </c>
      <c r="G35" s="21">
        <f t="shared" si="1"/>
        <v>0.47680989275620839</v>
      </c>
      <c r="H35" s="21">
        <f t="shared" si="1"/>
        <v>2.670642644001529</v>
      </c>
      <c r="I35" s="21">
        <f t="shared" si="1"/>
        <v>0.85217087216003196</v>
      </c>
      <c r="J35" s="21">
        <f t="shared" si="1"/>
        <v>0.23333250071048495</v>
      </c>
      <c r="K35" s="21">
        <f t="shared" si="1"/>
        <v>0.23586872354429456</v>
      </c>
      <c r="L35" s="21">
        <f t="shared" si="1"/>
        <v>0.159782038530006</v>
      </c>
      <c r="M35" s="21">
        <f t="shared" si="3"/>
        <v>2.0771665008900828</v>
      </c>
      <c r="O35" s="106"/>
      <c r="Q35" s="107"/>
    </row>
    <row r="36" spans="1:17" x14ac:dyDescent="0.2">
      <c r="A36" s="4" t="s">
        <v>42</v>
      </c>
      <c r="B36" s="106">
        <f>+'Total Company Tonnage'!D58*'Customer Counts'!E18</f>
        <v>27.701793627039443</v>
      </c>
      <c r="C36" s="21">
        <f t="shared" si="1"/>
        <v>13.673605334306668</v>
      </c>
      <c r="D36" s="21">
        <f t="shared" si="1"/>
        <v>0.44876905675803896</v>
      </c>
      <c r="E36" s="21">
        <f t="shared" si="1"/>
        <v>6.2993878707887694</v>
      </c>
      <c r="F36" s="21">
        <f t="shared" si="1"/>
        <v>0.24100560455524314</v>
      </c>
      <c r="G36" s="21">
        <f t="shared" si="1"/>
        <v>0.49586210592400598</v>
      </c>
      <c r="H36" s="21">
        <f t="shared" si="1"/>
        <v>2.8837567165748061</v>
      </c>
      <c r="I36" s="21">
        <f t="shared" si="1"/>
        <v>0.81443273263495963</v>
      </c>
      <c r="J36" s="21">
        <f t="shared" si="1"/>
        <v>0.26870739818228262</v>
      </c>
      <c r="K36" s="21">
        <f t="shared" si="1"/>
        <v>0.23269506646713131</v>
      </c>
      <c r="L36" s="21">
        <f t="shared" si="1"/>
        <v>0.20776345220279582</v>
      </c>
      <c r="M36" s="21">
        <f t="shared" si="3"/>
        <v>2.1358082886447396</v>
      </c>
      <c r="O36" s="106"/>
      <c r="Q36" s="107"/>
    </row>
    <row r="37" spans="1:17" x14ac:dyDescent="0.2">
      <c r="A37" s="4" t="s">
        <v>43</v>
      </c>
      <c r="B37" s="106">
        <f>+'Total Company Tonnage'!D59*'Customer Counts'!E19</f>
        <v>29.319009439967985</v>
      </c>
      <c r="C37" s="21">
        <f t="shared" si="1"/>
        <v>14.345791318976335</v>
      </c>
      <c r="D37" s="21">
        <f t="shared" si="1"/>
        <v>0.4778998538714781</v>
      </c>
      <c r="E37" s="21">
        <f t="shared" si="1"/>
        <v>6.7961463881845789</v>
      </c>
      <c r="F37" s="21">
        <f t="shared" si="1"/>
        <v>0.26093918401571509</v>
      </c>
      <c r="G37" s="21">
        <f t="shared" si="1"/>
        <v>0.57465258502337246</v>
      </c>
      <c r="H37" s="21">
        <f t="shared" si="1"/>
        <v>3.0345174770366863</v>
      </c>
      <c r="I37" s="21">
        <f t="shared" si="1"/>
        <v>0.89422978791902352</v>
      </c>
      <c r="J37" s="21">
        <f t="shared" si="1"/>
        <v>0.28732629251168623</v>
      </c>
      <c r="K37" s="21">
        <f t="shared" si="1"/>
        <v>0.24041587740773751</v>
      </c>
      <c r="L37" s="21">
        <f t="shared" si="1"/>
        <v>0.21696066985576309</v>
      </c>
      <c r="M37" s="21">
        <f t="shared" si="3"/>
        <v>2.1901300051656083</v>
      </c>
      <c r="O37" s="106"/>
      <c r="Q37" s="107"/>
    </row>
    <row r="38" spans="1:17" ht="15" x14ac:dyDescent="0.35">
      <c r="A38" s="4" t="s">
        <v>44</v>
      </c>
      <c r="B38" s="109">
        <f>+'Total Company Tonnage'!D60*'Customer Counts'!E20</f>
        <v>26.832979551876107</v>
      </c>
      <c r="C38" s="28">
        <f t="shared" si="1"/>
        <v>12.378053467280449</v>
      </c>
      <c r="D38" s="28">
        <f t="shared" si="1"/>
        <v>0.93915428431566383</v>
      </c>
      <c r="E38" s="28">
        <f t="shared" si="1"/>
        <v>5.2055980330639651</v>
      </c>
      <c r="F38" s="28">
        <f t="shared" si="1"/>
        <v>0.23076362414613452</v>
      </c>
      <c r="G38" s="28">
        <f t="shared" si="1"/>
        <v>0.37834501168145312</v>
      </c>
      <c r="H38" s="28">
        <f t="shared" si="1"/>
        <v>2.8174628529469912</v>
      </c>
      <c r="I38" s="28">
        <f t="shared" si="1"/>
        <v>0.97403715773310262</v>
      </c>
      <c r="J38" s="28">
        <f t="shared" si="1"/>
        <v>0.21734713437019645</v>
      </c>
      <c r="K38" s="28">
        <f t="shared" si="1"/>
        <v>0.17173106913200709</v>
      </c>
      <c r="L38" s="28">
        <f t="shared" si="1"/>
        <v>2.6832979551876107E-2</v>
      </c>
      <c r="M38" s="28">
        <f t="shared" si="3"/>
        <v>3.4936539376542717</v>
      </c>
      <c r="O38" s="109"/>
      <c r="Q38" s="107"/>
    </row>
    <row r="39" spans="1:17" ht="15" x14ac:dyDescent="0.35">
      <c r="B39" s="31">
        <f>SUM(B27:B38)</f>
        <v>303.94149731150748</v>
      </c>
      <c r="C39" s="31">
        <f>SUM(C27:C38)</f>
        <v>147.88868768262867</v>
      </c>
      <c r="D39" s="31">
        <f t="shared" ref="D39:L39" si="4">SUM(D27:D38)</f>
        <v>7.9622339327864706</v>
      </c>
      <c r="E39" s="31">
        <f t="shared" si="4"/>
        <v>64.080434772598423</v>
      </c>
      <c r="F39" s="31">
        <f t="shared" si="4"/>
        <v>3.0360784810413808</v>
      </c>
      <c r="G39" s="31">
        <f t="shared" si="4"/>
        <v>6.1356038670562985</v>
      </c>
      <c r="H39" s="31">
        <f t="shared" si="4"/>
        <v>31.592115915770133</v>
      </c>
      <c r="I39" s="31">
        <f t="shared" si="4"/>
        <v>9.3241722711035866</v>
      </c>
      <c r="J39" s="31">
        <f t="shared" si="4"/>
        <v>3.1099303962629969</v>
      </c>
      <c r="K39" s="31">
        <f t="shared" si="4"/>
        <v>2.6572178812982039</v>
      </c>
      <c r="L39" s="31">
        <f t="shared" si="4"/>
        <v>3.1157721236084583</v>
      </c>
      <c r="M39" s="31">
        <f t="shared" ref="M39" si="5">SUM(M27:M38)</f>
        <v>25.039249987352804</v>
      </c>
      <c r="O39" s="31"/>
      <c r="Q39" s="107"/>
    </row>
    <row r="43" spans="1:17" x14ac:dyDescent="0.2">
      <c r="A43" s="12" t="s">
        <v>58</v>
      </c>
    </row>
    <row r="44" spans="1:17" x14ac:dyDescent="0.2">
      <c r="A44" s="4" t="s">
        <v>59</v>
      </c>
      <c r="C44" s="18">
        <f>+'Reg. Res''l - SS Mix &amp; Prices'!C44</f>
        <v>93.93</v>
      </c>
      <c r="D44" s="18">
        <f>+'Reg. Res''l - SS Mix &amp; Prices'!D44</f>
        <v>85.93</v>
      </c>
      <c r="E44" s="18">
        <f>+'Reg. Res''l - SS Mix &amp; Prices'!E44</f>
        <v>123.74</v>
      </c>
      <c r="F44" s="18">
        <f>+'Reg. Res''l - SS Mix &amp; Prices'!F44</f>
        <v>1634.89</v>
      </c>
      <c r="G44" s="18">
        <f>+'Reg. Res''l - SS Mix &amp; Prices'!G44</f>
        <v>229</v>
      </c>
      <c r="H44" s="18">
        <f>+'Reg. Res''l - SS Mix &amp; Prices'!H44</f>
        <v>-53.34</v>
      </c>
      <c r="I44" s="18">
        <f>+'Reg. Res''l - SS Mix &amp; Prices'!I44</f>
        <v>362</v>
      </c>
      <c r="J44" s="18">
        <f>+'Reg. Res''l - SS Mix &amp; Prices'!J44</f>
        <v>982.6</v>
      </c>
      <c r="K44" s="18">
        <f>+'Reg. Res''l - SS Mix &amp; Prices'!K44</f>
        <v>667</v>
      </c>
      <c r="L44" s="18">
        <f>+'Reg. Res''l - SS Mix &amp; Prices'!L44</f>
        <v>96.77</v>
      </c>
    </row>
    <row r="45" spans="1:17" x14ac:dyDescent="0.2">
      <c r="A45" s="4" t="s">
        <v>36</v>
      </c>
      <c r="C45" s="18">
        <f>+'Reg. Res''l - SS Mix &amp; Prices'!C45</f>
        <v>87.1</v>
      </c>
      <c r="D45" s="18">
        <f>+'Reg. Res''l - SS Mix &amp; Prices'!D45</f>
        <v>78.099999999999994</v>
      </c>
      <c r="E45" s="18">
        <f>+'Reg. Res''l - SS Mix &amp; Prices'!E45</f>
        <v>124.91</v>
      </c>
      <c r="F45" s="18">
        <f>+'Reg. Res''l - SS Mix &amp; Prices'!F45</f>
        <v>1630.11</v>
      </c>
      <c r="G45" s="18">
        <f>+'Reg. Res''l - SS Mix &amp; Prices'!G45</f>
        <v>203.84</v>
      </c>
      <c r="H45" s="18">
        <f>+'Reg. Res''l - SS Mix &amp; Prices'!H45</f>
        <v>-53.34</v>
      </c>
      <c r="I45" s="18">
        <f>+'Reg. Res''l - SS Mix &amp; Prices'!I45</f>
        <v>347</v>
      </c>
      <c r="J45" s="18">
        <f>+'Reg. Res''l - SS Mix &amp; Prices'!J45</f>
        <v>979</v>
      </c>
      <c r="K45" s="18">
        <f>+'Reg. Res''l - SS Mix &amp; Prices'!K45</f>
        <v>657</v>
      </c>
      <c r="L45" s="18">
        <f>+'Reg. Res''l - SS Mix &amp; Prices'!L45</f>
        <v>87</v>
      </c>
    </row>
    <row r="46" spans="1:17" x14ac:dyDescent="0.2">
      <c r="A46" s="4" t="s">
        <v>37</v>
      </c>
      <c r="C46" s="18">
        <f>+'Reg. Res''l - SS Mix &amp; Prices'!C46</f>
        <v>86.1</v>
      </c>
      <c r="D46" s="18">
        <f>+'Reg. Res''l - SS Mix &amp; Prices'!D46</f>
        <v>76.099999999999994</v>
      </c>
      <c r="E46" s="18">
        <f>+'Reg. Res''l - SS Mix &amp; Prices'!E46</f>
        <v>123.91</v>
      </c>
      <c r="F46" s="18">
        <f>+'Reg. Res''l - SS Mix &amp; Prices'!F46</f>
        <v>1734.55</v>
      </c>
      <c r="G46" s="18">
        <f>+'Reg. Res''l - SS Mix &amp; Prices'!G46</f>
        <v>198</v>
      </c>
      <c r="H46" s="18">
        <f>+'Reg. Res''l - SS Mix &amp; Prices'!H46</f>
        <v>-53.34</v>
      </c>
      <c r="I46" s="18">
        <f>+'Reg. Res''l - SS Mix &amp; Prices'!I46</f>
        <v>322</v>
      </c>
      <c r="J46" s="18">
        <f>+'Reg. Res''l - SS Mix &amp; Prices'!J46</f>
        <v>837</v>
      </c>
      <c r="K46" s="18">
        <f>+'Reg. Res''l - SS Mix &amp; Prices'!K46</f>
        <v>657</v>
      </c>
      <c r="L46" s="18">
        <f>+'Reg. Res''l - SS Mix &amp; Prices'!L46</f>
        <v>57</v>
      </c>
    </row>
    <row r="47" spans="1:17" x14ac:dyDescent="0.2">
      <c r="A47" s="4" t="s">
        <v>38</v>
      </c>
      <c r="C47" s="18">
        <f>+'Reg. Res''l - SS Mix &amp; Prices'!C47</f>
        <v>84.57</v>
      </c>
      <c r="D47" s="18">
        <f>+'Reg. Res''l - SS Mix &amp; Prices'!D47</f>
        <v>73.569999999999993</v>
      </c>
      <c r="E47" s="18">
        <f>+'Reg. Res''l - SS Mix &amp; Prices'!E47</f>
        <v>121.37</v>
      </c>
      <c r="F47" s="18">
        <f>+'Reg. Res''l - SS Mix &amp; Prices'!F47</f>
        <v>1705.09</v>
      </c>
      <c r="G47" s="18">
        <f>+'Reg. Res''l - SS Mix &amp; Prices'!G47</f>
        <v>192</v>
      </c>
      <c r="H47" s="18">
        <f>+'Reg. Res''l - SS Mix &amp; Prices'!H47</f>
        <v>-53.34</v>
      </c>
      <c r="I47" s="18">
        <f>+'Reg. Res''l - SS Mix &amp; Prices'!I47</f>
        <v>251.66</v>
      </c>
      <c r="J47" s="18">
        <f>+'Reg. Res''l - SS Mix &amp; Prices'!J47</f>
        <v>769.4</v>
      </c>
      <c r="K47" s="18">
        <f>+'Reg. Res''l - SS Mix &amp; Prices'!K47</f>
        <v>597</v>
      </c>
      <c r="L47" s="18">
        <f>+'Reg. Res''l - SS Mix &amp; Prices'!L47</f>
        <v>57</v>
      </c>
    </row>
    <row r="48" spans="1:17" x14ac:dyDescent="0.2">
      <c r="A48" s="4" t="s">
        <v>46</v>
      </c>
      <c r="C48" s="18">
        <f>+'Reg. Res''l - SS Mix &amp; Prices'!C48</f>
        <v>82.23</v>
      </c>
      <c r="D48" s="18">
        <f>+'Reg. Res''l - SS Mix &amp; Prices'!D48</f>
        <v>71.180000000000007</v>
      </c>
      <c r="E48" s="18">
        <f>+'Reg. Res''l - SS Mix &amp; Prices'!E48</f>
        <v>119.84</v>
      </c>
      <c r="F48" s="18">
        <f>+'Reg. Res''l - SS Mix &amp; Prices'!F48</f>
        <v>1606.97</v>
      </c>
      <c r="G48" s="18">
        <f>+'Reg. Res''l - SS Mix &amp; Prices'!G48</f>
        <v>148.13999999999999</v>
      </c>
      <c r="H48" s="18">
        <f>+'Reg. Res''l - SS Mix &amp; Prices'!H48</f>
        <v>-53.34</v>
      </c>
      <c r="I48" s="18">
        <f>+'Reg. Res''l - SS Mix &amp; Prices'!I48</f>
        <v>232.7</v>
      </c>
      <c r="J48" s="18">
        <f>+'Reg. Res''l - SS Mix &amp; Prices'!J48</f>
        <v>587</v>
      </c>
      <c r="K48" s="18">
        <f>+'Reg. Res''l - SS Mix &amp; Prices'!K48</f>
        <v>417</v>
      </c>
      <c r="L48" s="18">
        <f>+'Reg. Res''l - SS Mix &amp; Prices'!L48</f>
        <v>57</v>
      </c>
    </row>
    <row r="49" spans="1:13" x14ac:dyDescent="0.2">
      <c r="A49" s="4" t="s">
        <v>39</v>
      </c>
      <c r="C49" s="18">
        <f>+'Reg. Res''l - SS Mix &amp; Prices'!C49</f>
        <v>80.08</v>
      </c>
      <c r="D49" s="18">
        <f>+'Reg. Res''l - SS Mix &amp; Prices'!D49</f>
        <v>68.33</v>
      </c>
      <c r="E49" s="18">
        <f>+'Reg. Res''l - SS Mix &amp; Prices'!E49</f>
        <v>109.97</v>
      </c>
      <c r="F49" s="18">
        <f>+'Reg. Res''l - SS Mix &amp; Prices'!F49</f>
        <v>1747</v>
      </c>
      <c r="G49" s="18">
        <f>+'Reg. Res''l - SS Mix &amp; Prices'!G49</f>
        <v>79.14</v>
      </c>
      <c r="H49" s="18">
        <f>+'Reg. Res''l - SS Mix &amp; Prices'!H49</f>
        <v>-53.34</v>
      </c>
      <c r="I49" s="18">
        <f>+'Reg. Res''l - SS Mix &amp; Prices'!I49</f>
        <v>160</v>
      </c>
      <c r="J49" s="18">
        <f>+'Reg. Res''l - SS Mix &amp; Prices'!J49</f>
        <v>487</v>
      </c>
      <c r="K49" s="18">
        <f>+'Reg. Res''l - SS Mix &amp; Prices'!K49</f>
        <v>320</v>
      </c>
      <c r="L49" s="18">
        <f>+'Reg. Res''l - SS Mix &amp; Prices'!L49</f>
        <v>37</v>
      </c>
    </row>
    <row r="50" spans="1:13" x14ac:dyDescent="0.2">
      <c r="A50" s="4" t="s">
        <v>40</v>
      </c>
      <c r="C50" s="18">
        <f>+'Reg. Res''l - SS Mix &amp; Prices'!C50</f>
        <v>71.91</v>
      </c>
      <c r="D50" s="18">
        <f>+'Reg. Res''l - SS Mix &amp; Prices'!D50</f>
        <v>56.33</v>
      </c>
      <c r="E50" s="18">
        <f>+'Reg. Res''l - SS Mix &amp; Prices'!E50</f>
        <v>94.86</v>
      </c>
      <c r="F50" s="18">
        <f>+'Reg. Res''l - SS Mix &amp; Prices'!F50</f>
        <v>1647</v>
      </c>
      <c r="G50" s="18">
        <f>+'Reg. Res''l - SS Mix &amp; Prices'!G50</f>
        <v>147</v>
      </c>
      <c r="H50" s="18">
        <f>+'Reg. Res''l - SS Mix &amp; Prices'!H50</f>
        <v>-53.34</v>
      </c>
      <c r="I50" s="18">
        <f>+'Reg. Res''l - SS Mix &amp; Prices'!I50</f>
        <v>167</v>
      </c>
      <c r="J50" s="18">
        <f>+'Reg. Res''l - SS Mix &amp; Prices'!J50</f>
        <v>527</v>
      </c>
      <c r="K50" s="18">
        <f>+'Reg. Res''l - SS Mix &amp; Prices'!K50</f>
        <v>477</v>
      </c>
      <c r="L50" s="18">
        <f>+'Reg. Res''l - SS Mix &amp; Prices'!L50</f>
        <v>57</v>
      </c>
      <c r="M50" s="38"/>
    </row>
    <row r="51" spans="1:13" x14ac:dyDescent="0.2">
      <c r="A51" s="4" t="s">
        <v>41</v>
      </c>
      <c r="C51" s="18">
        <f>+'Reg. Res''l - SS Mix &amp; Prices'!C51</f>
        <v>71.900000000000006</v>
      </c>
      <c r="D51" s="18">
        <f>+'Reg. Res''l - SS Mix &amp; Prices'!D51</f>
        <v>56.83</v>
      </c>
      <c r="E51" s="18">
        <f>+'Reg. Res''l - SS Mix &amp; Prices'!E51</f>
        <v>93.19</v>
      </c>
      <c r="F51" s="18">
        <f>+'Reg. Res''l - SS Mix &amp; Prices'!F51</f>
        <v>1336.87</v>
      </c>
      <c r="G51" s="18">
        <f>+'Reg. Res''l - SS Mix &amp; Prices'!G51</f>
        <v>79.14</v>
      </c>
      <c r="H51" s="18">
        <f>+'Reg. Res''l - SS Mix &amp; Prices'!H51</f>
        <v>-53.34</v>
      </c>
      <c r="I51" s="18">
        <f>+'Reg. Res''l - SS Mix &amp; Prices'!I51</f>
        <v>203.54</v>
      </c>
      <c r="J51" s="18">
        <f>+'Reg. Res''l - SS Mix &amp; Prices'!J51</f>
        <v>577.66999999999996</v>
      </c>
      <c r="K51" s="18">
        <f>+'Reg. Res''l - SS Mix &amp; Prices'!K51</f>
        <v>607</v>
      </c>
      <c r="L51" s="18">
        <f>+'Reg. Res''l - SS Mix &amp; Prices'!L51</f>
        <v>37</v>
      </c>
    </row>
    <row r="52" spans="1:13" x14ac:dyDescent="0.2">
      <c r="A52" s="4" t="s">
        <v>10</v>
      </c>
      <c r="C52" s="18">
        <f>+'Reg. Res''l - SS Mix &amp; Prices'!C52</f>
        <v>78.47</v>
      </c>
      <c r="D52" s="18">
        <f>+'Reg. Res''l - SS Mix &amp; Prices'!D52</f>
        <v>66.61</v>
      </c>
      <c r="E52" s="18">
        <f>+'Reg. Res''l - SS Mix &amp; Prices'!E52</f>
        <v>113.05</v>
      </c>
      <c r="F52" s="18">
        <f>+'Reg. Res''l - SS Mix &amp; Prices'!F52</f>
        <v>1088</v>
      </c>
      <c r="G52" s="18">
        <f>+'Reg. Res''l - SS Mix &amp; Prices'!G52</f>
        <v>73.209999999999994</v>
      </c>
      <c r="H52" s="18">
        <f>+'Reg. Res''l - SS Mix &amp; Prices'!H52</f>
        <v>-53.34</v>
      </c>
      <c r="I52" s="18">
        <f>+'Reg. Res''l - SS Mix &amp; Prices'!I52</f>
        <v>244</v>
      </c>
      <c r="J52" s="18">
        <f>+'Reg. Res''l - SS Mix &amp; Prices'!J52</f>
        <v>700</v>
      </c>
      <c r="K52" s="18">
        <f>+'Reg. Res''l - SS Mix &amp; Prices'!K52</f>
        <v>625</v>
      </c>
      <c r="L52" s="18">
        <f>+'Reg. Res''l - SS Mix &amp; Prices'!L52</f>
        <v>93</v>
      </c>
    </row>
    <row r="53" spans="1:13" x14ac:dyDescent="0.2">
      <c r="A53" s="4" t="s">
        <v>42</v>
      </c>
      <c r="C53" s="18">
        <f>+'Reg. Res''l - SS Mix &amp; Prices'!C53</f>
        <v>88.25</v>
      </c>
      <c r="D53" s="18">
        <f>+'Reg. Res''l - SS Mix &amp; Prices'!D53</f>
        <v>79.239999999999995</v>
      </c>
      <c r="E53" s="18">
        <f>+'Reg. Res''l - SS Mix &amp; Prices'!E53</f>
        <v>129.06</v>
      </c>
      <c r="F53" s="18">
        <f>+'Reg. Res''l - SS Mix &amp; Prices'!F53</f>
        <v>1057.98</v>
      </c>
      <c r="G53" s="18">
        <f>+'Reg. Res''l - SS Mix &amp; Prices'!G53</f>
        <v>102.69</v>
      </c>
      <c r="H53" s="18">
        <f>+'Reg. Res''l - SS Mix &amp; Prices'!H53</f>
        <v>-53.34</v>
      </c>
      <c r="I53" s="18">
        <f>+'Reg. Res''l - SS Mix &amp; Prices'!I53</f>
        <v>271</v>
      </c>
      <c r="J53" s="18">
        <f>+'Reg. Res''l - SS Mix &amp; Prices'!J53</f>
        <v>720</v>
      </c>
      <c r="K53" s="18">
        <f>+'Reg. Res''l - SS Mix &amp; Prices'!K53</f>
        <v>560</v>
      </c>
      <c r="L53" s="18">
        <f>+'Reg. Res''l - SS Mix &amp; Prices'!L53</f>
        <v>95</v>
      </c>
    </row>
    <row r="54" spans="1:13" x14ac:dyDescent="0.2">
      <c r="A54" s="4" t="s">
        <v>43</v>
      </c>
      <c r="C54" s="18">
        <f>+'Reg. Res''l - SS Mix &amp; Prices'!C54</f>
        <v>92.65</v>
      </c>
      <c r="D54" s="18">
        <f>+'Reg. Res''l - SS Mix &amp; Prices'!D54</f>
        <v>82.65</v>
      </c>
      <c r="E54" s="18">
        <f>+'Reg. Res''l - SS Mix &amp; Prices'!E54</f>
        <v>131.09</v>
      </c>
      <c r="F54" s="18">
        <f>+'Reg. Res''l - SS Mix &amp; Prices'!F54</f>
        <v>1064.83</v>
      </c>
      <c r="G54" s="18">
        <f>+'Reg. Res''l - SS Mix &amp; Prices'!G54</f>
        <v>116.7</v>
      </c>
      <c r="H54" s="18">
        <f>+'Reg. Res''l - SS Mix &amp; Prices'!H54</f>
        <v>-53.34</v>
      </c>
      <c r="I54" s="18">
        <f>+'Reg. Res''l - SS Mix &amp; Prices'!I54</f>
        <v>255</v>
      </c>
      <c r="J54" s="18">
        <f>+'Reg. Res''l - SS Mix &amp; Prices'!J54</f>
        <v>750</v>
      </c>
      <c r="K54" s="18">
        <f>+'Reg. Res''l - SS Mix &amp; Prices'!K54</f>
        <v>480</v>
      </c>
      <c r="L54" s="18">
        <f>+'Reg. Res''l - SS Mix &amp; Prices'!L54</f>
        <v>80</v>
      </c>
    </row>
    <row r="55" spans="1:13" x14ac:dyDescent="0.2">
      <c r="A55" s="4" t="s">
        <v>44</v>
      </c>
      <c r="C55" s="18">
        <f>+'Reg. Res''l - SS Mix &amp; Prices'!C55</f>
        <v>82.81</v>
      </c>
      <c r="D55" s="18">
        <f>+'Reg. Res''l - SS Mix &amp; Prices'!D55</f>
        <v>72.489999999999995</v>
      </c>
      <c r="E55" s="18">
        <f>+'Reg. Res''l - SS Mix &amp; Prices'!E55</f>
        <v>117.23</v>
      </c>
      <c r="F55" s="18">
        <f>+'Reg. Res''l - SS Mix &amp; Prices'!F55</f>
        <v>1079.27</v>
      </c>
      <c r="G55" s="18">
        <f>+'Reg. Res''l - SS Mix &amp; Prices'!G55</f>
        <v>89.63</v>
      </c>
      <c r="H55" s="18">
        <f>+'Reg. Res''l - SS Mix &amp; Prices'!H55</f>
        <v>-53.34</v>
      </c>
      <c r="I55" s="18">
        <f>+'Reg. Res''l - SS Mix &amp; Prices'!I55</f>
        <v>175</v>
      </c>
      <c r="J55" s="18">
        <f>+'Reg. Res''l - SS Mix &amp; Prices'!J55</f>
        <v>603</v>
      </c>
      <c r="K55" s="18">
        <f>+'Reg. Res''l - SS Mix &amp; Prices'!K55</f>
        <v>403</v>
      </c>
      <c r="L55" s="18">
        <f>+'Reg. Res''l - SS Mix &amp; Prices'!L55</f>
        <v>45</v>
      </c>
    </row>
    <row r="59" spans="1:13" x14ac:dyDescent="0.2">
      <c r="A59" s="12" t="s">
        <v>61</v>
      </c>
    </row>
    <row r="60" spans="1:13" x14ac:dyDescent="0.2">
      <c r="A60" s="4" t="s">
        <v>59</v>
      </c>
      <c r="B60" s="20">
        <f t="shared" ref="B60:B71" si="6">SUM(C60:L60)</f>
        <v>2103.8990105214352</v>
      </c>
      <c r="C60" s="20">
        <f t="shared" ref="C60" si="7">+C44*C27</f>
        <v>850.05468313016627</v>
      </c>
      <c r="D60" s="20">
        <f t="shared" ref="D60:L64" si="8">+D44*D27</f>
        <v>88.163474975128324</v>
      </c>
      <c r="E60" s="20">
        <f t="shared" si="8"/>
        <v>451.13070705856944</v>
      </c>
      <c r="F60" s="20">
        <f t="shared" si="8"/>
        <v>256.08911852108901</v>
      </c>
      <c r="G60" s="20">
        <f t="shared" si="8"/>
        <v>92.8150554873354</v>
      </c>
      <c r="H60" s="20">
        <f t="shared" si="8"/>
        <v>-124.70100080744253</v>
      </c>
      <c r="I60" s="20">
        <f t="shared" si="8"/>
        <v>172.23739364594954</v>
      </c>
      <c r="J60" s="20">
        <f t="shared" si="8"/>
        <v>194.31697204201069</v>
      </c>
      <c r="K60" s="20">
        <f t="shared" si="8"/>
        <v>80.97111584969872</v>
      </c>
      <c r="L60" s="20">
        <f t="shared" si="8"/>
        <v>42.821490618929914</v>
      </c>
    </row>
    <row r="61" spans="1:13" x14ac:dyDescent="0.2">
      <c r="A61" s="4" t="s">
        <v>36</v>
      </c>
      <c r="B61" s="20">
        <f t="shared" si="6"/>
        <v>2236.7314180268663</v>
      </c>
      <c r="C61" s="20">
        <f t="shared" ref="C61" si="9">+C45*C28</f>
        <v>900.39168927691435</v>
      </c>
      <c r="D61" s="20">
        <f t="shared" si="8"/>
        <v>57.390271050019969</v>
      </c>
      <c r="E61" s="20">
        <f t="shared" si="8"/>
        <v>497.31297610819223</v>
      </c>
      <c r="F61" s="20">
        <f t="shared" si="8"/>
        <v>274.08540528401198</v>
      </c>
      <c r="G61" s="20">
        <f t="shared" si="8"/>
        <v>80.394620892339006</v>
      </c>
      <c r="H61" s="20">
        <f t="shared" si="8"/>
        <v>-117.5875950502458</v>
      </c>
      <c r="I61" s="20">
        <f t="shared" si="8"/>
        <v>184.396816985155</v>
      </c>
      <c r="J61" s="20">
        <f t="shared" si="8"/>
        <v>207.28450727782339</v>
      </c>
      <c r="K61" s="20">
        <f t="shared" si="8"/>
        <v>120.01403065127118</v>
      </c>
      <c r="L61" s="20">
        <f t="shared" si="8"/>
        <v>33.048695551385229</v>
      </c>
    </row>
    <row r="62" spans="1:13" x14ac:dyDescent="0.2">
      <c r="A62" s="4" t="s">
        <v>37</v>
      </c>
      <c r="B62" s="20">
        <f t="shared" si="6"/>
        <v>3226.1771385421748</v>
      </c>
      <c r="C62" s="20">
        <f t="shared" ref="C62" si="10">+C46*C29</f>
        <v>1226.2111653692798</v>
      </c>
      <c r="D62" s="20">
        <f t="shared" si="8"/>
        <v>71.618813290120087</v>
      </c>
      <c r="E62" s="20">
        <f t="shared" si="8"/>
        <v>251.75153482642116</v>
      </c>
      <c r="F62" s="20">
        <f t="shared" si="8"/>
        <v>926.73284689616059</v>
      </c>
      <c r="G62" s="20">
        <f t="shared" si="8"/>
        <v>148.00495970866024</v>
      </c>
      <c r="H62" s="20">
        <f t="shared" si="8"/>
        <v>-127.58924526642325</v>
      </c>
      <c r="I62" s="20">
        <f t="shared" si="8"/>
        <v>237.53827959733013</v>
      </c>
      <c r="J62" s="20">
        <f t="shared" si="8"/>
        <v>330.26501664944408</v>
      </c>
      <c r="K62" s="20">
        <f t="shared" si="8"/>
        <v>159.40862053867178</v>
      </c>
      <c r="L62" s="20">
        <f t="shared" si="8"/>
        <v>2.2351469325103186</v>
      </c>
    </row>
    <row r="63" spans="1:13" x14ac:dyDescent="0.2">
      <c r="A63" s="4" t="s">
        <v>38</v>
      </c>
      <c r="B63" s="20">
        <f t="shared" si="6"/>
        <v>2752.6614639284176</v>
      </c>
      <c r="C63" s="20">
        <f t="shared" ref="C63" si="11">+C47*C30</f>
        <v>907.92829909422346</v>
      </c>
      <c r="D63" s="20">
        <f t="shared" si="8"/>
        <v>107.44069234681133</v>
      </c>
      <c r="E63" s="20">
        <f t="shared" si="8"/>
        <v>800.64638110525755</v>
      </c>
      <c r="F63" s="20">
        <f t="shared" si="8"/>
        <v>430.7185731284406</v>
      </c>
      <c r="G63" s="20">
        <f t="shared" si="8"/>
        <v>107.61080773021702</v>
      </c>
      <c r="H63" s="20">
        <f t="shared" si="8"/>
        <v>-152.28523878858098</v>
      </c>
      <c r="I63" s="20">
        <f t="shared" si="8"/>
        <v>212.56623668224367</v>
      </c>
      <c r="J63" s="20">
        <f t="shared" si="8"/>
        <v>155.88989561344462</v>
      </c>
      <c r="K63" s="20">
        <f t="shared" si="8"/>
        <v>153.94850149315522</v>
      </c>
      <c r="L63" s="20">
        <f t="shared" si="8"/>
        <v>28.19731552320534</v>
      </c>
    </row>
    <row r="64" spans="1:13" x14ac:dyDescent="0.2">
      <c r="A64" s="4" t="s">
        <v>46</v>
      </c>
      <c r="B64" s="20">
        <f t="shared" si="6"/>
        <v>3022.7242547885921</v>
      </c>
      <c r="C64" s="20">
        <f t="shared" ref="C64" si="12">+C48*C31</f>
        <v>1268.0153253631722</v>
      </c>
      <c r="D64" s="20">
        <f>+D48*D31</f>
        <v>21.219014249823317</v>
      </c>
      <c r="E64" s="20">
        <f t="shared" si="8"/>
        <v>702.00839324649712</v>
      </c>
      <c r="F64" s="20">
        <f t="shared" si="8"/>
        <v>567.41079747811591</v>
      </c>
      <c r="G64" s="20">
        <f t="shared" si="8"/>
        <v>83.177155900118152</v>
      </c>
      <c r="H64" s="20">
        <f t="shared" si="8"/>
        <v>-124.7367338688932</v>
      </c>
      <c r="I64" s="20">
        <f t="shared" si="8"/>
        <v>183.86074960376001</v>
      </c>
      <c r="J64" s="20">
        <f t="shared" si="8"/>
        <v>178.38461541338654</v>
      </c>
      <c r="K64" s="20">
        <f t="shared" si="8"/>
        <v>103.79214858367597</v>
      </c>
      <c r="L64" s="20">
        <f t="shared" si="8"/>
        <v>39.592788818936121</v>
      </c>
    </row>
    <row r="65" spans="1:12" x14ac:dyDescent="0.2">
      <c r="A65" s="4" t="s">
        <v>39</v>
      </c>
      <c r="B65" s="20">
        <f t="shared" si="6"/>
        <v>2495.446811083284</v>
      </c>
      <c r="C65" s="20">
        <f t="shared" ref="C65" si="13">+C49*C32</f>
        <v>1064.7185666940027</v>
      </c>
      <c r="D65" s="20">
        <f t="shared" ref="D65:L71" si="14">+D49*D32</f>
        <v>23.98664690497661</v>
      </c>
      <c r="E65" s="20">
        <f t="shared" si="14"/>
        <v>724.42825345027654</v>
      </c>
      <c r="F65" s="20">
        <f t="shared" si="14"/>
        <v>416.83128709485334</v>
      </c>
      <c r="G65" s="20">
        <f t="shared" si="14"/>
        <v>47.749285628243307</v>
      </c>
      <c r="H65" s="20">
        <f t="shared" si="14"/>
        <v>-150.67402429944707</v>
      </c>
      <c r="I65" s="20">
        <f t="shared" si="14"/>
        <v>133.83446703530416</v>
      </c>
      <c r="J65" s="20">
        <f t="shared" si="14"/>
        <v>148.25183984687371</v>
      </c>
      <c r="K65" s="20">
        <f t="shared" si="14"/>
        <v>80.739481752445784</v>
      </c>
      <c r="L65" s="20">
        <f t="shared" si="14"/>
        <v>5.5810069757549989</v>
      </c>
    </row>
    <row r="66" spans="1:12" x14ac:dyDescent="0.2">
      <c r="A66" s="4" t="s">
        <v>40</v>
      </c>
      <c r="B66" s="20">
        <f t="shared" si="6"/>
        <v>2281.2511436509571</v>
      </c>
      <c r="C66" s="20">
        <f t="shared" ref="C66" si="15">+C50*C33</f>
        <v>894.83311326569867</v>
      </c>
      <c r="D66" s="20">
        <f t="shared" si="14"/>
        <v>26.520294835411107</v>
      </c>
      <c r="E66" s="20">
        <f t="shared" si="14"/>
        <v>638.07773851794184</v>
      </c>
      <c r="F66" s="20">
        <f t="shared" si="14"/>
        <v>352.05461269079848</v>
      </c>
      <c r="G66" s="20">
        <f t="shared" si="14"/>
        <v>82.731332285273979</v>
      </c>
      <c r="H66" s="20">
        <f t="shared" si="14"/>
        <v>-160.63401854197477</v>
      </c>
      <c r="I66" s="20">
        <f t="shared" si="14"/>
        <v>152.7293557749403</v>
      </c>
      <c r="J66" s="20">
        <f t="shared" si="14"/>
        <v>151.14919165750834</v>
      </c>
      <c r="K66" s="20">
        <f t="shared" si="14"/>
        <v>134.22736564651595</v>
      </c>
      <c r="L66" s="20">
        <f t="shared" si="14"/>
        <v>9.5621575188434811</v>
      </c>
    </row>
    <row r="67" spans="1:12" x14ac:dyDescent="0.2">
      <c r="A67" s="4" t="s">
        <v>41</v>
      </c>
      <c r="B67" s="20">
        <f t="shared" si="6"/>
        <v>1665.3453911941151</v>
      </c>
      <c r="C67" s="20">
        <f t="shared" ref="C67" si="16">+C51*C34</f>
        <v>689.32361062329483</v>
      </c>
      <c r="D67" s="20">
        <f t="shared" si="14"/>
        <v>19.458702956349018</v>
      </c>
      <c r="E67" s="20">
        <f t="shared" si="14"/>
        <v>443.52728745697863</v>
      </c>
      <c r="F67" s="20">
        <f t="shared" si="14"/>
        <v>231.56607788221535</v>
      </c>
      <c r="G67" s="20">
        <f t="shared" si="14"/>
        <v>29.648061386961711</v>
      </c>
      <c r="H67" s="20">
        <f t="shared" si="14"/>
        <v>-118.49931362970027</v>
      </c>
      <c r="I67" s="20">
        <f t="shared" si="14"/>
        <v>134.05556082779768</v>
      </c>
      <c r="J67" s="20">
        <f t="shared" si="14"/>
        <v>116.35019756336375</v>
      </c>
      <c r="K67" s="20">
        <f t="shared" si="14"/>
        <v>114.92218000883567</v>
      </c>
      <c r="L67" s="20">
        <f t="shared" si="14"/>
        <v>4.9930261180185713</v>
      </c>
    </row>
    <row r="68" spans="1:12" x14ac:dyDescent="0.2">
      <c r="A68" s="4" t="s">
        <v>10</v>
      </c>
      <c r="B68" s="20">
        <f t="shared" si="6"/>
        <v>2292.8297458108914</v>
      </c>
      <c r="C68" s="20">
        <f t="shared" ref="C68" si="17">+C52*C35</f>
        <v>971.40395755868815</v>
      </c>
      <c r="D68" s="20">
        <f t="shared" si="14"/>
        <v>31.422431350570921</v>
      </c>
      <c r="E68" s="20">
        <f t="shared" si="14"/>
        <v>632.21758095360121</v>
      </c>
      <c r="F68" s="20">
        <f t="shared" si="14"/>
        <v>231.7904772275287</v>
      </c>
      <c r="G68" s="20">
        <f t="shared" si="14"/>
        <v>34.907252248682013</v>
      </c>
      <c r="H68" s="20">
        <f t="shared" si="14"/>
        <v>-142.45207863104156</v>
      </c>
      <c r="I68" s="20">
        <f t="shared" si="14"/>
        <v>207.92969280704779</v>
      </c>
      <c r="J68" s="20">
        <f t="shared" si="14"/>
        <v>163.33275049733948</v>
      </c>
      <c r="K68" s="20">
        <f t="shared" si="14"/>
        <v>147.4179522151841</v>
      </c>
      <c r="L68" s="20">
        <f t="shared" si="14"/>
        <v>14.859729583290559</v>
      </c>
    </row>
    <row r="69" spans="1:12" x14ac:dyDescent="0.2">
      <c r="A69" s="4" t="s">
        <v>42</v>
      </c>
      <c r="B69" s="20">
        <f t="shared" si="6"/>
        <v>2771.5620977328385</v>
      </c>
      <c r="C69" s="20">
        <f t="shared" ref="C69" si="18">+C53*C36</f>
        <v>1206.6956707525635</v>
      </c>
      <c r="D69" s="20">
        <f t="shared" si="14"/>
        <v>35.560460057507008</v>
      </c>
      <c r="E69" s="20">
        <f t="shared" si="14"/>
        <v>812.99899860399864</v>
      </c>
      <c r="F69" s="20">
        <f t="shared" si="14"/>
        <v>254.97910950735616</v>
      </c>
      <c r="G69" s="20">
        <f t="shared" si="14"/>
        <v>50.920079657336174</v>
      </c>
      <c r="H69" s="20">
        <f t="shared" si="14"/>
        <v>-153.81958326210017</v>
      </c>
      <c r="I69" s="20">
        <f t="shared" si="14"/>
        <v>220.71127054407407</v>
      </c>
      <c r="J69" s="20">
        <f t="shared" si="14"/>
        <v>193.46932669124348</v>
      </c>
      <c r="K69" s="20">
        <f t="shared" si="14"/>
        <v>130.30923722159355</v>
      </c>
      <c r="L69" s="20">
        <f t="shared" si="14"/>
        <v>19.737527959265602</v>
      </c>
    </row>
    <row r="70" spans="1:12" x14ac:dyDescent="0.2">
      <c r="A70" s="4" t="s">
        <v>43</v>
      </c>
      <c r="B70" s="20">
        <f t="shared" si="6"/>
        <v>3018.8792744625871</v>
      </c>
      <c r="C70" s="20">
        <f t="shared" ref="C70" si="19">+C54*C37</f>
        <v>1329.1375657031576</v>
      </c>
      <c r="D70" s="20">
        <f t="shared" si="14"/>
        <v>39.498422922477666</v>
      </c>
      <c r="E70" s="20">
        <f t="shared" si="14"/>
        <v>890.90683002711648</v>
      </c>
      <c r="F70" s="20">
        <f t="shared" si="14"/>
        <v>277.8558713154539</v>
      </c>
      <c r="G70" s="20">
        <f t="shared" si="14"/>
        <v>67.061956672227566</v>
      </c>
      <c r="H70" s="20">
        <f t="shared" si="14"/>
        <v>-161.86116222513687</v>
      </c>
      <c r="I70" s="20">
        <f t="shared" si="14"/>
        <v>228.02859591935101</v>
      </c>
      <c r="J70" s="20">
        <f t="shared" si="14"/>
        <v>215.49471938376468</v>
      </c>
      <c r="K70" s="20">
        <f t="shared" si="14"/>
        <v>115.399621155714</v>
      </c>
      <c r="L70" s="20">
        <f t="shared" si="14"/>
        <v>17.356853588461046</v>
      </c>
    </row>
    <row r="71" spans="1:12" ht="15" x14ac:dyDescent="0.35">
      <c r="A71" s="4" t="s">
        <v>44</v>
      </c>
      <c r="B71" s="27">
        <f t="shared" si="6"/>
        <v>2207.9739401331944</v>
      </c>
      <c r="C71" s="27">
        <f t="shared" ref="C71" si="20">+C55*C38</f>
        <v>1025.0266076254941</v>
      </c>
      <c r="D71" s="27">
        <f t="shared" si="14"/>
        <v>68.079294070042465</v>
      </c>
      <c r="E71" s="27">
        <f t="shared" si="14"/>
        <v>610.2522574160887</v>
      </c>
      <c r="F71" s="27">
        <f t="shared" si="14"/>
        <v>249.0562566321986</v>
      </c>
      <c r="G71" s="27">
        <f t="shared" si="14"/>
        <v>33.91106339700864</v>
      </c>
      <c r="H71" s="27">
        <f t="shared" si="14"/>
        <v>-150.28346857619252</v>
      </c>
      <c r="I71" s="27">
        <f t="shared" si="14"/>
        <v>170.45650260329296</v>
      </c>
      <c r="J71" s="27">
        <f t="shared" si="14"/>
        <v>131.06032202522846</v>
      </c>
      <c r="K71" s="27">
        <f t="shared" si="14"/>
        <v>69.207620860198858</v>
      </c>
      <c r="L71" s="27">
        <f t="shared" si="14"/>
        <v>1.2074840798344249</v>
      </c>
    </row>
    <row r="72" spans="1:12" ht="15" x14ac:dyDescent="0.35">
      <c r="B72" s="39">
        <f t="shared" ref="B72" si="21">SUM(B60:B71)</f>
        <v>30075.481689875352</v>
      </c>
      <c r="C72" s="39">
        <f t="shared" ref="C72" si="22">SUM(C60:C71)</f>
        <v>12333.740254456656</v>
      </c>
      <c r="D72" s="39">
        <f>SUM(D60:D71)</f>
        <v>590.35851900923785</v>
      </c>
      <c r="E72" s="39">
        <f t="shared" ref="E72:L72" si="23">SUM(E60:E71)</f>
        <v>7455.2589387709386</v>
      </c>
      <c r="F72" s="39">
        <f t="shared" si="23"/>
        <v>4469.1704336582225</v>
      </c>
      <c r="G72" s="39">
        <f t="shared" si="23"/>
        <v>858.93163099440312</v>
      </c>
      <c r="H72" s="39">
        <f t="shared" si="23"/>
        <v>-1685.123462947179</v>
      </c>
      <c r="I72" s="39">
        <f t="shared" si="23"/>
        <v>2238.3449220262464</v>
      </c>
      <c r="J72" s="39">
        <f t="shared" si="23"/>
        <v>2185.249354661431</v>
      </c>
      <c r="K72" s="39">
        <f t="shared" si="23"/>
        <v>1410.3578759769607</v>
      </c>
      <c r="L72" s="39">
        <f t="shared" si="23"/>
        <v>219.19322326843562</v>
      </c>
    </row>
  </sheetData>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9" sqref="F9"/>
    </sheetView>
  </sheetViews>
  <sheetFormatPr defaultRowHeight="12.75" x14ac:dyDescent="0.2"/>
  <cols>
    <col min="1" max="1" width="20.28515625" customWidth="1"/>
    <col min="2" max="2" width="13.5703125" bestFit="1" customWidth="1"/>
    <col min="3" max="4" width="11" bestFit="1" customWidth="1"/>
    <col min="6" max="6" width="3.7109375" customWidth="1"/>
    <col min="7" max="7" width="9.7109375" bestFit="1" customWidth="1"/>
  </cols>
  <sheetData>
    <row r="1" spans="1:7" ht="15.75" x14ac:dyDescent="0.25">
      <c r="A1" s="230" t="s">
        <v>89</v>
      </c>
      <c r="B1" s="230"/>
      <c r="C1" s="230"/>
      <c r="D1" s="230"/>
      <c r="E1" s="230"/>
      <c r="F1" s="230"/>
      <c r="G1" s="230"/>
    </row>
    <row r="2" spans="1:7" ht="15.75" x14ac:dyDescent="0.25">
      <c r="A2" s="230" t="s">
        <v>90</v>
      </c>
      <c r="B2" s="230"/>
      <c r="C2" s="230"/>
      <c r="D2" s="230"/>
      <c r="E2" s="230"/>
      <c r="F2" s="230"/>
      <c r="G2" s="230"/>
    </row>
    <row r="3" spans="1:7" ht="15.75" x14ac:dyDescent="0.25">
      <c r="A3" s="230" t="s">
        <v>142</v>
      </c>
      <c r="B3" s="230"/>
      <c r="C3" s="230"/>
      <c r="D3" s="230"/>
      <c r="E3" s="230"/>
      <c r="F3" s="230"/>
      <c r="G3" s="230"/>
    </row>
    <row r="4" spans="1:7" ht="15.75" x14ac:dyDescent="0.25">
      <c r="A4" s="168"/>
      <c r="B4" s="168"/>
      <c r="C4" s="168"/>
      <c r="D4" s="168"/>
    </row>
    <row r="5" spans="1:7" ht="15.75" x14ac:dyDescent="0.25">
      <c r="A5" s="1"/>
      <c r="B5" s="168" t="s">
        <v>108</v>
      </c>
    </row>
    <row r="6" spans="1:7" ht="15.75" x14ac:dyDescent="0.25">
      <c r="A6" s="1"/>
      <c r="B6" s="168" t="s">
        <v>20</v>
      </c>
      <c r="C6" s="168"/>
      <c r="D6" s="168"/>
      <c r="E6" s="168" t="s">
        <v>111</v>
      </c>
      <c r="G6" s="168" t="s">
        <v>91</v>
      </c>
    </row>
    <row r="7" spans="1:7" ht="15.75" x14ac:dyDescent="0.25">
      <c r="A7" s="1"/>
      <c r="B7" s="84" t="s">
        <v>92</v>
      </c>
      <c r="C7" s="84" t="s">
        <v>109</v>
      </c>
      <c r="D7" s="84" t="s">
        <v>23</v>
      </c>
      <c r="E7" s="84" t="s">
        <v>112</v>
      </c>
      <c r="G7" s="84" t="s">
        <v>93</v>
      </c>
    </row>
    <row r="8" spans="1:7" ht="15" x14ac:dyDescent="0.2">
      <c r="A8" s="78"/>
      <c r="B8" s="79"/>
      <c r="C8" s="79"/>
      <c r="D8" s="79"/>
      <c r="E8" s="79"/>
      <c r="G8" s="79"/>
    </row>
    <row r="9" spans="1:7" ht="15" x14ac:dyDescent="0.2">
      <c r="A9" s="78" t="s">
        <v>14</v>
      </c>
      <c r="B9" s="80">
        <v>41047</v>
      </c>
      <c r="C9" s="80">
        <v>12725</v>
      </c>
      <c r="D9" s="80">
        <f>+C9+B9</f>
        <v>53772</v>
      </c>
      <c r="E9" s="209">
        <f>+B9/D9</f>
        <v>0.76335267425425868</v>
      </c>
      <c r="G9" s="166">
        <v>6451</v>
      </c>
    </row>
    <row r="10" spans="1:7" ht="15" x14ac:dyDescent="0.2">
      <c r="A10" s="78" t="s">
        <v>15</v>
      </c>
      <c r="B10" s="80">
        <v>40892</v>
      </c>
      <c r="C10" s="80">
        <v>12755</v>
      </c>
      <c r="D10" s="80">
        <f t="shared" ref="D10:D20" si="0">+C10+B10</f>
        <v>53647</v>
      </c>
      <c r="E10" s="209">
        <f t="shared" ref="E10:E21" si="1">+B10/D10</f>
        <v>0.76224206386191218</v>
      </c>
      <c r="G10" s="166">
        <v>6451</v>
      </c>
    </row>
    <row r="11" spans="1:7" ht="15" x14ac:dyDescent="0.2">
      <c r="A11" s="78" t="s">
        <v>16</v>
      </c>
      <c r="B11" s="80">
        <v>41027</v>
      </c>
      <c r="C11" s="80">
        <v>12759</v>
      </c>
      <c r="D11" s="80">
        <f t="shared" si="0"/>
        <v>53786</v>
      </c>
      <c r="E11" s="209">
        <f t="shared" si="1"/>
        <v>0.76278213661547611</v>
      </c>
      <c r="G11" s="166">
        <v>6451</v>
      </c>
    </row>
    <row r="12" spans="1:7" ht="15" x14ac:dyDescent="0.2">
      <c r="A12" s="78" t="s">
        <v>17</v>
      </c>
      <c r="B12" s="80">
        <v>41189</v>
      </c>
      <c r="C12" s="80">
        <v>12721</v>
      </c>
      <c r="D12" s="80">
        <f t="shared" si="0"/>
        <v>53910</v>
      </c>
      <c r="E12" s="209">
        <f t="shared" si="1"/>
        <v>0.76403264700426632</v>
      </c>
      <c r="G12" s="166">
        <v>6451</v>
      </c>
    </row>
    <row r="13" spans="1:7" ht="15" x14ac:dyDescent="0.2">
      <c r="A13" s="78" t="s">
        <v>5</v>
      </c>
      <c r="B13" s="80">
        <v>41276</v>
      </c>
      <c r="C13" s="80">
        <v>12738</v>
      </c>
      <c r="D13" s="80">
        <f t="shared" si="0"/>
        <v>54014</v>
      </c>
      <c r="E13" s="209">
        <f t="shared" si="1"/>
        <v>0.76417225163846414</v>
      </c>
      <c r="G13" s="166">
        <v>6451</v>
      </c>
    </row>
    <row r="14" spans="1:7" ht="15" x14ac:dyDescent="0.2">
      <c r="A14" s="78" t="s">
        <v>6</v>
      </c>
      <c r="B14" s="80">
        <v>41285</v>
      </c>
      <c r="C14" s="80">
        <v>12788</v>
      </c>
      <c r="D14" s="80">
        <f t="shared" si="0"/>
        <v>54073</v>
      </c>
      <c r="E14" s="209">
        <f t="shared" si="1"/>
        <v>0.76350489153551682</v>
      </c>
      <c r="G14" s="166">
        <v>6451</v>
      </c>
    </row>
    <row r="15" spans="1:7" ht="15" x14ac:dyDescent="0.2">
      <c r="A15" s="78" t="s">
        <v>8</v>
      </c>
      <c r="B15" s="80">
        <v>41530</v>
      </c>
      <c r="C15" s="80">
        <v>12809</v>
      </c>
      <c r="D15" s="80">
        <f t="shared" si="0"/>
        <v>54339</v>
      </c>
      <c r="E15" s="209">
        <f t="shared" si="1"/>
        <v>0.7642761184416349</v>
      </c>
      <c r="G15" s="166">
        <v>6451</v>
      </c>
    </row>
    <row r="16" spans="1:7" ht="15" x14ac:dyDescent="0.2">
      <c r="A16" s="78" t="s">
        <v>9</v>
      </c>
      <c r="B16" s="80">
        <v>41652</v>
      </c>
      <c r="C16" s="80">
        <v>12845</v>
      </c>
      <c r="D16" s="80">
        <f t="shared" si="0"/>
        <v>54497</v>
      </c>
      <c r="E16" s="209">
        <f t="shared" si="1"/>
        <v>0.76429895223590294</v>
      </c>
      <c r="G16" s="166">
        <v>6451</v>
      </c>
    </row>
    <row r="17" spans="1:7" ht="15" x14ac:dyDescent="0.2">
      <c r="A17" s="78" t="s">
        <v>10</v>
      </c>
      <c r="B17" s="80">
        <v>41772</v>
      </c>
      <c r="C17" s="80">
        <v>12887</v>
      </c>
      <c r="D17" s="80">
        <f t="shared" si="0"/>
        <v>54659</v>
      </c>
      <c r="E17" s="209">
        <f t="shared" si="1"/>
        <v>0.76422912969501822</v>
      </c>
      <c r="G17" s="166">
        <v>6595</v>
      </c>
    </row>
    <row r="18" spans="1:7" ht="15" x14ac:dyDescent="0.2">
      <c r="A18" s="78" t="s">
        <v>11</v>
      </c>
      <c r="B18" s="80">
        <v>41896</v>
      </c>
      <c r="C18" s="80">
        <v>12898</v>
      </c>
      <c r="D18" s="80">
        <f t="shared" si="0"/>
        <v>54794</v>
      </c>
      <c r="E18" s="209">
        <f t="shared" si="1"/>
        <v>0.76460926378800598</v>
      </c>
      <c r="G18" s="166">
        <v>6444</v>
      </c>
    </row>
    <row r="19" spans="1:7" ht="15" x14ac:dyDescent="0.2">
      <c r="A19" s="78" t="s">
        <v>12</v>
      </c>
      <c r="B19" s="80">
        <v>42054</v>
      </c>
      <c r="C19" s="80">
        <v>12925</v>
      </c>
      <c r="D19" s="80">
        <f t="shared" si="0"/>
        <v>54979</v>
      </c>
      <c r="E19" s="209">
        <f t="shared" si="1"/>
        <v>0.76491023845468264</v>
      </c>
      <c r="G19" s="166">
        <v>6397</v>
      </c>
    </row>
    <row r="20" spans="1:7" ht="17.25" x14ac:dyDescent="0.35">
      <c r="A20" s="78" t="s">
        <v>13</v>
      </c>
      <c r="B20" s="81">
        <v>42170</v>
      </c>
      <c r="C20" s="81">
        <v>12971</v>
      </c>
      <c r="D20" s="81">
        <f t="shared" si="0"/>
        <v>55141</v>
      </c>
      <c r="E20" s="210">
        <f t="shared" si="1"/>
        <v>0.76476668903356848</v>
      </c>
      <c r="G20" s="167">
        <v>6396</v>
      </c>
    </row>
    <row r="21" spans="1:7" ht="18" x14ac:dyDescent="0.4">
      <c r="A21" s="78"/>
      <c r="B21" s="82">
        <f>SUM(B9:B20)</f>
        <v>497790</v>
      </c>
      <c r="C21" s="82">
        <f t="shared" ref="C21:D21" si="2">SUM(C9:C20)</f>
        <v>153821</v>
      </c>
      <c r="D21" s="82">
        <f t="shared" si="2"/>
        <v>651611</v>
      </c>
      <c r="E21" s="211">
        <f t="shared" si="1"/>
        <v>0.76393737981709942</v>
      </c>
      <c r="G21" s="82">
        <f>SUM(G9:G20)</f>
        <v>77440</v>
      </c>
    </row>
    <row r="22" spans="1:7" ht="15" x14ac:dyDescent="0.2">
      <c r="A22" s="78"/>
      <c r="B22" s="78"/>
      <c r="C22" s="78"/>
      <c r="D22" s="78"/>
      <c r="E22" s="78"/>
      <c r="G22" s="78"/>
    </row>
    <row r="23" spans="1:7" ht="18" x14ac:dyDescent="0.4">
      <c r="A23" s="1" t="s">
        <v>94</v>
      </c>
      <c r="B23" s="82">
        <f>+B21/12</f>
        <v>41482.5</v>
      </c>
      <c r="C23" s="82"/>
      <c r="D23" s="82"/>
      <c r="E23" s="83"/>
      <c r="G23" s="82">
        <f>+G21/12</f>
        <v>6453.333333333333</v>
      </c>
    </row>
  </sheetData>
  <mergeCells count="3">
    <mergeCell ref="A1:G1"/>
    <mergeCell ref="A2:G2"/>
    <mergeCell ref="A3: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R19"/>
  <sheetViews>
    <sheetView workbookViewId="0">
      <selection activeCell="B4" sqref="B4"/>
    </sheetView>
  </sheetViews>
  <sheetFormatPr defaultRowHeight="12.75" x14ac:dyDescent="0.2"/>
  <cols>
    <col min="1" max="1" width="7.28515625" bestFit="1" customWidth="1"/>
    <col min="2" max="2" width="14.42578125" customWidth="1"/>
    <col min="3" max="3" width="12.7109375" bestFit="1" customWidth="1"/>
    <col min="4" max="4" width="8.85546875" bestFit="1" customWidth="1"/>
    <col min="5" max="5" width="10.42578125" bestFit="1" customWidth="1"/>
    <col min="6" max="6" width="8.85546875" bestFit="1" customWidth="1"/>
    <col min="7" max="7" width="8.7109375" bestFit="1" customWidth="1"/>
    <col min="8" max="9" width="10.28515625" bestFit="1" customWidth="1"/>
    <col min="10" max="10" width="8.85546875" bestFit="1" customWidth="1"/>
    <col min="11" max="11" width="11.140625" bestFit="1" customWidth="1"/>
    <col min="12" max="12" width="4" customWidth="1"/>
    <col min="13" max="13" width="5" customWidth="1"/>
  </cols>
  <sheetData>
    <row r="4" spans="1:18" x14ac:dyDescent="0.2">
      <c r="A4" s="86" t="s">
        <v>97</v>
      </c>
      <c r="B4" s="87" t="s">
        <v>98</v>
      </c>
      <c r="C4" s="88"/>
      <c r="D4" s="88"/>
      <c r="E4" s="89"/>
      <c r="F4" s="88"/>
      <c r="G4" s="88"/>
      <c r="H4" s="88"/>
      <c r="I4" s="89" t="s">
        <v>54</v>
      </c>
      <c r="J4" s="89" t="s">
        <v>55</v>
      </c>
      <c r="K4" s="89" t="s">
        <v>49</v>
      </c>
    </row>
    <row r="5" spans="1:18" x14ac:dyDescent="0.2">
      <c r="A5" s="90"/>
      <c r="B5" s="91" t="s">
        <v>99</v>
      </c>
      <c r="C5" s="91" t="s">
        <v>100</v>
      </c>
      <c r="D5" s="91" t="s">
        <v>51</v>
      </c>
      <c r="E5" s="91" t="s">
        <v>101</v>
      </c>
      <c r="F5" s="91" t="s">
        <v>53</v>
      </c>
      <c r="G5" s="91" t="s">
        <v>4</v>
      </c>
      <c r="H5" s="91" t="s">
        <v>3</v>
      </c>
      <c r="I5" s="91" t="s">
        <v>2</v>
      </c>
      <c r="J5" s="91" t="s">
        <v>2</v>
      </c>
      <c r="K5" s="89" t="s">
        <v>102</v>
      </c>
    </row>
    <row r="6" spans="1:18" x14ac:dyDescent="0.2">
      <c r="A6" s="92"/>
      <c r="B6" s="93"/>
      <c r="C6" s="92"/>
      <c r="D6" s="92"/>
      <c r="E6" s="92"/>
      <c r="F6" s="92"/>
      <c r="G6" s="92"/>
      <c r="H6" s="92"/>
      <c r="I6" s="92"/>
      <c r="J6" s="92"/>
      <c r="K6" s="92"/>
    </row>
    <row r="7" spans="1:18" x14ac:dyDescent="0.2">
      <c r="A7" s="94">
        <v>41892</v>
      </c>
      <c r="B7" s="95">
        <v>93.93</v>
      </c>
      <c r="C7" s="95">
        <v>85.93</v>
      </c>
      <c r="D7" s="95">
        <v>123.74</v>
      </c>
      <c r="E7" s="95">
        <v>1634.89</v>
      </c>
      <c r="F7" s="95">
        <v>229</v>
      </c>
      <c r="G7" s="95">
        <v>-53.34</v>
      </c>
      <c r="H7" s="95">
        <v>362</v>
      </c>
      <c r="I7" s="95">
        <v>982.6</v>
      </c>
      <c r="J7" s="95">
        <v>667</v>
      </c>
      <c r="K7" s="95">
        <v>96.77</v>
      </c>
      <c r="O7" s="38"/>
    </row>
    <row r="8" spans="1:18" x14ac:dyDescent="0.2">
      <c r="A8" s="94">
        <v>41922</v>
      </c>
      <c r="B8" s="95">
        <v>87.1</v>
      </c>
      <c r="C8" s="95">
        <v>78.099999999999994</v>
      </c>
      <c r="D8" s="95">
        <v>124.91</v>
      </c>
      <c r="E8" s="95">
        <v>1630.11</v>
      </c>
      <c r="F8" s="95">
        <v>203.84</v>
      </c>
      <c r="G8" s="95">
        <v>-53.34</v>
      </c>
      <c r="H8" s="95">
        <v>347</v>
      </c>
      <c r="I8" s="95">
        <v>979</v>
      </c>
      <c r="J8" s="95">
        <v>657</v>
      </c>
      <c r="K8" s="95">
        <v>87</v>
      </c>
      <c r="O8" s="38"/>
    </row>
    <row r="9" spans="1:18" x14ac:dyDescent="0.2">
      <c r="A9" s="94">
        <v>41953</v>
      </c>
      <c r="B9" s="95">
        <v>86.1</v>
      </c>
      <c r="C9" s="95">
        <v>76.099999999999994</v>
      </c>
      <c r="D9" s="95">
        <v>123.91</v>
      </c>
      <c r="E9" s="95">
        <v>1734.55</v>
      </c>
      <c r="F9" s="95">
        <v>198</v>
      </c>
      <c r="G9" s="95">
        <v>-53.34</v>
      </c>
      <c r="H9" s="95">
        <v>322</v>
      </c>
      <c r="I9" s="95">
        <v>837</v>
      </c>
      <c r="J9" s="95">
        <v>657</v>
      </c>
      <c r="K9" s="95">
        <v>57</v>
      </c>
    </row>
    <row r="10" spans="1:18" x14ac:dyDescent="0.2">
      <c r="A10" s="94">
        <v>41983</v>
      </c>
      <c r="B10" s="95">
        <v>84.57</v>
      </c>
      <c r="C10" s="95">
        <v>73.569999999999993</v>
      </c>
      <c r="D10" s="95">
        <v>121.37</v>
      </c>
      <c r="E10" s="95">
        <v>1705.09</v>
      </c>
      <c r="F10" s="95">
        <v>192</v>
      </c>
      <c r="G10" s="95">
        <v>-53.34</v>
      </c>
      <c r="H10" s="95">
        <v>251.66</v>
      </c>
      <c r="I10" s="95">
        <v>769.4</v>
      </c>
      <c r="J10" s="95">
        <v>597</v>
      </c>
      <c r="K10" s="95">
        <v>57</v>
      </c>
    </row>
    <row r="11" spans="1:18" x14ac:dyDescent="0.2">
      <c r="A11" s="94">
        <v>42014</v>
      </c>
      <c r="B11" s="95">
        <v>82.23</v>
      </c>
      <c r="C11" s="95">
        <v>71.180000000000007</v>
      </c>
      <c r="D11" s="95">
        <v>119.84</v>
      </c>
      <c r="E11" s="95">
        <v>1606.97</v>
      </c>
      <c r="F11" s="95">
        <v>148.13999999999999</v>
      </c>
      <c r="G11" s="95">
        <v>-53.34</v>
      </c>
      <c r="H11" s="95">
        <v>232.7</v>
      </c>
      <c r="I11" s="95">
        <v>587</v>
      </c>
      <c r="J11" s="95">
        <v>417</v>
      </c>
      <c r="K11" s="95">
        <v>57</v>
      </c>
    </row>
    <row r="12" spans="1:18" x14ac:dyDescent="0.2">
      <c r="A12" s="94">
        <v>42045</v>
      </c>
      <c r="B12" s="95">
        <v>80.08</v>
      </c>
      <c r="C12" s="95">
        <v>68.33</v>
      </c>
      <c r="D12" s="95">
        <v>109.97</v>
      </c>
      <c r="E12" s="95">
        <v>1747</v>
      </c>
      <c r="F12" s="95">
        <v>79.14</v>
      </c>
      <c r="G12" s="95">
        <v>-53.34</v>
      </c>
      <c r="H12" s="95">
        <v>160</v>
      </c>
      <c r="I12" s="95">
        <v>487</v>
      </c>
      <c r="J12" s="95">
        <v>320</v>
      </c>
      <c r="K12" s="95">
        <v>37</v>
      </c>
    </row>
    <row r="13" spans="1:18" x14ac:dyDescent="0.2">
      <c r="A13" s="94">
        <v>42073</v>
      </c>
      <c r="B13" s="95">
        <v>71.91</v>
      </c>
      <c r="C13" s="95">
        <v>56.33</v>
      </c>
      <c r="D13" s="95">
        <v>94.86</v>
      </c>
      <c r="E13" s="95">
        <v>1647</v>
      </c>
      <c r="F13" s="95">
        <v>147</v>
      </c>
      <c r="G13" s="95">
        <v>-53.34</v>
      </c>
      <c r="H13" s="95">
        <v>167</v>
      </c>
      <c r="I13" s="95">
        <v>527</v>
      </c>
      <c r="J13" s="95">
        <v>477</v>
      </c>
      <c r="K13" s="95">
        <v>57</v>
      </c>
      <c r="O13" s="18"/>
      <c r="P13" s="18"/>
      <c r="R13" s="18"/>
    </row>
    <row r="14" spans="1:18" x14ac:dyDescent="0.2">
      <c r="A14" s="94">
        <v>42104</v>
      </c>
      <c r="B14" s="95">
        <v>71.900000000000006</v>
      </c>
      <c r="C14" s="95">
        <v>56.83</v>
      </c>
      <c r="D14" s="95">
        <v>93.19</v>
      </c>
      <c r="E14" s="95">
        <v>1336.87</v>
      </c>
      <c r="F14" s="95">
        <v>79.14</v>
      </c>
      <c r="G14" s="95">
        <v>-53.34</v>
      </c>
      <c r="H14" s="95">
        <v>203.54</v>
      </c>
      <c r="I14" s="95">
        <v>577.66999999999996</v>
      </c>
      <c r="J14" s="95">
        <v>607</v>
      </c>
      <c r="K14" s="95">
        <v>37</v>
      </c>
      <c r="O14" s="18"/>
      <c r="P14" s="18"/>
    </row>
    <row r="15" spans="1:18" x14ac:dyDescent="0.2">
      <c r="A15" s="94">
        <v>42134</v>
      </c>
      <c r="B15" s="95">
        <v>78.47</v>
      </c>
      <c r="C15" s="95">
        <v>66.61</v>
      </c>
      <c r="D15" s="95">
        <v>113.05</v>
      </c>
      <c r="E15" s="95">
        <v>1088</v>
      </c>
      <c r="F15" s="95">
        <v>73.209999999999994</v>
      </c>
      <c r="G15" s="95">
        <v>-53.34</v>
      </c>
      <c r="H15" s="95">
        <v>244</v>
      </c>
      <c r="I15" s="95">
        <v>700</v>
      </c>
      <c r="J15" s="95">
        <v>625</v>
      </c>
      <c r="K15" s="95">
        <v>93</v>
      </c>
      <c r="O15" s="18"/>
      <c r="P15" s="18"/>
    </row>
    <row r="16" spans="1:18" x14ac:dyDescent="0.2">
      <c r="A16" s="94">
        <v>42165</v>
      </c>
      <c r="B16" s="95">
        <v>88.25</v>
      </c>
      <c r="C16" s="95">
        <v>79.239999999999995</v>
      </c>
      <c r="D16" s="95">
        <v>129.06</v>
      </c>
      <c r="E16" s="95">
        <v>1057.98</v>
      </c>
      <c r="F16" s="95">
        <v>102.69</v>
      </c>
      <c r="G16" s="95">
        <v>-53.34</v>
      </c>
      <c r="H16" s="95">
        <v>271</v>
      </c>
      <c r="I16" s="95">
        <v>720</v>
      </c>
      <c r="J16" s="95">
        <v>560</v>
      </c>
      <c r="K16" s="95">
        <v>95</v>
      </c>
      <c r="O16" s="18"/>
      <c r="P16" s="18"/>
    </row>
    <row r="17" spans="1:16" x14ac:dyDescent="0.2">
      <c r="A17" s="94">
        <v>42195</v>
      </c>
      <c r="B17" s="95">
        <v>92.65</v>
      </c>
      <c r="C17" s="95">
        <v>82.65</v>
      </c>
      <c r="D17" s="95">
        <v>131.09</v>
      </c>
      <c r="E17" s="95">
        <v>1064.83</v>
      </c>
      <c r="F17" s="95">
        <v>116.7</v>
      </c>
      <c r="G17" s="95">
        <v>-53.34</v>
      </c>
      <c r="H17" s="95">
        <v>255</v>
      </c>
      <c r="I17" s="95">
        <v>750</v>
      </c>
      <c r="J17" s="95">
        <v>480</v>
      </c>
      <c r="K17" s="95">
        <v>80</v>
      </c>
      <c r="O17" s="18"/>
      <c r="P17" s="18"/>
    </row>
    <row r="18" spans="1:16" x14ac:dyDescent="0.2">
      <c r="A18" s="94">
        <v>42226</v>
      </c>
      <c r="B18" s="95">
        <v>82.81</v>
      </c>
      <c r="C18" s="95">
        <v>72.489999999999995</v>
      </c>
      <c r="D18" s="95">
        <v>117.23</v>
      </c>
      <c r="E18" s="95">
        <v>1079.27</v>
      </c>
      <c r="F18" s="95">
        <v>89.63</v>
      </c>
      <c r="G18" s="95">
        <v>-53.34</v>
      </c>
      <c r="H18" s="95">
        <v>175</v>
      </c>
      <c r="I18" s="95">
        <v>603</v>
      </c>
      <c r="J18" s="95">
        <v>403</v>
      </c>
      <c r="K18" s="95">
        <v>45</v>
      </c>
      <c r="O18" s="18"/>
      <c r="P18" s="18"/>
    </row>
    <row r="19" spans="1:16" x14ac:dyDescent="0.2">
      <c r="A19" s="6"/>
      <c r="B19" s="102">
        <f>AVERAGE(B8:B18)</f>
        <v>82.36999999999999</v>
      </c>
      <c r="C19" s="102">
        <f t="shared" ref="C19:K19" si="0">AVERAGE(C8:C18)</f>
        <v>71.039090909090902</v>
      </c>
      <c r="D19" s="102">
        <f t="shared" si="0"/>
        <v>116.22545454545453</v>
      </c>
      <c r="E19" s="102">
        <f t="shared" si="0"/>
        <v>1427.060909090909</v>
      </c>
      <c r="F19" s="102">
        <f t="shared" si="0"/>
        <v>129.95363636363638</v>
      </c>
      <c r="G19" s="102">
        <f t="shared" si="0"/>
        <v>-53.340000000000025</v>
      </c>
      <c r="H19" s="102">
        <f t="shared" si="0"/>
        <v>238.99090909090907</v>
      </c>
      <c r="I19" s="102">
        <f t="shared" si="0"/>
        <v>685.18818181818176</v>
      </c>
      <c r="J19" s="102">
        <f t="shared" si="0"/>
        <v>527.27272727272725</v>
      </c>
      <c r="K19" s="102">
        <f t="shared" si="0"/>
        <v>63.81818181818182</v>
      </c>
    </row>
  </sheetData>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topLeftCell="A14" workbookViewId="0">
      <selection activeCell="D14" sqref="D14"/>
    </sheetView>
  </sheetViews>
  <sheetFormatPr defaultRowHeight="12.75" x14ac:dyDescent="0.2"/>
  <cols>
    <col min="2" max="2" width="10.28515625" bestFit="1" customWidth="1"/>
    <col min="3" max="3" width="6.5703125" bestFit="1" customWidth="1"/>
    <col min="4" max="4" width="10.28515625" bestFit="1" customWidth="1"/>
    <col min="5" max="5" width="11.140625" bestFit="1" customWidth="1"/>
    <col min="6" max="6" width="7.7109375" bestFit="1" customWidth="1"/>
    <col min="7" max="7" width="9.28515625" bestFit="1" customWidth="1"/>
    <col min="8" max="8" width="10.28515625" bestFit="1" customWidth="1"/>
    <col min="9" max="9" width="10.7109375" bestFit="1" customWidth="1"/>
    <col min="10" max="10" width="9.28515625" bestFit="1" customWidth="1"/>
    <col min="11" max="12" width="7.7109375" bestFit="1" customWidth="1"/>
    <col min="13" max="13" width="8.140625" bestFit="1" customWidth="1"/>
    <col min="14" max="14" width="7.85546875" bestFit="1" customWidth="1"/>
    <col min="15" max="15" width="9.28515625" bestFit="1" customWidth="1"/>
    <col min="16" max="16" width="3.5703125" customWidth="1"/>
    <col min="17" max="17" width="11.140625" bestFit="1" customWidth="1"/>
    <col min="18" max="18" width="12.42578125" bestFit="1" customWidth="1"/>
    <col min="21" max="21" width="10.7109375" bestFit="1" customWidth="1"/>
    <col min="28" max="28" width="3.5703125" customWidth="1"/>
  </cols>
  <sheetData>
    <row r="1" spans="1:15" ht="26.25" x14ac:dyDescent="0.4">
      <c r="A1" s="7" t="s">
        <v>18</v>
      </c>
    </row>
    <row r="2" spans="1:15" ht="15" x14ac:dyDescent="0.25">
      <c r="A2" s="8" t="s">
        <v>152</v>
      </c>
    </row>
    <row r="7" spans="1:15" x14ac:dyDescent="0.2">
      <c r="B7" s="2" t="s">
        <v>23</v>
      </c>
      <c r="D7" s="2" t="s">
        <v>148</v>
      </c>
    </row>
    <row r="8" spans="1:15" x14ac:dyDescent="0.2">
      <c r="B8" s="2" t="s">
        <v>146</v>
      </c>
      <c r="C8" s="2" t="s">
        <v>25</v>
      </c>
      <c r="D8" s="2" t="s">
        <v>149</v>
      </c>
      <c r="E8" s="41" t="s">
        <v>143</v>
      </c>
      <c r="F8" s="41" t="s">
        <v>47</v>
      </c>
      <c r="G8" s="41"/>
      <c r="H8" s="41" t="s">
        <v>1</v>
      </c>
      <c r="I8" s="41" t="s">
        <v>48</v>
      </c>
      <c r="J8" s="41"/>
      <c r="K8" s="41"/>
      <c r="L8" s="41" t="s">
        <v>2</v>
      </c>
      <c r="M8" s="41" t="s">
        <v>2</v>
      </c>
      <c r="N8" s="41" t="s">
        <v>49</v>
      </c>
    </row>
    <row r="9" spans="1:15" x14ac:dyDescent="0.2">
      <c r="B9" s="10" t="s">
        <v>0</v>
      </c>
      <c r="C9" s="10" t="s">
        <v>0</v>
      </c>
      <c r="D9" s="10" t="s">
        <v>0</v>
      </c>
      <c r="E9" s="42" t="s">
        <v>110</v>
      </c>
      <c r="F9" s="42" t="s">
        <v>50</v>
      </c>
      <c r="G9" s="42" t="s">
        <v>51</v>
      </c>
      <c r="H9" s="42" t="s">
        <v>52</v>
      </c>
      <c r="I9" s="42" t="s">
        <v>53</v>
      </c>
      <c r="J9" s="42" t="s">
        <v>4</v>
      </c>
      <c r="K9" s="42" t="s">
        <v>3</v>
      </c>
      <c r="L9" s="42" t="s">
        <v>54</v>
      </c>
      <c r="M9" s="42" t="s">
        <v>55</v>
      </c>
      <c r="N9" s="42" t="s">
        <v>56</v>
      </c>
      <c r="O9" s="97" t="s">
        <v>103</v>
      </c>
    </row>
    <row r="10" spans="1:15" x14ac:dyDescent="0.2">
      <c r="B10" s="10"/>
      <c r="C10" s="10"/>
      <c r="D10" s="10"/>
      <c r="E10" s="42"/>
      <c r="F10" s="42"/>
      <c r="G10" s="42"/>
      <c r="H10" s="42"/>
      <c r="I10" s="42"/>
      <c r="J10" s="42"/>
      <c r="K10" s="42"/>
      <c r="L10" s="42"/>
      <c r="M10" s="42"/>
      <c r="N10" s="42"/>
      <c r="O10" s="97"/>
    </row>
    <row r="11" spans="1:15" x14ac:dyDescent="0.2">
      <c r="A11" s="205" t="s">
        <v>144</v>
      </c>
      <c r="B11" s="17">
        <v>1240.58</v>
      </c>
      <c r="C11" s="106">
        <v>25.65</v>
      </c>
      <c r="D11" s="17">
        <f>+B11-C11</f>
        <v>1214.9299999999998</v>
      </c>
      <c r="E11" s="206">
        <v>0.4622</v>
      </c>
      <c r="F11" s="206">
        <v>5.2400000000000002E-2</v>
      </c>
      <c r="G11" s="206">
        <v>0.1862</v>
      </c>
      <c r="H11" s="206">
        <v>8.0000000000000002E-3</v>
      </c>
      <c r="I11" s="206">
        <v>2.07E-2</v>
      </c>
      <c r="J11" s="206">
        <v>0.11940000000000001</v>
      </c>
      <c r="K11" s="206">
        <v>2.4299999999999999E-2</v>
      </c>
      <c r="L11" s="206">
        <v>1.01E-2</v>
      </c>
      <c r="M11" s="206">
        <v>6.1999999999999998E-3</v>
      </c>
      <c r="N11" s="206">
        <v>2.2599999999999999E-2</v>
      </c>
      <c r="O11" s="206">
        <v>8.7900000000000006E-2</v>
      </c>
    </row>
    <row r="12" spans="1:15" x14ac:dyDescent="0.2">
      <c r="A12" s="205" t="s">
        <v>36</v>
      </c>
      <c r="B12" s="17">
        <v>1306.8900000000006</v>
      </c>
      <c r="C12" s="106">
        <v>27.23</v>
      </c>
      <c r="D12" s="17">
        <f t="shared" ref="D12:D22" si="0">+B12-C12</f>
        <v>1279.6600000000005</v>
      </c>
      <c r="E12" s="206">
        <v>0.498</v>
      </c>
      <c r="F12" s="206">
        <v>3.5400000000000001E-2</v>
      </c>
      <c r="G12" s="206">
        <v>0.1918</v>
      </c>
      <c r="H12" s="206">
        <v>8.0999999999999996E-3</v>
      </c>
      <c r="I12" s="206">
        <v>1.9E-2</v>
      </c>
      <c r="J12" s="206">
        <v>0.1062</v>
      </c>
      <c r="K12" s="206">
        <v>2.5600000000000001E-2</v>
      </c>
      <c r="L12" s="206">
        <v>1.0200000000000001E-2</v>
      </c>
      <c r="M12" s="206">
        <v>8.8000000000000005E-3</v>
      </c>
      <c r="N12" s="206">
        <v>1.83E-2</v>
      </c>
      <c r="O12" s="206">
        <v>7.8700000000000006E-2</v>
      </c>
    </row>
    <row r="13" spans="1:15" x14ac:dyDescent="0.2">
      <c r="A13" s="205" t="s">
        <v>37</v>
      </c>
      <c r="B13" s="17">
        <v>1078.4799999999998</v>
      </c>
      <c r="C13" s="106">
        <v>32.130000000000003</v>
      </c>
      <c r="D13" s="17">
        <f t="shared" si="0"/>
        <v>1046.3499999999997</v>
      </c>
      <c r="E13" s="206">
        <v>0.58109999999999995</v>
      </c>
      <c r="F13" s="206">
        <v>3.8399999999999997E-2</v>
      </c>
      <c r="G13" s="206">
        <v>8.2900000000000001E-2</v>
      </c>
      <c r="H13" s="206">
        <v>2.18E-2</v>
      </c>
      <c r="I13" s="206">
        <v>3.0499999999999999E-2</v>
      </c>
      <c r="J13" s="206">
        <v>9.7600000000000006E-2</v>
      </c>
      <c r="K13" s="206">
        <v>3.0099999999999998E-2</v>
      </c>
      <c r="L13" s="206">
        <v>1.61E-2</v>
      </c>
      <c r="M13" s="206">
        <v>9.9000000000000008E-3</v>
      </c>
      <c r="N13" s="206">
        <v>1.6000000000000001E-3</v>
      </c>
      <c r="O13" s="206">
        <v>0.09</v>
      </c>
    </row>
    <row r="14" spans="1:15" x14ac:dyDescent="0.2">
      <c r="A14" s="205" t="s">
        <v>38</v>
      </c>
      <c r="B14" s="17">
        <v>1291.53</v>
      </c>
      <c r="C14" s="106">
        <v>34.44</v>
      </c>
      <c r="D14" s="17">
        <f t="shared" si="0"/>
        <v>1257.0899999999999</v>
      </c>
      <c r="E14" s="206">
        <v>0.40799999999999997</v>
      </c>
      <c r="F14" s="206">
        <v>5.5500000000000001E-2</v>
      </c>
      <c r="G14" s="206">
        <v>0.25069999999999998</v>
      </c>
      <c r="H14" s="206">
        <v>9.5999999999999992E-3</v>
      </c>
      <c r="I14" s="206">
        <v>2.1299999999999999E-2</v>
      </c>
      <c r="J14" s="206">
        <v>0.1085</v>
      </c>
      <c r="K14" s="206">
        <v>3.2099999999999997E-2</v>
      </c>
      <c r="L14" s="206">
        <v>7.7000000000000002E-3</v>
      </c>
      <c r="M14" s="206">
        <v>9.7999999999999997E-3</v>
      </c>
      <c r="N14" s="206">
        <v>1.8800000000000001E-2</v>
      </c>
      <c r="O14" s="206">
        <v>7.8E-2</v>
      </c>
    </row>
    <row r="15" spans="1:15" x14ac:dyDescent="0.2">
      <c r="A15" s="205" t="s">
        <v>145</v>
      </c>
      <c r="B15" s="17">
        <v>1226.81</v>
      </c>
      <c r="C15" s="106">
        <v>37.869999999999997</v>
      </c>
      <c r="D15" s="17">
        <f t="shared" si="0"/>
        <v>1188.94</v>
      </c>
      <c r="E15" s="206">
        <v>0.53280000000000005</v>
      </c>
      <c r="F15" s="206">
        <v>1.03E-2</v>
      </c>
      <c r="G15" s="206">
        <v>0.2024</v>
      </c>
      <c r="H15" s="206">
        <v>1.2200000000000001E-2</v>
      </c>
      <c r="I15" s="206">
        <v>1.9400000000000001E-2</v>
      </c>
      <c r="J15" s="206">
        <v>8.0799999999999997E-2</v>
      </c>
      <c r="K15" s="206">
        <v>2.7300000000000001E-2</v>
      </c>
      <c r="L15" s="206">
        <v>1.0500000000000001E-2</v>
      </c>
      <c r="M15" s="206">
        <v>8.6E-3</v>
      </c>
      <c r="N15" s="206">
        <v>2.4E-2</v>
      </c>
      <c r="O15" s="206">
        <v>7.1800000000000003E-2</v>
      </c>
    </row>
    <row r="16" spans="1:15" x14ac:dyDescent="0.2">
      <c r="A16" s="205" t="s">
        <v>39</v>
      </c>
      <c r="B16" s="17">
        <v>1107.81</v>
      </c>
      <c r="C16" s="106">
        <v>35.92</v>
      </c>
      <c r="D16" s="17">
        <f t="shared" si="0"/>
        <v>1071.8899999999999</v>
      </c>
      <c r="E16" s="206">
        <v>0.48480000000000001</v>
      </c>
      <c r="F16" s="206">
        <v>1.2800000000000001E-2</v>
      </c>
      <c r="G16" s="206">
        <v>0.2402</v>
      </c>
      <c r="H16" s="206">
        <v>8.6999999999999994E-3</v>
      </c>
      <c r="I16" s="206">
        <v>2.1999999999999999E-2</v>
      </c>
      <c r="J16" s="206">
        <v>0.10299999999999999</v>
      </c>
      <c r="K16" s="206">
        <v>3.0499999999999999E-2</v>
      </c>
      <c r="L16" s="206">
        <v>1.11E-2</v>
      </c>
      <c r="M16" s="206">
        <v>9.1999999999999998E-3</v>
      </c>
      <c r="N16" s="206">
        <v>5.4999999999999997E-3</v>
      </c>
      <c r="O16" s="206">
        <v>7.22E-2</v>
      </c>
    </row>
    <row r="17" spans="1:21" x14ac:dyDescent="0.2">
      <c r="A17" s="205" t="s">
        <v>40</v>
      </c>
      <c r="B17" s="17">
        <v>1198.29</v>
      </c>
      <c r="C17" s="106">
        <v>35.409999999999997</v>
      </c>
      <c r="D17" s="17">
        <f t="shared" si="0"/>
        <v>1162.8799999999999</v>
      </c>
      <c r="E17" s="206">
        <v>0.45989999999999998</v>
      </c>
      <c r="F17" s="206">
        <v>1.7399999999999999E-2</v>
      </c>
      <c r="G17" s="206">
        <v>0.24859999999999999</v>
      </c>
      <c r="H17" s="206">
        <v>7.9000000000000008E-3</v>
      </c>
      <c r="I17" s="206">
        <v>2.0799999999999999E-2</v>
      </c>
      <c r="J17" s="206">
        <v>0.1113</v>
      </c>
      <c r="K17" s="206">
        <v>3.3799999999999997E-2</v>
      </c>
      <c r="L17" s="206">
        <v>1.06E-2</v>
      </c>
      <c r="M17" s="206">
        <v>1.04E-2</v>
      </c>
      <c r="N17" s="206">
        <v>6.1999999999999998E-3</v>
      </c>
      <c r="O17" s="206">
        <v>7.2900000000000006E-2</v>
      </c>
    </row>
    <row r="18" spans="1:21" x14ac:dyDescent="0.2">
      <c r="A18" s="205" t="s">
        <v>41</v>
      </c>
      <c r="B18" s="17">
        <v>1195.8299999999995</v>
      </c>
      <c r="C18" s="106">
        <v>26.35</v>
      </c>
      <c r="D18" s="17">
        <f t="shared" si="0"/>
        <v>1169.4799999999996</v>
      </c>
      <c r="E18" s="206">
        <v>0.47599999999999998</v>
      </c>
      <c r="F18" s="206">
        <v>1.7000000000000001E-2</v>
      </c>
      <c r="G18" s="206">
        <v>0.23630000000000001</v>
      </c>
      <c r="H18" s="206">
        <v>8.6E-3</v>
      </c>
      <c r="I18" s="206">
        <v>1.8599999999999998E-2</v>
      </c>
      <c r="J18" s="206">
        <v>0.1103</v>
      </c>
      <c r="K18" s="206">
        <v>3.27E-2</v>
      </c>
      <c r="L18" s="206">
        <v>0.01</v>
      </c>
      <c r="M18" s="206">
        <v>9.4000000000000004E-3</v>
      </c>
      <c r="N18" s="206">
        <v>6.7000000000000002E-3</v>
      </c>
      <c r="O18" s="206">
        <v>7.4499999999999997E-2</v>
      </c>
    </row>
    <row r="19" spans="1:21" x14ac:dyDescent="0.2">
      <c r="A19" s="205" t="s">
        <v>10</v>
      </c>
      <c r="B19" s="17">
        <v>1152.8599999999999</v>
      </c>
      <c r="C19" s="106">
        <v>33.19</v>
      </c>
      <c r="D19" s="17">
        <f t="shared" si="0"/>
        <v>1119.6699999999998</v>
      </c>
      <c r="E19" s="206">
        <v>0.48809999999999998</v>
      </c>
      <c r="F19" s="206">
        <v>1.8599999999999998E-2</v>
      </c>
      <c r="G19" s="206">
        <v>0.2205</v>
      </c>
      <c r="H19" s="206">
        <v>8.3999999999999995E-3</v>
      </c>
      <c r="I19" s="206">
        <v>1.8800000000000001E-2</v>
      </c>
      <c r="J19" s="206">
        <v>0.1053</v>
      </c>
      <c r="K19" s="206">
        <v>3.3599999999999998E-2</v>
      </c>
      <c r="L19" s="206">
        <v>9.1999999999999998E-3</v>
      </c>
      <c r="M19" s="206">
        <v>9.2999999999999992E-3</v>
      </c>
      <c r="N19" s="206">
        <v>6.3E-3</v>
      </c>
      <c r="O19" s="206">
        <v>8.1799999999999998E-2</v>
      </c>
    </row>
    <row r="20" spans="1:21" x14ac:dyDescent="0.2">
      <c r="A20" s="205" t="s">
        <v>42</v>
      </c>
      <c r="B20" s="17">
        <v>1227.7800000000002</v>
      </c>
      <c r="C20" s="106">
        <v>36.229999999999997</v>
      </c>
      <c r="D20" s="17">
        <f t="shared" si="0"/>
        <v>1191.5500000000002</v>
      </c>
      <c r="E20" s="206">
        <v>0.49359999999999998</v>
      </c>
      <c r="F20" s="206">
        <v>1.6199999999999999E-2</v>
      </c>
      <c r="G20" s="206">
        <v>0.22739999999999999</v>
      </c>
      <c r="H20" s="206">
        <v>8.6999999999999994E-3</v>
      </c>
      <c r="I20" s="206">
        <v>1.7899999999999999E-2</v>
      </c>
      <c r="J20" s="206">
        <v>0.1041</v>
      </c>
      <c r="K20" s="206">
        <v>2.9399999999999999E-2</v>
      </c>
      <c r="L20" s="206">
        <v>9.7000000000000003E-3</v>
      </c>
      <c r="M20" s="206">
        <v>8.3999999999999995E-3</v>
      </c>
      <c r="N20" s="206">
        <v>7.4999999999999997E-3</v>
      </c>
      <c r="O20" s="206">
        <v>7.7100000000000002E-2</v>
      </c>
    </row>
    <row r="21" spans="1:21" x14ac:dyDescent="0.2">
      <c r="A21" s="205" t="s">
        <v>43</v>
      </c>
      <c r="B21" s="17">
        <v>1242.98</v>
      </c>
      <c r="C21" s="106">
        <v>38.33</v>
      </c>
      <c r="D21" s="17">
        <f t="shared" si="0"/>
        <v>1204.6500000000001</v>
      </c>
      <c r="E21" s="206">
        <v>0.48930000000000001</v>
      </c>
      <c r="F21" s="206">
        <v>1.6299999999999999E-2</v>
      </c>
      <c r="G21" s="206">
        <v>0.23180000000000001</v>
      </c>
      <c r="H21" s="206">
        <v>8.8999999999999999E-3</v>
      </c>
      <c r="I21" s="206">
        <v>1.9599999999999999E-2</v>
      </c>
      <c r="J21" s="206">
        <v>0.10349999999999999</v>
      </c>
      <c r="K21" s="206">
        <v>3.0499999999999999E-2</v>
      </c>
      <c r="L21" s="206">
        <v>9.7999999999999997E-3</v>
      </c>
      <c r="M21" s="206">
        <v>8.2000000000000007E-3</v>
      </c>
      <c r="N21" s="206">
        <v>7.4000000000000003E-3</v>
      </c>
      <c r="O21" s="206">
        <v>7.4700000000000003E-2</v>
      </c>
    </row>
    <row r="22" spans="1:21" ht="15" x14ac:dyDescent="0.35">
      <c r="A22" s="205" t="s">
        <v>44</v>
      </c>
      <c r="B22" s="24">
        <v>1073.6300000000001</v>
      </c>
      <c r="C22" s="109">
        <v>35.090000000000003</v>
      </c>
      <c r="D22" s="24">
        <f t="shared" si="0"/>
        <v>1038.5400000000002</v>
      </c>
      <c r="E22" s="213">
        <v>0.46129999999999999</v>
      </c>
      <c r="F22" s="213">
        <v>3.5000000000000003E-2</v>
      </c>
      <c r="G22" s="213">
        <v>0.19400000000000001</v>
      </c>
      <c r="H22" s="213">
        <v>8.6E-3</v>
      </c>
      <c r="I22" s="213">
        <v>1.41E-2</v>
      </c>
      <c r="J22" s="213">
        <v>0.105</v>
      </c>
      <c r="K22" s="213">
        <v>3.6299999999999999E-2</v>
      </c>
      <c r="L22" s="213">
        <v>8.0999999999999996E-3</v>
      </c>
      <c r="M22" s="213">
        <v>6.4000000000000003E-3</v>
      </c>
      <c r="N22" s="213">
        <v>1E-3</v>
      </c>
      <c r="O22" s="213">
        <v>0.13009999999999999</v>
      </c>
    </row>
    <row r="23" spans="1:21" ht="15" x14ac:dyDescent="0.35">
      <c r="A23" s="205"/>
      <c r="B23" s="31">
        <f>SUM(B11:B22)</f>
        <v>14343.470000000001</v>
      </c>
      <c r="C23" s="212">
        <f>SUM(C11:C22)</f>
        <v>397.84000000000003</v>
      </c>
      <c r="D23" s="31">
        <f>SUM(D11:D22)</f>
        <v>13945.63</v>
      </c>
      <c r="E23" s="208">
        <f>+E42/$B23</f>
        <v>0.47181834528185995</v>
      </c>
      <c r="F23" s="208">
        <f>+F42/$B23</f>
        <v>2.6569989270378777E-2</v>
      </c>
      <c r="G23" s="208">
        <f>+G42/$B23</f>
        <v>0.2046689882573742</v>
      </c>
      <c r="H23" s="208">
        <f>+H42/$B23</f>
        <v>9.5836302512571896E-3</v>
      </c>
      <c r="I23" s="208">
        <f>+I42/$B23</f>
        <v>1.9616775159706817E-2</v>
      </c>
      <c r="J23" s="208">
        <f>+J42/$B23</f>
        <v>0.10179150163802761</v>
      </c>
      <c r="K23" s="208">
        <f>+K42/$B23</f>
        <v>2.9554994363288654E-2</v>
      </c>
      <c r="L23" s="208">
        <f>+L42/$B23</f>
        <v>9.9229177458453194E-3</v>
      </c>
      <c r="M23" s="208">
        <f>+M42/$B23</f>
        <v>8.4771672405631274E-3</v>
      </c>
      <c r="N23" s="208">
        <f>+N42/$B23</f>
        <v>1.0569372055715946E-2</v>
      </c>
      <c r="O23" s="208">
        <f>+O42/$B23</f>
        <v>7.9683757905165201E-2</v>
      </c>
    </row>
    <row r="24" spans="1:21" x14ac:dyDescent="0.2">
      <c r="R24" s="207"/>
      <c r="S24" s="43"/>
      <c r="T24" s="43"/>
      <c r="U24" s="43"/>
    </row>
    <row r="25" spans="1:21" x14ac:dyDescent="0.2">
      <c r="S25" s="43"/>
      <c r="T25" s="43"/>
      <c r="U25" s="43"/>
    </row>
    <row r="26" spans="1:21" ht="15" x14ac:dyDescent="0.2">
      <c r="D26" s="2" t="s">
        <v>148</v>
      </c>
      <c r="E26" s="231" t="s">
        <v>150</v>
      </c>
      <c r="F26" s="231"/>
      <c r="G26" s="231"/>
      <c r="H26" s="231"/>
      <c r="I26" s="231"/>
      <c r="J26" s="231"/>
      <c r="K26" s="231"/>
      <c r="L26" s="231"/>
      <c r="M26" s="231"/>
      <c r="N26" s="231"/>
      <c r="O26" s="231"/>
      <c r="S26" s="43"/>
      <c r="T26" s="43"/>
      <c r="U26" s="43"/>
    </row>
    <row r="27" spans="1:21" x14ac:dyDescent="0.2">
      <c r="D27" s="2" t="s">
        <v>149</v>
      </c>
      <c r="E27" s="41" t="s">
        <v>143</v>
      </c>
      <c r="F27" s="41" t="s">
        <v>47</v>
      </c>
      <c r="G27" s="41"/>
      <c r="H27" s="41" t="s">
        <v>1</v>
      </c>
      <c r="I27" s="41" t="s">
        <v>48</v>
      </c>
      <c r="J27" s="41"/>
      <c r="K27" s="41"/>
      <c r="L27" s="41" t="s">
        <v>2</v>
      </c>
      <c r="M27" s="41" t="s">
        <v>2</v>
      </c>
      <c r="N27" s="41" t="s">
        <v>49</v>
      </c>
      <c r="S27" s="43"/>
      <c r="T27" s="43"/>
      <c r="U27" s="43"/>
    </row>
    <row r="28" spans="1:21" x14ac:dyDescent="0.2">
      <c r="C28" s="106"/>
      <c r="D28" s="10" t="s">
        <v>0</v>
      </c>
      <c r="E28" s="42" t="s">
        <v>110</v>
      </c>
      <c r="F28" s="42" t="s">
        <v>50</v>
      </c>
      <c r="G28" s="42" t="s">
        <v>51</v>
      </c>
      <c r="H28" s="42" t="s">
        <v>52</v>
      </c>
      <c r="I28" s="42" t="s">
        <v>53</v>
      </c>
      <c r="J28" s="42" t="s">
        <v>4</v>
      </c>
      <c r="K28" s="42" t="s">
        <v>3</v>
      </c>
      <c r="L28" s="42" t="s">
        <v>54</v>
      </c>
      <c r="M28" s="42" t="s">
        <v>55</v>
      </c>
      <c r="N28" s="42" t="s">
        <v>56</v>
      </c>
      <c r="O28" s="97" t="s">
        <v>103</v>
      </c>
    </row>
    <row r="29" spans="1:21" x14ac:dyDescent="0.2">
      <c r="C29" s="106"/>
      <c r="D29" s="106"/>
      <c r="E29" s="42"/>
      <c r="F29" s="42"/>
      <c r="G29" s="42"/>
      <c r="H29" s="42"/>
      <c r="I29" s="42"/>
      <c r="J29" s="42"/>
      <c r="K29" s="42"/>
      <c r="L29" s="42"/>
      <c r="M29" s="42"/>
      <c r="N29" s="42"/>
      <c r="O29" s="97"/>
    </row>
    <row r="30" spans="1:21" x14ac:dyDescent="0.2">
      <c r="A30" s="205" t="s">
        <v>144</v>
      </c>
      <c r="C30" s="106"/>
      <c r="D30" s="21">
        <f>SUM(E30:O30)</f>
        <v>1214.93</v>
      </c>
      <c r="E30" s="21">
        <f>+$D11*E11</f>
        <v>561.54064599999992</v>
      </c>
      <c r="F30" s="21">
        <f>+$D11*F11</f>
        <v>63.662331999999992</v>
      </c>
      <c r="G30" s="21">
        <f>+$D11*G11</f>
        <v>226.21996599999997</v>
      </c>
      <c r="H30" s="21">
        <f>+$D11*H11</f>
        <v>9.7194399999999987</v>
      </c>
      <c r="I30" s="21">
        <f>+$D11*I11</f>
        <v>25.149050999999996</v>
      </c>
      <c r="J30" s="21">
        <f>+$D11*J11</f>
        <v>145.06264199999998</v>
      </c>
      <c r="K30" s="21">
        <f>+$D11*K11</f>
        <v>29.522798999999996</v>
      </c>
      <c r="L30" s="21">
        <f>+$D11*L11</f>
        <v>12.270792999999998</v>
      </c>
      <c r="M30" s="21">
        <f>+$D11*M11</f>
        <v>7.5325659999999983</v>
      </c>
      <c r="N30" s="21">
        <f>+$D11*N11</f>
        <v>27.457417999999993</v>
      </c>
      <c r="O30" s="21">
        <f>+$D11*O11</f>
        <v>106.79234699999999</v>
      </c>
    </row>
    <row r="31" spans="1:21" x14ac:dyDescent="0.2">
      <c r="A31" s="205" t="s">
        <v>36</v>
      </c>
      <c r="C31" s="106"/>
      <c r="D31" s="21">
        <f t="shared" ref="D31:D41" si="1">SUM(E31:O31)</f>
        <v>1279.7879660000006</v>
      </c>
      <c r="E31" s="21">
        <f>+$D12*E12</f>
        <v>637.27068000000031</v>
      </c>
      <c r="F31" s="21">
        <f>+$D12*F12</f>
        <v>45.299964000000017</v>
      </c>
      <c r="G31" s="21">
        <f>+$D12*G12</f>
        <v>245.4387880000001</v>
      </c>
      <c r="H31" s="21">
        <f>+$D12*H12</f>
        <v>10.365246000000004</v>
      </c>
      <c r="I31" s="21">
        <f>+$D12*I12</f>
        <v>24.31354000000001</v>
      </c>
      <c r="J31" s="21">
        <f>+$D12*J12</f>
        <v>135.89989200000005</v>
      </c>
      <c r="K31" s="21">
        <f>+$D12*K12</f>
        <v>32.759296000000013</v>
      </c>
      <c r="L31" s="21">
        <f>+$D12*L12</f>
        <v>13.052532000000006</v>
      </c>
      <c r="M31" s="21">
        <f>+$D12*M12</f>
        <v>11.261008000000006</v>
      </c>
      <c r="N31" s="21">
        <f>+$D12*N12</f>
        <v>23.417778000000009</v>
      </c>
      <c r="O31" s="21">
        <f>+$D12*O12</f>
        <v>100.70924200000005</v>
      </c>
    </row>
    <row r="32" spans="1:21" x14ac:dyDescent="0.2">
      <c r="A32" s="205" t="s">
        <v>37</v>
      </c>
      <c r="C32" s="106"/>
      <c r="D32" s="21">
        <f t="shared" si="1"/>
        <v>1046.3499999999997</v>
      </c>
      <c r="E32" s="21">
        <f>+$D13*E13</f>
        <v>608.0339849999998</v>
      </c>
      <c r="F32" s="21">
        <f>+$D13*F13</f>
        <v>40.179839999999984</v>
      </c>
      <c r="G32" s="21">
        <f>+$D13*G13</f>
        <v>86.74241499999998</v>
      </c>
      <c r="H32" s="21">
        <f>+$D13*H13</f>
        <v>22.810429999999993</v>
      </c>
      <c r="I32" s="21">
        <f>+$D13*I13</f>
        <v>31.913674999999991</v>
      </c>
      <c r="J32" s="21">
        <f>+$D13*J13</f>
        <v>102.12375999999998</v>
      </c>
      <c r="K32" s="21">
        <f>+$D13*K13</f>
        <v>31.495134999999987</v>
      </c>
      <c r="L32" s="21">
        <f>+$D13*L13</f>
        <v>16.846234999999993</v>
      </c>
      <c r="M32" s="21">
        <f>+$D13*M13</f>
        <v>10.358864999999998</v>
      </c>
      <c r="N32" s="21">
        <f>+$D13*N13</f>
        <v>1.6741599999999996</v>
      </c>
      <c r="O32" s="21">
        <f>+$D13*O13</f>
        <v>94.171499999999966</v>
      </c>
    </row>
    <row r="33" spans="1:15" x14ac:dyDescent="0.2">
      <c r="A33" s="205" t="s">
        <v>38</v>
      </c>
      <c r="C33" s="106"/>
      <c r="D33" s="21">
        <f t="shared" si="1"/>
        <v>1257.0900000000004</v>
      </c>
      <c r="E33" s="21">
        <f>+$D14*E14</f>
        <v>512.89271999999994</v>
      </c>
      <c r="F33" s="21">
        <f>+$D14*F14</f>
        <v>69.768495000000001</v>
      </c>
      <c r="G33" s="21">
        <f>+$D14*G14</f>
        <v>315.15246299999995</v>
      </c>
      <c r="H33" s="21">
        <f>+$D14*H14</f>
        <v>12.068063999999998</v>
      </c>
      <c r="I33" s="21">
        <f>+$D14*I14</f>
        <v>26.776016999999996</v>
      </c>
      <c r="J33" s="21">
        <f>+$D14*J14</f>
        <v>136.39426499999999</v>
      </c>
      <c r="K33" s="21">
        <f>+$D14*K14</f>
        <v>40.352588999999995</v>
      </c>
      <c r="L33" s="21">
        <f>+$D14*L14</f>
        <v>9.6795930000000006</v>
      </c>
      <c r="M33" s="21">
        <f>+$D14*M14</f>
        <v>12.319481999999999</v>
      </c>
      <c r="N33" s="21">
        <f>+$D14*N14</f>
        <v>23.633292000000001</v>
      </c>
      <c r="O33" s="21">
        <f>+$D14*O14</f>
        <v>98.053019999999989</v>
      </c>
    </row>
    <row r="34" spans="1:15" x14ac:dyDescent="0.2">
      <c r="A34" s="205" t="s">
        <v>145</v>
      </c>
      <c r="C34" s="106"/>
      <c r="D34" s="21">
        <f t="shared" si="1"/>
        <v>1189.0588940000002</v>
      </c>
      <c r="E34" s="21">
        <f>+$D15*E15</f>
        <v>633.46723200000008</v>
      </c>
      <c r="F34" s="21">
        <f>+$D15*F15</f>
        <v>12.246082000000001</v>
      </c>
      <c r="G34" s="21">
        <f>+$D15*G15</f>
        <v>240.64145600000001</v>
      </c>
      <c r="H34" s="21">
        <f>+$D15*H15</f>
        <v>14.505068000000001</v>
      </c>
      <c r="I34" s="21">
        <f>+$D15*I15</f>
        <v>23.065436000000002</v>
      </c>
      <c r="J34" s="21">
        <f>+$D15*J15</f>
        <v>96.066351999999995</v>
      </c>
      <c r="K34" s="21">
        <f>+$D15*K15</f>
        <v>32.458062000000005</v>
      </c>
      <c r="L34" s="21">
        <f>+$D15*L15</f>
        <v>12.483870000000001</v>
      </c>
      <c r="M34" s="21">
        <f>+$D15*M15</f>
        <v>10.224884000000001</v>
      </c>
      <c r="N34" s="21">
        <f>+$D15*N15</f>
        <v>28.534560000000003</v>
      </c>
      <c r="O34" s="21">
        <f>+$D15*O15</f>
        <v>85.365892000000002</v>
      </c>
    </row>
    <row r="35" spans="1:15" x14ac:dyDescent="0.2">
      <c r="A35" s="205" t="s">
        <v>39</v>
      </c>
      <c r="C35" s="106"/>
      <c r="D35" s="21">
        <f t="shared" si="1"/>
        <v>1071.8899999999999</v>
      </c>
      <c r="E35" s="21">
        <f>+$D16*E16</f>
        <v>519.65227199999993</v>
      </c>
      <c r="F35" s="21">
        <f>+$D16*F16</f>
        <v>13.720191999999999</v>
      </c>
      <c r="G35" s="21">
        <f>+$D16*G16</f>
        <v>257.46797799999996</v>
      </c>
      <c r="H35" s="21">
        <f>+$D16*H16</f>
        <v>9.3254429999999982</v>
      </c>
      <c r="I35" s="21">
        <f>+$D16*I16</f>
        <v>23.581579999999995</v>
      </c>
      <c r="J35" s="21">
        <f>+$D16*J16</f>
        <v>110.40466999999998</v>
      </c>
      <c r="K35" s="21">
        <f>+$D16*K16</f>
        <v>32.692644999999999</v>
      </c>
      <c r="L35" s="21">
        <f>+$D16*L16</f>
        <v>11.897978999999999</v>
      </c>
      <c r="M35" s="21">
        <f>+$D16*M16</f>
        <v>9.861387999999998</v>
      </c>
      <c r="N35" s="21">
        <f>+$D16*N16</f>
        <v>5.8953949999999988</v>
      </c>
      <c r="O35" s="21">
        <f>+$D16*O16</f>
        <v>77.390457999999995</v>
      </c>
    </row>
    <row r="36" spans="1:15" x14ac:dyDescent="0.2">
      <c r="A36" s="205" t="s">
        <v>40</v>
      </c>
      <c r="C36" s="106"/>
      <c r="D36" s="21">
        <f t="shared" si="1"/>
        <v>1162.6474239999998</v>
      </c>
      <c r="E36" s="21">
        <f>+$D17*E17</f>
        <v>534.80851199999995</v>
      </c>
      <c r="F36" s="21">
        <f>+$D17*F17</f>
        <v>20.234111999999996</v>
      </c>
      <c r="G36" s="21">
        <f>+$D17*G17</f>
        <v>289.09196799999995</v>
      </c>
      <c r="H36" s="21">
        <f>+$D17*H17</f>
        <v>9.1867520000000003</v>
      </c>
      <c r="I36" s="21">
        <f>+$D17*I17</f>
        <v>24.187903999999996</v>
      </c>
      <c r="J36" s="21">
        <f>+$D17*J17</f>
        <v>129.42854399999999</v>
      </c>
      <c r="K36" s="21">
        <f>+$D17*K17</f>
        <v>39.305343999999991</v>
      </c>
      <c r="L36" s="21">
        <f>+$D17*L17</f>
        <v>12.326527999999998</v>
      </c>
      <c r="M36" s="21">
        <f>+$D17*M17</f>
        <v>12.093951999999998</v>
      </c>
      <c r="N36" s="21">
        <f>+$D17*N17</f>
        <v>7.2098559999999994</v>
      </c>
      <c r="O36" s="21">
        <f>+$D17*O17</f>
        <v>84.773951999999994</v>
      </c>
    </row>
    <row r="37" spans="1:15" x14ac:dyDescent="0.2">
      <c r="A37" s="205" t="s">
        <v>41</v>
      </c>
      <c r="C37" s="106"/>
      <c r="D37" s="21">
        <f t="shared" si="1"/>
        <v>1169.5969479999999</v>
      </c>
      <c r="E37" s="21">
        <f>+$D18*E18</f>
        <v>556.67247999999972</v>
      </c>
      <c r="F37" s="21">
        <f>+$D18*F18</f>
        <v>19.881159999999994</v>
      </c>
      <c r="G37" s="21">
        <f>+$D18*G18</f>
        <v>276.34812399999993</v>
      </c>
      <c r="H37" s="21">
        <f>+$D18*H18</f>
        <v>10.057527999999996</v>
      </c>
      <c r="I37" s="21">
        <f>+$D18*I18</f>
        <v>21.752327999999991</v>
      </c>
      <c r="J37" s="21">
        <f>+$D18*J18</f>
        <v>128.99364399999993</v>
      </c>
      <c r="K37" s="21">
        <f>+$D18*K18</f>
        <v>38.241995999999986</v>
      </c>
      <c r="L37" s="21">
        <f>+$D18*L18</f>
        <v>11.694799999999995</v>
      </c>
      <c r="M37" s="21">
        <f>+$D18*M18</f>
        <v>10.993111999999996</v>
      </c>
      <c r="N37" s="21">
        <f>+$D18*N18</f>
        <v>7.8355159999999975</v>
      </c>
      <c r="O37" s="21">
        <f>+$D18*O18</f>
        <v>87.126259999999959</v>
      </c>
    </row>
    <row r="38" spans="1:15" x14ac:dyDescent="0.2">
      <c r="A38" s="205" t="s">
        <v>10</v>
      </c>
      <c r="C38" s="106"/>
      <c r="D38" s="21">
        <f t="shared" si="1"/>
        <v>1119.5580329999998</v>
      </c>
      <c r="E38" s="21">
        <f>+$D19*E19</f>
        <v>546.51092699999992</v>
      </c>
      <c r="F38" s="21">
        <f>+$D19*F19</f>
        <v>20.825861999999994</v>
      </c>
      <c r="G38" s="21">
        <f>+$D19*G19</f>
        <v>246.88723499999998</v>
      </c>
      <c r="H38" s="21">
        <f>+$D19*H19</f>
        <v>9.4052279999999975</v>
      </c>
      <c r="I38" s="21">
        <f>+$D19*I19</f>
        <v>21.049795999999997</v>
      </c>
      <c r="J38" s="21">
        <f>+$D19*J19</f>
        <v>117.90125099999999</v>
      </c>
      <c r="K38" s="21">
        <f>+$D19*K19</f>
        <v>37.62091199999999</v>
      </c>
      <c r="L38" s="21">
        <f>+$D19*L19</f>
        <v>10.300963999999999</v>
      </c>
      <c r="M38" s="21">
        <f>+$D19*M19</f>
        <v>10.412930999999997</v>
      </c>
      <c r="N38" s="21">
        <f>+$D19*N19</f>
        <v>7.053920999999999</v>
      </c>
      <c r="O38" s="21">
        <f>+$D19*O19</f>
        <v>91.589005999999983</v>
      </c>
    </row>
    <row r="39" spans="1:15" x14ac:dyDescent="0.2">
      <c r="A39" s="205" t="s">
        <v>42</v>
      </c>
      <c r="C39" s="109"/>
      <c r="D39" s="21">
        <f t="shared" si="1"/>
        <v>1191.5500000000002</v>
      </c>
      <c r="E39" s="21">
        <f>+$D20*E20</f>
        <v>588.14908000000003</v>
      </c>
      <c r="F39" s="21">
        <f>+$D20*F20</f>
        <v>19.30311</v>
      </c>
      <c r="G39" s="21">
        <f>+$D20*G20</f>
        <v>270.95847000000003</v>
      </c>
      <c r="H39" s="21">
        <f>+$D20*H20</f>
        <v>10.366485000000001</v>
      </c>
      <c r="I39" s="21">
        <f>+$D20*I20</f>
        <v>21.328745000000001</v>
      </c>
      <c r="J39" s="21">
        <f>+$D20*J20</f>
        <v>124.04035500000002</v>
      </c>
      <c r="K39" s="21">
        <f>+$D20*K20</f>
        <v>35.031570000000002</v>
      </c>
      <c r="L39" s="21">
        <f>+$D20*L20</f>
        <v>11.558035000000002</v>
      </c>
      <c r="M39" s="21">
        <f>+$D20*M20</f>
        <v>10.009020000000001</v>
      </c>
      <c r="N39" s="21">
        <f>+$D20*N20</f>
        <v>8.9366250000000012</v>
      </c>
      <c r="O39" s="21">
        <f>+$D20*O20</f>
        <v>91.868505000000013</v>
      </c>
    </row>
    <row r="40" spans="1:15" x14ac:dyDescent="0.2">
      <c r="A40" s="205" t="s">
        <v>43</v>
      </c>
      <c r="C40" s="212"/>
      <c r="D40" s="21">
        <f t="shared" si="1"/>
        <v>1204.6500000000003</v>
      </c>
      <c r="E40" s="21">
        <f>+$D21*E21</f>
        <v>589.43524500000001</v>
      </c>
      <c r="F40" s="21">
        <f>+$D21*F21</f>
        <v>19.635794999999998</v>
      </c>
      <c r="G40" s="21">
        <f>+$D21*G21</f>
        <v>279.23787000000004</v>
      </c>
      <c r="H40" s="21">
        <f>+$D21*H21</f>
        <v>10.721385000000001</v>
      </c>
      <c r="I40" s="21">
        <f>+$D21*I21</f>
        <v>23.611140000000002</v>
      </c>
      <c r="J40" s="21">
        <f>+$D21*J21</f>
        <v>124.681275</v>
      </c>
      <c r="K40" s="21">
        <f>+$D21*K21</f>
        <v>36.741824999999999</v>
      </c>
      <c r="L40" s="21">
        <f>+$D21*L21</f>
        <v>11.805570000000001</v>
      </c>
      <c r="M40" s="21">
        <f>+$D21*M21</f>
        <v>9.8781300000000023</v>
      </c>
      <c r="N40" s="21">
        <f>+$D21*N21</f>
        <v>8.9144100000000019</v>
      </c>
      <c r="O40" s="21">
        <f>+$D21*O21</f>
        <v>89.987355000000008</v>
      </c>
    </row>
    <row r="41" spans="1:15" ht="15" x14ac:dyDescent="0.35">
      <c r="A41" s="205" t="s">
        <v>44</v>
      </c>
      <c r="D41" s="28">
        <f t="shared" si="1"/>
        <v>1038.4361460000002</v>
      </c>
      <c r="E41" s="28">
        <f>+$D22*E22</f>
        <v>479.07850200000007</v>
      </c>
      <c r="F41" s="28">
        <f>+$D22*F22</f>
        <v>36.348900000000008</v>
      </c>
      <c r="G41" s="28">
        <f>+$D22*G22</f>
        <v>201.47676000000004</v>
      </c>
      <c r="H41" s="28">
        <f>+$D22*H22</f>
        <v>8.9314440000000008</v>
      </c>
      <c r="I41" s="28">
        <f>+$D22*I22</f>
        <v>14.643414000000002</v>
      </c>
      <c r="J41" s="28">
        <f>+$D22*J22</f>
        <v>109.04670000000002</v>
      </c>
      <c r="K41" s="28">
        <f>+$D22*K22</f>
        <v>37.699002000000007</v>
      </c>
      <c r="L41" s="28">
        <f>+$D22*L22</f>
        <v>8.4121740000000003</v>
      </c>
      <c r="M41" s="28">
        <f>+$D22*M22</f>
        <v>6.6466560000000019</v>
      </c>
      <c r="N41" s="28">
        <f>+$D22*N22</f>
        <v>1.0385400000000002</v>
      </c>
      <c r="O41" s="28">
        <f>+$D22*O22</f>
        <v>135.11405400000001</v>
      </c>
    </row>
    <row r="42" spans="1:15" ht="15" x14ac:dyDescent="0.35">
      <c r="D42" s="31">
        <f>SUM(D30:D41)</f>
        <v>13945.545410999997</v>
      </c>
      <c r="E42" s="31">
        <f>SUM(E30:E41)</f>
        <v>6767.5122810000003</v>
      </c>
      <c r="F42" s="31">
        <f t="shared" ref="F42:O42" si="2">SUM(F30:F41)</f>
        <v>381.10584399999993</v>
      </c>
      <c r="G42" s="31">
        <f t="shared" si="2"/>
        <v>2935.6634929999996</v>
      </c>
      <c r="H42" s="31">
        <f t="shared" si="2"/>
        <v>137.46251299999997</v>
      </c>
      <c r="I42" s="31">
        <f t="shared" si="2"/>
        <v>281.37262599999997</v>
      </c>
      <c r="J42" s="31">
        <f t="shared" si="2"/>
        <v>1460.0433499999999</v>
      </c>
      <c r="K42" s="31">
        <f t="shared" si="2"/>
        <v>423.92117499999995</v>
      </c>
      <c r="L42" s="31">
        <f t="shared" si="2"/>
        <v>142.32907299999997</v>
      </c>
      <c r="M42" s="31">
        <f t="shared" si="2"/>
        <v>121.59199400000001</v>
      </c>
      <c r="N42" s="31">
        <f t="shared" si="2"/>
        <v>151.601471</v>
      </c>
      <c r="O42" s="31">
        <f t="shared" si="2"/>
        <v>1142.941591</v>
      </c>
    </row>
    <row r="45" spans="1:15" ht="15" x14ac:dyDescent="0.2">
      <c r="E45" s="231" t="s">
        <v>151</v>
      </c>
      <c r="F45" s="231"/>
      <c r="G45" s="231"/>
      <c r="H45" s="231"/>
      <c r="I45" s="231"/>
      <c r="J45" s="231"/>
      <c r="K45" s="231"/>
      <c r="L45" s="231"/>
      <c r="M45" s="231"/>
      <c r="N45" s="231"/>
      <c r="O45" s="231"/>
    </row>
    <row r="46" spans="1:15" x14ac:dyDescent="0.2">
      <c r="D46" s="2" t="s">
        <v>25</v>
      </c>
      <c r="E46" s="41" t="s">
        <v>143</v>
      </c>
      <c r="F46" s="41" t="s">
        <v>47</v>
      </c>
      <c r="G46" s="41"/>
      <c r="H46" s="41" t="s">
        <v>1</v>
      </c>
      <c r="I46" s="41" t="s">
        <v>48</v>
      </c>
      <c r="J46" s="41"/>
      <c r="K46" s="41"/>
      <c r="L46" s="41" t="s">
        <v>2</v>
      </c>
      <c r="M46" s="41" t="s">
        <v>2</v>
      </c>
      <c r="N46" s="41" t="s">
        <v>49</v>
      </c>
    </row>
    <row r="47" spans="1:15" x14ac:dyDescent="0.2">
      <c r="D47" s="10" t="s">
        <v>0</v>
      </c>
      <c r="E47" s="42" t="s">
        <v>110</v>
      </c>
      <c r="F47" s="42" t="s">
        <v>50</v>
      </c>
      <c r="G47" s="42" t="s">
        <v>51</v>
      </c>
      <c r="H47" s="42" t="s">
        <v>52</v>
      </c>
      <c r="I47" s="42" t="s">
        <v>53</v>
      </c>
      <c r="J47" s="42" t="s">
        <v>4</v>
      </c>
      <c r="K47" s="42" t="s">
        <v>3</v>
      </c>
      <c r="L47" s="42" t="s">
        <v>54</v>
      </c>
      <c r="M47" s="42" t="s">
        <v>55</v>
      </c>
      <c r="N47" s="42" t="s">
        <v>56</v>
      </c>
      <c r="O47" s="97" t="s">
        <v>103</v>
      </c>
    </row>
    <row r="48" spans="1:15" x14ac:dyDescent="0.2">
      <c r="E48" s="42"/>
      <c r="F48" s="42"/>
      <c r="G48" s="42"/>
      <c r="H48" s="42"/>
      <c r="I48" s="42"/>
      <c r="J48" s="42"/>
      <c r="K48" s="42"/>
      <c r="L48" s="42"/>
      <c r="M48" s="42"/>
      <c r="N48" s="42"/>
      <c r="O48" s="97"/>
    </row>
    <row r="49" spans="1:15" x14ac:dyDescent="0.2">
      <c r="A49" s="205" t="s">
        <v>144</v>
      </c>
      <c r="D49" s="21">
        <f>SUM(E49:O49)</f>
        <v>25.65</v>
      </c>
      <c r="E49" s="21">
        <f>+$C11*E11</f>
        <v>11.85543</v>
      </c>
      <c r="F49" s="21">
        <f>+$C11*F11</f>
        <v>1.34406</v>
      </c>
      <c r="G49" s="21">
        <f>+$C11*G11</f>
        <v>4.7760299999999996</v>
      </c>
      <c r="H49" s="21">
        <f>+$C11*H11</f>
        <v>0.20519999999999999</v>
      </c>
      <c r="I49" s="21">
        <f>+$C11*I11</f>
        <v>0.53095499999999995</v>
      </c>
      <c r="J49" s="21">
        <f>+$C11*J11</f>
        <v>3.0626099999999998</v>
      </c>
      <c r="K49" s="21">
        <f>+$C11*K11</f>
        <v>0.62329499999999993</v>
      </c>
      <c r="L49" s="21">
        <f>+$C11*L11</f>
        <v>0.25906499999999999</v>
      </c>
      <c r="M49" s="21">
        <f>+$C11*M11</f>
        <v>0.15902999999999998</v>
      </c>
      <c r="N49" s="21">
        <f>+$C11*N11</f>
        <v>0.57968999999999993</v>
      </c>
      <c r="O49" s="21">
        <f>+$C11*O11</f>
        <v>2.2546349999999999</v>
      </c>
    </row>
    <row r="50" spans="1:15" x14ac:dyDescent="0.2">
      <c r="A50" s="205" t="s">
        <v>36</v>
      </c>
      <c r="D50" s="21">
        <f t="shared" ref="D50:D60" si="3">SUM(E50:O50)</f>
        <v>27.232722999999996</v>
      </c>
      <c r="E50" s="21">
        <f>+$C12*E12</f>
        <v>13.56054</v>
      </c>
      <c r="F50" s="21">
        <f>+$C12*F12</f>
        <v>0.96394200000000008</v>
      </c>
      <c r="G50" s="21">
        <f>+$C12*G12</f>
        <v>5.2227139999999999</v>
      </c>
      <c r="H50" s="21">
        <f>+$C12*H12</f>
        <v>0.22056299999999998</v>
      </c>
      <c r="I50" s="21">
        <f>+$C12*I12</f>
        <v>0.51737</v>
      </c>
      <c r="J50" s="21">
        <f>+$C12*J12</f>
        <v>2.891826</v>
      </c>
      <c r="K50" s="21">
        <f>+$C12*K12</f>
        <v>0.69708800000000004</v>
      </c>
      <c r="L50" s="21">
        <f>+$C12*L12</f>
        <v>0.27774600000000005</v>
      </c>
      <c r="M50" s="21">
        <f>+$C12*M12</f>
        <v>0.23962400000000003</v>
      </c>
      <c r="N50" s="21">
        <f>+$C12*N12</f>
        <v>0.498309</v>
      </c>
      <c r="O50" s="21">
        <f>+$C12*O12</f>
        <v>2.1430010000000004</v>
      </c>
    </row>
    <row r="51" spans="1:15" x14ac:dyDescent="0.2">
      <c r="A51" s="205" t="s">
        <v>37</v>
      </c>
      <c r="D51" s="21">
        <f t="shared" si="3"/>
        <v>32.130000000000003</v>
      </c>
      <c r="E51" s="21">
        <f>+$C13*E13</f>
        <v>18.670743000000002</v>
      </c>
      <c r="F51" s="21">
        <f>+$C13*F13</f>
        <v>1.233792</v>
      </c>
      <c r="G51" s="21">
        <f>+$C13*G13</f>
        <v>2.6635770000000001</v>
      </c>
      <c r="H51" s="21">
        <f>+$C13*H13</f>
        <v>0.700434</v>
      </c>
      <c r="I51" s="21">
        <f>+$C13*I13</f>
        <v>0.97996500000000009</v>
      </c>
      <c r="J51" s="21">
        <f>+$C13*J13</f>
        <v>3.1358880000000005</v>
      </c>
      <c r="K51" s="21">
        <f>+$C13*K13</f>
        <v>0.967113</v>
      </c>
      <c r="L51" s="21">
        <f>+$C13*L13</f>
        <v>0.517293</v>
      </c>
      <c r="M51" s="21">
        <f>+$C13*M13</f>
        <v>0.31808700000000006</v>
      </c>
      <c r="N51" s="21">
        <f>+$C13*N13</f>
        <v>5.1408000000000009E-2</v>
      </c>
      <c r="O51" s="21">
        <f>+$C13*O13</f>
        <v>2.8917000000000002</v>
      </c>
    </row>
    <row r="52" spans="1:15" x14ac:dyDescent="0.2">
      <c r="A52" s="205" t="s">
        <v>38</v>
      </c>
      <c r="D52" s="21">
        <f t="shared" si="3"/>
        <v>34.44</v>
      </c>
      <c r="E52" s="21">
        <f>+$C14*E14</f>
        <v>14.051519999999998</v>
      </c>
      <c r="F52" s="21">
        <f>+$C14*F14</f>
        <v>1.9114199999999999</v>
      </c>
      <c r="G52" s="21">
        <f>+$C14*G14</f>
        <v>8.6341079999999994</v>
      </c>
      <c r="H52" s="21">
        <f>+$C14*H14</f>
        <v>0.33062399999999997</v>
      </c>
      <c r="I52" s="21">
        <f>+$C14*I14</f>
        <v>0.73357199999999989</v>
      </c>
      <c r="J52" s="21">
        <f>+$C14*J14</f>
        <v>3.7367399999999997</v>
      </c>
      <c r="K52" s="21">
        <f>+$C14*K14</f>
        <v>1.1055239999999997</v>
      </c>
      <c r="L52" s="21">
        <f>+$C14*L14</f>
        <v>0.26518799999999998</v>
      </c>
      <c r="M52" s="21">
        <f>+$C14*M14</f>
        <v>0.33751199999999998</v>
      </c>
      <c r="N52" s="21">
        <f>+$C14*N14</f>
        <v>0.64747199999999994</v>
      </c>
      <c r="O52" s="21">
        <f>+$C14*O14</f>
        <v>2.6863199999999998</v>
      </c>
    </row>
    <row r="53" spans="1:15" x14ac:dyDescent="0.2">
      <c r="A53" s="205" t="s">
        <v>145</v>
      </c>
      <c r="D53" s="21">
        <f t="shared" si="3"/>
        <v>37.873786999999993</v>
      </c>
      <c r="E53" s="21">
        <f>+$C15*E15</f>
        <v>20.177136000000001</v>
      </c>
      <c r="F53" s="21">
        <f>+$C15*F15</f>
        <v>0.39006099999999999</v>
      </c>
      <c r="G53" s="21">
        <f>+$C15*G15</f>
        <v>7.6648879999999995</v>
      </c>
      <c r="H53" s="21">
        <f>+$C15*H15</f>
        <v>0.46201399999999998</v>
      </c>
      <c r="I53" s="21">
        <f>+$C15*I15</f>
        <v>0.73467799999999994</v>
      </c>
      <c r="J53" s="21">
        <f>+$C15*J15</f>
        <v>3.0598959999999997</v>
      </c>
      <c r="K53" s="21">
        <f>+$C15*K15</f>
        <v>1.0338510000000001</v>
      </c>
      <c r="L53" s="21">
        <f>+$C15*L15</f>
        <v>0.39763500000000002</v>
      </c>
      <c r="M53" s="21">
        <f>+$C15*M15</f>
        <v>0.32568199999999997</v>
      </c>
      <c r="N53" s="21">
        <f>+$C15*N15</f>
        <v>0.90887999999999991</v>
      </c>
      <c r="O53" s="21">
        <f>+$C15*O15</f>
        <v>2.7190659999999998</v>
      </c>
    </row>
    <row r="54" spans="1:15" x14ac:dyDescent="0.2">
      <c r="A54" s="205" t="s">
        <v>39</v>
      </c>
      <c r="D54" s="21">
        <f t="shared" si="3"/>
        <v>35.920000000000009</v>
      </c>
      <c r="E54" s="21">
        <f>+$C16*E16</f>
        <v>17.414016</v>
      </c>
      <c r="F54" s="21">
        <f>+$C16*F16</f>
        <v>0.45977600000000002</v>
      </c>
      <c r="G54" s="21">
        <f>+$C16*G16</f>
        <v>8.6279839999999997</v>
      </c>
      <c r="H54" s="21">
        <f>+$C16*H16</f>
        <v>0.312504</v>
      </c>
      <c r="I54" s="21">
        <f>+$C16*I16</f>
        <v>0.79023999999999994</v>
      </c>
      <c r="J54" s="21">
        <f>+$C16*J16</f>
        <v>3.6997599999999999</v>
      </c>
      <c r="K54" s="21">
        <f>+$C16*K16</f>
        <v>1.0955600000000001</v>
      </c>
      <c r="L54" s="21">
        <f>+$C16*L16</f>
        <v>0.39871200000000001</v>
      </c>
      <c r="M54" s="21">
        <f>+$C16*M16</f>
        <v>0.33046400000000004</v>
      </c>
      <c r="N54" s="21">
        <f>+$C16*N16</f>
        <v>0.19755999999999999</v>
      </c>
      <c r="O54" s="21">
        <f>+$C16*O16</f>
        <v>2.5934240000000002</v>
      </c>
    </row>
    <row r="55" spans="1:15" x14ac:dyDescent="0.2">
      <c r="A55" s="205" t="s">
        <v>40</v>
      </c>
      <c r="D55" s="21">
        <f t="shared" si="3"/>
        <v>35.402917999999993</v>
      </c>
      <c r="E55" s="21">
        <f>+$C17*E17</f>
        <v>16.285058999999997</v>
      </c>
      <c r="F55" s="21">
        <f>+$C17*F17</f>
        <v>0.61613399999999985</v>
      </c>
      <c r="G55" s="21">
        <f>+$C17*G17</f>
        <v>8.8029259999999994</v>
      </c>
      <c r="H55" s="21">
        <f>+$C17*H17</f>
        <v>0.27973900000000002</v>
      </c>
      <c r="I55" s="21">
        <f>+$C17*I17</f>
        <v>0.73652799999999985</v>
      </c>
      <c r="J55" s="21">
        <f>+$C17*J17</f>
        <v>3.9411329999999993</v>
      </c>
      <c r="K55" s="21">
        <f>+$C17*K17</f>
        <v>1.1968579999999998</v>
      </c>
      <c r="L55" s="21">
        <f>+$C17*L17</f>
        <v>0.37534599999999996</v>
      </c>
      <c r="M55" s="21">
        <f>+$C17*M17</f>
        <v>0.36826399999999992</v>
      </c>
      <c r="N55" s="21">
        <f>+$C17*N17</f>
        <v>0.21954199999999996</v>
      </c>
      <c r="O55" s="21">
        <f>+$C17*O17</f>
        <v>2.5813890000000002</v>
      </c>
    </row>
    <row r="56" spans="1:15" x14ac:dyDescent="0.2">
      <c r="A56" s="205" t="s">
        <v>41</v>
      </c>
      <c r="D56" s="21">
        <f t="shared" si="3"/>
        <v>26.352635000000003</v>
      </c>
      <c r="E56" s="21">
        <f>+$C18*E18</f>
        <v>12.5426</v>
      </c>
      <c r="F56" s="21">
        <f>+$C18*F18</f>
        <v>0.44795000000000007</v>
      </c>
      <c r="G56" s="21">
        <f>+$C18*G18</f>
        <v>6.2265050000000004</v>
      </c>
      <c r="H56" s="21">
        <f>+$C18*H18</f>
        <v>0.22661000000000001</v>
      </c>
      <c r="I56" s="21">
        <f>+$C18*I18</f>
        <v>0.49010999999999999</v>
      </c>
      <c r="J56" s="21">
        <f>+$C18*J18</f>
        <v>2.9064049999999999</v>
      </c>
      <c r="K56" s="21">
        <f>+$C18*K18</f>
        <v>0.86164499999999999</v>
      </c>
      <c r="L56" s="21">
        <f>+$C18*L18</f>
        <v>0.26350000000000001</v>
      </c>
      <c r="M56" s="21">
        <f>+$C18*M18</f>
        <v>0.24769000000000002</v>
      </c>
      <c r="N56" s="21">
        <f>+$C18*N18</f>
        <v>0.17654500000000001</v>
      </c>
      <c r="O56" s="21">
        <f>+$C18*O18</f>
        <v>1.9630750000000001</v>
      </c>
    </row>
    <row r="57" spans="1:15" x14ac:dyDescent="0.2">
      <c r="A57" s="205" t="s">
        <v>10</v>
      </c>
      <c r="D57" s="21">
        <f t="shared" si="3"/>
        <v>33.186680999999993</v>
      </c>
      <c r="E57" s="21">
        <f>+$C19*E19</f>
        <v>16.200038999999997</v>
      </c>
      <c r="F57" s="21">
        <f>+$C19*F19</f>
        <v>0.61733399999999994</v>
      </c>
      <c r="G57" s="21">
        <f>+$C19*G19</f>
        <v>7.3183949999999998</v>
      </c>
      <c r="H57" s="21">
        <f>+$C19*H19</f>
        <v>0.27879599999999999</v>
      </c>
      <c r="I57" s="21">
        <f>+$C19*I19</f>
        <v>0.62397199999999997</v>
      </c>
      <c r="J57" s="21">
        <f>+$C19*J19</f>
        <v>3.494907</v>
      </c>
      <c r="K57" s="21">
        <f>+$C19*K19</f>
        <v>1.115184</v>
      </c>
      <c r="L57" s="21">
        <f>+$C19*L19</f>
        <v>0.30534799999999995</v>
      </c>
      <c r="M57" s="21">
        <f>+$C19*M19</f>
        <v>0.30866699999999997</v>
      </c>
      <c r="N57" s="21">
        <f>+$C19*N19</f>
        <v>0.20909699999999998</v>
      </c>
      <c r="O57" s="21">
        <f>+$C19*O19</f>
        <v>2.7149419999999997</v>
      </c>
    </row>
    <row r="58" spans="1:15" x14ac:dyDescent="0.2">
      <c r="A58" s="205" t="s">
        <v>42</v>
      </c>
      <c r="D58" s="21">
        <f t="shared" si="3"/>
        <v>36.229999999999983</v>
      </c>
      <c r="E58" s="21">
        <f>+$C20*E20</f>
        <v>17.883127999999999</v>
      </c>
      <c r="F58" s="21">
        <f>+$C20*F20</f>
        <v>0.58692599999999995</v>
      </c>
      <c r="G58" s="21">
        <f>+$C20*G20</f>
        <v>8.2387019999999982</v>
      </c>
      <c r="H58" s="21">
        <f>+$C20*H20</f>
        <v>0.31520099999999995</v>
      </c>
      <c r="I58" s="21">
        <f>+$C20*I20</f>
        <v>0.6485169999999999</v>
      </c>
      <c r="J58" s="21">
        <f>+$C20*J20</f>
        <v>3.7715429999999994</v>
      </c>
      <c r="K58" s="21">
        <f>+$C20*K20</f>
        <v>1.0651619999999999</v>
      </c>
      <c r="L58" s="21">
        <f>+$C20*L20</f>
        <v>0.35143099999999999</v>
      </c>
      <c r="M58" s="21">
        <f>+$C20*M20</f>
        <v>0.30433199999999994</v>
      </c>
      <c r="N58" s="21">
        <f>+$C20*N20</f>
        <v>0.27172499999999994</v>
      </c>
      <c r="O58" s="21">
        <f>+$C20*O20</f>
        <v>2.7933329999999996</v>
      </c>
    </row>
    <row r="59" spans="1:15" x14ac:dyDescent="0.2">
      <c r="A59" s="205" t="s">
        <v>43</v>
      </c>
      <c r="D59" s="21">
        <f t="shared" si="3"/>
        <v>38.33</v>
      </c>
      <c r="E59" s="21">
        <f>+$C21*E21</f>
        <v>18.754868999999999</v>
      </c>
      <c r="F59" s="21">
        <f>+$C21*F21</f>
        <v>0.62477899999999986</v>
      </c>
      <c r="G59" s="21">
        <f>+$C21*G21</f>
        <v>8.8848939999999992</v>
      </c>
      <c r="H59" s="21">
        <f>+$C21*H21</f>
        <v>0.34113699999999997</v>
      </c>
      <c r="I59" s="21">
        <f>+$C21*I21</f>
        <v>0.75126799999999994</v>
      </c>
      <c r="J59" s="21">
        <f>+$C21*J21</f>
        <v>3.9671549999999995</v>
      </c>
      <c r="K59" s="21">
        <f>+$C21*K21</f>
        <v>1.169065</v>
      </c>
      <c r="L59" s="21">
        <f>+$C21*L21</f>
        <v>0.37563399999999997</v>
      </c>
      <c r="M59" s="21">
        <f>+$C21*M21</f>
        <v>0.31430600000000003</v>
      </c>
      <c r="N59" s="21">
        <f>+$C21*N21</f>
        <v>0.28364200000000001</v>
      </c>
      <c r="O59" s="21">
        <f>+$C21*O21</f>
        <v>2.863251</v>
      </c>
    </row>
    <row r="60" spans="1:15" ht="15" x14ac:dyDescent="0.35">
      <c r="A60" s="205" t="s">
        <v>44</v>
      </c>
      <c r="D60" s="28">
        <f t="shared" si="3"/>
        <v>35.086491000000009</v>
      </c>
      <c r="E60" s="28">
        <f>+$C22*E22</f>
        <v>16.187017000000001</v>
      </c>
      <c r="F60" s="28">
        <f>+$C22*F22</f>
        <v>1.2281500000000003</v>
      </c>
      <c r="G60" s="28">
        <f>+$C22*G22</f>
        <v>6.8074600000000007</v>
      </c>
      <c r="H60" s="28">
        <f>+$C22*H22</f>
        <v>0.30177400000000004</v>
      </c>
      <c r="I60" s="28">
        <f>+$C22*I22</f>
        <v>0.49476900000000001</v>
      </c>
      <c r="J60" s="28">
        <f>+$C22*J22</f>
        <v>3.68445</v>
      </c>
      <c r="K60" s="28">
        <f>+$C22*K22</f>
        <v>1.2737670000000001</v>
      </c>
      <c r="L60" s="28">
        <f>+$C22*L22</f>
        <v>0.28422900000000001</v>
      </c>
      <c r="M60" s="28">
        <f>+$C22*M22</f>
        <v>0.22457600000000003</v>
      </c>
      <c r="N60" s="28">
        <f>+$C22*N22</f>
        <v>3.5090000000000003E-2</v>
      </c>
      <c r="O60" s="28">
        <f>+$C22*O22</f>
        <v>4.5652090000000003</v>
      </c>
    </row>
    <row r="61" spans="1:15" ht="15" x14ac:dyDescent="0.35">
      <c r="D61" s="31">
        <f>SUM(D49:D60)</f>
        <v>397.83523499999995</v>
      </c>
      <c r="E61" s="31">
        <f>SUM(E49:E60)</f>
        <v>193.582097</v>
      </c>
      <c r="F61" s="31">
        <f t="shared" ref="F61:O61" si="4">SUM(F49:F60)</f>
        <v>10.424323999999999</v>
      </c>
      <c r="G61" s="31">
        <f t="shared" si="4"/>
        <v>83.868183000000002</v>
      </c>
      <c r="H61" s="31">
        <f t="shared" si="4"/>
        <v>3.9745959999999996</v>
      </c>
      <c r="I61" s="31">
        <f t="shared" si="4"/>
        <v>8.0319439999999993</v>
      </c>
      <c r="J61" s="31">
        <f t="shared" si="4"/>
        <v>41.352312999999995</v>
      </c>
      <c r="K61" s="31">
        <f t="shared" si="4"/>
        <v>12.204111999999999</v>
      </c>
      <c r="L61" s="31">
        <f t="shared" si="4"/>
        <v>4.0711269999999997</v>
      </c>
      <c r="M61" s="31">
        <f t="shared" si="4"/>
        <v>3.478234</v>
      </c>
      <c r="N61" s="31">
        <f t="shared" si="4"/>
        <v>4.0789600000000004</v>
      </c>
      <c r="O61" s="31">
        <f t="shared" si="4"/>
        <v>32.769345000000008</v>
      </c>
    </row>
  </sheetData>
  <mergeCells count="2">
    <mergeCell ref="E26:O26"/>
    <mergeCell ref="E45:O45"/>
  </mergeCells>
  <pageMargins left="0.45" right="0.5" top="0.5" bottom="0.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99FBFA905277746B98D46BB4CE7C967" ma:contentTypeVersion="119" ma:contentTypeDescription="" ma:contentTypeScope="" ma:versionID="912f2f8c72ce215dfa3e65ec1dd7051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2015-09-14T07:00:00+00:00</OpenedDate>
    <Date1 xmlns="dc463f71-b30c-4ab2-9473-d307f9d35888">2015-09-14T07:00:00+00:00</Date1>
    <IsDocumentOrder xmlns="dc463f71-b30c-4ab2-9473-d307f9d35888" xsi:nil="true"/>
    <IsHighlyConfidential xmlns="dc463f71-b30c-4ab2-9473-d307f9d35888">false</IsHighlyConfidential>
    <CaseCompanyNames xmlns="dc463f71-b30c-4ab2-9473-d307f9d35888">Waste Management of Washington, Inc.</CaseCompanyNames>
    <DocketNumber xmlns="dc463f71-b30c-4ab2-9473-d307f9d35888">151831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2B28155-73EB-4639-A41D-5FA425D9719E}"/>
</file>

<file path=customXml/itemProps2.xml><?xml version="1.0" encoding="utf-8"?>
<ds:datastoreItem xmlns:ds="http://schemas.openxmlformats.org/officeDocument/2006/customXml" ds:itemID="{09D17A1A-05BC-48A3-8091-E6EFF1AACE3F}"/>
</file>

<file path=customXml/itemProps3.xml><?xml version="1.0" encoding="utf-8"?>
<ds:datastoreItem xmlns:ds="http://schemas.openxmlformats.org/officeDocument/2006/customXml" ds:itemID="{4379820A-EE51-4845-BA85-74DA86A6591E}"/>
</file>

<file path=customXml/itemProps4.xml><?xml version="1.0" encoding="utf-8"?>
<ds:datastoreItem xmlns:ds="http://schemas.openxmlformats.org/officeDocument/2006/customXml" ds:itemID="{0A102CF8-C949-4C78-B767-BD8BF989D7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Rebate Analysis</vt:lpstr>
      <vt:lpstr>Calculation of Revenue</vt:lpstr>
      <vt:lpstr>Reg. Res'l - SS Mix &amp; Prices</vt:lpstr>
      <vt:lpstr>Reg. MF - SS Mix &amp; Prices</vt:lpstr>
      <vt:lpstr>Customer Counts</vt:lpstr>
      <vt:lpstr>Commodity Prices</vt:lpstr>
      <vt:lpstr>Total Company Tonnage</vt:lpstr>
      <vt:lpstr>'Calculation of Revenue'!Print_Area</vt:lpstr>
      <vt:lpstr>'Commodity Prices'!Print_Area</vt:lpstr>
      <vt:lpstr>'Customer Counts'!Print_Area</vt:lpstr>
      <vt:lpstr>'Rebate Analysis'!Print_Area</vt:lpstr>
      <vt:lpstr>'Reg. MF - SS Mix &amp; Prices'!Print_Area</vt:lpstr>
      <vt:lpstr>'Reg. Res''l - SS Mix &amp; Prices'!Print_Area</vt:lpstr>
      <vt:lpstr>'Total Company Tonnage'!Print_Area</vt:lpstr>
    </vt:vector>
  </TitlesOfParts>
  <Company>Waste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Burnite</dc:creator>
  <cp:lastModifiedBy>Weinstein, Mike</cp:lastModifiedBy>
  <cp:lastPrinted>2015-09-14T17:21:41Z</cp:lastPrinted>
  <dcterms:created xsi:type="dcterms:W3CDTF">2003-01-04T00:18:15Z</dcterms:created>
  <dcterms:modified xsi:type="dcterms:W3CDTF">2015-09-14T17:30:32Z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0x0101006E56B4D1795A2E4DB2F0B01679ED314A00099FBFA905277746B98D46BB4CE7C967</vt:lpwstr>
  </property>
  <property fmtid="{D5CDD505-2E9C-101B-9397-08002B2CF9AE}" pid="3" name="_docset_NoMedatataSyncRequired">
    <vt:lpwstr>False</vt:lpwstr>
  </property>
</Properties>
</file>