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6900" yWindow="-12" windowWidth="6936" windowHeight="7116" activeTab="5"/>
  </bookViews>
  <sheets>
    <sheet name="Rebate Calculation" sheetId="35" r:id="rId1"/>
    <sheet name="Tons &amp; Revenue" sheetId="33" r:id="rId2"/>
    <sheet name="Customers" sheetId="27" r:id="rId3"/>
    <sheet name="Composition" sheetId="36" r:id="rId4"/>
    <sheet name="Prices" sheetId="37" r:id="rId5"/>
    <sheet name="MF Yards" sheetId="40" r:id="rId6"/>
  </sheets>
  <definedNames>
    <definedName name="_xlnm.Print_Area" localSheetId="3">Composition!$A$1:$AA$19</definedName>
    <definedName name="_xlnm.Print_Area" localSheetId="2">Customers!$A$1:$F$38</definedName>
    <definedName name="_xlnm.Print_Area" localSheetId="5">'MF Yards'!$A$1:$P$33</definedName>
    <definedName name="_xlnm.Print_Area" localSheetId="4">Prices!$A$1:$K$35</definedName>
    <definedName name="_xlnm.Print_Area" localSheetId="0">'Rebate Calculation'!$A$1:$E$162</definedName>
    <definedName name="_xlnm.Print_Area" localSheetId="1">'Tons &amp; Revenue'!$A$1:$M$140</definedName>
    <definedName name="_xlnm.Print_Titles" localSheetId="1">'Tons &amp; Revenue'!$1:$3</definedName>
  </definedNames>
  <calcPr calcId="152511" iterate="1"/>
</workbook>
</file>

<file path=xl/calcChain.xml><?xml version="1.0" encoding="utf-8"?>
<calcChain xmlns="http://schemas.openxmlformats.org/spreadsheetml/2006/main">
  <c r="C24" i="37" l="1"/>
  <c r="C25" i="37" s="1"/>
  <c r="C26" i="37" l="1"/>
  <c r="C27" i="37" l="1"/>
  <c r="C28" i="37" l="1"/>
  <c r="C29" i="37" l="1"/>
  <c r="C30" i="37" l="1"/>
  <c r="C31" i="37" l="1"/>
  <c r="C32" i="37" l="1"/>
  <c r="C33" i="37" l="1"/>
  <c r="C34" i="37" l="1"/>
  <c r="L24" i="40" l="1"/>
  <c r="K24" i="40"/>
  <c r="J24" i="40"/>
  <c r="I24" i="40"/>
  <c r="H24" i="40"/>
  <c r="G24" i="40"/>
  <c r="F24" i="40"/>
  <c r="E24" i="40"/>
  <c r="D24" i="40"/>
  <c r="C24" i="40"/>
  <c r="N10" i="40"/>
  <c r="M10" i="40"/>
  <c r="M24" i="40" s="1"/>
  <c r="O22" i="40"/>
  <c r="O19" i="40"/>
  <c r="O16" i="40"/>
  <c r="O13" i="40"/>
  <c r="O7" i="40"/>
  <c r="O10" i="40" l="1"/>
  <c r="O24" i="40" s="1"/>
  <c r="N24" i="40"/>
  <c r="D35" i="27" l="1"/>
  <c r="D34" i="27"/>
  <c r="D28" i="27"/>
  <c r="D29" i="27"/>
  <c r="D30" i="27"/>
  <c r="D27" i="27"/>
  <c r="D36" i="27" l="1"/>
  <c r="D31" i="27"/>
  <c r="D38" i="27" l="1"/>
  <c r="E31" i="27"/>
  <c r="F8" i="33" s="1"/>
  <c r="E38" i="27" l="1"/>
  <c r="E29" i="27"/>
  <c r="E35" i="27"/>
  <c r="E30" i="27"/>
  <c r="E36" i="27"/>
  <c r="E34" i="27"/>
  <c r="E27" i="27"/>
  <c r="E28" i="27"/>
  <c r="C31" i="27" l="1"/>
  <c r="C36" i="27" l="1"/>
  <c r="B11" i="27" s="1"/>
  <c r="C38" i="27" l="1"/>
  <c r="D53" i="33" l="1"/>
  <c r="E53" i="33"/>
  <c r="G53" i="33"/>
  <c r="I53" i="33"/>
  <c r="K53" i="33"/>
  <c r="L53" i="33"/>
  <c r="C49" i="33"/>
  <c r="D49" i="33"/>
  <c r="E49" i="33"/>
  <c r="F49" i="33"/>
  <c r="G49" i="33"/>
  <c r="I49" i="33"/>
  <c r="J49" i="33"/>
  <c r="K49" i="33"/>
  <c r="L49" i="33"/>
  <c r="C50" i="33"/>
  <c r="D50" i="33"/>
  <c r="E50" i="33"/>
  <c r="F50" i="33"/>
  <c r="G50" i="33"/>
  <c r="I50" i="33"/>
  <c r="J50" i="33"/>
  <c r="K50" i="33"/>
  <c r="L50" i="33"/>
  <c r="C51" i="33"/>
  <c r="D51" i="33"/>
  <c r="E51" i="33"/>
  <c r="F51" i="33"/>
  <c r="G51" i="33"/>
  <c r="I51" i="33"/>
  <c r="J51" i="33"/>
  <c r="K51" i="33"/>
  <c r="L51" i="33"/>
  <c r="C52" i="33"/>
  <c r="D52" i="33"/>
  <c r="E52" i="33"/>
  <c r="F52" i="33"/>
  <c r="G52" i="33"/>
  <c r="I52" i="33"/>
  <c r="J52" i="33"/>
  <c r="K52" i="33"/>
  <c r="L52" i="33"/>
  <c r="C53" i="33"/>
  <c r="F53" i="33"/>
  <c r="J53" i="33"/>
  <c r="C48" i="33" l="1"/>
  <c r="J48" i="33"/>
  <c r="K48" i="33"/>
  <c r="L48" i="33"/>
  <c r="I48" i="33"/>
  <c r="D48" i="33"/>
  <c r="E48" i="33"/>
  <c r="F48" i="33"/>
  <c r="G48" i="33"/>
  <c r="J47" i="33" l="1"/>
  <c r="K47" i="33"/>
  <c r="L47" i="33"/>
  <c r="I47" i="33"/>
  <c r="D47" i="33"/>
  <c r="E47" i="33"/>
  <c r="F47" i="33"/>
  <c r="G47" i="33"/>
  <c r="C47" i="33"/>
  <c r="J46" i="33" l="1"/>
  <c r="K46" i="33"/>
  <c r="L46" i="33"/>
  <c r="I46" i="33"/>
  <c r="D46" i="33"/>
  <c r="E46" i="33"/>
  <c r="F46" i="33"/>
  <c r="G46" i="33"/>
  <c r="C46" i="33"/>
  <c r="J45" i="33" l="1"/>
  <c r="K45" i="33"/>
  <c r="L45" i="33"/>
  <c r="I45" i="33"/>
  <c r="D45" i="33"/>
  <c r="E45" i="33"/>
  <c r="F45" i="33"/>
  <c r="G45" i="33"/>
  <c r="C45" i="33"/>
  <c r="J44" i="33" l="1"/>
  <c r="K44" i="33"/>
  <c r="L44" i="33"/>
  <c r="I44" i="33"/>
  <c r="D44" i="33"/>
  <c r="E44" i="33"/>
  <c r="F44" i="33"/>
  <c r="G44" i="33"/>
  <c r="C44" i="33"/>
  <c r="J43" i="33" l="1"/>
  <c r="K43" i="33"/>
  <c r="L43" i="33"/>
  <c r="I43" i="33"/>
  <c r="D43" i="33"/>
  <c r="E43" i="33"/>
  <c r="F43" i="33"/>
  <c r="G43" i="33"/>
  <c r="C43" i="33"/>
  <c r="J42" i="33" l="1"/>
  <c r="K42" i="33"/>
  <c r="L42" i="33"/>
  <c r="I42" i="33"/>
  <c r="D42" i="33"/>
  <c r="E42" i="33"/>
  <c r="F42" i="33"/>
  <c r="G42" i="33"/>
  <c r="C42" i="33"/>
  <c r="D15" i="33" l="1"/>
  <c r="N17" i="36"/>
  <c r="C15" i="33" l="1"/>
  <c r="D14" i="33"/>
  <c r="L17" i="36"/>
  <c r="C14" i="33" l="1"/>
  <c r="D13" i="33"/>
  <c r="J17" i="36" l="1"/>
  <c r="C13" i="33" s="1"/>
  <c r="D12" i="33"/>
  <c r="H17" i="36" l="1"/>
  <c r="C12" i="33" s="1"/>
  <c r="D11" i="33"/>
  <c r="F17" i="36"/>
  <c r="C11" i="33" l="1"/>
  <c r="D10" i="33"/>
  <c r="D17" i="36" l="1"/>
  <c r="C10" i="33" s="1"/>
  <c r="D9" i="33"/>
  <c r="B17" i="36" l="1"/>
  <c r="C9" i="33" s="1"/>
  <c r="D16" i="33"/>
  <c r="P17" i="36" l="1"/>
  <c r="C16" i="33" s="1"/>
  <c r="D17" i="33"/>
  <c r="R17" i="36"/>
  <c r="C17" i="33" l="1"/>
  <c r="D18" i="33"/>
  <c r="T17" i="36" l="1"/>
  <c r="C18" i="33" s="1"/>
  <c r="V17" i="36" l="1"/>
  <c r="Z15" i="36"/>
  <c r="D20" i="33"/>
  <c r="D19" i="33"/>
  <c r="D157" i="35"/>
  <c r="E159" i="35" s="1"/>
  <c r="B145" i="35"/>
  <c r="D151" i="35" s="1"/>
  <c r="E153" i="35" s="1"/>
  <c r="D144" i="35"/>
  <c r="D143" i="35"/>
  <c r="C89" i="35"/>
  <c r="D131" i="35"/>
  <c r="E133" i="35" s="1"/>
  <c r="C64" i="35" s="1"/>
  <c r="C9" i="35" s="1"/>
  <c r="B119" i="35"/>
  <c r="D118" i="35"/>
  <c r="D117" i="35"/>
  <c r="C63" i="35"/>
  <c r="D145" i="35" l="1"/>
  <c r="C19" i="33"/>
  <c r="Z19" i="36"/>
  <c r="D119" i="35"/>
  <c r="D123" i="35" s="1"/>
  <c r="E161" i="35"/>
  <c r="C26" i="40" s="1"/>
  <c r="C90" i="35"/>
  <c r="C35" i="35" s="1"/>
  <c r="D125" i="35"/>
  <c r="E127" i="35" l="1"/>
  <c r="E136" i="35" s="1"/>
  <c r="C30" i="40"/>
  <c r="C28" i="40"/>
  <c r="D26" i="40"/>
  <c r="D21" i="33"/>
  <c r="C32" i="40" l="1"/>
  <c r="D30" i="40"/>
  <c r="B35" i="35" s="1"/>
  <c r="D28" i="40"/>
  <c r="B12" i="27"/>
  <c r="D32" i="40" l="1"/>
  <c r="D35" i="35"/>
  <c r="B9" i="35"/>
  <c r="B10" i="35"/>
  <c r="E11" i="27"/>
  <c r="E12" i="27" s="1"/>
  <c r="B11" i="35" l="1"/>
  <c r="D9" i="35"/>
  <c r="D90" i="35"/>
  <c r="D63" i="35"/>
  <c r="B65" i="35"/>
  <c r="D78" i="35" s="1"/>
  <c r="D64" i="35"/>
  <c r="D24" i="35" l="1"/>
  <c r="D17" i="35"/>
  <c r="D65" i="35"/>
  <c r="B91" i="35"/>
  <c r="D89" i="35"/>
  <c r="D91" i="35" s="1"/>
  <c r="D71" i="35"/>
  <c r="D97" i="35" l="1"/>
  <c r="D104" i="35"/>
  <c r="E19" i="36"/>
  <c r="E9" i="36"/>
  <c r="F29" i="33" s="1"/>
  <c r="E8" i="36"/>
  <c r="E29" i="33" s="1"/>
  <c r="E11" i="36"/>
  <c r="H29" i="33" s="1"/>
  <c r="E12" i="36"/>
  <c r="I29" i="33" s="1"/>
  <c r="E15" i="36"/>
  <c r="L29" i="33" s="1"/>
  <c r="E10" i="36"/>
  <c r="G29" i="33" s="1"/>
  <c r="E14" i="36"/>
  <c r="K29" i="33" s="1"/>
  <c r="E6" i="36"/>
  <c r="E7" i="36"/>
  <c r="D29" i="33" s="1"/>
  <c r="E13" i="36"/>
  <c r="J29" i="33" s="1"/>
  <c r="E10" i="33"/>
  <c r="F10" i="33" s="1"/>
  <c r="G10" i="33" s="1"/>
  <c r="E17" i="36" l="1"/>
  <c r="F61" i="33"/>
  <c r="I61" i="33"/>
  <c r="D61" i="33"/>
  <c r="J61" i="33"/>
  <c r="E61" i="33"/>
  <c r="G61" i="33"/>
  <c r="L61" i="33"/>
  <c r="K61" i="33"/>
  <c r="H61" i="33"/>
  <c r="B24" i="37" s="1"/>
  <c r="D24" i="37" s="1"/>
  <c r="E24" i="37" s="1"/>
  <c r="G24" i="37" s="1"/>
  <c r="C29" i="33"/>
  <c r="G6" i="37" l="1"/>
  <c r="H43" i="33"/>
  <c r="C61" i="33"/>
  <c r="M61" i="33" l="1"/>
  <c r="G19" i="36" l="1"/>
  <c r="G14" i="36"/>
  <c r="K30" i="33" s="1"/>
  <c r="G8" i="36"/>
  <c r="E30" i="33"/>
  <c r="G13" i="36"/>
  <c r="J30" i="33" s="1"/>
  <c r="G12" i="36"/>
  <c r="I30" i="33" s="1"/>
  <c r="G9" i="36"/>
  <c r="F30" i="33"/>
  <c r="G10" i="36"/>
  <c r="G30" i="33" s="1"/>
  <c r="G11" i="36"/>
  <c r="H30" i="33" s="1"/>
  <c r="G15" i="36"/>
  <c r="L30" i="33" s="1"/>
  <c r="G7" i="36"/>
  <c r="D30" i="33" s="1"/>
  <c r="G6" i="36"/>
  <c r="E11" i="33"/>
  <c r="F11" i="33" s="1"/>
  <c r="G11" i="33" s="1"/>
  <c r="G17" i="36" l="1"/>
  <c r="H62" i="33"/>
  <c r="B25" i="37" s="1"/>
  <c r="D25" i="37" s="1"/>
  <c r="E25" i="37" s="1"/>
  <c r="G25" i="37" s="1"/>
  <c r="E62" i="33"/>
  <c r="F62" i="33"/>
  <c r="D62" i="33"/>
  <c r="K62" i="33"/>
  <c r="G62" i="33"/>
  <c r="L62" i="33"/>
  <c r="J62" i="33"/>
  <c r="I62" i="33"/>
  <c r="C30" i="33"/>
  <c r="G7" i="37" l="1"/>
  <c r="H44" i="33"/>
  <c r="C62" i="33"/>
  <c r="M62" i="33" l="1"/>
  <c r="I19" i="36" l="1"/>
  <c r="I9" i="36"/>
  <c r="F31" i="33" s="1"/>
  <c r="I8" i="36"/>
  <c r="E31" i="33" s="1"/>
  <c r="I15" i="36"/>
  <c r="L31" i="33" s="1"/>
  <c r="I12" i="36"/>
  <c r="I31" i="33" s="1"/>
  <c r="I11" i="36"/>
  <c r="H31" i="33" s="1"/>
  <c r="I7" i="36"/>
  <c r="D31" i="33" s="1"/>
  <c r="I14" i="36"/>
  <c r="K31" i="33" s="1"/>
  <c r="I10" i="36"/>
  <c r="G31" i="33" s="1"/>
  <c r="I13" i="36"/>
  <c r="J31" i="33" s="1"/>
  <c r="E12" i="33"/>
  <c r="F12" i="33" s="1"/>
  <c r="G12" i="33" s="1"/>
  <c r="I6" i="36"/>
  <c r="C31" i="33" s="1"/>
  <c r="E63" i="33" l="1"/>
  <c r="D63" i="33"/>
  <c r="L63" i="33"/>
  <c r="K63" i="33"/>
  <c r="F63" i="33"/>
  <c r="G63" i="33"/>
  <c r="C63" i="33"/>
  <c r="J63" i="33"/>
  <c r="I63" i="33"/>
  <c r="H63" i="33"/>
  <c r="B26" i="37" s="1"/>
  <c r="D26" i="37" s="1"/>
  <c r="E26" i="37" s="1"/>
  <c r="G26" i="37" s="1"/>
  <c r="I17" i="36"/>
  <c r="G8" i="37" l="1"/>
  <c r="H45" i="33"/>
  <c r="M63" i="33"/>
  <c r="K19" i="36" l="1"/>
  <c r="K15" i="36"/>
  <c r="L32" i="33" s="1"/>
  <c r="K12" i="36"/>
  <c r="I32" i="33" s="1"/>
  <c r="K7" i="36"/>
  <c r="D32" i="33" s="1"/>
  <c r="K13" i="36"/>
  <c r="J32" i="33" s="1"/>
  <c r="K11" i="36"/>
  <c r="H32" i="33" s="1"/>
  <c r="K8" i="36"/>
  <c r="E32" i="33" s="1"/>
  <c r="K9" i="36"/>
  <c r="F32" i="33" s="1"/>
  <c r="K14" i="36"/>
  <c r="K32" i="33" s="1"/>
  <c r="K6" i="36"/>
  <c r="C32" i="33" s="1"/>
  <c r="K10" i="36"/>
  <c r="G32" i="33" s="1"/>
  <c r="E13" i="33"/>
  <c r="F13" i="33" s="1"/>
  <c r="G13" i="33" s="1"/>
  <c r="D64" i="33" l="1"/>
  <c r="E64" i="33"/>
  <c r="I64" i="33"/>
  <c r="H64" i="33"/>
  <c r="B27" i="37" s="1"/>
  <c r="D27" i="37" s="1"/>
  <c r="E27" i="37" s="1"/>
  <c r="G27" i="37" s="1"/>
  <c r="K64" i="33"/>
  <c r="G64" i="33"/>
  <c r="C64" i="33"/>
  <c r="J64" i="33"/>
  <c r="F64" i="33"/>
  <c r="L64" i="33"/>
  <c r="K17" i="36"/>
  <c r="G9" i="37" l="1"/>
  <c r="H46" i="33"/>
  <c r="M64" i="33"/>
  <c r="M11" i="36" l="1"/>
  <c r="H33" i="33" s="1"/>
  <c r="M19" i="36"/>
  <c r="M10" i="36"/>
  <c r="G33" i="33" s="1"/>
  <c r="M9" i="36"/>
  <c r="F33" i="33" s="1"/>
  <c r="M8" i="36"/>
  <c r="E33" i="33" s="1"/>
  <c r="M7" i="36"/>
  <c r="D33" i="33" s="1"/>
  <c r="M15" i="36"/>
  <c r="L33" i="33" s="1"/>
  <c r="M12" i="36"/>
  <c r="I33" i="33" s="1"/>
  <c r="M13" i="36"/>
  <c r="J33" i="33" s="1"/>
  <c r="M14" i="36"/>
  <c r="K33" i="33" s="1"/>
  <c r="M6" i="36"/>
  <c r="C33" i="33" s="1"/>
  <c r="E14" i="33"/>
  <c r="F14" i="33" s="1"/>
  <c r="G14" i="33" s="1"/>
  <c r="F65" i="33" l="1"/>
  <c r="C65" i="33"/>
  <c r="H65" i="33"/>
  <c r="B28" i="37" s="1"/>
  <c r="D28" i="37" s="1"/>
  <c r="E28" i="37" s="1"/>
  <c r="G28" i="37" s="1"/>
  <c r="G65" i="33"/>
  <c r="D65" i="33"/>
  <c r="E65" i="33"/>
  <c r="L65" i="33"/>
  <c r="J65" i="33"/>
  <c r="K65" i="33"/>
  <c r="I65" i="33"/>
  <c r="M17" i="36"/>
  <c r="G10" i="37" l="1"/>
  <c r="H47" i="33"/>
  <c r="M65" i="33"/>
  <c r="O19" i="36" l="1"/>
  <c r="O9" i="36"/>
  <c r="F34" i="33" s="1"/>
  <c r="O14" i="36"/>
  <c r="K34" i="33" s="1"/>
  <c r="O11" i="36"/>
  <c r="H34" i="33" s="1"/>
  <c r="O13" i="36"/>
  <c r="J34" i="33" s="1"/>
  <c r="O7" i="36"/>
  <c r="D34" i="33" s="1"/>
  <c r="O8" i="36"/>
  <c r="E34" i="33" s="1"/>
  <c r="O12" i="36"/>
  <c r="I34" i="33" s="1"/>
  <c r="O10" i="36"/>
  <c r="G34" i="33" s="1"/>
  <c r="O15" i="36"/>
  <c r="L34" i="33" s="1"/>
  <c r="O6" i="36"/>
  <c r="C34" i="33"/>
  <c r="E15" i="33"/>
  <c r="F15" i="33" s="1"/>
  <c r="G15" i="33" s="1"/>
  <c r="D66" i="33" l="1"/>
  <c r="F66" i="33"/>
  <c r="G66" i="33"/>
  <c r="L66" i="33"/>
  <c r="I66" i="33"/>
  <c r="E66" i="33"/>
  <c r="H66" i="33"/>
  <c r="B29" i="37" s="1"/>
  <c r="D29" i="37" s="1"/>
  <c r="E29" i="37" s="1"/>
  <c r="G29" i="37" s="1"/>
  <c r="J66" i="33"/>
  <c r="K66" i="33"/>
  <c r="C66" i="33"/>
  <c r="O17" i="36"/>
  <c r="G11" i="37" l="1"/>
  <c r="H48" i="33"/>
  <c r="M66" i="33"/>
  <c r="Q19" i="36" l="1"/>
  <c r="Q10" i="36"/>
  <c r="G35" i="33" s="1"/>
  <c r="Q7" i="36"/>
  <c r="D35" i="33" s="1"/>
  <c r="Q14" i="36"/>
  <c r="K35" i="33" s="1"/>
  <c r="Q13" i="36"/>
  <c r="J35" i="33" s="1"/>
  <c r="Q9" i="36"/>
  <c r="F35" i="33" s="1"/>
  <c r="Q15" i="36"/>
  <c r="L35" i="33" s="1"/>
  <c r="Q12" i="36"/>
  <c r="I35" i="33" s="1"/>
  <c r="Q11" i="36"/>
  <c r="H35" i="33" s="1"/>
  <c r="Q6" i="36"/>
  <c r="C35" i="33" s="1"/>
  <c r="E16" i="33"/>
  <c r="F16" i="33" s="1"/>
  <c r="G16" i="33" s="1"/>
  <c r="Q8" i="36"/>
  <c r="E35" i="33" s="1"/>
  <c r="E67" i="33" l="1"/>
  <c r="H67" i="33"/>
  <c r="B30" i="37" s="1"/>
  <c r="D30" i="37" s="1"/>
  <c r="E30" i="37" s="1"/>
  <c r="G30" i="37" s="1"/>
  <c r="J67" i="33"/>
  <c r="F67" i="33"/>
  <c r="K67" i="33"/>
  <c r="C67" i="33"/>
  <c r="D67" i="33"/>
  <c r="G67" i="33"/>
  <c r="L67" i="33"/>
  <c r="I67" i="33"/>
  <c r="Q17" i="36"/>
  <c r="G12" i="37" l="1"/>
  <c r="H49" i="33"/>
  <c r="M67" i="33"/>
  <c r="S19" i="36" l="1"/>
  <c r="S14" i="36"/>
  <c r="K36" i="33" s="1"/>
  <c r="S7" i="36"/>
  <c r="D36" i="33"/>
  <c r="S15" i="36"/>
  <c r="L36" i="33" s="1"/>
  <c r="S12" i="36"/>
  <c r="I36" i="33" s="1"/>
  <c r="S13" i="36"/>
  <c r="J36" i="33" s="1"/>
  <c r="S10" i="36"/>
  <c r="G36" i="33" s="1"/>
  <c r="S8" i="36"/>
  <c r="E36" i="33" s="1"/>
  <c r="S9" i="36"/>
  <c r="F36" i="33" s="1"/>
  <c r="S6" i="36"/>
  <c r="C36" i="33" s="1"/>
  <c r="S11" i="36"/>
  <c r="H36" i="33" s="1"/>
  <c r="E17" i="33"/>
  <c r="F17" i="33" s="1"/>
  <c r="G17" i="33" s="1"/>
  <c r="H68" i="33" l="1"/>
  <c r="B31" i="37" s="1"/>
  <c r="D31" i="37" s="1"/>
  <c r="E31" i="37" s="1"/>
  <c r="G31" i="37" s="1"/>
  <c r="C68" i="33"/>
  <c r="J68" i="33"/>
  <c r="D68" i="33"/>
  <c r="K68" i="33"/>
  <c r="G68" i="33"/>
  <c r="L68" i="33"/>
  <c r="E68" i="33"/>
  <c r="I68" i="33"/>
  <c r="F68" i="33"/>
  <c r="S17" i="36"/>
  <c r="G13" i="37" l="1"/>
  <c r="H50" i="33"/>
  <c r="M68" i="33"/>
  <c r="U19" i="36" l="1"/>
  <c r="U9" i="36"/>
  <c r="F37" i="33" s="1"/>
  <c r="U13" i="36"/>
  <c r="J37" i="33" s="1"/>
  <c r="U12" i="36"/>
  <c r="I37" i="33" s="1"/>
  <c r="U8" i="36"/>
  <c r="E37" i="33" s="1"/>
  <c r="U14" i="36"/>
  <c r="K37" i="33" s="1"/>
  <c r="U15" i="36"/>
  <c r="L37" i="33" s="1"/>
  <c r="U6" i="36"/>
  <c r="U11" i="36"/>
  <c r="H37" i="33" s="1"/>
  <c r="U10" i="36"/>
  <c r="G37" i="33" s="1"/>
  <c r="U7" i="36"/>
  <c r="D37" i="33" s="1"/>
  <c r="E18" i="33"/>
  <c r="F18" i="33" s="1"/>
  <c r="G18" i="33" s="1"/>
  <c r="G69" i="33" l="1"/>
  <c r="H69" i="33"/>
  <c r="B32" i="37" s="1"/>
  <c r="D32" i="37" s="1"/>
  <c r="E32" i="37" s="1"/>
  <c r="G32" i="37" s="1"/>
  <c r="F69" i="33"/>
  <c r="E69" i="33"/>
  <c r="L69" i="33"/>
  <c r="I69" i="33"/>
  <c r="J69" i="33"/>
  <c r="D69" i="33"/>
  <c r="K69" i="33"/>
  <c r="U17" i="36"/>
  <c r="C37" i="33"/>
  <c r="G14" i="37" l="1"/>
  <c r="H51" i="33"/>
  <c r="C69" i="33"/>
  <c r="M69" i="33" l="1"/>
  <c r="W19" i="36" l="1"/>
  <c r="W10" i="36"/>
  <c r="G38" i="33" s="1"/>
  <c r="W7" i="36"/>
  <c r="D38" i="33" s="1"/>
  <c r="W11" i="36"/>
  <c r="H38" i="33" s="1"/>
  <c r="W15" i="36"/>
  <c r="L38" i="33" s="1"/>
  <c r="W9" i="36"/>
  <c r="F38" i="33" s="1"/>
  <c r="W12" i="36"/>
  <c r="I38" i="33" s="1"/>
  <c r="W8" i="36"/>
  <c r="E38" i="33" s="1"/>
  <c r="W13" i="36"/>
  <c r="J38" i="33" s="1"/>
  <c r="W14" i="36"/>
  <c r="K38" i="33" s="1"/>
  <c r="W6" i="36"/>
  <c r="C38" i="33" s="1"/>
  <c r="E19" i="33"/>
  <c r="F19" i="33" s="1"/>
  <c r="G19" i="33" s="1"/>
  <c r="I70" i="33" l="1"/>
  <c r="F70" i="33"/>
  <c r="C70" i="33"/>
  <c r="J70" i="33"/>
  <c r="D70" i="33"/>
  <c r="H70" i="33"/>
  <c r="B33" i="37" s="1"/>
  <c r="D33" i="37" s="1"/>
  <c r="E33" i="37" s="1"/>
  <c r="G33" i="37" s="1"/>
  <c r="G70" i="33"/>
  <c r="E70" i="33"/>
  <c r="K70" i="33"/>
  <c r="L70" i="33"/>
  <c r="W17" i="36"/>
  <c r="G15" i="37" l="1"/>
  <c r="H52" i="33"/>
  <c r="M70" i="33"/>
  <c r="C19" i="36" l="1"/>
  <c r="C11" i="36"/>
  <c r="H28" i="33" s="1"/>
  <c r="C12" i="36"/>
  <c r="I28" i="33" s="1"/>
  <c r="C8" i="36"/>
  <c r="E28" i="33" s="1"/>
  <c r="C7" i="36"/>
  <c r="D28" i="33" s="1"/>
  <c r="C15" i="36"/>
  <c r="L28" i="33" s="1"/>
  <c r="C10" i="36"/>
  <c r="G28" i="33" s="1"/>
  <c r="C6" i="36"/>
  <c r="C28" i="33" s="1"/>
  <c r="C9" i="36"/>
  <c r="F28" i="33" s="1"/>
  <c r="C13" i="36"/>
  <c r="J28" i="33" s="1"/>
  <c r="C14" i="36"/>
  <c r="K28" i="33" s="1"/>
  <c r="E9" i="33"/>
  <c r="F9" i="33" l="1"/>
  <c r="C17" i="36"/>
  <c r="G9" i="33" l="1"/>
  <c r="K60" i="33" l="1"/>
  <c r="D60" i="33"/>
  <c r="H60" i="33"/>
  <c r="B23" i="37" s="1"/>
  <c r="C60" i="33"/>
  <c r="E60" i="33"/>
  <c r="J60" i="33"/>
  <c r="L60" i="33"/>
  <c r="G60" i="33"/>
  <c r="F60" i="33"/>
  <c r="I60" i="33"/>
  <c r="D23" i="37" l="1"/>
  <c r="E23" i="37" s="1"/>
  <c r="G23" i="37" s="1"/>
  <c r="M60" i="33"/>
  <c r="G5" i="37" l="1"/>
  <c r="H42" i="33"/>
  <c r="D103" i="35"/>
  <c r="E105" i="35" s="1"/>
  <c r="C36" i="35" s="1"/>
  <c r="D95" i="35"/>
  <c r="E99" i="35" s="1"/>
  <c r="D69" i="35" l="1"/>
  <c r="E73" i="35" s="1"/>
  <c r="D77" i="35"/>
  <c r="E79" i="35" s="1"/>
  <c r="C10" i="35" s="1"/>
  <c r="D10" i="35" s="1"/>
  <c r="D11" i="35" s="1"/>
  <c r="E107" i="35"/>
  <c r="E26" i="40" s="1"/>
  <c r="E30" i="40" l="1"/>
  <c r="F26" i="40"/>
  <c r="E28" i="40"/>
  <c r="E82" i="35"/>
  <c r="E32" i="40" l="1"/>
  <c r="F30" i="40"/>
  <c r="F28" i="40"/>
  <c r="G26" i="40"/>
  <c r="Z13" i="36"/>
  <c r="Z10" i="36"/>
  <c r="Z9" i="36"/>
  <c r="Z12" i="36"/>
  <c r="Z6" i="36"/>
  <c r="Z7" i="36"/>
  <c r="Z14" i="36"/>
  <c r="Z8" i="36"/>
  <c r="Z11" i="36"/>
  <c r="X17" i="36"/>
  <c r="Y10" i="36" s="1"/>
  <c r="G39" i="33" s="1"/>
  <c r="F32" i="40" l="1"/>
  <c r="G30" i="40"/>
  <c r="G28" i="40"/>
  <c r="H26" i="40"/>
  <c r="C20" i="33"/>
  <c r="E20" i="33" s="1"/>
  <c r="Z17" i="36"/>
  <c r="Y13" i="36"/>
  <c r="J39" i="33" s="1"/>
  <c r="Y9" i="36"/>
  <c r="F39" i="33" s="1"/>
  <c r="Y14" i="36"/>
  <c r="K39" i="33" s="1"/>
  <c r="Y15" i="36"/>
  <c r="L39" i="33" s="1"/>
  <c r="Y6" i="36"/>
  <c r="C39" i="33" s="1"/>
  <c r="Y7" i="36"/>
  <c r="D39" i="33" s="1"/>
  <c r="Y8" i="36"/>
  <c r="E39" i="33" s="1"/>
  <c r="Y12" i="36"/>
  <c r="I39" i="33" s="1"/>
  <c r="Y19" i="36"/>
  <c r="Y11" i="36"/>
  <c r="H39" i="33" s="1"/>
  <c r="G32" i="40" l="1"/>
  <c r="C21" i="33"/>
  <c r="AA12" i="36"/>
  <c r="I26" i="40"/>
  <c r="H30" i="40"/>
  <c r="H28" i="40"/>
  <c r="AA9" i="36"/>
  <c r="AA14" i="36"/>
  <c r="AA10" i="36"/>
  <c r="AA13" i="36"/>
  <c r="AA11" i="36"/>
  <c r="AA6" i="36"/>
  <c r="AA15" i="36"/>
  <c r="AA7" i="36"/>
  <c r="AA8" i="36"/>
  <c r="AA19" i="36"/>
  <c r="E21" i="33"/>
  <c r="F20" i="33"/>
  <c r="Y17" i="36"/>
  <c r="H32" i="40" l="1"/>
  <c r="J26" i="40"/>
  <c r="I30" i="40"/>
  <c r="I28" i="40"/>
  <c r="AA17" i="36"/>
  <c r="F21" i="33"/>
  <c r="G20" i="33"/>
  <c r="I32" i="40" l="1"/>
  <c r="K26" i="40"/>
  <c r="J30" i="40"/>
  <c r="J28" i="40"/>
  <c r="H71" i="33"/>
  <c r="B34" i="37" s="1"/>
  <c r="D71" i="33"/>
  <c r="J71" i="33"/>
  <c r="I71" i="33"/>
  <c r="G71" i="33"/>
  <c r="K71" i="33"/>
  <c r="G21" i="33"/>
  <c r="L71" i="33"/>
  <c r="E71" i="33"/>
  <c r="F71" i="33"/>
  <c r="C71" i="33"/>
  <c r="J32" i="40" l="1"/>
  <c r="D34" i="37"/>
  <c r="E34" i="37" s="1"/>
  <c r="G34" i="37" s="1"/>
  <c r="B35" i="37"/>
  <c r="L26" i="40"/>
  <c r="K30" i="40"/>
  <c r="K28" i="40"/>
  <c r="C72" i="33"/>
  <c r="M71" i="33"/>
  <c r="M72" i="33" s="1"/>
  <c r="M73" i="33" s="1"/>
  <c r="F72" i="33"/>
  <c r="K72" i="33"/>
  <c r="D72" i="33"/>
  <c r="E72" i="33"/>
  <c r="G72" i="33"/>
  <c r="H72" i="33"/>
  <c r="L72" i="33"/>
  <c r="I72" i="33"/>
  <c r="J72" i="33"/>
  <c r="K32" i="40" l="1"/>
  <c r="G16" i="37"/>
  <c r="H53" i="33"/>
  <c r="M26" i="40"/>
  <c r="L30" i="40"/>
  <c r="L28" i="40"/>
  <c r="H73" i="33"/>
  <c r="G73" i="33"/>
  <c r="D73" i="33"/>
  <c r="C73" i="33"/>
  <c r="I73" i="33"/>
  <c r="E73" i="33"/>
  <c r="J73" i="33"/>
  <c r="L73" i="33"/>
  <c r="K73" i="33"/>
  <c r="F73" i="33"/>
  <c r="L32" i="40" l="1"/>
  <c r="N26" i="40"/>
  <c r="M30" i="40"/>
  <c r="M28" i="40"/>
  <c r="M32" i="40" l="1"/>
  <c r="N30" i="40"/>
  <c r="N28" i="40"/>
  <c r="N32" i="40" l="1"/>
  <c r="O32" i="40" s="1"/>
  <c r="O28" i="40"/>
  <c r="O30" i="40"/>
  <c r="B36" i="35"/>
  <c r="P30" i="40" l="1"/>
  <c r="B15" i="27" s="1"/>
  <c r="B37" i="35"/>
  <c r="D36" i="35"/>
  <c r="D37" i="35" s="1"/>
  <c r="P32" i="40"/>
  <c r="P28" i="40" l="1"/>
  <c r="E15" i="27"/>
  <c r="E18" i="27" s="1"/>
  <c r="B18" i="27"/>
  <c r="D43" i="35"/>
  <c r="D50" i="35"/>
  <c r="F15" i="27" l="1"/>
  <c r="B75" i="33" s="1"/>
  <c r="F11" i="27"/>
  <c r="F12" i="27" s="1"/>
  <c r="F18" i="27" l="1"/>
  <c r="K77" i="33"/>
  <c r="E77" i="33"/>
  <c r="J77" i="33"/>
  <c r="G77" i="33"/>
  <c r="F77" i="33"/>
  <c r="I77" i="33"/>
  <c r="D77" i="33"/>
  <c r="L77" i="33"/>
  <c r="H77" i="33"/>
  <c r="C77" i="33"/>
  <c r="L78" i="33"/>
  <c r="G78" i="33"/>
  <c r="J78" i="33"/>
  <c r="I78" i="33"/>
  <c r="D78" i="33"/>
  <c r="F78" i="33"/>
  <c r="E78" i="33"/>
  <c r="K78" i="33"/>
  <c r="H78" i="33"/>
  <c r="C78" i="33"/>
  <c r="I79" i="33"/>
  <c r="K79" i="33"/>
  <c r="H79" i="33"/>
  <c r="F79" i="33"/>
  <c r="G79" i="33"/>
  <c r="E79" i="33"/>
  <c r="D79" i="33"/>
  <c r="J79" i="33"/>
  <c r="C79" i="33"/>
  <c r="L79" i="33"/>
  <c r="K80" i="33"/>
  <c r="J80" i="33"/>
  <c r="C80" i="33"/>
  <c r="I80" i="33"/>
  <c r="H80" i="33"/>
  <c r="G80" i="33"/>
  <c r="L80" i="33"/>
  <c r="F80" i="33"/>
  <c r="E80" i="33"/>
  <c r="D80" i="33"/>
  <c r="J81" i="33"/>
  <c r="G81" i="33"/>
  <c r="I81" i="33"/>
  <c r="K81" i="33"/>
  <c r="D81" i="33"/>
  <c r="L81" i="33"/>
  <c r="F81" i="33"/>
  <c r="H81" i="33"/>
  <c r="C81" i="33"/>
  <c r="E81" i="33"/>
  <c r="G82" i="33"/>
  <c r="J82" i="33"/>
  <c r="C82" i="33"/>
  <c r="K82" i="33"/>
  <c r="L82" i="33"/>
  <c r="H82" i="33"/>
  <c r="I82" i="33"/>
  <c r="E82" i="33"/>
  <c r="F82" i="33"/>
  <c r="D82" i="33"/>
  <c r="G83" i="33"/>
  <c r="I83" i="33"/>
  <c r="L83" i="33"/>
  <c r="F83" i="33"/>
  <c r="K83" i="33"/>
  <c r="D83" i="33"/>
  <c r="C83" i="33"/>
  <c r="J83" i="33"/>
  <c r="H83" i="33"/>
  <c r="E83" i="33"/>
  <c r="L84" i="33"/>
  <c r="I84" i="33"/>
  <c r="E84" i="33"/>
  <c r="J84" i="33"/>
  <c r="K84" i="33"/>
  <c r="D84" i="33"/>
  <c r="C84" i="33"/>
  <c r="G84" i="33"/>
  <c r="F84" i="33"/>
  <c r="H84" i="33"/>
  <c r="J85" i="33"/>
  <c r="K85" i="33"/>
  <c r="H85" i="33"/>
  <c r="E85" i="33"/>
  <c r="I85" i="33"/>
  <c r="G85" i="33"/>
  <c r="D85" i="33"/>
  <c r="L85" i="33"/>
  <c r="F85" i="33"/>
  <c r="C85" i="33"/>
  <c r="H86" i="33"/>
  <c r="L86" i="33"/>
  <c r="E86" i="33"/>
  <c r="G86" i="33"/>
  <c r="K86" i="33"/>
  <c r="J86" i="33"/>
  <c r="D86" i="33"/>
  <c r="I86" i="33"/>
  <c r="F86" i="33"/>
  <c r="C86" i="33"/>
  <c r="J76" i="33"/>
  <c r="H76" i="33"/>
  <c r="L76" i="33"/>
  <c r="E76" i="33"/>
  <c r="F76" i="33"/>
  <c r="C76" i="33"/>
  <c r="G76" i="33"/>
  <c r="I76" i="33"/>
  <c r="D76" i="33"/>
  <c r="K76" i="33"/>
  <c r="K87" i="33"/>
  <c r="E87" i="33"/>
  <c r="H87" i="33"/>
  <c r="I87" i="33"/>
  <c r="G87" i="33"/>
  <c r="L87" i="33"/>
  <c r="C87" i="33"/>
  <c r="F87" i="33"/>
  <c r="D87" i="33"/>
  <c r="J87" i="33"/>
  <c r="J103" i="33" l="1"/>
  <c r="J138" i="33" s="1"/>
  <c r="J122" i="33"/>
  <c r="L103" i="33"/>
  <c r="L138" i="33" s="1"/>
  <c r="L122" i="33"/>
  <c r="E103" i="33"/>
  <c r="E138" i="33" s="1"/>
  <c r="E122" i="33"/>
  <c r="I111" i="33"/>
  <c r="I92" i="33"/>
  <c r="I88" i="33"/>
  <c r="E111" i="33"/>
  <c r="E92" i="33"/>
  <c r="E88" i="33"/>
  <c r="C102" i="33"/>
  <c r="C121" i="33"/>
  <c r="M86" i="33"/>
  <c r="J121" i="33"/>
  <c r="J102" i="33"/>
  <c r="J137" i="33" s="1"/>
  <c r="L121" i="33"/>
  <c r="L102" i="33"/>
  <c r="L137" i="33" s="1"/>
  <c r="L120" i="33"/>
  <c r="L101" i="33"/>
  <c r="L136" i="33" s="1"/>
  <c r="E120" i="33"/>
  <c r="E101" i="33"/>
  <c r="E136" i="33" s="1"/>
  <c r="H119" i="33"/>
  <c r="H100" i="33"/>
  <c r="H135" i="33" s="1"/>
  <c r="D119" i="33"/>
  <c r="D100" i="33"/>
  <c r="D135" i="33" s="1"/>
  <c r="I119" i="33"/>
  <c r="I100" i="33"/>
  <c r="I135" i="33" s="1"/>
  <c r="J118" i="33"/>
  <c r="J99" i="33"/>
  <c r="J134" i="33" s="1"/>
  <c r="F118" i="33"/>
  <c r="F99" i="33"/>
  <c r="F134" i="33" s="1"/>
  <c r="D117" i="33"/>
  <c r="D98" i="33"/>
  <c r="D133" i="33" s="1"/>
  <c r="H117" i="33"/>
  <c r="H98" i="33"/>
  <c r="H133" i="33" s="1"/>
  <c r="J117" i="33"/>
  <c r="J98" i="33"/>
  <c r="J133" i="33" s="1"/>
  <c r="H116" i="33"/>
  <c r="H97" i="33"/>
  <c r="H132" i="33" s="1"/>
  <c r="K116" i="33"/>
  <c r="K97" i="33"/>
  <c r="K132" i="33" s="1"/>
  <c r="D115" i="33"/>
  <c r="D96" i="33"/>
  <c r="D131" i="33" s="1"/>
  <c r="G115" i="33"/>
  <c r="G96" i="33"/>
  <c r="G131" i="33" s="1"/>
  <c r="J115" i="33"/>
  <c r="J96" i="33"/>
  <c r="J131" i="33" s="1"/>
  <c r="J114" i="33"/>
  <c r="J95" i="33"/>
  <c r="J130" i="33" s="1"/>
  <c r="F114" i="33"/>
  <c r="F95" i="33"/>
  <c r="F130" i="33" s="1"/>
  <c r="C94" i="33"/>
  <c r="C113" i="33"/>
  <c r="M78" i="33"/>
  <c r="F113" i="33"/>
  <c r="F94" i="33"/>
  <c r="F129" i="33" s="1"/>
  <c r="G113" i="33"/>
  <c r="G94" i="33"/>
  <c r="G129" i="33" s="1"/>
  <c r="L112" i="33"/>
  <c r="L93" i="33"/>
  <c r="L128" i="33" s="1"/>
  <c r="G112" i="33"/>
  <c r="G93" i="33"/>
  <c r="G128" i="33" s="1"/>
  <c r="D103" i="33"/>
  <c r="D138" i="33" s="1"/>
  <c r="D122" i="33"/>
  <c r="G103" i="33"/>
  <c r="G138" i="33" s="1"/>
  <c r="G122" i="33"/>
  <c r="K103" i="33"/>
  <c r="K138" i="33" s="1"/>
  <c r="K122" i="33"/>
  <c r="G92" i="33"/>
  <c r="G111" i="33"/>
  <c r="G88" i="33"/>
  <c r="L111" i="33"/>
  <c r="L92" i="33"/>
  <c r="L88" i="33"/>
  <c r="F121" i="33"/>
  <c r="F102" i="33"/>
  <c r="F137" i="33" s="1"/>
  <c r="K121" i="33"/>
  <c r="K102" i="33"/>
  <c r="K137" i="33" s="1"/>
  <c r="H121" i="33"/>
  <c r="H102" i="33"/>
  <c r="H137" i="33" s="1"/>
  <c r="D120" i="33"/>
  <c r="D101" i="33"/>
  <c r="D136" i="33" s="1"/>
  <c r="H120" i="33"/>
  <c r="H101" i="33"/>
  <c r="H136" i="33" s="1"/>
  <c r="F119" i="33"/>
  <c r="F100" i="33"/>
  <c r="F135" i="33" s="1"/>
  <c r="K119" i="33"/>
  <c r="K100" i="33"/>
  <c r="K135" i="33" s="1"/>
  <c r="L119" i="33"/>
  <c r="L100" i="33"/>
  <c r="L135" i="33" s="1"/>
  <c r="C99" i="33"/>
  <c r="C118" i="33"/>
  <c r="M83" i="33"/>
  <c r="L118" i="33"/>
  <c r="L99" i="33"/>
  <c r="L134" i="33" s="1"/>
  <c r="F117" i="33"/>
  <c r="F98" i="33"/>
  <c r="F133" i="33" s="1"/>
  <c r="L117" i="33"/>
  <c r="L98" i="33"/>
  <c r="L133" i="33" s="1"/>
  <c r="G117" i="33"/>
  <c r="G98" i="33"/>
  <c r="G133" i="33" s="1"/>
  <c r="F116" i="33"/>
  <c r="F97" i="33"/>
  <c r="F132" i="33" s="1"/>
  <c r="I116" i="33"/>
  <c r="I97" i="33"/>
  <c r="I132" i="33" s="1"/>
  <c r="E115" i="33"/>
  <c r="E96" i="33"/>
  <c r="E131" i="33" s="1"/>
  <c r="H115" i="33"/>
  <c r="H96" i="33"/>
  <c r="H131" i="33" s="1"/>
  <c r="K115" i="33"/>
  <c r="K96" i="33"/>
  <c r="K131" i="33" s="1"/>
  <c r="D114" i="33"/>
  <c r="D95" i="33"/>
  <c r="D130" i="33" s="1"/>
  <c r="H114" i="33"/>
  <c r="H95" i="33"/>
  <c r="H130" i="33" s="1"/>
  <c r="H113" i="33"/>
  <c r="H94" i="33"/>
  <c r="H129" i="33" s="1"/>
  <c r="D113" i="33"/>
  <c r="D94" i="33"/>
  <c r="D129" i="33" s="1"/>
  <c r="L113" i="33"/>
  <c r="L94" i="33"/>
  <c r="L129" i="33" s="1"/>
  <c r="D112" i="33"/>
  <c r="D93" i="33"/>
  <c r="D128" i="33" s="1"/>
  <c r="J112" i="33"/>
  <c r="J93" i="33"/>
  <c r="J128" i="33" s="1"/>
  <c r="F122" i="33"/>
  <c r="F103" i="33"/>
  <c r="F138" i="33" s="1"/>
  <c r="I122" i="33"/>
  <c r="I103" i="33"/>
  <c r="I138" i="33" s="1"/>
  <c r="K92" i="33"/>
  <c r="K111" i="33"/>
  <c r="K88" i="33"/>
  <c r="M76" i="33"/>
  <c r="C111" i="33"/>
  <c r="C92" i="33"/>
  <c r="C88" i="33"/>
  <c r="H92" i="33"/>
  <c r="H111" i="33"/>
  <c r="H88" i="33"/>
  <c r="I121" i="33"/>
  <c r="I102" i="33"/>
  <c r="I137" i="33" s="1"/>
  <c r="G121" i="33"/>
  <c r="G102" i="33"/>
  <c r="G137" i="33" s="1"/>
  <c r="C101" i="33"/>
  <c r="C120" i="33"/>
  <c r="M85" i="33"/>
  <c r="G120" i="33"/>
  <c r="G101" i="33"/>
  <c r="G136" i="33" s="1"/>
  <c r="K120" i="33"/>
  <c r="K101" i="33"/>
  <c r="K136" i="33" s="1"/>
  <c r="G119" i="33"/>
  <c r="G100" i="33"/>
  <c r="G135" i="33" s="1"/>
  <c r="J119" i="33"/>
  <c r="J100" i="33"/>
  <c r="J135" i="33" s="1"/>
  <c r="E118" i="33"/>
  <c r="E99" i="33"/>
  <c r="E134" i="33" s="1"/>
  <c r="D118" i="33"/>
  <c r="D99" i="33"/>
  <c r="D134" i="33" s="1"/>
  <c r="I118" i="33"/>
  <c r="I99" i="33"/>
  <c r="I134" i="33" s="1"/>
  <c r="E117" i="33"/>
  <c r="E98" i="33"/>
  <c r="E133" i="33" s="1"/>
  <c r="K117" i="33"/>
  <c r="K98" i="33"/>
  <c r="K133" i="33" s="1"/>
  <c r="E116" i="33"/>
  <c r="E97" i="33"/>
  <c r="E132" i="33" s="1"/>
  <c r="L116" i="33"/>
  <c r="L97" i="33"/>
  <c r="L132" i="33" s="1"/>
  <c r="G116" i="33"/>
  <c r="G97" i="33"/>
  <c r="G132" i="33" s="1"/>
  <c r="F115" i="33"/>
  <c r="F96" i="33"/>
  <c r="F131" i="33" s="1"/>
  <c r="I115" i="33"/>
  <c r="I96" i="33"/>
  <c r="I131" i="33" s="1"/>
  <c r="L114" i="33"/>
  <c r="L95" i="33"/>
  <c r="L130" i="33" s="1"/>
  <c r="E114" i="33"/>
  <c r="E95" i="33"/>
  <c r="E130" i="33" s="1"/>
  <c r="K114" i="33"/>
  <c r="K95" i="33"/>
  <c r="K130" i="33" s="1"/>
  <c r="K113" i="33"/>
  <c r="K94" i="33"/>
  <c r="K129" i="33" s="1"/>
  <c r="I113" i="33"/>
  <c r="I94" i="33"/>
  <c r="I129" i="33" s="1"/>
  <c r="C93" i="33"/>
  <c r="C112" i="33"/>
  <c r="M77" i="33"/>
  <c r="I112" i="33"/>
  <c r="I93" i="33"/>
  <c r="I128" i="33" s="1"/>
  <c r="E112" i="33"/>
  <c r="E93" i="33"/>
  <c r="E128" i="33" s="1"/>
  <c r="M87" i="33"/>
  <c r="C103" i="33"/>
  <c r="C122" i="33"/>
  <c r="H103" i="33"/>
  <c r="H138" i="33" s="1"/>
  <c r="H122" i="33"/>
  <c r="D92" i="33"/>
  <c r="D111" i="33"/>
  <c r="D88" i="33"/>
  <c r="F111" i="33"/>
  <c r="F92" i="33"/>
  <c r="F88" i="33"/>
  <c r="J92" i="33"/>
  <c r="J111" i="33"/>
  <c r="J88" i="33"/>
  <c r="D121" i="33"/>
  <c r="D102" i="33"/>
  <c r="D137" i="33" s="1"/>
  <c r="E121" i="33"/>
  <c r="E102" i="33"/>
  <c r="E137" i="33" s="1"/>
  <c r="F120" i="33"/>
  <c r="F101" i="33"/>
  <c r="F136" i="33" s="1"/>
  <c r="I120" i="33"/>
  <c r="I101" i="33"/>
  <c r="I136" i="33" s="1"/>
  <c r="J120" i="33"/>
  <c r="J101" i="33"/>
  <c r="J136" i="33" s="1"/>
  <c r="C100" i="33"/>
  <c r="C119" i="33"/>
  <c r="M84" i="33"/>
  <c r="E119" i="33"/>
  <c r="E100" i="33"/>
  <c r="E135" i="33" s="1"/>
  <c r="H118" i="33"/>
  <c r="H99" i="33"/>
  <c r="H134" i="33" s="1"/>
  <c r="K118" i="33"/>
  <c r="K99" i="33"/>
  <c r="K134" i="33" s="1"/>
  <c r="G118" i="33"/>
  <c r="G99" i="33"/>
  <c r="G134" i="33" s="1"/>
  <c r="I117" i="33"/>
  <c r="I98" i="33"/>
  <c r="I133" i="33" s="1"/>
  <c r="C117" i="33"/>
  <c r="C98" i="33"/>
  <c r="M82" i="33"/>
  <c r="C97" i="33"/>
  <c r="M81" i="33"/>
  <c r="C116" i="33"/>
  <c r="D116" i="33"/>
  <c r="D97" i="33"/>
  <c r="D132" i="33" s="1"/>
  <c r="J116" i="33"/>
  <c r="J97" i="33"/>
  <c r="J132" i="33" s="1"/>
  <c r="L115" i="33"/>
  <c r="L96" i="33"/>
  <c r="L131" i="33" s="1"/>
  <c r="M80" i="33"/>
  <c r="C96" i="33"/>
  <c r="C115" i="33"/>
  <c r="C95" i="33"/>
  <c r="C114" i="33"/>
  <c r="M79" i="33"/>
  <c r="G114" i="33"/>
  <c r="G95" i="33"/>
  <c r="G130" i="33" s="1"/>
  <c r="I114" i="33"/>
  <c r="I95" i="33"/>
  <c r="I130" i="33" s="1"/>
  <c r="E113" i="33"/>
  <c r="E94" i="33"/>
  <c r="E129" i="33" s="1"/>
  <c r="J113" i="33"/>
  <c r="J94" i="33"/>
  <c r="J129" i="33" s="1"/>
  <c r="H112" i="33"/>
  <c r="H93" i="33"/>
  <c r="H128" i="33" s="1"/>
  <c r="F112" i="33"/>
  <c r="F93" i="33"/>
  <c r="F128" i="33" s="1"/>
  <c r="K112" i="33"/>
  <c r="K93" i="33"/>
  <c r="K128" i="33" s="1"/>
  <c r="M122" i="33" l="1"/>
  <c r="M116" i="33"/>
  <c r="C131" i="33"/>
  <c r="M131" i="33" s="1"/>
  <c r="M96" i="33"/>
  <c r="C133" i="33"/>
  <c r="M133" i="33" s="1"/>
  <c r="M98" i="33"/>
  <c r="M112" i="33"/>
  <c r="M111" i="33"/>
  <c r="C123" i="33"/>
  <c r="K127" i="33"/>
  <c r="K139" i="33" s="1"/>
  <c r="K104" i="33"/>
  <c r="F123" i="33"/>
  <c r="G123" i="33"/>
  <c r="I127" i="33"/>
  <c r="I139" i="33" s="1"/>
  <c r="I104" i="33"/>
  <c r="L123" i="33"/>
  <c r="M114" i="33"/>
  <c r="M117" i="33"/>
  <c r="M119" i="33"/>
  <c r="F127" i="33"/>
  <c r="F139" i="33" s="1"/>
  <c r="F104" i="33"/>
  <c r="D127" i="33"/>
  <c r="D139" i="33" s="1"/>
  <c r="D104" i="33"/>
  <c r="M103" i="33"/>
  <c r="C138" i="33"/>
  <c r="M138" i="33" s="1"/>
  <c r="C128" i="33"/>
  <c r="M128" i="33" s="1"/>
  <c r="M93" i="33"/>
  <c r="M120" i="33"/>
  <c r="H127" i="33"/>
  <c r="H139" i="33" s="1"/>
  <c r="H104" i="33"/>
  <c r="L127" i="33"/>
  <c r="L139" i="33" s="1"/>
  <c r="L104" i="33"/>
  <c r="G127" i="33"/>
  <c r="G139" i="33" s="1"/>
  <c r="G104" i="33"/>
  <c r="M113" i="33"/>
  <c r="E127" i="33"/>
  <c r="E139" i="33" s="1"/>
  <c r="E104" i="33"/>
  <c r="C130" i="33"/>
  <c r="M130" i="33" s="1"/>
  <c r="M95" i="33"/>
  <c r="C132" i="33"/>
  <c r="M132" i="33" s="1"/>
  <c r="M97" i="33"/>
  <c r="M100" i="33"/>
  <c r="C135" i="33"/>
  <c r="M135" i="33" s="1"/>
  <c r="H123" i="33"/>
  <c r="M88" i="33"/>
  <c r="M101" i="33"/>
  <c r="C136" i="33"/>
  <c r="M136" i="33" s="1"/>
  <c r="I123" i="33"/>
  <c r="M118" i="33"/>
  <c r="K123" i="33"/>
  <c r="D123" i="33"/>
  <c r="M94" i="33"/>
  <c r="C129" i="33"/>
  <c r="M129" i="33" s="1"/>
  <c r="M121" i="33"/>
  <c r="E123" i="33"/>
  <c r="J123" i="33"/>
  <c r="M115" i="33"/>
  <c r="J127" i="33"/>
  <c r="J139" i="33" s="1"/>
  <c r="J104" i="33"/>
  <c r="M92" i="33"/>
  <c r="C127" i="33"/>
  <c r="C104" i="33"/>
  <c r="C134" i="33"/>
  <c r="M134" i="33" s="1"/>
  <c r="M99" i="33"/>
  <c r="C137" i="33"/>
  <c r="M137" i="33" s="1"/>
  <c r="M102" i="33"/>
  <c r="G140" i="33" l="1"/>
  <c r="D140" i="33"/>
  <c r="I140" i="33"/>
  <c r="F140" i="33"/>
  <c r="J140" i="33"/>
  <c r="H140" i="33"/>
  <c r="M123" i="33"/>
  <c r="D39" i="35" s="1"/>
  <c r="D41" i="35" s="1"/>
  <c r="E45" i="35" s="1"/>
  <c r="M127" i="33"/>
  <c r="M139" i="33" s="1"/>
  <c r="C139" i="33"/>
  <c r="C140" i="33" s="1"/>
  <c r="L140" i="33"/>
  <c r="M104" i="33"/>
  <c r="E140" i="33"/>
  <c r="K140" i="33"/>
  <c r="D49" i="35" l="1"/>
  <c r="E51" i="35" s="1"/>
  <c r="E53" i="35" s="1"/>
  <c r="M140" i="33"/>
  <c r="D13" i="35"/>
  <c r="D23" i="35" l="1"/>
  <c r="E25" i="35" s="1"/>
  <c r="D15" i="35"/>
  <c r="E19" i="35" s="1"/>
  <c r="E28" i="35" l="1"/>
</calcChain>
</file>

<file path=xl/comments1.xml><?xml version="1.0" encoding="utf-8"?>
<comments xmlns="http://schemas.openxmlformats.org/spreadsheetml/2006/main">
  <authors>
    <author>Mike Weinstein</author>
    <author>Weinstein, Mike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Mike Weinstein:</t>
        </r>
        <r>
          <rPr>
            <sz val="8"/>
            <color indexed="81"/>
            <rFont val="Tahoma"/>
            <family val="2"/>
          </rPr>
          <t xml:space="preserve">
Per TG-143889, 56.15% of the total recycling tonnage collected comes from non-regulated contract ciites. (Spokane Valley, Liberty Lake, Deer Park &amp; Airway Heights)</t>
        </r>
      </text>
    </comment>
    <comment ref="B75" authorId="1" shape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<sst xmlns="http://schemas.openxmlformats.org/spreadsheetml/2006/main" count="411" uniqueCount="136">
  <si>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</si>
  <si>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</si>
  <si>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</si>
  <si>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</si>
  <si>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</si>
  <si>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</si>
  <si>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</si>
  <si>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</si>
  <si>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</si>
  <si>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</si>
  <si>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</si>
  <si>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</si>
  <si>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</si>
  <si>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</si>
  <si>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</si>
  <si>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</si>
  <si>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</si>
  <si>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</si>
  <si>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</si>
  <si>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</si>
  <si>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</si>
  <si>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</si>
  <si>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</si>
  <si>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</si>
  <si>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</si>
  <si>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Y9E 96 GAL CART RCY EOW</t>
  </si>
  <si>
    <t>CMY 35 GAL CART MULTIFAMILY RCY</t>
  </si>
  <si>
    <t>Gallons</t>
  </si>
  <si>
    <t xml:space="preserve">Total # of </t>
  </si>
  <si>
    <t>Containers</t>
  </si>
  <si>
    <t>Gallons/</t>
  </si>
  <si>
    <t>Container</t>
  </si>
  <si>
    <t>Residential:</t>
  </si>
  <si>
    <t>Multi-family:</t>
  </si>
  <si>
    <t>Collections</t>
  </si>
  <si>
    <t>per month</t>
  </si>
  <si>
    <t>Monthly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</si>
  <si>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</si>
  <si>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</si>
  <si>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</si>
  <si>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</si>
  <si>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</si>
  <si>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</si>
  <si>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</si>
  <si>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</si>
  <si>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</si>
  <si>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</si>
  <si>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</si>
  <si>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</si>
  <si>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Customers/</t>
  </si>
  <si>
    <t>Residential &amp; MF Customer Counts and Yardage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</si>
  <si>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</si>
  <si>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</si>
  <si>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</si>
  <si>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</si>
  <si>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</si>
  <si>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</si>
  <si>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</si>
  <si>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</si>
  <si>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</si>
  <si>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</si>
  <si>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</si>
  <si>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</si>
  <si>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</si>
  <si>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</si>
  <si>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</si>
  <si>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</si>
  <si>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</si>
  <si>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</si>
  <si>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</si>
  <si>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</si>
  <si>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</si>
  <si>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</si>
  <si>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</si>
  <si>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</si>
  <si>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</si>
  <si>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</si>
  <si>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</si>
  <si>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</si>
  <si>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</si>
  <si>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</si>
  <si>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</si>
  <si>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</si>
  <si>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</si>
  <si>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</si>
  <si>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Mix Paper</t>
  </si>
  <si>
    <t>HDPE Natl</t>
  </si>
  <si>
    <t>HDPE Col</t>
  </si>
  <si>
    <t>#3 - 7</t>
  </si>
  <si>
    <t>Tin Cans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</si>
  <si>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</si>
  <si>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</si>
  <si>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</si>
  <si>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</si>
  <si>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</si>
  <si>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</si>
  <si>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</si>
  <si>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</si>
  <si>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Jun., 2014</t>
  </si>
  <si>
    <t>Jan., 2015</t>
  </si>
  <si>
    <t>Projected Revenue June 2015 - May 2016</t>
  </si>
  <si>
    <t>2015 - 2016 Rebate Calculation</t>
  </si>
  <si>
    <t>Jurisdiction</t>
  </si>
  <si>
    <t>Non-Regulated:</t>
  </si>
  <si>
    <t>Deer Park</t>
  </si>
  <si>
    <t>Airway Heights</t>
  </si>
  <si>
    <t>Liberty Lake</t>
  </si>
  <si>
    <t>Spokane Valley</t>
  </si>
  <si>
    <t>Regulated:</t>
  </si>
  <si>
    <t>Millwood - WUTC</t>
  </si>
  <si>
    <t>Spokane County - WUTC</t>
  </si>
  <si>
    <t>Row Labels</t>
  </si>
  <si>
    <t>VWL SPO - WUTC - CITY OF LIBERTY L</t>
  </si>
  <si>
    <t>MRB REBATE MULTI-FAMILY RECYCLING</t>
  </si>
  <si>
    <t>VWM SPO - WUTC - CITY OF MILLWOOD</t>
  </si>
  <si>
    <t>VWS SPO - WUTC - CITY OF SPOKANE</t>
  </si>
  <si>
    <t>VWT SPO - WUTC - SPOKANE COUNTY TA</t>
  </si>
  <si>
    <t>VWU SPO - WUTC - SPOKANE COUNTY</t>
  </si>
  <si>
    <t>VWV SPO - WUTC - CITY OF SPOKANE V</t>
  </si>
  <si>
    <t>Rebate per yard</t>
  </si>
  <si>
    <t>Cost</t>
  </si>
  <si>
    <t>Hauling</t>
  </si>
  <si>
    <t>per</t>
  </si>
  <si>
    <t xml:space="preserve"># of </t>
  </si>
  <si>
    <t>Cost/</t>
  </si>
  <si>
    <t>Disposal</t>
  </si>
  <si>
    <t>Load</t>
  </si>
  <si>
    <t>Loads</t>
  </si>
  <si>
    <t>Haul</t>
  </si>
  <si>
    <t>Ton</t>
  </si>
  <si>
    <t>Material Composition</t>
  </si>
  <si>
    <t>Multi-Family Rebates Billed</t>
  </si>
  <si>
    <t>SMaRT MRF</t>
  </si>
  <si>
    <t>Total recycling subscription yards</t>
  </si>
  <si>
    <t>WUTC recycling subscription Yards</t>
  </si>
  <si>
    <t>Non-Reg. recycling subscription 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</si>
</sst>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  <numFmt numFmtId="167" formatCode="0.0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u val="doubleAccounting"/>
      <sz val="1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sz val="10"/>
      <color rgb="FF0070C0"/>
      <name val="Arial"/>
      <family val="2"/>
    </font>
    <font>
      <b/>
      <u val="doubleAccounting"/>
      <sz val="10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double"/>
      <sz val="10"/>
      <name val="Arial"/>
      <family val="2"/>
    </font>
    <font>
      <u val="double"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9" fillId="0" borderId="8">
      <alignment horizontal="center"/>
    </xf>
    <xf numFmtId="3" fontId="28" fillId="0" borderId="0" applyFont="0" applyFill="0" applyBorder="0" applyAlignment="0" applyProtection="0"/>
    <xf numFmtId="0" fontId="28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0" fontId="18" fillId="0" borderId="0" xfId="4" applyNumberFormat="1" applyFont="1" applyAlignment="1">
      <alignment horizontal="center"/>
    </xf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3" fillId="0" borderId="0" xfId="1" applyNumberFormat="1" applyFont="1"/>
    <xf numFmtId="164" fontId="0" fillId="0" borderId="0" xfId="0" applyNumberFormat="1"/>
    <xf numFmtId="164" fontId="4" fillId="0" borderId="0" xfId="1" applyNumberFormat="1" applyFont="1" applyAlignment="1">
      <alignment horizontal="center"/>
    </xf>
    <xf numFmtId="164" fontId="6" fillId="0" borderId="0" xfId="0" applyNumberFormat="1" applyFont="1"/>
    <xf numFmtId="164" fontId="7" fillId="0" borderId="0" xfId="1" applyNumberFormat="1" applyFont="1"/>
    <xf numFmtId="0" fontId="7" fillId="0" borderId="0" xfId="0" applyFont="1"/>
    <xf numFmtId="164" fontId="7" fillId="0" borderId="0" xfId="0" applyNumberFormat="1" applyFont="1"/>
    <xf numFmtId="10" fontId="0" fillId="0" borderId="0" xfId="4" applyNumberFormat="1" applyFont="1"/>
    <xf numFmtId="10" fontId="5" fillId="0" borderId="0" xfId="4" applyNumberFormat="1" applyFont="1"/>
    <xf numFmtId="10" fontId="7" fillId="0" borderId="0" xfId="4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6" fillId="0" borderId="0" xfId="1" applyNumberFormat="1" applyFont="1"/>
    <xf numFmtId="0" fontId="16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43" fontId="21" fillId="0" borderId="0" xfId="0" applyNumberFormat="1" applyFont="1"/>
    <xf numFmtId="10" fontId="20" fillId="0" borderId="0" xfId="0" applyNumberFormat="1" applyFont="1"/>
    <xf numFmtId="44" fontId="20" fillId="0" borderId="0" xfId="0" applyNumberFormat="1" applyFont="1"/>
    <xf numFmtId="0" fontId="4" fillId="0" borderId="0" xfId="5" applyFont="1" applyFill="1" applyAlignment="1">
      <alignment horizontal="center"/>
    </xf>
    <xf numFmtId="0" fontId="16" fillId="2" borderId="2" xfId="0" applyFont="1" applyFill="1" applyBorder="1"/>
    <xf numFmtId="0" fontId="22" fillId="2" borderId="3" xfId="0" applyFont="1" applyFill="1" applyBorder="1"/>
    <xf numFmtId="0" fontId="22" fillId="2" borderId="4" xfId="0" applyFont="1" applyFill="1" applyBorder="1"/>
    <xf numFmtId="0" fontId="8" fillId="2" borderId="5" xfId="0" applyFont="1" applyFill="1" applyBorder="1"/>
    <xf numFmtId="0" fontId="23" fillId="2" borderId="0" xfId="0" applyFont="1" applyFill="1" applyBorder="1"/>
    <xf numFmtId="0" fontId="22" fillId="2" borderId="0" xfId="0" applyFont="1" applyFill="1" applyBorder="1"/>
    <xf numFmtId="0" fontId="22" fillId="2" borderId="6" xfId="0" applyFont="1" applyFill="1" applyBorder="1"/>
    <xf numFmtId="15" fontId="8" fillId="2" borderId="5" xfId="0" applyNumberFormat="1" applyFont="1" applyFill="1" applyBorder="1"/>
    <xf numFmtId="0" fontId="22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22" fillId="2" borderId="0" xfId="0" applyFont="1" applyFill="1" applyBorder="1" applyAlignment="1">
      <alignment horizontal="center"/>
    </xf>
    <xf numFmtId="41" fontId="22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7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19" fillId="0" borderId="0" xfId="1" applyNumberFormat="1" applyFont="1" applyFill="1"/>
    <xf numFmtId="164" fontId="7" fillId="0" borderId="0" xfId="1" applyNumberFormat="1" applyFont="1" applyFill="1"/>
    <xf numFmtId="44" fontId="0" fillId="0" borderId="0" xfId="3" applyFont="1"/>
    <xf numFmtId="10" fontId="20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30" fillId="0" borderId="0" xfId="4" applyNumberFormat="1" applyFont="1"/>
    <xf numFmtId="44" fontId="31" fillId="0" borderId="0" xfId="3" applyFont="1"/>
    <xf numFmtId="10" fontId="30" fillId="0" borderId="0" xfId="1" applyNumberFormat="1" applyFont="1"/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43" fontId="34" fillId="0" borderId="0" xfId="1" applyFont="1"/>
    <xf numFmtId="43" fontId="34" fillId="0" borderId="0" xfId="0" applyNumberFormat="1" applyFont="1"/>
    <xf numFmtId="164" fontId="35" fillId="0" borderId="0" xfId="1" applyNumberFormat="1" applyFont="1"/>
    <xf numFmtId="166" fontId="0" fillId="0" borderId="0" xfId="0" applyNumberFormat="1"/>
    <xf numFmtId="0" fontId="36" fillId="0" borderId="0" xfId="0" applyFont="1" applyFill="1"/>
    <xf numFmtId="0" fontId="37" fillId="0" borderId="0" xfId="0" applyFont="1"/>
    <xf numFmtId="0" fontId="37" fillId="0" borderId="0" xfId="0" applyFont="1" applyBorder="1"/>
    <xf numFmtId="0" fontId="38" fillId="0" borderId="0" xfId="0" applyFont="1" applyBorder="1"/>
    <xf numFmtId="0" fontId="38" fillId="0" borderId="1" xfId="0" applyFont="1" applyBorder="1" applyAlignment="1">
      <alignment horizontal="center"/>
    </xf>
    <xf numFmtId="43" fontId="39" fillId="0" borderId="0" xfId="1" applyFont="1" applyBorder="1" applyAlignment="1" applyProtection="1">
      <alignment horizontal="right"/>
      <protection locked="0"/>
    </xf>
    <xf numFmtId="167" fontId="39" fillId="0" borderId="0" xfId="4" applyNumberFormat="1" applyFont="1" applyBorder="1" applyAlignment="1">
      <alignment horizontal="right"/>
    </xf>
    <xf numFmtId="9" fontId="37" fillId="0" borderId="0" xfId="0" applyNumberFormat="1" applyFont="1" applyBorder="1"/>
    <xf numFmtId="17" fontId="40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9" fontId="39" fillId="0" borderId="0" xfId="4" applyFont="1" applyBorder="1" applyAlignment="1">
      <alignment horizontal="right"/>
    </xf>
    <xf numFmtId="167" fontId="37" fillId="0" borderId="0" xfId="4" applyNumberFormat="1" applyFont="1" applyBorder="1"/>
    <xf numFmtId="0" fontId="39" fillId="0" borderId="0" xfId="0" applyFont="1" applyBorder="1"/>
    <xf numFmtId="167" fontId="37" fillId="0" borderId="0" xfId="0" applyNumberFormat="1" applyFont="1" applyBorder="1"/>
    <xf numFmtId="10" fontId="37" fillId="0" borderId="0" xfId="0" applyNumberFormat="1" applyFont="1"/>
    <xf numFmtId="10" fontId="38" fillId="0" borderId="0" xfId="0" applyNumberFormat="1" applyFont="1"/>
    <xf numFmtId="0" fontId="39" fillId="0" borderId="0" xfId="0" applyFont="1"/>
    <xf numFmtId="0" fontId="36" fillId="0" borderId="0" xfId="0" applyFont="1" applyBorder="1"/>
    <xf numFmtId="43" fontId="36" fillId="0" borderId="12" xfId="1" applyFont="1" applyBorder="1"/>
    <xf numFmtId="9" fontId="36" fillId="0" borderId="0" xfId="0" applyNumberFormat="1" applyFont="1" applyBorder="1"/>
    <xf numFmtId="0" fontId="38" fillId="0" borderId="0" xfId="0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8" fillId="2" borderId="1" xfId="0" applyFont="1" applyFill="1" applyBorder="1" applyAlignment="1" applyProtection="1">
      <alignment horizontal="center"/>
    </xf>
    <xf numFmtId="0" fontId="38" fillId="2" borderId="1" xfId="0" applyFont="1" applyFill="1" applyBorder="1" applyAlignment="1">
      <alignment horizontal="center"/>
    </xf>
    <xf numFmtId="17" fontId="38" fillId="0" borderId="0" xfId="0" applyNumberFormat="1" applyFont="1" applyFill="1" applyBorder="1" applyAlignment="1">
      <alignment horizontal="right"/>
    </xf>
    <xf numFmtId="44" fontId="39" fillId="0" borderId="0" xfId="3" applyFont="1" applyFill="1" applyBorder="1" applyProtection="1">
      <protection locked="0"/>
    </xf>
    <xf numFmtId="43" fontId="37" fillId="0" borderId="0" xfId="0" applyNumberFormat="1" applyFont="1" applyBorder="1"/>
    <xf numFmtId="44" fontId="37" fillId="0" borderId="0" xfId="0" applyNumberFormat="1" applyFont="1" applyBorder="1"/>
    <xf numFmtId="0" fontId="3" fillId="0" borderId="0" xfId="5" applyFont="1" applyFill="1" applyAlignment="1">
      <alignment horizontal="center"/>
    </xf>
    <xf numFmtId="0" fontId="1" fillId="0" borderId="0" xfId="14"/>
    <xf numFmtId="164" fontId="0" fillId="0" borderId="0" xfId="15" applyNumberFormat="1" applyFont="1"/>
    <xf numFmtId="164" fontId="41" fillId="0" borderId="0" xfId="15" applyNumberFormat="1" applyFont="1" applyAlignment="1">
      <alignment horizontal="center"/>
    </xf>
    <xf numFmtId="0" fontId="43" fillId="0" borderId="0" xfId="14" applyFont="1"/>
    <xf numFmtId="0" fontId="19" fillId="0" borderId="0" xfId="14" applyFont="1"/>
    <xf numFmtId="164" fontId="43" fillId="0" borderId="0" xfId="15" applyNumberFormat="1" applyFont="1" applyAlignment="1">
      <alignment horizontal="center"/>
    </xf>
    <xf numFmtId="10" fontId="0" fillId="0" borderId="0" xfId="16" applyNumberFormat="1" applyFont="1" applyBorder="1"/>
    <xf numFmtId="164" fontId="0" fillId="0" borderId="0" xfId="15" applyNumberFormat="1" applyFont="1" applyBorder="1"/>
    <xf numFmtId="164" fontId="6" fillId="0" borderId="0" xfId="15" applyNumberFormat="1" applyFont="1" applyBorder="1"/>
    <xf numFmtId="0" fontId="1" fillId="0" borderId="0" xfId="14" applyBorder="1"/>
    <xf numFmtId="164" fontId="25" fillId="0" borderId="0" xfId="15" applyNumberFormat="1" applyFont="1" applyBorder="1"/>
    <xf numFmtId="164" fontId="44" fillId="0" borderId="0" xfId="15" applyNumberFormat="1" applyFont="1" applyBorder="1"/>
    <xf numFmtId="164" fontId="45" fillId="0" borderId="0" xfId="15" applyNumberFormat="1" applyFont="1" applyBorder="1"/>
    <xf numFmtId="164" fontId="46" fillId="0" borderId="0" xfId="15" applyNumberFormat="1" applyFont="1" applyBorder="1"/>
    <xf numFmtId="10" fontId="5" fillId="0" borderId="0" xfId="16" applyNumberFormat="1" applyFont="1" applyBorder="1"/>
    <xf numFmtId="10" fontId="4" fillId="0" borderId="0" xfId="16" applyNumberFormat="1" applyFont="1" applyBorder="1"/>
    <xf numFmtId="10" fontId="47" fillId="0" borderId="0" xfId="16" applyNumberFormat="1" applyFont="1" applyBorder="1"/>
    <xf numFmtId="164" fontId="25" fillId="0" borderId="0" xfId="0" applyNumberFormat="1" applyFont="1"/>
    <xf numFmtId="0" fontId="4" fillId="0" borderId="0" xfId="0" applyFont="1" applyAlignment="1">
      <alignment horizontal="center"/>
    </xf>
    <xf numFmtId="167" fontId="47" fillId="0" borderId="0" xfId="4" applyNumberFormat="1" applyFont="1" applyBorder="1"/>
    <xf numFmtId="0" fontId="48" fillId="0" borderId="0" xfId="0" applyFont="1"/>
    <xf numFmtId="167" fontId="47" fillId="0" borderId="0" xfId="4" applyNumberFormat="1" applyFont="1"/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0" xfId="0" applyNumberFormat="1" applyFont="1"/>
    <xf numFmtId="0" fontId="47" fillId="0" borderId="0" xfId="0" applyFont="1"/>
    <xf numFmtId="164" fontId="47" fillId="0" borderId="0" xfId="1" applyNumberFormat="1" applyFont="1"/>
    <xf numFmtId="164" fontId="47" fillId="0" borderId="0" xfId="0" applyNumberFormat="1" applyFont="1"/>
    <xf numFmtId="167" fontId="0" fillId="0" borderId="0" xfId="4" applyNumberFormat="1" applyFont="1"/>
    <xf numFmtId="167" fontId="47" fillId="0" borderId="0" xfId="0" applyNumberFormat="1" applyFont="1"/>
    <xf numFmtId="9" fontId="42" fillId="0" borderId="0" xfId="4" applyFont="1" applyBorder="1"/>
    <xf numFmtId="164" fontId="0" fillId="0" borderId="0" xfId="0" applyNumberFormat="1" applyAlignment="1">
      <alignment horizontal="center"/>
    </xf>
    <xf numFmtId="0" fontId="47" fillId="0" borderId="0" xfId="0" applyFont="1" applyAlignment="1">
      <alignment horizontal="center"/>
    </xf>
    <xf numFmtId="0" fontId="4" fillId="0" borderId="0" xfId="0" applyFont="1" applyAlignment="1"/>
    <xf numFmtId="0" fontId="49" fillId="0" borderId="0" xfId="0" applyFont="1"/>
    <xf numFmtId="0" fontId="50" fillId="0" borderId="0" xfId="0" applyFont="1"/>
    <xf numFmtId="44" fontId="25" fillId="0" borderId="0" xfId="0" applyNumberFormat="1" applyFont="1"/>
    <xf numFmtId="0" fontId="25" fillId="0" borderId="0" xfId="0" applyFont="1"/>
    <xf numFmtId="43" fontId="2" fillId="0" borderId="0" xfId="1" applyFont="1"/>
    <xf numFmtId="0" fontId="24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4" fillId="0" borderId="0" xfId="0" applyFont="1" applyAlignment="1">
      <alignment horizontal="center"/>
    </xf>
    <xf numFmtId="17" fontId="38" fillId="2" borderId="0" xfId="0" applyNumberFormat="1" applyFont="1" applyFill="1" applyBorder="1" applyAlignment="1">
      <alignment horizontal="center"/>
    </xf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27</xdr:row>
      <xdr:rowOff>133350</xdr:rowOff>
    </xdr:from>
    <xdr:to>
      <xdr:col>2</xdr:col>
      <xdr:colOff>409575</xdr:colOff>
      <xdr:row>38</xdr:row>
      <xdr:rowOff>85725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18</xdr:row>
      <xdr:rowOff>133350</xdr:rowOff>
    </xdr:from>
    <xdr:to>
      <xdr:col>2</xdr:col>
      <xdr:colOff>409575</xdr:colOff>
      <xdr:row>29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27</xdr:row>
      <xdr:rowOff>133350</xdr:rowOff>
    </xdr:from>
    <xdr:to>
      <xdr:col>2</xdr:col>
      <xdr:colOff>409575</xdr:colOff>
      <xdr:row>38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18</xdr:row>
      <xdr:rowOff>133350</xdr:rowOff>
    </xdr:from>
    <xdr:to>
      <xdr:col>2</xdr:col>
      <xdr:colOff>409575</xdr:colOff>
      <xdr:row>29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18</xdr:row>
      <xdr:rowOff>133350</xdr:rowOff>
    </xdr:from>
    <xdr:to>
      <xdr:col>2</xdr:col>
      <xdr:colOff>409575</xdr:colOff>
      <xdr:row>29</xdr:row>
      <xdr:rowOff>85725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opLeftCell="A15" zoomScale="80" zoomScaleNormal="80" workbookViewId="0">
      <selection activeCell="A51" sqref="A51"/>
    </sheetView>
  </sheetViews>
  <sheetFormatPr defaultRowHeight="13.2" x14ac:dyDescent="0.25"/>
  <cols>
    <col min="1" max="1" width="73.109375" bestFit="1" customWidth="1"/>
    <col min="2" max="2" width="13.44140625" bestFit="1" customWidth="1"/>
    <col min="3" max="3" width="14" bestFit="1" customWidth="1"/>
    <col min="4" max="4" width="14.33203125" bestFit="1" customWidth="1"/>
    <col min="5" max="5" width="11.5546875" bestFit="1" customWidth="1"/>
    <col min="6" max="6" width="13.109375" customWidth="1"/>
    <col min="7" max="7" width="13.44140625" bestFit="1" customWidth="1"/>
    <col min="8" max="8" width="14" bestFit="1" customWidth="1"/>
    <col min="9" max="9" width="14.33203125" bestFit="1" customWidth="1"/>
    <col min="10" max="10" width="8.44140625" bestFit="1" customWidth="1"/>
    <col min="11" max="11" width="12.6640625" customWidth="1"/>
    <col min="12" max="12" width="13.44140625" bestFit="1" customWidth="1"/>
    <col min="13" max="13" width="14" bestFit="1" customWidth="1"/>
    <col min="14" max="14" width="12.33203125" bestFit="1" customWidth="1"/>
    <col min="15" max="15" width="11.5546875" bestFit="1" customWidth="1"/>
  </cols>
  <sheetData>
    <row r="1" spans="1:5" ht="22.8" x14ac:dyDescent="0.4">
      <c r="A1" s="44" t="s">
        <v>77</v>
      </c>
      <c r="B1" s="45"/>
      <c r="C1" s="45"/>
      <c r="D1" s="45"/>
      <c r="E1" s="46"/>
    </row>
    <row r="2" spans="1:5" ht="15.6" x14ac:dyDescent="0.3">
      <c r="A2" s="47" t="s">
        <v>101</v>
      </c>
      <c r="B2" s="48"/>
      <c r="C2" s="49"/>
      <c r="D2" s="49"/>
      <c r="E2" s="50"/>
    </row>
    <row r="3" spans="1:5" ht="15.6" x14ac:dyDescent="0.3">
      <c r="A3" s="51"/>
      <c r="B3" s="49"/>
      <c r="C3" s="49"/>
      <c r="D3" s="49"/>
      <c r="E3" s="50"/>
    </row>
    <row r="4" spans="1:5" ht="15.6" x14ac:dyDescent="0.3">
      <c r="A4" s="179" t="s">
        <v>38</v>
      </c>
      <c r="B4" s="180"/>
      <c r="C4" s="180"/>
      <c r="D4" s="180"/>
      <c r="E4" s="181"/>
    </row>
    <row r="5" spans="1:5" ht="15" x14ac:dyDescent="0.25">
      <c r="A5" s="52"/>
      <c r="B5" s="49"/>
      <c r="C5" s="49"/>
      <c r="D5" s="49"/>
      <c r="E5" s="50"/>
    </row>
    <row r="6" spans="1:5" ht="15.6" x14ac:dyDescent="0.3">
      <c r="A6" s="52"/>
      <c r="B6" s="53"/>
      <c r="C6" s="53" t="s">
        <v>18</v>
      </c>
      <c r="D6" s="53" t="s">
        <v>3</v>
      </c>
      <c r="E6" s="50"/>
    </row>
    <row r="7" spans="1:5" ht="15.6" x14ac:dyDescent="0.3">
      <c r="A7" s="52"/>
      <c r="B7" s="54" t="s">
        <v>5</v>
      </c>
      <c r="C7" s="54" t="s">
        <v>39</v>
      </c>
      <c r="D7" s="54" t="s">
        <v>6</v>
      </c>
      <c r="E7" s="50"/>
    </row>
    <row r="8" spans="1:5" ht="15.6" x14ac:dyDescent="0.3">
      <c r="A8" s="55" t="s">
        <v>81</v>
      </c>
      <c r="B8" s="56"/>
      <c r="C8" s="56"/>
      <c r="D8" s="56"/>
      <c r="E8" s="50"/>
    </row>
    <row r="9" spans="1:5" ht="15.6" x14ac:dyDescent="0.3">
      <c r="A9" s="52" t="s">
        <v>78</v>
      </c>
      <c r="B9" s="57">
        <f>+Customers!B12*2</f>
        <v>41334</v>
      </c>
      <c r="C9" s="58">
        <f>+C64</f>
        <v>1.6641107756753206</v>
      </c>
      <c r="D9" s="57">
        <f>B9*C9</f>
        <v>68784.354801763708</v>
      </c>
      <c r="E9" s="50"/>
    </row>
    <row r="10" spans="1:5" ht="16.8" x14ac:dyDescent="0.4">
      <c r="A10" s="59" t="s">
        <v>79</v>
      </c>
      <c r="B10" s="61">
        <f>+Customers!B12*10</f>
        <v>206670</v>
      </c>
      <c r="C10" s="58">
        <f>+E79</f>
        <v>1.96</v>
      </c>
      <c r="D10" s="61">
        <f>B10*C10</f>
        <v>405073.2</v>
      </c>
      <c r="E10" s="50"/>
    </row>
    <row r="11" spans="1:5" ht="15" x14ac:dyDescent="0.25">
      <c r="A11" s="52" t="s">
        <v>3</v>
      </c>
      <c r="B11" s="57">
        <f>SUM(B9:B10)</f>
        <v>248004</v>
      </c>
      <c r="C11" s="49"/>
      <c r="D11" s="57">
        <f>SUM(D9:D10)</f>
        <v>473857.55480176373</v>
      </c>
      <c r="E11" s="50"/>
    </row>
    <row r="12" spans="1:5" ht="15" x14ac:dyDescent="0.25">
      <c r="A12" s="52"/>
      <c r="B12" s="49"/>
      <c r="C12" s="49"/>
      <c r="D12" s="49"/>
      <c r="E12" s="50"/>
    </row>
    <row r="13" spans="1:5" ht="15.6" x14ac:dyDescent="0.3">
      <c r="A13" s="47" t="s">
        <v>40</v>
      </c>
      <c r="B13" s="49"/>
      <c r="C13" s="49"/>
      <c r="D13" s="57">
        <f>+'Tons &amp; Revenue'!M139</f>
        <v>494632.23066416942</v>
      </c>
      <c r="E13" s="50"/>
    </row>
    <row r="14" spans="1:5" ht="15" x14ac:dyDescent="0.25">
      <c r="A14" s="52"/>
      <c r="B14" s="49"/>
      <c r="C14" s="49"/>
      <c r="D14" s="49"/>
      <c r="E14" s="50"/>
    </row>
    <row r="15" spans="1:5" ht="15" x14ac:dyDescent="0.25">
      <c r="A15" s="52" t="s">
        <v>41</v>
      </c>
      <c r="B15" s="49"/>
      <c r="C15" s="49"/>
      <c r="D15" s="57">
        <f>D13-D11</f>
        <v>20774.675862405682</v>
      </c>
      <c r="E15" s="50"/>
    </row>
    <row r="16" spans="1:5" ht="15" x14ac:dyDescent="0.25">
      <c r="A16" s="52"/>
      <c r="B16" s="49"/>
      <c r="C16" s="49"/>
      <c r="D16" s="49"/>
      <c r="E16" s="50"/>
    </row>
    <row r="17" spans="1:5" ht="15" x14ac:dyDescent="0.25">
      <c r="A17" s="52" t="s">
        <v>42</v>
      </c>
      <c r="B17" s="49"/>
      <c r="C17" s="49"/>
      <c r="D17" s="57">
        <f>+B11</f>
        <v>248004</v>
      </c>
      <c r="E17" s="50"/>
    </row>
    <row r="18" spans="1:5" ht="15" x14ac:dyDescent="0.25">
      <c r="A18" s="52"/>
      <c r="B18" s="49"/>
      <c r="C18" s="49"/>
      <c r="D18" s="49"/>
      <c r="E18" s="50"/>
    </row>
    <row r="19" spans="1:5" ht="15" x14ac:dyDescent="0.25">
      <c r="A19" s="52" t="s">
        <v>43</v>
      </c>
      <c r="B19" s="49"/>
      <c r="C19" s="49"/>
      <c r="D19" s="71"/>
      <c r="E19" s="62">
        <f>ROUND(D15/D17,2)</f>
        <v>0.08</v>
      </c>
    </row>
    <row r="20" spans="1:5" ht="15" x14ac:dyDescent="0.25">
      <c r="A20" s="52"/>
      <c r="B20" s="49"/>
      <c r="C20" s="49"/>
      <c r="D20" s="49"/>
      <c r="E20" s="62"/>
    </row>
    <row r="21" spans="1:5" ht="15" x14ac:dyDescent="0.25">
      <c r="A21" s="52"/>
      <c r="B21" s="49"/>
      <c r="C21" s="49"/>
      <c r="D21" s="49"/>
      <c r="E21" s="62"/>
    </row>
    <row r="22" spans="1:5" ht="15" x14ac:dyDescent="0.25">
      <c r="A22" s="52"/>
      <c r="B22" s="49"/>
      <c r="C22" s="49"/>
      <c r="D22" s="49"/>
      <c r="E22" s="62"/>
    </row>
    <row r="23" spans="1:5" ht="15.6" x14ac:dyDescent="0.3">
      <c r="A23" s="55" t="s">
        <v>100</v>
      </c>
      <c r="B23" s="49"/>
      <c r="C23" s="49"/>
      <c r="D23" s="63">
        <f>+D13</f>
        <v>494632.23066416942</v>
      </c>
      <c r="E23" s="62"/>
    </row>
    <row r="24" spans="1:5" ht="15" x14ac:dyDescent="0.25">
      <c r="A24" s="52" t="s">
        <v>42</v>
      </c>
      <c r="B24" s="49"/>
      <c r="C24" s="49"/>
      <c r="D24" s="57">
        <f>+B11</f>
        <v>248004</v>
      </c>
      <c r="E24" s="62"/>
    </row>
    <row r="25" spans="1:5" ht="16.8" x14ac:dyDescent="0.4">
      <c r="A25" s="52" t="s">
        <v>44</v>
      </c>
      <c r="B25" s="49"/>
      <c r="C25" s="49"/>
      <c r="D25" s="49"/>
      <c r="E25" s="65">
        <f>ROUND(+D23/D24,2)</f>
        <v>1.99</v>
      </c>
    </row>
    <row r="26" spans="1:5" ht="15" x14ac:dyDescent="0.25">
      <c r="A26" s="52"/>
      <c r="B26" s="49"/>
      <c r="C26" s="49"/>
      <c r="D26" s="49"/>
      <c r="E26" s="62"/>
    </row>
    <row r="27" spans="1:5" ht="15" x14ac:dyDescent="0.25">
      <c r="A27" s="52"/>
      <c r="B27" s="49"/>
      <c r="C27" s="49"/>
      <c r="D27" s="49"/>
      <c r="E27" s="62"/>
    </row>
    <row r="28" spans="1:5" ht="16.2" thickBot="1" x14ac:dyDescent="0.35">
      <c r="A28" s="47" t="s">
        <v>45</v>
      </c>
      <c r="B28" s="49"/>
      <c r="C28" s="49"/>
      <c r="D28" s="49"/>
      <c r="E28" s="68">
        <f>SUM(E19:E25)</f>
        <v>2.0699999999999998</v>
      </c>
    </row>
    <row r="29" spans="1:5" ht="14.4" thickTop="1" thickBot="1" x14ac:dyDescent="0.3">
      <c r="A29" s="30"/>
      <c r="B29" s="31"/>
      <c r="C29" s="31"/>
      <c r="D29" s="31"/>
      <c r="E29" s="32"/>
    </row>
    <row r="30" spans="1:5" ht="15.6" x14ac:dyDescent="0.3">
      <c r="A30" s="179" t="s">
        <v>46</v>
      </c>
      <c r="B30" s="180"/>
      <c r="C30" s="180"/>
      <c r="D30" s="180"/>
      <c r="E30" s="181"/>
    </row>
    <row r="31" spans="1:5" ht="15" x14ac:dyDescent="0.25">
      <c r="A31" s="59"/>
      <c r="B31" s="60"/>
      <c r="C31" s="60"/>
      <c r="D31" s="60"/>
      <c r="E31" s="74"/>
    </row>
    <row r="32" spans="1:5" ht="15.6" x14ac:dyDescent="0.3">
      <c r="A32" s="59"/>
      <c r="B32" s="53"/>
      <c r="C32" s="53" t="s">
        <v>18</v>
      </c>
      <c r="D32" s="53" t="s">
        <v>3</v>
      </c>
      <c r="E32" s="74"/>
    </row>
    <row r="33" spans="1:5" ht="15.6" x14ac:dyDescent="0.3">
      <c r="A33" s="59"/>
      <c r="B33" s="75" t="s">
        <v>37</v>
      </c>
      <c r="C33" s="75" t="s">
        <v>39</v>
      </c>
      <c r="D33" s="75" t="s">
        <v>6</v>
      </c>
      <c r="E33" s="74"/>
    </row>
    <row r="34" spans="1:5" ht="15.6" x14ac:dyDescent="0.3">
      <c r="A34" s="55" t="s">
        <v>81</v>
      </c>
      <c r="B34" s="76"/>
      <c r="C34" s="76"/>
      <c r="D34" s="76"/>
      <c r="E34" s="74"/>
    </row>
    <row r="35" spans="1:5" ht="15.6" x14ac:dyDescent="0.3">
      <c r="A35" s="52" t="s">
        <v>78</v>
      </c>
      <c r="B35" s="77">
        <f>+'MF Yards'!C30+'MF Yards'!D30</f>
        <v>3534.411764705882</v>
      </c>
      <c r="C35" s="78">
        <f>+C90</f>
        <v>0.19</v>
      </c>
      <c r="D35" s="77">
        <f>C35*B35</f>
        <v>671.53823529411761</v>
      </c>
      <c r="E35" s="74"/>
    </row>
    <row r="36" spans="1:5" ht="16.8" x14ac:dyDescent="0.4">
      <c r="A36" s="59" t="s">
        <v>79</v>
      </c>
      <c r="B36" s="61">
        <f>SUM('MF Yards'!E30:N30)</f>
        <v>17098.615384615387</v>
      </c>
      <c r="C36" s="78">
        <f>+E105</f>
        <v>0.23</v>
      </c>
      <c r="D36" s="61">
        <f>C36*B36</f>
        <v>3932.6815384615393</v>
      </c>
      <c r="E36" s="74"/>
    </row>
    <row r="37" spans="1:5" ht="15" x14ac:dyDescent="0.25">
      <c r="A37" s="52" t="s">
        <v>3</v>
      </c>
      <c r="B37" s="77">
        <f>SUM(B35:B36)</f>
        <v>20633.027149321268</v>
      </c>
      <c r="C37" s="60"/>
      <c r="D37" s="77">
        <f>SUM(D35:D36)</f>
        <v>4604.2197737556571</v>
      </c>
      <c r="E37" s="74"/>
    </row>
    <row r="38" spans="1:5" ht="15" x14ac:dyDescent="0.25">
      <c r="A38" s="52"/>
      <c r="B38" s="60"/>
      <c r="C38" s="60"/>
      <c r="D38" s="60"/>
      <c r="E38" s="74"/>
    </row>
    <row r="39" spans="1:5" ht="15.6" x14ac:dyDescent="0.3">
      <c r="A39" s="47" t="s">
        <v>40</v>
      </c>
      <c r="B39" s="60"/>
      <c r="C39" s="60"/>
      <c r="D39" s="79">
        <f>+'Tons &amp; Revenue'!M123</f>
        <v>5418.5420013090525</v>
      </c>
      <c r="E39" s="74"/>
    </row>
    <row r="40" spans="1:5" ht="15" x14ac:dyDescent="0.25">
      <c r="A40" s="52"/>
      <c r="B40" s="60"/>
      <c r="C40" s="60"/>
      <c r="D40" s="60"/>
      <c r="E40" s="74"/>
    </row>
    <row r="41" spans="1:5" ht="15" x14ac:dyDescent="0.25">
      <c r="A41" s="52" t="s">
        <v>41</v>
      </c>
      <c r="B41" s="60"/>
      <c r="C41" s="60"/>
      <c r="D41" s="77">
        <f>D39-D37</f>
        <v>814.32222755339535</v>
      </c>
      <c r="E41" s="74"/>
    </row>
    <row r="42" spans="1:5" ht="15" x14ac:dyDescent="0.25">
      <c r="A42" s="52"/>
      <c r="B42" s="60"/>
      <c r="C42" s="60"/>
      <c r="D42" s="60"/>
      <c r="E42" s="74"/>
    </row>
    <row r="43" spans="1:5" ht="15" x14ac:dyDescent="0.25">
      <c r="A43" s="52" t="s">
        <v>42</v>
      </c>
      <c r="B43" s="60"/>
      <c r="C43" s="60"/>
      <c r="D43" s="77">
        <f>+B37</f>
        <v>20633.027149321268</v>
      </c>
      <c r="E43" s="74"/>
    </row>
    <row r="44" spans="1:5" ht="15" x14ac:dyDescent="0.25">
      <c r="A44" s="52"/>
      <c r="B44" s="60"/>
      <c r="C44" s="60"/>
      <c r="D44" s="60"/>
      <c r="E44" s="74"/>
    </row>
    <row r="45" spans="1:5" ht="15" x14ac:dyDescent="0.25">
      <c r="A45" s="52" t="s">
        <v>43</v>
      </c>
      <c r="B45" s="60"/>
      <c r="C45" s="60"/>
      <c r="D45" s="60"/>
      <c r="E45" s="80">
        <f>ROUND(D41/D43,2)</f>
        <v>0.04</v>
      </c>
    </row>
    <row r="46" spans="1:5" ht="15" x14ac:dyDescent="0.25">
      <c r="A46" s="52"/>
      <c r="B46" s="60"/>
      <c r="C46" s="60"/>
      <c r="D46" s="60"/>
      <c r="E46" s="80"/>
    </row>
    <row r="47" spans="1:5" ht="15" x14ac:dyDescent="0.25">
      <c r="A47" s="52"/>
      <c r="B47" s="60"/>
      <c r="C47" s="60"/>
      <c r="D47" s="77"/>
      <c r="E47" s="74"/>
    </row>
    <row r="48" spans="1:5" ht="15" x14ac:dyDescent="0.25">
      <c r="A48" s="52"/>
      <c r="B48" s="60"/>
      <c r="C48" s="60"/>
      <c r="D48" s="77"/>
      <c r="E48" s="74"/>
    </row>
    <row r="49" spans="1:5" ht="15.6" x14ac:dyDescent="0.3">
      <c r="A49" s="55" t="s">
        <v>100</v>
      </c>
      <c r="B49" s="60"/>
      <c r="C49" s="60"/>
      <c r="D49" s="64">
        <f>+D39</f>
        <v>5418.5420013090525</v>
      </c>
      <c r="E49" s="74"/>
    </row>
    <row r="50" spans="1:5" ht="15" x14ac:dyDescent="0.25">
      <c r="A50" s="52" t="s">
        <v>42</v>
      </c>
      <c r="B50" s="60"/>
      <c r="C50" s="60"/>
      <c r="D50" s="77">
        <f>+B37</f>
        <v>20633.027149321268</v>
      </c>
      <c r="E50" s="74"/>
    </row>
    <row r="51" spans="1:5" ht="16.8" x14ac:dyDescent="0.4">
      <c r="A51" s="52" t="s">
        <v>44</v>
      </c>
      <c r="B51" s="60"/>
      <c r="C51" s="60"/>
      <c r="D51" s="60"/>
      <c r="E51" s="67">
        <f>ROUND(+D49/D50,2)</f>
        <v>0.26</v>
      </c>
    </row>
    <row r="52" spans="1:5" ht="16.8" x14ac:dyDescent="0.4">
      <c r="A52" s="52"/>
      <c r="B52" s="60"/>
      <c r="C52" s="60"/>
      <c r="D52" s="60"/>
      <c r="E52" s="67"/>
    </row>
    <row r="53" spans="1:5" ht="16.2" thickBot="1" x14ac:dyDescent="0.35">
      <c r="A53" s="47" t="s">
        <v>47</v>
      </c>
      <c r="B53" s="60"/>
      <c r="C53" s="60"/>
      <c r="D53" s="60"/>
      <c r="E53" s="81">
        <f>+E51+E45+E46</f>
        <v>0.3</v>
      </c>
    </row>
    <row r="54" spans="1:5" ht="16.2" thickTop="1" thickBot="1" x14ac:dyDescent="0.3">
      <c r="A54" s="82"/>
      <c r="B54" s="83"/>
      <c r="C54" s="83"/>
      <c r="D54" s="83"/>
      <c r="E54" s="84"/>
    </row>
    <row r="55" spans="1:5" ht="22.8" x14ac:dyDescent="0.4">
      <c r="A55" s="44" t="s">
        <v>77</v>
      </c>
      <c r="B55" s="45"/>
      <c r="C55" s="45"/>
      <c r="D55" s="45"/>
      <c r="E55" s="46"/>
    </row>
    <row r="56" spans="1:5" ht="15.6" x14ac:dyDescent="0.3">
      <c r="A56" s="47" t="s">
        <v>75</v>
      </c>
      <c r="B56" s="48"/>
      <c r="C56" s="49"/>
      <c r="D56" s="49"/>
      <c r="E56" s="50"/>
    </row>
    <row r="57" spans="1:5" ht="15.6" x14ac:dyDescent="0.3">
      <c r="A57" s="51"/>
      <c r="B57" s="49"/>
      <c r="C57" s="49"/>
      <c r="D57" s="49"/>
      <c r="E57" s="50"/>
    </row>
    <row r="58" spans="1:5" ht="15.6" x14ac:dyDescent="0.3">
      <c r="A58" s="179" t="s">
        <v>38</v>
      </c>
      <c r="B58" s="180"/>
      <c r="C58" s="180"/>
      <c r="D58" s="180"/>
      <c r="E58" s="181"/>
    </row>
    <row r="59" spans="1:5" ht="15" x14ac:dyDescent="0.25">
      <c r="A59" s="52"/>
      <c r="B59" s="49"/>
      <c r="C59" s="49"/>
      <c r="D59" s="49"/>
      <c r="E59" s="50"/>
    </row>
    <row r="60" spans="1:5" ht="15.6" x14ac:dyDescent="0.3">
      <c r="A60" s="52"/>
      <c r="B60" s="53"/>
      <c r="C60" s="53" t="s">
        <v>18</v>
      </c>
      <c r="D60" s="53" t="s">
        <v>3</v>
      </c>
      <c r="E60" s="50"/>
    </row>
    <row r="61" spans="1:5" ht="15.6" x14ac:dyDescent="0.3">
      <c r="A61" s="52"/>
      <c r="B61" s="54" t="s">
        <v>5</v>
      </c>
      <c r="C61" s="54" t="s">
        <v>39</v>
      </c>
      <c r="D61" s="54" t="s">
        <v>6</v>
      </c>
      <c r="E61" s="50"/>
    </row>
    <row r="62" spans="1:5" ht="15.6" x14ac:dyDescent="0.3">
      <c r="A62" s="55" t="s">
        <v>80</v>
      </c>
      <c r="B62" s="56"/>
      <c r="C62" s="56"/>
      <c r="D62" s="56"/>
      <c r="E62" s="50"/>
    </row>
    <row r="63" spans="1:5" ht="15.6" x14ac:dyDescent="0.3">
      <c r="A63" s="52" t="s">
        <v>78</v>
      </c>
      <c r="B63" s="57">
        <v>90954</v>
      </c>
      <c r="C63" s="58">
        <f>+C118</f>
        <v>0.91</v>
      </c>
      <c r="D63" s="57">
        <f>B63*C63</f>
        <v>82768.14</v>
      </c>
      <c r="E63" s="50"/>
    </row>
    <row r="64" spans="1:5" ht="16.8" x14ac:dyDescent="0.4">
      <c r="A64" s="59" t="s">
        <v>79</v>
      </c>
      <c r="B64" s="61">
        <v>454770</v>
      </c>
      <c r="C64" s="58">
        <f>+E133</f>
        <v>1.6641107756753206</v>
      </c>
      <c r="D64" s="61">
        <f>B64*C64</f>
        <v>756787.65745386551</v>
      </c>
      <c r="E64" s="50"/>
    </row>
    <row r="65" spans="1:5" ht="15" x14ac:dyDescent="0.25">
      <c r="A65" s="52" t="s">
        <v>3</v>
      </c>
      <c r="B65" s="57">
        <f>SUM(B63:B64)</f>
        <v>545724</v>
      </c>
      <c r="C65" s="49"/>
      <c r="D65" s="57">
        <f>SUM(D63:D64)</f>
        <v>839555.79745386553</v>
      </c>
      <c r="E65" s="50"/>
    </row>
    <row r="66" spans="1:5" ht="15" x14ac:dyDescent="0.25">
      <c r="A66" s="52"/>
      <c r="B66" s="49"/>
      <c r="C66" s="49"/>
      <c r="D66" s="49"/>
      <c r="E66" s="50"/>
    </row>
    <row r="67" spans="1:5" ht="15.6" x14ac:dyDescent="0.3">
      <c r="A67" s="47" t="s">
        <v>40</v>
      </c>
      <c r="B67" s="49"/>
      <c r="C67" s="49"/>
      <c r="D67" s="57">
        <v>1070318.8014882323</v>
      </c>
      <c r="E67" s="50"/>
    </row>
    <row r="68" spans="1:5" ht="15" x14ac:dyDescent="0.25">
      <c r="A68" s="52"/>
      <c r="B68" s="49"/>
      <c r="C68" s="49"/>
      <c r="D68" s="49"/>
      <c r="E68" s="50"/>
    </row>
    <row r="69" spans="1:5" ht="15" x14ac:dyDescent="0.25">
      <c r="A69" s="52" t="s">
        <v>41</v>
      </c>
      <c r="B69" s="49"/>
      <c r="C69" s="49"/>
      <c r="D69" s="57">
        <f>D67-D65</f>
        <v>230763.00403436681</v>
      </c>
      <c r="E69" s="50"/>
    </row>
    <row r="70" spans="1:5" ht="15" x14ac:dyDescent="0.25">
      <c r="A70" s="52"/>
      <c r="B70" s="49"/>
      <c r="C70" s="49"/>
      <c r="D70" s="49"/>
      <c r="E70" s="50"/>
    </row>
    <row r="71" spans="1:5" ht="15" x14ac:dyDescent="0.25">
      <c r="A71" s="52" t="s">
        <v>42</v>
      </c>
      <c r="B71" s="49"/>
      <c r="C71" s="49"/>
      <c r="D71" s="57">
        <f>+B65</f>
        <v>545724</v>
      </c>
      <c r="E71" s="50"/>
    </row>
    <row r="72" spans="1:5" ht="15" x14ac:dyDescent="0.25">
      <c r="A72" s="52"/>
      <c r="B72" s="49"/>
      <c r="C72" s="49"/>
      <c r="D72" s="49"/>
      <c r="E72" s="50"/>
    </row>
    <row r="73" spans="1:5" ht="15" x14ac:dyDescent="0.25">
      <c r="A73" s="52" t="s">
        <v>43</v>
      </c>
      <c r="B73" s="49"/>
      <c r="C73" s="49"/>
      <c r="D73" s="71"/>
      <c r="E73" s="62">
        <f>ROUND(D69/D71,2)</f>
        <v>0.42</v>
      </c>
    </row>
    <row r="74" spans="1:5" ht="15" x14ac:dyDescent="0.25">
      <c r="A74" s="52"/>
      <c r="B74" s="49"/>
      <c r="C74" s="49"/>
      <c r="D74" s="49"/>
      <c r="E74" s="62"/>
    </row>
    <row r="75" spans="1:5" ht="15" x14ac:dyDescent="0.25">
      <c r="A75" s="52"/>
      <c r="B75" s="49"/>
      <c r="C75" s="49"/>
      <c r="D75" s="49"/>
      <c r="E75" s="62"/>
    </row>
    <row r="76" spans="1:5" ht="15" x14ac:dyDescent="0.25">
      <c r="A76" s="52"/>
      <c r="B76" s="49"/>
      <c r="C76" s="49"/>
      <c r="D76" s="49"/>
      <c r="E76" s="62"/>
    </row>
    <row r="77" spans="1:5" ht="15.6" x14ac:dyDescent="0.3">
      <c r="A77" s="55" t="s">
        <v>81</v>
      </c>
      <c r="B77" s="49"/>
      <c r="C77" s="49"/>
      <c r="D77" s="63">
        <f>+D67</f>
        <v>1070318.8014882323</v>
      </c>
      <c r="E77" s="62"/>
    </row>
    <row r="78" spans="1:5" ht="15" x14ac:dyDescent="0.25">
      <c r="A78" s="52" t="s">
        <v>42</v>
      </c>
      <c r="B78" s="49"/>
      <c r="C78" s="49"/>
      <c r="D78" s="57">
        <f>+B65</f>
        <v>545724</v>
      </c>
      <c r="E78" s="62"/>
    </row>
    <row r="79" spans="1:5" ht="16.8" x14ac:dyDescent="0.4">
      <c r="A79" s="52" t="s">
        <v>44</v>
      </c>
      <c r="B79" s="49"/>
      <c r="C79" s="49"/>
      <c r="D79" s="49"/>
      <c r="E79" s="65">
        <f>ROUND(+D77/D78,2)</f>
        <v>1.96</v>
      </c>
    </row>
    <row r="80" spans="1:5" ht="15" x14ac:dyDescent="0.25">
      <c r="A80" s="52"/>
      <c r="B80" s="49"/>
      <c r="C80" s="49"/>
      <c r="D80" s="49"/>
      <c r="E80" s="62"/>
    </row>
    <row r="81" spans="1:5" ht="15" x14ac:dyDescent="0.25">
      <c r="A81" s="52"/>
      <c r="B81" s="49"/>
      <c r="C81" s="49"/>
      <c r="D81" s="49"/>
      <c r="E81" s="62"/>
    </row>
    <row r="82" spans="1:5" ht="16.2" thickBot="1" x14ac:dyDescent="0.35">
      <c r="A82" s="47" t="s">
        <v>45</v>
      </c>
      <c r="B82" s="49"/>
      <c r="C82" s="49"/>
      <c r="D82" s="49"/>
      <c r="E82" s="68">
        <f>SUM(E73:E79)</f>
        <v>2.38</v>
      </c>
    </row>
    <row r="83" spans="1:5" ht="14.4" thickTop="1" thickBot="1" x14ac:dyDescent="0.3">
      <c r="A83" s="30"/>
      <c r="B83" s="31"/>
      <c r="C83" s="31"/>
      <c r="D83" s="31"/>
      <c r="E83" s="32"/>
    </row>
    <row r="84" spans="1:5" ht="15.6" x14ac:dyDescent="0.3">
      <c r="A84" s="179" t="s">
        <v>46</v>
      </c>
      <c r="B84" s="180"/>
      <c r="C84" s="180"/>
      <c r="D84" s="180"/>
      <c r="E84" s="181"/>
    </row>
    <row r="85" spans="1:5" ht="15" x14ac:dyDescent="0.25">
      <c r="A85" s="59"/>
      <c r="B85" s="60"/>
      <c r="C85" s="60"/>
      <c r="D85" s="60"/>
      <c r="E85" s="74"/>
    </row>
    <row r="86" spans="1:5" ht="15.6" x14ac:dyDescent="0.3">
      <c r="A86" s="59"/>
      <c r="B86" s="53"/>
      <c r="C86" s="53" t="s">
        <v>18</v>
      </c>
      <c r="D86" s="53" t="s">
        <v>3</v>
      </c>
      <c r="E86" s="74"/>
    </row>
    <row r="87" spans="1:5" ht="15.6" x14ac:dyDescent="0.3">
      <c r="A87" s="59"/>
      <c r="B87" s="75" t="s">
        <v>37</v>
      </c>
      <c r="C87" s="75" t="s">
        <v>39</v>
      </c>
      <c r="D87" s="75" t="s">
        <v>6</v>
      </c>
      <c r="E87" s="74"/>
    </row>
    <row r="88" spans="1:5" ht="15.6" x14ac:dyDescent="0.3">
      <c r="A88" s="55" t="s">
        <v>80</v>
      </c>
      <c r="B88" s="76"/>
      <c r="C88" s="76"/>
      <c r="D88" s="76"/>
      <c r="E88" s="74"/>
    </row>
    <row r="89" spans="1:5" ht="15.6" x14ac:dyDescent="0.3">
      <c r="A89" s="52" t="s">
        <v>78</v>
      </c>
      <c r="B89" s="77">
        <v>15545</v>
      </c>
      <c r="C89" s="78">
        <f>+C144</f>
        <v>0.23</v>
      </c>
      <c r="D89" s="77">
        <f>C89*B89</f>
        <v>3575.3500000000004</v>
      </c>
      <c r="E89" s="74"/>
    </row>
    <row r="90" spans="1:5" ht="16.8" x14ac:dyDescent="0.4">
      <c r="A90" s="59" t="s">
        <v>79</v>
      </c>
      <c r="B90" s="61">
        <v>77723</v>
      </c>
      <c r="C90" s="78">
        <f>+E159</f>
        <v>0.19</v>
      </c>
      <c r="D90" s="61">
        <f>C90*B90</f>
        <v>14767.37</v>
      </c>
      <c r="E90" s="74"/>
    </row>
    <row r="91" spans="1:5" ht="15" x14ac:dyDescent="0.25">
      <c r="A91" s="52" t="s">
        <v>3</v>
      </c>
      <c r="B91" s="77">
        <f>SUM(B89:B90)</f>
        <v>93268</v>
      </c>
      <c r="C91" s="60"/>
      <c r="D91" s="77">
        <f>SUM(D89:D90)</f>
        <v>18342.72</v>
      </c>
      <c r="E91" s="74"/>
    </row>
    <row r="92" spans="1:5" ht="15" x14ac:dyDescent="0.25">
      <c r="A92" s="52"/>
      <c r="B92" s="60"/>
      <c r="C92" s="60"/>
      <c r="D92" s="60"/>
      <c r="E92" s="74"/>
    </row>
    <row r="93" spans="1:5" ht="15.6" x14ac:dyDescent="0.3">
      <c r="A93" s="47" t="s">
        <v>40</v>
      </c>
      <c r="B93" s="60"/>
      <c r="C93" s="60"/>
      <c r="D93" s="79">
        <v>21605.51866847141</v>
      </c>
      <c r="E93" s="74"/>
    </row>
    <row r="94" spans="1:5" ht="15" x14ac:dyDescent="0.25">
      <c r="A94" s="52"/>
      <c r="B94" s="60"/>
      <c r="C94" s="60"/>
      <c r="D94" s="60"/>
      <c r="E94" s="74"/>
    </row>
    <row r="95" spans="1:5" ht="15" x14ac:dyDescent="0.25">
      <c r="A95" s="52" t="s">
        <v>41</v>
      </c>
      <c r="B95" s="60"/>
      <c r="C95" s="60"/>
      <c r="D95" s="77">
        <f>D93-D91</f>
        <v>3262.7986684714087</v>
      </c>
      <c r="E95" s="74"/>
    </row>
    <row r="96" spans="1:5" ht="15" x14ac:dyDescent="0.25">
      <c r="A96" s="52"/>
      <c r="B96" s="60"/>
      <c r="C96" s="60"/>
      <c r="D96" s="60"/>
      <c r="E96" s="74"/>
    </row>
    <row r="97" spans="1:5" ht="15" x14ac:dyDescent="0.25">
      <c r="A97" s="52" t="s">
        <v>42</v>
      </c>
      <c r="B97" s="60"/>
      <c r="C97" s="60"/>
      <c r="D97" s="77">
        <f>+B91</f>
        <v>93268</v>
      </c>
      <c r="E97" s="74"/>
    </row>
    <row r="98" spans="1:5" ht="15" x14ac:dyDescent="0.25">
      <c r="A98" s="52"/>
      <c r="B98" s="60"/>
      <c r="C98" s="60"/>
      <c r="D98" s="60"/>
      <c r="E98" s="74"/>
    </row>
    <row r="99" spans="1:5" ht="15" x14ac:dyDescent="0.25">
      <c r="A99" s="52" t="s">
        <v>43</v>
      </c>
      <c r="B99" s="60"/>
      <c r="C99" s="60"/>
      <c r="D99" s="60"/>
      <c r="E99" s="80">
        <f>ROUND(D95/D97,2)</f>
        <v>0.03</v>
      </c>
    </row>
    <row r="100" spans="1:5" ht="15" x14ac:dyDescent="0.25">
      <c r="A100" s="52"/>
      <c r="B100" s="60"/>
      <c r="C100" s="60"/>
      <c r="D100" s="60"/>
      <c r="E100" s="80"/>
    </row>
    <row r="101" spans="1:5" ht="15" x14ac:dyDescent="0.25">
      <c r="A101" s="52"/>
      <c r="B101" s="60"/>
      <c r="C101" s="60"/>
      <c r="D101" s="77"/>
      <c r="E101" s="74"/>
    </row>
    <row r="102" spans="1:5" ht="15" x14ac:dyDescent="0.25">
      <c r="A102" s="52"/>
      <c r="B102" s="60"/>
      <c r="C102" s="60"/>
      <c r="D102" s="77"/>
      <c r="E102" s="74"/>
    </row>
    <row r="103" spans="1:5" ht="15.6" x14ac:dyDescent="0.3">
      <c r="A103" s="55" t="s">
        <v>81</v>
      </c>
      <c r="B103" s="60"/>
      <c r="C103" s="60"/>
      <c r="D103" s="64">
        <f>+D93</f>
        <v>21605.51866847141</v>
      </c>
      <c r="E103" s="74"/>
    </row>
    <row r="104" spans="1:5" ht="15" x14ac:dyDescent="0.25">
      <c r="A104" s="52" t="s">
        <v>42</v>
      </c>
      <c r="B104" s="60"/>
      <c r="C104" s="60"/>
      <c r="D104" s="77">
        <f>+B91</f>
        <v>93268</v>
      </c>
      <c r="E104" s="74"/>
    </row>
    <row r="105" spans="1:5" ht="16.8" x14ac:dyDescent="0.4">
      <c r="A105" s="52" t="s">
        <v>44</v>
      </c>
      <c r="B105" s="60"/>
      <c r="C105" s="60"/>
      <c r="D105" s="60"/>
      <c r="E105" s="67">
        <f>ROUND(+D103/D104,2)</f>
        <v>0.23</v>
      </c>
    </row>
    <row r="106" spans="1:5" ht="16.8" x14ac:dyDescent="0.4">
      <c r="A106" s="52"/>
      <c r="B106" s="60"/>
      <c r="C106" s="60"/>
      <c r="D106" s="60"/>
      <c r="E106" s="67"/>
    </row>
    <row r="107" spans="1:5" ht="16.2" thickBot="1" x14ac:dyDescent="0.35">
      <c r="A107" s="47" t="s">
        <v>47</v>
      </c>
      <c r="B107" s="60"/>
      <c r="C107" s="60"/>
      <c r="D107" s="60"/>
      <c r="E107" s="81">
        <f>+E105+E99+E100</f>
        <v>0.26</v>
      </c>
    </row>
    <row r="108" spans="1:5" ht="16.2" thickTop="1" thickBot="1" x14ac:dyDescent="0.3">
      <c r="A108" s="82"/>
      <c r="B108" s="83"/>
      <c r="C108" s="83"/>
      <c r="D108" s="83"/>
      <c r="E108" s="84"/>
    </row>
    <row r="109" spans="1:5" ht="22.8" x14ac:dyDescent="0.4">
      <c r="A109" s="44" t="s">
        <v>77</v>
      </c>
      <c r="B109" s="45"/>
      <c r="C109" s="45"/>
      <c r="D109" s="45"/>
      <c r="E109" s="46"/>
    </row>
    <row r="110" spans="1:5" ht="15.6" x14ac:dyDescent="0.3">
      <c r="A110" s="47" t="s">
        <v>76</v>
      </c>
      <c r="B110" s="48"/>
      <c r="C110" s="49"/>
      <c r="D110" s="49"/>
      <c r="E110" s="50"/>
    </row>
    <row r="111" spans="1:5" ht="15.6" x14ac:dyDescent="0.3">
      <c r="A111" s="51"/>
      <c r="B111" s="49"/>
      <c r="C111" s="49"/>
      <c r="D111" s="49"/>
      <c r="E111" s="50"/>
    </row>
    <row r="112" spans="1:5" ht="15.6" x14ac:dyDescent="0.3">
      <c r="A112" s="179" t="s">
        <v>38</v>
      </c>
      <c r="B112" s="180"/>
      <c r="C112" s="180"/>
      <c r="D112" s="180"/>
      <c r="E112" s="181"/>
    </row>
    <row r="113" spans="1:5" ht="15" x14ac:dyDescent="0.25">
      <c r="A113" s="52"/>
      <c r="B113" s="49"/>
      <c r="C113" s="49"/>
      <c r="D113" s="49"/>
      <c r="E113" s="50"/>
    </row>
    <row r="114" spans="1:5" ht="15.6" x14ac:dyDescent="0.3">
      <c r="A114" s="52"/>
      <c r="B114" s="53"/>
      <c r="C114" s="53" t="s">
        <v>18</v>
      </c>
      <c r="D114" s="53" t="s">
        <v>3</v>
      </c>
      <c r="E114" s="50"/>
    </row>
    <row r="115" spans="1:5" ht="15.6" x14ac:dyDescent="0.3">
      <c r="A115" s="52"/>
      <c r="B115" s="54" t="s">
        <v>5</v>
      </c>
      <c r="C115" s="54" t="s">
        <v>39</v>
      </c>
      <c r="D115" s="54" t="s">
        <v>6</v>
      </c>
      <c r="E115" s="50"/>
    </row>
    <row r="116" spans="1:5" ht="15.6" x14ac:dyDescent="0.3">
      <c r="A116" s="55" t="s">
        <v>80</v>
      </c>
      <c r="B116" s="56"/>
      <c r="C116" s="56"/>
      <c r="D116" s="56"/>
      <c r="E116" s="50"/>
    </row>
    <row r="117" spans="1:5" ht="15.6" x14ac:dyDescent="0.3">
      <c r="A117" s="52" t="s">
        <v>78</v>
      </c>
      <c r="B117" s="57">
        <v>87362</v>
      </c>
      <c r="C117" s="58">
        <v>0.73</v>
      </c>
      <c r="D117" s="57">
        <f>B117*C117</f>
        <v>63774.26</v>
      </c>
      <c r="E117" s="50"/>
    </row>
    <row r="118" spans="1:5" ht="16.8" x14ac:dyDescent="0.4">
      <c r="A118" s="59" t="s">
        <v>79</v>
      </c>
      <c r="B118" s="61">
        <v>443080</v>
      </c>
      <c r="C118" s="58">
        <v>0.91</v>
      </c>
      <c r="D118" s="61">
        <f>B118*C118</f>
        <v>403202.8</v>
      </c>
      <c r="E118" s="50"/>
    </row>
    <row r="119" spans="1:5" ht="15" x14ac:dyDescent="0.25">
      <c r="A119" s="52" t="s">
        <v>3</v>
      </c>
      <c r="B119" s="57">
        <f>SUM(B117:B118)</f>
        <v>530442</v>
      </c>
      <c r="C119" s="49"/>
      <c r="D119" s="57">
        <f>SUM(D117:D118)</f>
        <v>466977.06</v>
      </c>
      <c r="E119" s="50"/>
    </row>
    <row r="120" spans="1:5" ht="15" x14ac:dyDescent="0.25">
      <c r="A120" s="52"/>
      <c r="B120" s="49"/>
      <c r="C120" s="49"/>
      <c r="D120" s="49"/>
      <c r="E120" s="50"/>
    </row>
    <row r="121" spans="1:5" ht="15.6" x14ac:dyDescent="0.3">
      <c r="A121" s="47" t="s">
        <v>40</v>
      </c>
      <c r="B121" s="49"/>
      <c r="C121" s="49"/>
      <c r="D121" s="57">
        <v>894186.62775827409</v>
      </c>
      <c r="E121" s="50"/>
    </row>
    <row r="122" spans="1:5" ht="15" x14ac:dyDescent="0.25">
      <c r="A122" s="52"/>
      <c r="B122" s="49"/>
      <c r="C122" s="49"/>
      <c r="D122" s="49"/>
      <c r="E122" s="50"/>
    </row>
    <row r="123" spans="1:5" ht="15" x14ac:dyDescent="0.25">
      <c r="A123" s="52" t="s">
        <v>41</v>
      </c>
      <c r="B123" s="49"/>
      <c r="C123" s="49"/>
      <c r="D123" s="70">
        <f>D121-D119</f>
        <v>427209.56775827409</v>
      </c>
      <c r="E123" s="50"/>
    </row>
    <row r="124" spans="1:5" ht="15" x14ac:dyDescent="0.25">
      <c r="A124" s="52"/>
      <c r="B124" s="49"/>
      <c r="C124" s="49"/>
      <c r="D124" s="49"/>
      <c r="E124" s="50"/>
    </row>
    <row r="125" spans="1:5" ht="15" x14ac:dyDescent="0.25">
      <c r="A125" s="59" t="s">
        <v>42</v>
      </c>
      <c r="B125" s="49"/>
      <c r="C125" s="49"/>
      <c r="D125" s="57">
        <f>+B119</f>
        <v>530442</v>
      </c>
      <c r="E125" s="50"/>
    </row>
    <row r="126" spans="1:5" ht="15" x14ac:dyDescent="0.25">
      <c r="A126" s="52"/>
      <c r="B126" s="49"/>
      <c r="C126" s="49"/>
      <c r="D126" s="49"/>
      <c r="E126" s="50"/>
    </row>
    <row r="127" spans="1:5" ht="15" x14ac:dyDescent="0.25">
      <c r="A127" s="52" t="s">
        <v>43</v>
      </c>
      <c r="B127" s="49"/>
      <c r="C127" s="49"/>
      <c r="D127" s="49"/>
      <c r="E127" s="62">
        <f>ROUND(D123/D125,2)</f>
        <v>0.81</v>
      </c>
    </row>
    <row r="128" spans="1:5" ht="15" x14ac:dyDescent="0.25">
      <c r="A128" s="52"/>
      <c r="B128" s="49"/>
      <c r="C128" s="49"/>
      <c r="D128" s="49"/>
      <c r="E128" s="62"/>
    </row>
    <row r="129" spans="1:5" ht="15" x14ac:dyDescent="0.25">
      <c r="A129" s="52"/>
      <c r="B129" s="49"/>
      <c r="C129" s="49"/>
      <c r="D129" s="49"/>
      <c r="E129" s="62"/>
    </row>
    <row r="130" spans="1:5" ht="15" x14ac:dyDescent="0.25">
      <c r="A130" s="52"/>
      <c r="B130" s="49"/>
      <c r="C130" s="49"/>
      <c r="D130" s="49"/>
      <c r="E130" s="62"/>
    </row>
    <row r="131" spans="1:5" ht="15.6" x14ac:dyDescent="0.3">
      <c r="A131" s="55" t="s">
        <v>80</v>
      </c>
      <c r="B131" s="49"/>
      <c r="C131" s="49"/>
      <c r="D131" s="64">
        <f>+D121</f>
        <v>894186.62775827409</v>
      </c>
      <c r="E131" s="62"/>
    </row>
    <row r="132" spans="1:5" ht="15" x14ac:dyDescent="0.25">
      <c r="A132" s="52" t="s">
        <v>42</v>
      </c>
      <c r="B132" s="49"/>
      <c r="C132" s="49"/>
      <c r="D132" s="57">
        <v>537336</v>
      </c>
      <c r="E132" s="62"/>
    </row>
    <row r="133" spans="1:5" ht="16.8" x14ac:dyDescent="0.4">
      <c r="A133" s="52" t="s">
        <v>44</v>
      </c>
      <c r="B133" s="49"/>
      <c r="C133" s="49"/>
      <c r="D133" s="49"/>
      <c r="E133" s="66">
        <f>+D131/D132</f>
        <v>1.6641107756753206</v>
      </c>
    </row>
    <row r="134" spans="1:5" ht="16.8" x14ac:dyDescent="0.4">
      <c r="A134" s="52"/>
      <c r="B134" s="49"/>
      <c r="C134" s="49"/>
      <c r="D134" s="49"/>
      <c r="E134" s="67"/>
    </row>
    <row r="135" spans="1:5" ht="15" x14ac:dyDescent="0.25">
      <c r="A135" s="52"/>
      <c r="B135" s="49"/>
      <c r="C135" s="49"/>
      <c r="D135" s="49"/>
      <c r="E135" s="62"/>
    </row>
    <row r="136" spans="1:5" ht="16.2" thickBot="1" x14ac:dyDescent="0.35">
      <c r="A136" s="47" t="s">
        <v>45</v>
      </c>
      <c r="B136" s="49"/>
      <c r="C136" s="49"/>
      <c r="D136" s="49"/>
      <c r="E136" s="69">
        <f>+E133+E127+E128</f>
        <v>2.4741107756753209</v>
      </c>
    </row>
    <row r="137" spans="1:5" ht="14.4" thickTop="1" thickBot="1" x14ac:dyDescent="0.3">
      <c r="A137" s="30"/>
      <c r="B137" s="31"/>
      <c r="C137" s="31"/>
      <c r="D137" s="31"/>
      <c r="E137" s="32"/>
    </row>
    <row r="138" spans="1:5" ht="15.6" x14ac:dyDescent="0.3">
      <c r="A138" s="179" t="s">
        <v>46</v>
      </c>
      <c r="B138" s="180"/>
      <c r="C138" s="180"/>
      <c r="D138" s="180"/>
      <c r="E138" s="181"/>
    </row>
    <row r="139" spans="1:5" ht="15" x14ac:dyDescent="0.25">
      <c r="A139" s="59"/>
      <c r="B139" s="60"/>
      <c r="C139" s="60"/>
      <c r="D139" s="60"/>
      <c r="E139" s="74"/>
    </row>
    <row r="140" spans="1:5" ht="15.6" x14ac:dyDescent="0.3">
      <c r="A140" s="59"/>
      <c r="B140" s="53"/>
      <c r="C140" s="53" t="s">
        <v>18</v>
      </c>
      <c r="D140" s="53" t="s">
        <v>3</v>
      </c>
      <c r="E140" s="74"/>
    </row>
    <row r="141" spans="1:5" ht="15.6" x14ac:dyDescent="0.3">
      <c r="A141" s="59"/>
      <c r="B141" s="75" t="s">
        <v>5</v>
      </c>
      <c r="C141" s="75" t="s">
        <v>39</v>
      </c>
      <c r="D141" s="75" t="s">
        <v>6</v>
      </c>
      <c r="E141" s="74"/>
    </row>
    <row r="142" spans="1:5" ht="15.6" x14ac:dyDescent="0.3">
      <c r="A142" s="55" t="s">
        <v>80</v>
      </c>
      <c r="B142" s="76"/>
      <c r="C142" s="76"/>
      <c r="D142" s="76"/>
      <c r="E142" s="74"/>
    </row>
    <row r="143" spans="1:5" ht="15.6" x14ac:dyDescent="0.3">
      <c r="A143" s="52" t="s">
        <v>78</v>
      </c>
      <c r="B143" s="77">
        <v>13606</v>
      </c>
      <c r="C143" s="78">
        <v>0.21</v>
      </c>
      <c r="D143" s="77">
        <f>B143*C143</f>
        <v>2857.2599999999998</v>
      </c>
      <c r="E143" s="74"/>
    </row>
    <row r="144" spans="1:5" ht="16.8" x14ac:dyDescent="0.4">
      <c r="A144" s="59" t="s">
        <v>79</v>
      </c>
      <c r="B144" s="61">
        <v>72828</v>
      </c>
      <c r="C144" s="78">
        <v>0.23</v>
      </c>
      <c r="D144" s="61">
        <f>B144*C144</f>
        <v>16750.440000000002</v>
      </c>
      <c r="E144" s="74"/>
    </row>
    <row r="145" spans="1:5" ht="15" x14ac:dyDescent="0.25">
      <c r="A145" s="52" t="s">
        <v>3</v>
      </c>
      <c r="B145" s="77">
        <f>+B144+B143</f>
        <v>86434</v>
      </c>
      <c r="C145" s="60"/>
      <c r="D145" s="77">
        <f>+D144+D143</f>
        <v>19607.7</v>
      </c>
      <c r="E145" s="74"/>
    </row>
    <row r="146" spans="1:5" ht="15" x14ac:dyDescent="0.25">
      <c r="A146" s="52"/>
      <c r="B146" s="60"/>
      <c r="C146" s="60"/>
      <c r="D146" s="60"/>
      <c r="E146" s="74"/>
    </row>
    <row r="147" spans="1:5" ht="15.6" x14ac:dyDescent="0.3">
      <c r="A147" s="47" t="s">
        <v>40</v>
      </c>
      <c r="B147" s="60"/>
      <c r="C147" s="60"/>
      <c r="D147" s="79">
        <v>17896.735447015508</v>
      </c>
      <c r="E147" s="74"/>
    </row>
    <row r="148" spans="1:5" ht="15" x14ac:dyDescent="0.25">
      <c r="A148" s="52"/>
      <c r="B148" s="60"/>
      <c r="C148" s="60"/>
      <c r="D148" s="60"/>
      <c r="E148" s="74"/>
    </row>
    <row r="149" spans="1:5" ht="15" x14ac:dyDescent="0.25">
      <c r="A149" s="52" t="s">
        <v>41</v>
      </c>
      <c r="B149" s="60"/>
      <c r="C149" s="60"/>
      <c r="D149" s="77">
        <v>-1710.9364485785482</v>
      </c>
      <c r="E149" s="74"/>
    </row>
    <row r="150" spans="1:5" ht="15" x14ac:dyDescent="0.25">
      <c r="A150" s="52"/>
      <c r="B150" s="60"/>
      <c r="C150" s="60"/>
      <c r="D150" s="60"/>
      <c r="E150" s="74"/>
    </row>
    <row r="151" spans="1:5" ht="15" x14ac:dyDescent="0.25">
      <c r="A151" s="59" t="s">
        <v>42</v>
      </c>
      <c r="B151" s="60"/>
      <c r="C151" s="60"/>
      <c r="D151" s="77">
        <f>+B145</f>
        <v>86434</v>
      </c>
      <c r="E151" s="74"/>
    </row>
    <row r="152" spans="1:5" ht="15" x14ac:dyDescent="0.25">
      <c r="A152" s="52"/>
      <c r="B152" s="60"/>
      <c r="C152" s="60"/>
      <c r="D152" s="60"/>
      <c r="E152" s="74"/>
    </row>
    <row r="153" spans="1:5" ht="15" x14ac:dyDescent="0.25">
      <c r="A153" s="52" t="s">
        <v>43</v>
      </c>
      <c r="B153" s="60"/>
      <c r="C153" s="60"/>
      <c r="D153" s="60"/>
      <c r="E153" s="80">
        <f>ROUND(D149/D151,2)</f>
        <v>-0.02</v>
      </c>
    </row>
    <row r="154" spans="1:5" ht="15" x14ac:dyDescent="0.25">
      <c r="A154" s="52"/>
      <c r="B154" s="60"/>
      <c r="C154" s="60"/>
      <c r="D154" s="60"/>
      <c r="E154" s="80"/>
    </row>
    <row r="155" spans="1:5" ht="15" x14ac:dyDescent="0.25">
      <c r="A155" s="52"/>
      <c r="B155" s="60"/>
      <c r="C155" s="60"/>
      <c r="D155" s="77"/>
      <c r="E155" s="74"/>
    </row>
    <row r="156" spans="1:5" ht="15" x14ac:dyDescent="0.25">
      <c r="A156" s="52"/>
      <c r="B156" s="60"/>
      <c r="C156" s="60"/>
      <c r="D156" s="77"/>
      <c r="E156" s="74"/>
    </row>
    <row r="157" spans="1:5" ht="15.6" x14ac:dyDescent="0.3">
      <c r="A157" s="55" t="s">
        <v>80</v>
      </c>
      <c r="B157" s="60"/>
      <c r="C157" s="60"/>
      <c r="D157" s="64">
        <f>+D147</f>
        <v>17896.735447015508</v>
      </c>
      <c r="E157" s="74"/>
    </row>
    <row r="158" spans="1:5" ht="15" x14ac:dyDescent="0.25">
      <c r="A158" s="52" t="s">
        <v>42</v>
      </c>
      <c r="B158" s="60"/>
      <c r="C158" s="60"/>
      <c r="D158" s="77">
        <v>91907</v>
      </c>
      <c r="E158" s="74"/>
    </row>
    <row r="159" spans="1:5" ht="16.8" x14ac:dyDescent="0.4">
      <c r="A159" s="52" t="s">
        <v>44</v>
      </c>
      <c r="B159" s="60"/>
      <c r="C159" s="60"/>
      <c r="D159" s="60"/>
      <c r="E159" s="67">
        <f>ROUND(+D157/D158,2)</f>
        <v>0.19</v>
      </c>
    </row>
    <row r="160" spans="1:5" ht="16.8" x14ac:dyDescent="0.4">
      <c r="A160" s="52"/>
      <c r="B160" s="60"/>
      <c r="C160" s="60"/>
      <c r="D160" s="60"/>
      <c r="E160" s="67"/>
    </row>
    <row r="161" spans="1:5" ht="16.2" thickBot="1" x14ac:dyDescent="0.35">
      <c r="A161" s="47" t="s">
        <v>47</v>
      </c>
      <c r="B161" s="60"/>
      <c r="C161" s="60"/>
      <c r="D161" s="60"/>
      <c r="E161" s="81">
        <f>+E159+E153</f>
        <v>0.17</v>
      </c>
    </row>
    <row r="162" spans="1:5" ht="16.2" thickTop="1" thickBot="1" x14ac:dyDescent="0.3">
      <c r="A162" s="82"/>
      <c r="B162" s="83"/>
      <c r="C162" s="83"/>
      <c r="D162" s="83"/>
      <c r="E162" s="84"/>
    </row>
  </sheetData>
  <mergeCells count="6">
    <mergeCell ref="A58:E58"/>
    <mergeCell ref="A112:E112"/>
    <mergeCell ref="A84:E84"/>
    <mergeCell ref="A138:E138"/>
    <mergeCell ref="A4:E4"/>
    <mergeCell ref="A30:E30"/>
  </mergeCells>
  <pageMargins left="0.45" right="0.45" top="0.5" bottom="0.5" header="0.3" footer="0.3"/>
  <pageSetup scale="75" fitToHeight="3" orientation="portrait" r:id="rId1"/>
  <rowBreaks count="2" manualBreakCount="2">
    <brk id="53" max="4" man="1"/>
    <brk id="10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5"/>
  <sheetViews>
    <sheetView topLeftCell="A71" zoomScaleNormal="100" workbookViewId="0">
      <selection activeCell="K15" sqref="K15"/>
    </sheetView>
  </sheetViews>
  <sheetFormatPr defaultRowHeight="13.2" x14ac:dyDescent="0.25"/>
  <cols>
    <col min="1" max="1" width="26.109375" customWidth="1"/>
    <col min="2" max="2" width="6.33203125" bestFit="1" customWidth="1"/>
    <col min="3" max="3" width="11.33203125" style="3" bestFit="1" customWidth="1"/>
    <col min="4" max="4" width="9.6640625" bestFit="1" customWidth="1"/>
    <col min="5" max="6" width="10.33203125" bestFit="1" customWidth="1"/>
    <col min="7" max="7" width="10.6640625" bestFit="1" customWidth="1"/>
    <col min="8" max="8" width="9.5546875" bestFit="1" customWidth="1"/>
    <col min="9" max="9" width="9.33203125" bestFit="1" customWidth="1"/>
    <col min="10" max="10" width="9.6640625" bestFit="1" customWidth="1"/>
    <col min="11" max="12" width="8.6640625" bestFit="1" customWidth="1"/>
    <col min="13" max="13" width="11.33203125" bestFit="1" customWidth="1"/>
    <col min="14" max="16" width="10.33203125" bestFit="1" customWidth="1"/>
    <col min="19" max="19" width="10.33203125" bestFit="1" customWidth="1"/>
  </cols>
  <sheetData>
    <row r="1" spans="1:8" s="5" customFormat="1" ht="22.8" x14ac:dyDescent="0.4">
      <c r="A1" s="34" t="s">
        <v>48</v>
      </c>
      <c r="C1" s="39"/>
    </row>
    <row r="2" spans="1:8" s="5" customFormat="1" x14ac:dyDescent="0.25">
      <c r="A2" s="1" t="s">
        <v>84</v>
      </c>
      <c r="C2" s="39"/>
    </row>
    <row r="3" spans="1:8" s="5" customFormat="1" x14ac:dyDescent="0.25">
      <c r="C3" s="39"/>
    </row>
    <row r="4" spans="1:8" s="5" customFormat="1" x14ac:dyDescent="0.25">
      <c r="C4" s="39"/>
    </row>
    <row r="5" spans="1:8" s="5" customFormat="1" x14ac:dyDescent="0.25">
      <c r="C5" s="39" t="s">
        <v>83</v>
      </c>
      <c r="F5" s="5" t="s">
        <v>19</v>
      </c>
    </row>
    <row r="6" spans="1:8" s="5" customFormat="1" x14ac:dyDescent="0.25">
      <c r="C6" s="39" t="s">
        <v>54</v>
      </c>
      <c r="F6" s="5" t="s">
        <v>20</v>
      </c>
      <c r="G6" s="5" t="s">
        <v>21</v>
      </c>
    </row>
    <row r="7" spans="1:8" s="5" customFormat="1" x14ac:dyDescent="0.25">
      <c r="C7" s="39" t="s">
        <v>53</v>
      </c>
      <c r="D7" s="5" t="s">
        <v>19</v>
      </c>
      <c r="E7" s="5" t="s">
        <v>67</v>
      </c>
      <c r="F7" s="5" t="s">
        <v>17</v>
      </c>
      <c r="G7" s="39" t="s">
        <v>54</v>
      </c>
    </row>
    <row r="8" spans="1:8" s="6" customFormat="1" x14ac:dyDescent="0.25">
      <c r="A8" s="6" t="s">
        <v>82</v>
      </c>
      <c r="C8" s="26" t="s">
        <v>17</v>
      </c>
      <c r="D8" s="159" t="s">
        <v>66</v>
      </c>
      <c r="E8" s="6" t="s">
        <v>54</v>
      </c>
      <c r="F8" s="10">
        <f>+Customers!E31</f>
        <v>0.56146158253230627</v>
      </c>
      <c r="G8" s="6" t="s">
        <v>17</v>
      </c>
    </row>
    <row r="9" spans="1:8" x14ac:dyDescent="0.25">
      <c r="A9" s="73" t="s">
        <v>98</v>
      </c>
      <c r="C9" s="3">
        <f>+Composition!B$17-D9</f>
        <v>1154.77</v>
      </c>
      <c r="D9" s="7">
        <f>-Composition!B$19</f>
        <v>-70.989999999999995</v>
      </c>
      <c r="E9" s="7">
        <f>+D9+C9</f>
        <v>1083.78</v>
      </c>
      <c r="F9" s="7">
        <f>-$F$8*E9</f>
        <v>-608.50083391686292</v>
      </c>
      <c r="G9" s="7">
        <f>+F9+E9</f>
        <v>475.27916608313706</v>
      </c>
      <c r="H9" s="104"/>
    </row>
    <row r="10" spans="1:8" x14ac:dyDescent="0.25">
      <c r="A10" t="s">
        <v>7</v>
      </c>
      <c r="C10" s="3">
        <f>+Composition!D$17-D10</f>
        <v>1038.46</v>
      </c>
      <c r="D10" s="7">
        <f>-Composition!D$19</f>
        <v>-71.42</v>
      </c>
      <c r="E10" s="7">
        <f t="shared" ref="E10:E20" si="0">+D10+C10</f>
        <v>967.04000000000008</v>
      </c>
      <c r="F10" s="7">
        <f t="shared" ref="F10:F20" si="1">-$F$8*E10</f>
        <v>-542.95580877204145</v>
      </c>
      <c r="G10" s="7">
        <f t="shared" ref="G10:G20" si="2">+F10+E10</f>
        <v>424.08419122795863</v>
      </c>
      <c r="H10" s="104"/>
    </row>
    <row r="11" spans="1:8" x14ac:dyDescent="0.25">
      <c r="A11" t="s">
        <v>8</v>
      </c>
      <c r="C11" s="3">
        <f>+Composition!F$17-D11</f>
        <v>1017.6800000000001</v>
      </c>
      <c r="D11" s="7">
        <f>-Composition!F$19</f>
        <v>-74.150000000000006</v>
      </c>
      <c r="E11" s="7">
        <f t="shared" si="0"/>
        <v>943.53000000000009</v>
      </c>
      <c r="F11" s="7">
        <f t="shared" si="1"/>
        <v>-529.75584696670694</v>
      </c>
      <c r="G11" s="7">
        <f t="shared" si="2"/>
        <v>413.77415303329315</v>
      </c>
      <c r="H11" s="104"/>
    </row>
    <row r="12" spans="1:8" x14ac:dyDescent="0.25">
      <c r="A12" t="s">
        <v>9</v>
      </c>
      <c r="C12" s="3">
        <f>+Composition!H$17-D12</f>
        <v>1061.8800000000001</v>
      </c>
      <c r="D12" s="7">
        <f>-Composition!H$19</f>
        <v>-75.510000000000005</v>
      </c>
      <c r="E12" s="7">
        <f t="shared" si="0"/>
        <v>986.37000000000012</v>
      </c>
      <c r="F12" s="7">
        <f t="shared" si="1"/>
        <v>-553.80886116239105</v>
      </c>
      <c r="G12" s="7">
        <f t="shared" si="2"/>
        <v>432.56113883760906</v>
      </c>
      <c r="H12" s="104"/>
    </row>
    <row r="13" spans="1:8" x14ac:dyDescent="0.25">
      <c r="A13" t="s">
        <v>10</v>
      </c>
      <c r="C13" s="3">
        <f>+Composition!J$17-D13</f>
        <v>1040.99</v>
      </c>
      <c r="D13" s="7">
        <f>-Composition!J$19</f>
        <v>-89.51</v>
      </c>
      <c r="E13" s="7">
        <f t="shared" si="0"/>
        <v>951.48</v>
      </c>
      <c r="F13" s="7">
        <f t="shared" si="1"/>
        <v>-534.21946654783881</v>
      </c>
      <c r="G13" s="7">
        <f t="shared" si="2"/>
        <v>417.26053345216121</v>
      </c>
      <c r="H13" s="104"/>
    </row>
    <row r="14" spans="1:8" x14ac:dyDescent="0.25">
      <c r="A14" t="s">
        <v>11</v>
      </c>
      <c r="C14" s="3">
        <f>+Composition!L$17-D14</f>
        <v>923.03000000000009</v>
      </c>
      <c r="D14" s="7">
        <f>-Composition!L$19</f>
        <v>-66.63</v>
      </c>
      <c r="E14" s="7">
        <f t="shared" si="0"/>
        <v>856.40000000000009</v>
      </c>
      <c r="F14" s="7">
        <f t="shared" si="1"/>
        <v>-480.83569928066714</v>
      </c>
      <c r="G14" s="7">
        <f t="shared" si="2"/>
        <v>375.56430071933295</v>
      </c>
      <c r="H14" s="104"/>
    </row>
    <row r="15" spans="1:8" x14ac:dyDescent="0.25">
      <c r="A15" t="s">
        <v>12</v>
      </c>
      <c r="C15" s="3">
        <f>+Composition!N$17-D15</f>
        <v>1080.0899999999999</v>
      </c>
      <c r="D15" s="7">
        <f>-Composition!N$19</f>
        <v>-67.39</v>
      </c>
      <c r="E15" s="7">
        <f t="shared" si="0"/>
        <v>1012.6999999999999</v>
      </c>
      <c r="F15" s="7">
        <f t="shared" si="1"/>
        <v>-568.59214463046646</v>
      </c>
      <c r="G15" s="7">
        <f t="shared" si="2"/>
        <v>444.10785536953347</v>
      </c>
      <c r="H15" s="104"/>
    </row>
    <row r="16" spans="1:8" x14ac:dyDescent="0.25">
      <c r="A16" s="73" t="s">
        <v>99</v>
      </c>
      <c r="C16" s="3">
        <f>+Composition!P$17-D16</f>
        <v>1072.5999999999999</v>
      </c>
      <c r="D16" s="7">
        <f>-Composition!P$19</f>
        <v>-39.35</v>
      </c>
      <c r="E16" s="7">
        <f t="shared" si="0"/>
        <v>1033.25</v>
      </c>
      <c r="F16" s="7">
        <f t="shared" si="1"/>
        <v>-580.13018015150544</v>
      </c>
      <c r="G16" s="7">
        <f t="shared" si="2"/>
        <v>453.11981984849456</v>
      </c>
      <c r="H16" s="104"/>
    </row>
    <row r="17" spans="1:28" x14ac:dyDescent="0.25">
      <c r="A17" t="s">
        <v>15</v>
      </c>
      <c r="C17" s="3">
        <f>+Composition!R$17-D17</f>
        <v>920.72999999999979</v>
      </c>
      <c r="D17" s="7">
        <f>-Composition!R$19</f>
        <v>-77.819999999999993</v>
      </c>
      <c r="E17" s="7">
        <f t="shared" si="0"/>
        <v>842.90999999999985</v>
      </c>
      <c r="F17" s="7">
        <f t="shared" si="1"/>
        <v>-473.26158253230619</v>
      </c>
      <c r="G17" s="7">
        <f t="shared" si="2"/>
        <v>369.64841746769366</v>
      </c>
      <c r="H17" s="104"/>
    </row>
    <row r="18" spans="1:28" x14ac:dyDescent="0.25">
      <c r="A18" t="s">
        <v>13</v>
      </c>
      <c r="C18" s="3">
        <f>+Composition!T$17-D18</f>
        <v>977.91000000000008</v>
      </c>
      <c r="D18" s="7">
        <f>-Composition!T$19</f>
        <v>-77.23</v>
      </c>
      <c r="E18" s="7">
        <f t="shared" si="0"/>
        <v>900.68000000000006</v>
      </c>
      <c r="F18" s="7">
        <f t="shared" si="1"/>
        <v>-505.69721815519767</v>
      </c>
      <c r="G18" s="7">
        <f t="shared" si="2"/>
        <v>394.98278184480239</v>
      </c>
      <c r="H18" s="104"/>
    </row>
    <row r="19" spans="1:28" x14ac:dyDescent="0.25">
      <c r="A19" t="s">
        <v>14</v>
      </c>
      <c r="C19" s="3">
        <f>+Composition!V$17-D19</f>
        <v>918.57999999999993</v>
      </c>
      <c r="D19" s="7">
        <f>-Composition!V$19</f>
        <v>-58.69</v>
      </c>
      <c r="E19" s="7">
        <f t="shared" si="0"/>
        <v>859.88999999999987</v>
      </c>
      <c r="F19" s="7">
        <f t="shared" si="1"/>
        <v>-482.79520020370478</v>
      </c>
      <c r="G19" s="7">
        <f t="shared" si="2"/>
        <v>377.09479979629509</v>
      </c>
      <c r="H19" s="104"/>
      <c r="I19" s="7"/>
    </row>
    <row r="20" spans="1:28" ht="15" x14ac:dyDescent="0.4">
      <c r="A20" t="s">
        <v>2</v>
      </c>
      <c r="C20" s="14">
        <f>+Composition!X$17-D20</f>
        <v>965.87999999999988</v>
      </c>
      <c r="D20" s="8">
        <f>-Composition!X$19</f>
        <v>-85.93</v>
      </c>
      <c r="E20" s="40">
        <f t="shared" si="0"/>
        <v>879.94999999999982</v>
      </c>
      <c r="F20" s="8">
        <f t="shared" si="1"/>
        <v>-494.05811954930277</v>
      </c>
      <c r="G20" s="8">
        <f t="shared" si="2"/>
        <v>385.89188045069704</v>
      </c>
      <c r="H20" s="104"/>
    </row>
    <row r="21" spans="1:28" ht="15" x14ac:dyDescent="0.4">
      <c r="C21" s="25">
        <f>SUM(C9:C20)</f>
        <v>12172.599999999999</v>
      </c>
      <c r="D21" s="25">
        <f>SUM(D9:D20)</f>
        <v>-854.62000000000012</v>
      </c>
      <c r="E21" s="25">
        <f>SUM(E9:E20)</f>
        <v>11317.98</v>
      </c>
      <c r="F21" s="25">
        <f>SUM(F9:F20)</f>
        <v>-6354.6109618689916</v>
      </c>
      <c r="G21" s="25">
        <f>SUM(G9:G20)</f>
        <v>4963.369038131008</v>
      </c>
      <c r="H21" s="7"/>
      <c r="N21" s="7"/>
    </row>
    <row r="23" spans="1:28" x14ac:dyDescent="0.25">
      <c r="C23" s="182" t="s">
        <v>55</v>
      </c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28" x14ac:dyDescent="0.25"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28" x14ac:dyDescent="0.25">
      <c r="C25" s="36" t="s">
        <v>56</v>
      </c>
      <c r="D25" s="36" t="s">
        <v>57</v>
      </c>
      <c r="E25" s="36"/>
      <c r="F25" s="36" t="s">
        <v>58</v>
      </c>
      <c r="G25" s="36" t="s">
        <v>59</v>
      </c>
      <c r="H25" s="36"/>
      <c r="I25" s="36"/>
      <c r="J25" s="36" t="s">
        <v>0</v>
      </c>
      <c r="K25" s="36" t="s">
        <v>0</v>
      </c>
      <c r="L25" s="36" t="s">
        <v>60</v>
      </c>
      <c r="N25" s="135"/>
    </row>
    <row r="26" spans="1:28" x14ac:dyDescent="0.25">
      <c r="C26" s="37" t="s">
        <v>61</v>
      </c>
      <c r="D26" s="37" t="s">
        <v>62</v>
      </c>
      <c r="E26" s="37" t="s">
        <v>24</v>
      </c>
      <c r="F26" s="37" t="s">
        <v>22</v>
      </c>
      <c r="G26" s="37" t="s">
        <v>23</v>
      </c>
      <c r="H26" s="37" t="s">
        <v>16</v>
      </c>
      <c r="I26" s="37" t="s">
        <v>1</v>
      </c>
      <c r="J26" s="37" t="s">
        <v>63</v>
      </c>
      <c r="K26" s="37" t="s">
        <v>64</v>
      </c>
      <c r="L26" s="37" t="s">
        <v>65</v>
      </c>
      <c r="M26" s="43"/>
      <c r="N26" s="43"/>
    </row>
    <row r="27" spans="1:28" x14ac:dyDescent="0.25">
      <c r="A27" s="4" t="s">
        <v>68</v>
      </c>
      <c r="B27" s="4"/>
      <c r="C27"/>
    </row>
    <row r="28" spans="1:28" x14ac:dyDescent="0.25">
      <c r="A28" t="s">
        <v>51</v>
      </c>
      <c r="C28" s="38">
        <f>+Composition!C$6</f>
        <v>0.46341508424218941</v>
      </c>
      <c r="D28" s="38">
        <f>+Composition!C$7</f>
        <v>4.3957260698665783E-2</v>
      </c>
      <c r="E28" s="38">
        <f>+Composition!C$8</f>
        <v>0.28102566941630219</v>
      </c>
      <c r="F28" s="38">
        <f>+Composition!C$9</f>
        <v>5.9237114543542052E-3</v>
      </c>
      <c r="G28" s="38">
        <f>+Composition!C$10</f>
        <v>2.5540238793851151E-2</v>
      </c>
      <c r="H28" s="38">
        <f>+Composition!C$11</f>
        <v>0.14068353355847127</v>
      </c>
      <c r="I28" s="38">
        <f>+Composition!C$12</f>
        <v>2.5328018601561201E-2</v>
      </c>
      <c r="J28" s="38">
        <f>+Composition!C$13</f>
        <v>6.578825960988393E-3</v>
      </c>
      <c r="K28" s="38">
        <f>+Composition!C$14</f>
        <v>6.3389248740519299E-3</v>
      </c>
      <c r="L28" s="38">
        <f>+Composition!C$15</f>
        <v>1.2087323995644873E-3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x14ac:dyDescent="0.25">
      <c r="A29" t="s">
        <v>7</v>
      </c>
      <c r="C29" s="38">
        <f>+Composition!E$6</f>
        <v>0.46610274652547978</v>
      </c>
      <c r="D29" s="38">
        <f>+Composition!E$7</f>
        <v>3.775438451356717E-2</v>
      </c>
      <c r="E29" s="38">
        <f>+Composition!E$8</f>
        <v>0.26410489741892784</v>
      </c>
      <c r="F29" s="38">
        <f>+Composition!E$9</f>
        <v>1.0713103904698873E-2</v>
      </c>
      <c r="G29" s="38">
        <f>+Composition!E$10</f>
        <v>3.3721459298477828E-2</v>
      </c>
      <c r="H29" s="38">
        <f>+Composition!E$11</f>
        <v>0.13545458305757777</v>
      </c>
      <c r="I29" s="38">
        <f>+Composition!E$12</f>
        <v>9.2033421575115812E-4</v>
      </c>
      <c r="J29" s="38">
        <f>+Composition!E$13</f>
        <v>2.7909910655195231E-2</v>
      </c>
      <c r="K29" s="38">
        <f>+Composition!E$14</f>
        <v>9.7927696889477164E-3</v>
      </c>
      <c r="L29" s="38">
        <f>+Composition!E$15</f>
        <v>1.3525810721376571E-2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x14ac:dyDescent="0.25">
      <c r="A30" t="s">
        <v>8</v>
      </c>
      <c r="C30" s="38">
        <f>+Composition!G$6</f>
        <v>0.40700348690555671</v>
      </c>
      <c r="D30" s="38">
        <f>+Composition!G$7</f>
        <v>6.5837864190857728E-2</v>
      </c>
      <c r="E30" s="38">
        <f>+Composition!G$8</f>
        <v>0.28284209299121382</v>
      </c>
      <c r="F30" s="38">
        <f>+Composition!G$9</f>
        <v>1.20186957489428E-2</v>
      </c>
      <c r="G30" s="38">
        <f>+Composition!G$10</f>
        <v>2.72911301177493E-2</v>
      </c>
      <c r="H30" s="38">
        <f>+Composition!G$11</f>
        <v>0.14989454495352558</v>
      </c>
      <c r="I30" s="38">
        <f>+Composition!G$12</f>
        <v>3.0036140875223889E-2</v>
      </c>
      <c r="J30" s="38">
        <f>+Composition!G$13</f>
        <v>1.1234406961092916E-2</v>
      </c>
      <c r="K30" s="38">
        <f>+Composition!G$14</f>
        <v>8.2032367810244509E-3</v>
      </c>
      <c r="L30" s="38">
        <f>+Composition!G$15</f>
        <v>5.638400474812671E-3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x14ac:dyDescent="0.25">
      <c r="A31" t="s">
        <v>9</v>
      </c>
      <c r="C31" s="38">
        <f>+Composition!I$6</f>
        <v>0.42095765280776992</v>
      </c>
      <c r="D31" s="38">
        <f>+Composition!I$7</f>
        <v>5.5749870738161136E-2</v>
      </c>
      <c r="E31" s="38">
        <f>+Composition!I$8</f>
        <v>0.26775956284153007</v>
      </c>
      <c r="F31" s="38">
        <f>+Composition!I$9</f>
        <v>1.2733558401005709E-2</v>
      </c>
      <c r="G31" s="38">
        <f>+Composition!I$10</f>
        <v>2.6825633383010434E-2</v>
      </c>
      <c r="H31" s="38">
        <f>+Composition!I$11</f>
        <v>0.15790220708253494</v>
      </c>
      <c r="I31" s="38">
        <f>+Composition!I$12</f>
        <v>3.5524194774780256E-2</v>
      </c>
      <c r="J31" s="38">
        <f>+Composition!I$13</f>
        <v>1.0736336263268347E-2</v>
      </c>
      <c r="K31" s="38">
        <f>+Composition!I$14</f>
        <v>5.1197826373470395E-3</v>
      </c>
      <c r="L31" s="38">
        <f>+Composition!I$15</f>
        <v>6.6912010705921709E-3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x14ac:dyDescent="0.25">
      <c r="A32" t="s">
        <v>10</v>
      </c>
      <c r="C32" s="38">
        <f>+Composition!K$6</f>
        <v>0.39124311598772438</v>
      </c>
      <c r="D32" s="38">
        <f>+Composition!K$7</f>
        <v>8.4562996594778658E-2</v>
      </c>
      <c r="E32" s="38">
        <f>+Composition!K$8</f>
        <v>0.24616387102198678</v>
      </c>
      <c r="F32" s="38">
        <f>+Composition!K$9</f>
        <v>1.3494766048682053E-2</v>
      </c>
      <c r="G32" s="38">
        <f>+Composition!K$10</f>
        <v>3.5386976079371087E-2</v>
      </c>
      <c r="H32" s="38">
        <f>+Composition!K$11</f>
        <v>0.16170597385126331</v>
      </c>
      <c r="I32" s="38">
        <f>+Composition!K$12</f>
        <v>4.2029259679656955E-2</v>
      </c>
      <c r="J32" s="38">
        <f>+Composition!K$13</f>
        <v>1.242275192331946E-2</v>
      </c>
      <c r="K32" s="38">
        <f>+Composition!K$14</f>
        <v>7.5986883591877916E-3</v>
      </c>
      <c r="L32" s="38">
        <f>+Composition!K$15</f>
        <v>5.3916004540295118E-3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x14ac:dyDescent="0.25">
      <c r="A33" t="s">
        <v>11</v>
      </c>
      <c r="C33" s="38">
        <f>+Composition!M$6</f>
        <v>0.44429005137786076</v>
      </c>
      <c r="D33" s="38">
        <f>+Composition!M$7</f>
        <v>9.8773937412424101E-2</v>
      </c>
      <c r="E33" s="38">
        <f>+Composition!M$8</f>
        <v>0.20332788416627742</v>
      </c>
      <c r="F33" s="38">
        <f>+Composition!M$9</f>
        <v>2.0924801494628678E-2</v>
      </c>
      <c r="G33" s="38">
        <f>+Composition!M$10</f>
        <v>2.9565623540401677E-2</v>
      </c>
      <c r="H33" s="38">
        <f>+Composition!M$11</f>
        <v>0.14663708547407753</v>
      </c>
      <c r="I33" s="38">
        <f>+Composition!M$12</f>
        <v>3.0873423633815972E-2</v>
      </c>
      <c r="J33" s="38">
        <f>+Composition!M$13</f>
        <v>9.7384399813171402E-3</v>
      </c>
      <c r="K33" s="38">
        <f>+Composition!M$14</f>
        <v>1.3930406352171881E-2</v>
      </c>
      <c r="L33" s="38">
        <f>+Composition!M$15</f>
        <v>1.9383465670247545E-3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x14ac:dyDescent="0.25">
      <c r="A34" t="s">
        <v>12</v>
      </c>
      <c r="C34" s="38">
        <f>+Composition!O$6</f>
        <v>0.31023995260195519</v>
      </c>
      <c r="D34" s="38">
        <f>+Composition!O$7</f>
        <v>8.4082156611039807E-2</v>
      </c>
      <c r="E34" s="38">
        <f>+Composition!O$8</f>
        <v>0.34251999605016298</v>
      </c>
      <c r="F34" s="38">
        <f>+Composition!O$9</f>
        <v>1.2994963957736744E-2</v>
      </c>
      <c r="G34" s="38">
        <f>+Composition!O$10</f>
        <v>4.0130344623284291E-2</v>
      </c>
      <c r="H34" s="38">
        <f>+Composition!O$11</f>
        <v>0.16445146637701194</v>
      </c>
      <c r="I34" s="38">
        <f>+Composition!O$12</f>
        <v>2.4311247161054608E-2</v>
      </c>
      <c r="J34" s="38">
        <f>+Composition!O$13</f>
        <v>1.1434778315394491E-2</v>
      </c>
      <c r="K34" s="38">
        <f>+Composition!O$14</f>
        <v>4.3448207761429851E-3</v>
      </c>
      <c r="L34" s="38">
        <f>+Composition!O$15</f>
        <v>5.4902735262170434E-3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x14ac:dyDescent="0.25">
      <c r="A35" t="s">
        <v>52</v>
      </c>
      <c r="C35" s="38">
        <f>+Composition!Q$6</f>
        <v>0.4168691023469635</v>
      </c>
      <c r="D35" s="38">
        <f>+Composition!Q$7</f>
        <v>2.0827486087587707E-2</v>
      </c>
      <c r="E35" s="38">
        <f>+Composition!Q$8</f>
        <v>0.33019114444713282</v>
      </c>
      <c r="F35" s="38">
        <f>+Composition!Q$9</f>
        <v>1.0965400435518994E-2</v>
      </c>
      <c r="G35" s="38">
        <f>+Composition!Q$10</f>
        <v>2.4476167432857486E-2</v>
      </c>
      <c r="H35" s="38">
        <f>+Composition!Q$11</f>
        <v>0.14965400435518994</v>
      </c>
      <c r="I35" s="38">
        <f>+Composition!Q$12</f>
        <v>2.8424872973626905E-2</v>
      </c>
      <c r="J35" s="38">
        <f>+Composition!Q$13</f>
        <v>1.0878296636825551E-2</v>
      </c>
      <c r="K35" s="38">
        <f>+Composition!Q$14</f>
        <v>5.7875635131865479E-3</v>
      </c>
      <c r="L35" s="38">
        <f>+Composition!Q$15</f>
        <v>1.9259617711105735E-3</v>
      </c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x14ac:dyDescent="0.25">
      <c r="A36" t="s">
        <v>15</v>
      </c>
      <c r="C36" s="38">
        <f>+Composition!S$6</f>
        <v>0.40801509057906549</v>
      </c>
      <c r="D36" s="38">
        <f>+Composition!S$7</f>
        <v>2.0417363656855422E-2</v>
      </c>
      <c r="E36" s="38">
        <f>+Composition!S$8</f>
        <v>0.29540520340249854</v>
      </c>
      <c r="F36" s="38">
        <f>+Composition!S$9</f>
        <v>1.0250204648183082E-2</v>
      </c>
      <c r="G36" s="38">
        <f>+Composition!S$10</f>
        <v>2.6040739818011416E-2</v>
      </c>
      <c r="H36" s="38">
        <f>+Composition!S$11</f>
        <v>0.18367322727218804</v>
      </c>
      <c r="I36" s="38">
        <f>+Composition!S$12</f>
        <v>3.2399663071976843E-2</v>
      </c>
      <c r="J36" s="38">
        <f>+Composition!S$13</f>
        <v>1.2290754647589898E-2</v>
      </c>
      <c r="K36" s="38">
        <f>+Composition!S$14</f>
        <v>7.0114247072641219E-3</v>
      </c>
      <c r="L36" s="38">
        <f>+Composition!S$15</f>
        <v>4.4963281963673477E-3</v>
      </c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x14ac:dyDescent="0.25">
      <c r="A37" t="s">
        <v>13</v>
      </c>
      <c r="C37" s="38">
        <f>+Composition!U$6</f>
        <v>0.44298752054003637</v>
      </c>
      <c r="D37" s="38">
        <f>+Composition!U$7</f>
        <v>1.6709597193231781E-2</v>
      </c>
      <c r="E37" s="38">
        <f>+Composition!U$8</f>
        <v>0.3102211662299596</v>
      </c>
      <c r="F37" s="38">
        <f>+Composition!U$9</f>
        <v>1.0125682817426832E-2</v>
      </c>
      <c r="G37" s="38">
        <f>+Composition!U$10</f>
        <v>2.4392681085402136E-2</v>
      </c>
      <c r="H37" s="38">
        <f>+Composition!U$11</f>
        <v>0.13942798774259446</v>
      </c>
      <c r="I37" s="38">
        <f>+Composition!U$12</f>
        <v>3.1942532308922147E-2</v>
      </c>
      <c r="J37" s="38">
        <f>+Composition!U$13</f>
        <v>1.209086468001954E-2</v>
      </c>
      <c r="K37" s="38">
        <f>+Composition!U$14</f>
        <v>7.5498512235200061E-3</v>
      </c>
      <c r="L37" s="38">
        <f>+Composition!U$15</f>
        <v>4.5521161788870624E-3</v>
      </c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x14ac:dyDescent="0.25">
      <c r="A38" t="s">
        <v>14</v>
      </c>
      <c r="C38" s="38">
        <f>+Composition!W$6</f>
        <v>0.45076695856446758</v>
      </c>
      <c r="D38" s="38">
        <f>+Composition!W$7</f>
        <v>1.4036679110118737E-2</v>
      </c>
      <c r="E38" s="38">
        <f>+Composition!W$8</f>
        <v>0.29175824814801893</v>
      </c>
      <c r="F38" s="38">
        <f>+Composition!W$9</f>
        <v>1.2234122969216993E-2</v>
      </c>
      <c r="G38" s="38">
        <f>+Composition!W$10</f>
        <v>2.489853353335892E-2</v>
      </c>
      <c r="H38" s="38">
        <f>+Composition!W$11</f>
        <v>0.14979823000616357</v>
      </c>
      <c r="I38" s="38">
        <f>+Composition!W$12</f>
        <v>3.3957831815697358E-2</v>
      </c>
      <c r="J38" s="38">
        <f>+Composition!W$13</f>
        <v>1.1071183523473933E-2</v>
      </c>
      <c r="K38" s="38">
        <f>+Composition!W$14</f>
        <v>7.3614066915535714E-3</v>
      </c>
      <c r="L38" s="38">
        <f>+Composition!W$15</f>
        <v>4.1168056379304327E-3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x14ac:dyDescent="0.25">
      <c r="A39" t="s">
        <v>2</v>
      </c>
      <c r="C39" s="38">
        <f>+Composition!Y$6</f>
        <v>0.48102733109835788</v>
      </c>
      <c r="D39" s="38">
        <f>+Composition!Y$7</f>
        <v>1.0625603727484516E-2</v>
      </c>
      <c r="E39" s="38">
        <f>+Composition!Y$8</f>
        <v>0.27076538439684072</v>
      </c>
      <c r="F39" s="38">
        <f>+Composition!Y$9</f>
        <v>1.2387067447014037E-2</v>
      </c>
      <c r="G39" s="38">
        <f>+Composition!Y$10</f>
        <v>2.4330927893630321E-2</v>
      </c>
      <c r="H39" s="38">
        <f>+Composition!Y$11</f>
        <v>0.14423546792431388</v>
      </c>
      <c r="I39" s="38">
        <f>+Composition!Y$12</f>
        <v>3.3615546337860104E-2</v>
      </c>
      <c r="J39" s="38">
        <f>+Composition!Y$13</f>
        <v>1.084152508665265E-2</v>
      </c>
      <c r="K39" s="38">
        <f>+Composition!Y$14</f>
        <v>7.4095119040854598E-3</v>
      </c>
      <c r="L39" s="38">
        <f>+Composition!Y$15</f>
        <v>4.7616341837604416E-3</v>
      </c>
      <c r="M39" s="38"/>
      <c r="N39" s="38"/>
      <c r="O39" s="38"/>
      <c r="P39" s="38"/>
      <c r="Q39" s="38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</row>
    <row r="40" spans="1:28" x14ac:dyDescent="0.25">
      <c r="C40"/>
      <c r="N40" s="38"/>
      <c r="R40" s="41"/>
    </row>
    <row r="41" spans="1:28" x14ac:dyDescent="0.25">
      <c r="A41" s="4" t="s">
        <v>69</v>
      </c>
      <c r="B41" s="4"/>
      <c r="C41"/>
      <c r="R41" s="41"/>
    </row>
    <row r="42" spans="1:28" x14ac:dyDescent="0.25">
      <c r="A42" t="s">
        <v>51</v>
      </c>
      <c r="C42" s="29">
        <f>+Prices!B5</f>
        <v>87.66</v>
      </c>
      <c r="D42" s="29">
        <f>+Prices!C5</f>
        <v>59.05</v>
      </c>
      <c r="E42" s="29">
        <f>+Prices!D5</f>
        <v>98.88</v>
      </c>
      <c r="F42" s="29">
        <f>+Prices!E5</f>
        <v>1462.06</v>
      </c>
      <c r="G42" s="29">
        <f>+Prices!F5</f>
        <v>131.88999999999999</v>
      </c>
      <c r="H42" s="29">
        <f>-Prices!G23</f>
        <v>-54.612368483083657</v>
      </c>
      <c r="I42" s="29">
        <f>+Prices!H5</f>
        <v>358.95</v>
      </c>
      <c r="J42" s="29">
        <f>+Prices!I5</f>
        <v>760.6</v>
      </c>
      <c r="K42" s="29">
        <f>+Prices!J5</f>
        <v>465.43</v>
      </c>
      <c r="L42" s="29">
        <f>+Prices!K5</f>
        <v>-3</v>
      </c>
      <c r="O42" s="29"/>
      <c r="P42" s="29"/>
      <c r="R42" s="41"/>
      <c r="S42" s="29"/>
      <c r="T42" s="29"/>
      <c r="U42" s="29"/>
      <c r="V42" s="29"/>
      <c r="W42" s="29"/>
      <c r="X42" s="29"/>
      <c r="Y42" s="29"/>
      <c r="Z42" s="29"/>
    </row>
    <row r="43" spans="1:28" x14ac:dyDescent="0.25">
      <c r="A43" t="s">
        <v>7</v>
      </c>
      <c r="C43" s="29">
        <f>+Prices!B6</f>
        <v>91.66</v>
      </c>
      <c r="D43" s="29">
        <f>+Prices!C6</f>
        <v>74.52</v>
      </c>
      <c r="E43" s="29">
        <f>+Prices!D6</f>
        <v>109.57</v>
      </c>
      <c r="F43" s="29">
        <f>+Prices!E6</f>
        <v>1466.56</v>
      </c>
      <c r="G43" s="29">
        <f>+Prices!F6</f>
        <v>127.72999999999999</v>
      </c>
      <c r="H43" s="29">
        <f>-Prices!G24</f>
        <v>-53.72355283237755</v>
      </c>
      <c r="I43" s="29">
        <f>+Prices!H6</f>
        <v>308.38</v>
      </c>
      <c r="J43" s="29">
        <f>+Prices!I6</f>
        <v>916.56</v>
      </c>
      <c r="K43" s="29">
        <f>+Prices!J6</f>
        <v>582.96</v>
      </c>
      <c r="L43" s="29">
        <f>+Prices!K6</f>
        <v>-3</v>
      </c>
      <c r="O43" s="29"/>
      <c r="P43" s="29"/>
      <c r="R43" s="41"/>
      <c r="S43" s="29"/>
      <c r="T43" s="29"/>
      <c r="U43" s="29"/>
      <c r="V43" s="29"/>
      <c r="W43" s="29"/>
      <c r="X43" s="29"/>
      <c r="Y43" s="29"/>
      <c r="Z43" s="29"/>
    </row>
    <row r="44" spans="1:28" x14ac:dyDescent="0.25">
      <c r="A44" t="s">
        <v>8</v>
      </c>
      <c r="C44" s="29">
        <f>+Prices!B7</f>
        <v>98.55</v>
      </c>
      <c r="D44" s="29">
        <f>+Prices!C7</f>
        <v>81.599999999999994</v>
      </c>
      <c r="E44" s="29">
        <f>+Prices!D7</f>
        <v>116.29</v>
      </c>
      <c r="F44" s="29">
        <f>+Prices!E7</f>
        <v>1577.26</v>
      </c>
      <c r="G44" s="29">
        <f>+Prices!F7</f>
        <v>130.82</v>
      </c>
      <c r="H44" s="29">
        <f>-Prices!G25</f>
        <v>-54.263579184504344</v>
      </c>
      <c r="I44" s="29">
        <f>+Prices!H7</f>
        <v>307.73</v>
      </c>
      <c r="J44" s="29">
        <f>+Prices!I7</f>
        <v>963.84</v>
      </c>
      <c r="K44" s="29">
        <f>+Prices!J7</f>
        <v>703.47</v>
      </c>
      <c r="L44" s="29">
        <f>+Prices!K7</f>
        <v>-3</v>
      </c>
      <c r="O44" s="29"/>
      <c r="P44" s="29"/>
      <c r="R44" s="41"/>
      <c r="S44" s="29"/>
      <c r="T44" s="29"/>
      <c r="U44" s="29"/>
      <c r="V44" s="29"/>
      <c r="W44" s="29"/>
      <c r="X44" s="29"/>
      <c r="Y44" s="29"/>
      <c r="Z44" s="29"/>
    </row>
    <row r="45" spans="1:28" x14ac:dyDescent="0.25">
      <c r="A45" t="s">
        <v>9</v>
      </c>
      <c r="C45" s="29">
        <f>+Prices!B8</f>
        <v>98.77</v>
      </c>
      <c r="D45" s="29">
        <f>+Prices!C8</f>
        <v>68</v>
      </c>
      <c r="E45" s="29">
        <f>+Prices!D8</f>
        <v>116.66</v>
      </c>
      <c r="F45" s="29">
        <f>+Prices!E8</f>
        <v>1553.83</v>
      </c>
      <c r="G45" s="29">
        <f>+Prices!F8</f>
        <v>154.93</v>
      </c>
      <c r="H45" s="29">
        <f>-Prices!G26</f>
        <v>-53.988750064948732</v>
      </c>
      <c r="I45" s="29">
        <f>+Prices!H8</f>
        <v>316</v>
      </c>
      <c r="J45" s="29">
        <f>+Prices!I8</f>
        <v>931.31</v>
      </c>
      <c r="K45" s="29">
        <f>+Prices!J8</f>
        <v>645.62</v>
      </c>
      <c r="L45" s="29">
        <f>+Prices!K8</f>
        <v>-3</v>
      </c>
      <c r="O45" s="29"/>
      <c r="P45" s="29"/>
      <c r="R45" s="41"/>
      <c r="S45" s="29"/>
      <c r="T45" s="29"/>
      <c r="U45" s="29"/>
      <c r="V45" s="29"/>
      <c r="W45" s="29"/>
      <c r="X45" s="29"/>
      <c r="Y45" s="29"/>
      <c r="Z45" s="29"/>
    </row>
    <row r="46" spans="1:28" x14ac:dyDescent="0.25">
      <c r="A46" t="s">
        <v>10</v>
      </c>
      <c r="C46" s="29">
        <f>+Prices!B9</f>
        <v>99.49</v>
      </c>
      <c r="D46" s="29">
        <f>+Prices!C9</f>
        <v>87.46</v>
      </c>
      <c r="E46" s="29">
        <f>+Prices!D9</f>
        <v>114.96</v>
      </c>
      <c r="F46" s="29">
        <f>+Prices!E9</f>
        <v>1470.67</v>
      </c>
      <c r="G46" s="29">
        <f>+Prices!F9</f>
        <v>157.49</v>
      </c>
      <c r="H46" s="29">
        <f>-Prices!G27</f>
        <v>-54.344844810969477</v>
      </c>
      <c r="I46" s="29">
        <f>+Prices!H9</f>
        <v>266.63</v>
      </c>
      <c r="J46" s="29">
        <f>+Prices!I9</f>
        <v>954.63</v>
      </c>
      <c r="K46" s="29">
        <f>+Prices!J9</f>
        <v>628.28</v>
      </c>
      <c r="L46" s="29">
        <f>+Prices!K9</f>
        <v>-3</v>
      </c>
      <c r="O46" s="29"/>
      <c r="P46" s="29"/>
      <c r="R46" s="41"/>
      <c r="S46" s="29"/>
      <c r="T46" s="29"/>
      <c r="U46" s="29"/>
      <c r="V46" s="29"/>
      <c r="W46" s="29"/>
      <c r="X46" s="29"/>
      <c r="Y46" s="29"/>
      <c r="Z46" s="29"/>
    </row>
    <row r="47" spans="1:28" x14ac:dyDescent="0.25">
      <c r="A47" t="s">
        <v>11</v>
      </c>
      <c r="C47" s="29">
        <f>+Prices!B10</f>
        <v>84.04</v>
      </c>
      <c r="D47" s="29">
        <f>+Prices!C10</f>
        <v>64.31</v>
      </c>
      <c r="E47" s="29">
        <f>+Prices!D10</f>
        <v>120.17</v>
      </c>
      <c r="F47" s="29">
        <f>+Prices!E10</f>
        <v>847.38</v>
      </c>
      <c r="G47" s="29">
        <f>+Prices!F10</f>
        <v>152</v>
      </c>
      <c r="H47" s="29">
        <f>-Prices!G28</f>
        <v>-54.960966599085332</v>
      </c>
      <c r="I47" s="29">
        <f>+Prices!H10</f>
        <v>380.62</v>
      </c>
      <c r="J47" s="29">
        <f>+Prices!I10</f>
        <v>780.33</v>
      </c>
      <c r="K47" s="29">
        <f>+Prices!J10</f>
        <v>604.46</v>
      </c>
      <c r="L47" s="29">
        <f>+Prices!K10</f>
        <v>-3</v>
      </c>
      <c r="O47" s="29"/>
      <c r="P47" s="29"/>
      <c r="R47" s="41"/>
      <c r="S47" s="29"/>
      <c r="T47" s="29"/>
      <c r="U47" s="29"/>
      <c r="V47" s="29"/>
      <c r="W47" s="29"/>
      <c r="X47" s="29"/>
      <c r="Y47" s="29"/>
      <c r="Z47" s="29"/>
    </row>
    <row r="48" spans="1:28" x14ac:dyDescent="0.25">
      <c r="A48" t="s">
        <v>12</v>
      </c>
      <c r="C48" s="29">
        <f>+Prices!B11</f>
        <v>87.04</v>
      </c>
      <c r="D48" s="29">
        <f>+Prices!C11</f>
        <v>77.81</v>
      </c>
      <c r="E48" s="29">
        <f>+Prices!D11</f>
        <v>112.26</v>
      </c>
      <c r="F48" s="29">
        <f>+Prices!E11</f>
        <v>1634.18</v>
      </c>
      <c r="G48" s="29">
        <f>+Prices!F11</f>
        <v>154.13999999999999</v>
      </c>
      <c r="H48" s="29">
        <f>-Prices!G29</f>
        <v>-54.369806900246651</v>
      </c>
      <c r="I48" s="29">
        <f>+Prices!H11</f>
        <v>222.04</v>
      </c>
      <c r="J48" s="29">
        <f>+Prices!I11</f>
        <v>713.14</v>
      </c>
      <c r="K48" s="29">
        <f>+Prices!J11</f>
        <v>581.76</v>
      </c>
      <c r="L48" s="29">
        <f>+Prices!K11</f>
        <v>-3</v>
      </c>
      <c r="O48" s="29"/>
      <c r="P48" s="29"/>
      <c r="R48" s="41"/>
      <c r="S48" s="29"/>
      <c r="T48" s="29"/>
      <c r="U48" s="29"/>
      <c r="V48" s="29"/>
      <c r="W48" s="29"/>
      <c r="X48" s="29"/>
      <c r="Y48" s="29"/>
      <c r="Z48" s="29"/>
    </row>
    <row r="49" spans="1:26" x14ac:dyDescent="0.25">
      <c r="A49" t="s">
        <v>52</v>
      </c>
      <c r="C49" s="29">
        <f>+Prices!B12</f>
        <v>81.819999999999993</v>
      </c>
      <c r="D49" s="29">
        <f>+Prices!C12</f>
        <v>39.130000000000003</v>
      </c>
      <c r="E49" s="29">
        <f>+Prices!D12</f>
        <v>92.4</v>
      </c>
      <c r="F49" s="29">
        <f>+Prices!E12</f>
        <v>1633.38</v>
      </c>
      <c r="G49" s="29">
        <f>+Prices!F12</f>
        <v>145.97999999999999</v>
      </c>
      <c r="H49" s="29">
        <f>-Prices!G30</f>
        <v>-54.198718376872293</v>
      </c>
      <c r="I49" s="29">
        <f>+Prices!H12</f>
        <v>215.92</v>
      </c>
      <c r="J49" s="29">
        <f>+Prices!I12</f>
        <v>543.54999999999995</v>
      </c>
      <c r="K49" s="29">
        <f>+Prices!J12</f>
        <v>489.41</v>
      </c>
      <c r="L49" s="29">
        <f>+Prices!K12</f>
        <v>-30.1</v>
      </c>
      <c r="O49" s="29"/>
      <c r="P49" s="29"/>
      <c r="R49" s="41"/>
      <c r="S49" s="29"/>
      <c r="T49" s="29"/>
      <c r="U49" s="29"/>
      <c r="V49" s="29"/>
      <c r="W49" s="29"/>
      <c r="X49" s="29"/>
      <c r="Y49" s="29"/>
      <c r="Z49" s="29"/>
    </row>
    <row r="50" spans="1:26" x14ac:dyDescent="0.25">
      <c r="A50" t="s">
        <v>15</v>
      </c>
      <c r="C50" s="29">
        <f>+Prices!B13</f>
        <v>74.09</v>
      </c>
      <c r="D50" s="29">
        <f>+Prices!C13</f>
        <v>18.420000000000002</v>
      </c>
      <c r="E50" s="29">
        <f>+Prices!D13</f>
        <v>78.78</v>
      </c>
      <c r="F50" s="29">
        <f>+Prices!E13</f>
        <v>1522.45</v>
      </c>
      <c r="G50" s="29">
        <f>+Prices!F13</f>
        <v>142.63999999999999</v>
      </c>
      <c r="H50" s="29">
        <f>-Prices!G31</f>
        <v>-54.162884786305156</v>
      </c>
      <c r="I50" s="29">
        <f>+Prices!H13</f>
        <v>165.5</v>
      </c>
      <c r="J50" s="29">
        <f>+Prices!I13</f>
        <v>420</v>
      </c>
      <c r="K50" s="29">
        <f>+Prices!J13</f>
        <v>277</v>
      </c>
      <c r="L50" s="29">
        <f>+Prices!K13</f>
        <v>-14.88</v>
      </c>
      <c r="O50" s="29"/>
      <c r="P50" s="29"/>
      <c r="R50" s="41"/>
      <c r="S50" s="29"/>
      <c r="T50" s="29"/>
      <c r="U50" s="29"/>
      <c r="V50" s="29"/>
      <c r="W50" s="29"/>
      <c r="X50" s="29"/>
      <c r="Y50" s="29"/>
      <c r="Z50" s="29"/>
    </row>
    <row r="51" spans="1:26" x14ac:dyDescent="0.25">
      <c r="A51" t="s">
        <v>13</v>
      </c>
      <c r="C51" s="29">
        <f>+Prices!B14</f>
        <v>72.78</v>
      </c>
      <c r="D51" s="29">
        <f>+Prices!C14</f>
        <v>18.46</v>
      </c>
      <c r="E51" s="29">
        <f>+Prices!D14</f>
        <v>75.73</v>
      </c>
      <c r="F51" s="29">
        <f>+Prices!E14</f>
        <v>1361.62</v>
      </c>
      <c r="G51" s="29">
        <f>+Prices!F14</f>
        <v>98.89</v>
      </c>
      <c r="H51" s="29">
        <f>-Prices!G32</f>
        <v>-54.960966599085339</v>
      </c>
      <c r="I51" s="29">
        <f>+Prices!H14</f>
        <v>161.93</v>
      </c>
      <c r="J51" s="29">
        <f>+Prices!I14</f>
        <v>488.99</v>
      </c>
      <c r="K51" s="29">
        <f>+Prices!J14</f>
        <v>467.21</v>
      </c>
      <c r="L51" s="29">
        <f>+Prices!K14</f>
        <v>-6.98</v>
      </c>
      <c r="O51" s="29"/>
      <c r="P51" s="29"/>
      <c r="R51" s="41"/>
      <c r="S51" s="29"/>
      <c r="T51" s="29"/>
      <c r="U51" s="29"/>
      <c r="V51" s="29"/>
      <c r="W51" s="29"/>
      <c r="X51" s="29"/>
      <c r="Y51" s="29"/>
      <c r="Z51" s="29"/>
    </row>
    <row r="52" spans="1:26" x14ac:dyDescent="0.25">
      <c r="A52" t="s">
        <v>14</v>
      </c>
      <c r="C52" s="29">
        <f>+Prices!B15</f>
        <v>75.69</v>
      </c>
      <c r="D52" s="29">
        <f>+Prices!C15</f>
        <v>21.94</v>
      </c>
      <c r="E52" s="29">
        <f>+Prices!D15</f>
        <v>78.680000000000007</v>
      </c>
      <c r="F52" s="29">
        <f>+Prices!E15</f>
        <v>1396.91</v>
      </c>
      <c r="G52" s="29">
        <f>+Prices!F15</f>
        <v>100</v>
      </c>
      <c r="H52" s="29">
        <f>-Prices!G33</f>
        <v>-54.209674602229157</v>
      </c>
      <c r="I52" s="29">
        <f>+Prices!H15</f>
        <v>142</v>
      </c>
      <c r="J52" s="29">
        <f>+Prices!I15</f>
        <v>607</v>
      </c>
      <c r="K52" s="29">
        <f>+Prices!J15</f>
        <v>597.79</v>
      </c>
      <c r="L52" s="29">
        <f>+Prices!K15</f>
        <v>7</v>
      </c>
      <c r="O52" s="29"/>
      <c r="P52" s="29"/>
      <c r="R52" s="41"/>
      <c r="S52" s="29"/>
      <c r="T52" s="29"/>
      <c r="U52" s="29"/>
      <c r="V52" s="29"/>
      <c r="W52" s="29"/>
      <c r="X52" s="29"/>
      <c r="Y52" s="29"/>
      <c r="Z52" s="29"/>
    </row>
    <row r="53" spans="1:26" x14ac:dyDescent="0.25">
      <c r="A53" t="s">
        <v>2</v>
      </c>
      <c r="C53" s="29">
        <f>+Prices!B16</f>
        <v>77.48</v>
      </c>
      <c r="D53" s="29">
        <f>+Prices!C16</f>
        <v>21.74</v>
      </c>
      <c r="E53" s="29">
        <f>+Prices!D16</f>
        <v>89.44</v>
      </c>
      <c r="F53" s="29">
        <f>+Prices!E16</f>
        <v>1106.4100000000001</v>
      </c>
      <c r="G53" s="29">
        <f>+Prices!F16</f>
        <v>101.12</v>
      </c>
      <c r="H53" s="29">
        <f>-Prices!G34</f>
        <v>-54.644643756012741</v>
      </c>
      <c r="I53" s="29">
        <f>+Prices!H16</f>
        <v>201</v>
      </c>
      <c r="J53" s="29">
        <f>+Prices!I16</f>
        <v>697</v>
      </c>
      <c r="K53" s="29">
        <f>+Prices!J16</f>
        <v>622</v>
      </c>
      <c r="L53" s="29">
        <f>+Prices!K16</f>
        <v>7</v>
      </c>
      <c r="O53" s="72"/>
      <c r="P53" s="29"/>
      <c r="R53" s="41"/>
      <c r="S53" s="42"/>
      <c r="T53" s="42"/>
      <c r="U53" s="29"/>
      <c r="V53" s="42"/>
      <c r="W53" s="42"/>
      <c r="X53" s="42"/>
      <c r="Y53" s="42"/>
      <c r="Z53" s="42"/>
    </row>
    <row r="54" spans="1:26" x14ac:dyDescent="0.25">
      <c r="C54" s="73"/>
      <c r="D54" s="73"/>
      <c r="E54" s="73"/>
      <c r="F54" s="73"/>
      <c r="G54" s="73"/>
      <c r="H54" s="73"/>
      <c r="I54" s="73"/>
      <c r="J54" s="73"/>
      <c r="K54" s="73"/>
      <c r="L54" s="73"/>
      <c r="P54" s="5"/>
      <c r="Q54" s="5"/>
      <c r="R54" s="5"/>
      <c r="S54" s="5"/>
      <c r="T54" s="5"/>
    </row>
    <row r="55" spans="1:26" x14ac:dyDescent="0.25">
      <c r="C55"/>
      <c r="P55" s="5"/>
      <c r="Q55" s="5"/>
      <c r="R55" s="5"/>
      <c r="S55" s="5"/>
      <c r="T55" s="5"/>
      <c r="U55" s="5"/>
    </row>
    <row r="56" spans="1:26" x14ac:dyDescent="0.25">
      <c r="C56" s="182" t="s">
        <v>55</v>
      </c>
      <c r="D56" s="182"/>
      <c r="E56" s="182"/>
      <c r="F56" s="182"/>
      <c r="G56" s="182"/>
      <c r="H56" s="182"/>
      <c r="I56" s="182"/>
      <c r="J56" s="182"/>
      <c r="K56" s="182"/>
      <c r="L56" s="182"/>
      <c r="P56" s="5"/>
      <c r="Q56" s="5"/>
      <c r="R56" s="5"/>
      <c r="S56" s="5"/>
      <c r="T56" s="5"/>
      <c r="U56" s="5"/>
    </row>
    <row r="57" spans="1:26" x14ac:dyDescent="0.25">
      <c r="C57" s="36" t="s">
        <v>56</v>
      </c>
      <c r="D57" s="36" t="s">
        <v>57</v>
      </c>
      <c r="E57" s="36"/>
      <c r="F57" s="36" t="s">
        <v>58</v>
      </c>
      <c r="G57" s="36" t="s">
        <v>59</v>
      </c>
      <c r="H57" s="36"/>
      <c r="I57" s="36"/>
      <c r="J57" s="36" t="s">
        <v>0</v>
      </c>
      <c r="K57" s="36" t="s">
        <v>0</v>
      </c>
      <c r="L57" s="36" t="s">
        <v>60</v>
      </c>
      <c r="N57" s="135"/>
      <c r="P57" s="5"/>
    </row>
    <row r="58" spans="1:26" x14ac:dyDescent="0.25">
      <c r="C58" s="37" t="s">
        <v>61</v>
      </c>
      <c r="D58" s="37" t="s">
        <v>62</v>
      </c>
      <c r="E58" s="37" t="s">
        <v>24</v>
      </c>
      <c r="F58" s="37" t="s">
        <v>22</v>
      </c>
      <c r="G58" s="37" t="s">
        <v>23</v>
      </c>
      <c r="H58" s="37" t="s">
        <v>16</v>
      </c>
      <c r="I58" s="37" t="s">
        <v>1</v>
      </c>
      <c r="J58" s="37" t="s">
        <v>63</v>
      </c>
      <c r="K58" s="37" t="s">
        <v>64</v>
      </c>
      <c r="L58" s="37" t="s">
        <v>65</v>
      </c>
      <c r="M58" s="43" t="s">
        <v>3</v>
      </c>
      <c r="N58" s="43"/>
      <c r="P58" s="5"/>
    </row>
    <row r="59" spans="1:26" x14ac:dyDescent="0.25">
      <c r="A59" s="4" t="s">
        <v>70</v>
      </c>
      <c r="B59" s="4"/>
      <c r="P59" s="6"/>
    </row>
    <row r="60" spans="1:26" x14ac:dyDescent="0.25">
      <c r="A60" t="s">
        <v>51</v>
      </c>
      <c r="C60" s="3">
        <f t="shared" ref="C60:L60" si="3">+$G9*C28</f>
        <v>220.25153478897448</v>
      </c>
      <c r="D60" s="3">
        <f t="shared" si="3"/>
        <v>20.891970208160927</v>
      </c>
      <c r="E60" s="3">
        <f t="shared" si="3"/>
        <v>133.56564580813546</v>
      </c>
      <c r="F60" s="3">
        <f t="shared" si="3"/>
        <v>2.8154166401425935</v>
      </c>
      <c r="G60" s="3">
        <f t="shared" si="3"/>
        <v>12.138743395505761</v>
      </c>
      <c r="H60" s="3">
        <f t="shared" si="3"/>
        <v>66.863952511299246</v>
      </c>
      <c r="I60" s="3">
        <f t="shared" si="3"/>
        <v>12.037879559488191</v>
      </c>
      <c r="J60" s="3">
        <f t="shared" si="3"/>
        <v>3.126778916544656</v>
      </c>
      <c r="K60" s="3">
        <f t="shared" si="3"/>
        <v>3.012758928003056</v>
      </c>
      <c r="L60" s="3">
        <f t="shared" si="3"/>
        <v>0.57448532688267873</v>
      </c>
      <c r="M60" s="7">
        <f t="shared" ref="M60:M71" si="4">SUM(C60:L60)</f>
        <v>475.279166083137</v>
      </c>
      <c r="N60" s="3"/>
      <c r="O60" s="7"/>
      <c r="P60" s="93"/>
      <c r="X60" s="29"/>
    </row>
    <row r="61" spans="1:26" x14ac:dyDescent="0.25">
      <c r="A61" t="s">
        <v>7</v>
      </c>
      <c r="C61" s="3">
        <f t="shared" ref="C61:L61" si="5">+$G10*C29</f>
        <v>197.66680628938829</v>
      </c>
      <c r="D61" s="3">
        <f t="shared" si="5"/>
        <v>16.011037621745498</v>
      </c>
      <c r="E61" s="3">
        <f t="shared" si="5"/>
        <v>112.00271182124899</v>
      </c>
      <c r="F61" s="3">
        <f t="shared" si="5"/>
        <v>4.5432580049653071</v>
      </c>
      <c r="G61" s="3">
        <f t="shared" si="5"/>
        <v>14.300737793621495</v>
      </c>
      <c r="H61" s="3">
        <f t="shared" si="5"/>
        <v>57.444147304093214</v>
      </c>
      <c r="I61" s="3">
        <f t="shared" si="5"/>
        <v>0.39029919154624748</v>
      </c>
      <c r="J61" s="3">
        <f t="shared" si="5"/>
        <v>11.836151887453054</v>
      </c>
      <c r="K61" s="3">
        <f t="shared" si="5"/>
        <v>4.15295881341906</v>
      </c>
      <c r="L61" s="3">
        <f t="shared" si="5"/>
        <v>5.7360825004774343</v>
      </c>
      <c r="M61" s="7">
        <f t="shared" si="4"/>
        <v>424.08419122795868</v>
      </c>
      <c r="N61" s="3"/>
      <c r="O61" s="7"/>
      <c r="P61" s="93"/>
      <c r="X61" s="29"/>
    </row>
    <row r="62" spans="1:26" x14ac:dyDescent="0.25">
      <c r="A62" t="s">
        <v>8</v>
      </c>
      <c r="C62" s="3">
        <f t="shared" ref="C62:L62" si="6">+$G11*C30</f>
        <v>168.40752307594374</v>
      </c>
      <c r="D62" s="3">
        <f t="shared" si="6"/>
        <v>27.242006493093136</v>
      </c>
      <c r="E62" s="3">
        <f t="shared" si="6"/>
        <v>117.03274746960344</v>
      </c>
      <c r="F62" s="3">
        <f t="shared" si="6"/>
        <v>4.9730256540836475</v>
      </c>
      <c r="G62" s="3">
        <f t="shared" si="6"/>
        <v>11.292364249793115</v>
      </c>
      <c r="H62" s="3">
        <f t="shared" si="6"/>
        <v>62.022488382455933</v>
      </c>
      <c r="I62" s="3">
        <f t="shared" si="6"/>
        <v>12.428178751034441</v>
      </c>
      <c r="J62" s="3">
        <f t="shared" si="6"/>
        <v>4.6485072251575543</v>
      </c>
      <c r="K62" s="3">
        <f t="shared" si="6"/>
        <v>3.3942873511999503</v>
      </c>
      <c r="L62" s="3">
        <f t="shared" si="6"/>
        <v>2.3330243809281308</v>
      </c>
      <c r="M62" s="7">
        <f t="shared" si="4"/>
        <v>413.7741530332932</v>
      </c>
      <c r="N62" s="3"/>
      <c r="O62" s="7"/>
      <c r="P62" s="93"/>
    </row>
    <row r="63" spans="1:26" x14ac:dyDescent="0.25">
      <c r="A63" t="s">
        <v>9</v>
      </c>
      <c r="C63" s="3">
        <f t="shared" ref="C63:L63" si="7">+$G12*C31</f>
        <v>182.0899217009358</v>
      </c>
      <c r="D63" s="3">
        <f t="shared" si="7"/>
        <v>24.115227576548477</v>
      </c>
      <c r="E63" s="3">
        <f t="shared" si="7"/>
        <v>115.82238143739259</v>
      </c>
      <c r="F63" s="3">
        <f t="shared" si="7"/>
        <v>5.5080425233942334</v>
      </c>
      <c r="G63" s="3">
        <f t="shared" si="7"/>
        <v>11.603726526195176</v>
      </c>
      <c r="H63" s="3">
        <f t="shared" si="7"/>
        <v>68.302358520593287</v>
      </c>
      <c r="I63" s="3">
        <f t="shared" si="7"/>
        <v>15.366386148067988</v>
      </c>
      <c r="J63" s="3">
        <f t="shared" si="7"/>
        <v>4.6441218409828764</v>
      </c>
      <c r="K63" s="3">
        <f t="shared" si="7"/>
        <v>2.2146190082118529</v>
      </c>
      <c r="L63" s="3">
        <f t="shared" si="7"/>
        <v>2.8943535552867785</v>
      </c>
      <c r="M63" s="7">
        <f t="shared" si="4"/>
        <v>432.56113883760912</v>
      </c>
      <c r="N63" s="3"/>
      <c r="O63" s="7"/>
      <c r="P63" s="93"/>
    </row>
    <row r="64" spans="1:26" x14ac:dyDescent="0.25">
      <c r="A64" t="s">
        <v>10</v>
      </c>
      <c r="C64" s="3">
        <f t="shared" ref="C64:L64" si="8">+$G13*C32</f>
        <v>163.25031128652367</v>
      </c>
      <c r="D64" s="3">
        <f t="shared" si="8"/>
        <v>35.284801069450637</v>
      </c>
      <c r="E64" s="3">
        <f t="shared" si="8"/>
        <v>102.71446813928321</v>
      </c>
      <c r="F64" s="3">
        <f t="shared" si="8"/>
        <v>5.630833280285187</v>
      </c>
      <c r="G64" s="3">
        <f t="shared" si="8"/>
        <v>14.765588516137248</v>
      </c>
      <c r="H64" s="3">
        <f t="shared" si="8"/>
        <v>67.473520911579357</v>
      </c>
      <c r="I64" s="3">
        <f t="shared" si="8"/>
        <v>17.537151314533073</v>
      </c>
      <c r="J64" s="3">
        <f t="shared" si="8"/>
        <v>5.1835240944681393</v>
      </c>
      <c r="K64" s="3">
        <f t="shared" si="8"/>
        <v>3.1706327582914255</v>
      </c>
      <c r="L64" s="3">
        <f t="shared" si="8"/>
        <v>2.2497020816092688</v>
      </c>
      <c r="M64" s="7">
        <f t="shared" si="4"/>
        <v>417.26053345216116</v>
      </c>
      <c r="N64" s="3"/>
      <c r="O64" s="7"/>
      <c r="P64" s="93"/>
    </row>
    <row r="65" spans="1:16" x14ac:dyDescent="0.25">
      <c r="A65" t="s">
        <v>11</v>
      </c>
      <c r="C65" s="3">
        <f t="shared" ref="C65:L65" si="9">+$G14*C33</f>
        <v>166.85948246228278</v>
      </c>
      <c r="D65" s="3">
        <f t="shared" si="9"/>
        <v>37.095964733592218</v>
      </c>
      <c r="E65" s="3">
        <f t="shared" si="9"/>
        <v>76.362694633649511</v>
      </c>
      <c r="F65" s="3">
        <f t="shared" si="9"/>
        <v>7.8586084410210724</v>
      </c>
      <c r="G65" s="3">
        <f t="shared" si="9"/>
        <v>11.103792730282004</v>
      </c>
      <c r="H65" s="3">
        <f t="shared" si="9"/>
        <v>55.071654465592985</v>
      </c>
      <c r="I65" s="3">
        <f t="shared" si="9"/>
        <v>11.594955757845822</v>
      </c>
      <c r="J65" s="3">
        <f t="shared" si="9"/>
        <v>3.6574104016805657</v>
      </c>
      <c r="K65" s="3">
        <f t="shared" si="9"/>
        <v>5.2317633203895859</v>
      </c>
      <c r="L65" s="3">
        <f t="shared" si="9"/>
        <v>0.72797377299637156</v>
      </c>
      <c r="M65" s="7">
        <f t="shared" si="4"/>
        <v>375.56430071933295</v>
      </c>
      <c r="N65" s="3"/>
      <c r="O65" s="7"/>
      <c r="P65" s="93"/>
    </row>
    <row r="66" spans="1:16" x14ac:dyDescent="0.25">
      <c r="A66" t="s">
        <v>12</v>
      </c>
      <c r="C66" s="3">
        <f t="shared" ref="C66:L66" si="10">+$G15*C34</f>
        <v>137.78000000000003</v>
      </c>
      <c r="D66" s="3">
        <f t="shared" si="10"/>
        <v>37.341546247374126</v>
      </c>
      <c r="E66" s="3">
        <f t="shared" si="10"/>
        <v>152.11582086701895</v>
      </c>
      <c r="F66" s="3">
        <f t="shared" si="10"/>
        <v>5.7711655738748497</v>
      </c>
      <c r="G66" s="3">
        <f t="shared" si="10"/>
        <v>17.822201285887076</v>
      </c>
      <c r="H66" s="3">
        <f t="shared" si="10"/>
        <v>73.034188045069712</v>
      </c>
      <c r="I66" s="3">
        <f t="shared" si="10"/>
        <v>10.796815838054622</v>
      </c>
      <c r="J66" s="3">
        <f t="shared" si="10"/>
        <v>5.0782748742758947</v>
      </c>
      <c r="K66" s="3">
        <f t="shared" si="10"/>
        <v>1.9295690368578529</v>
      </c>
      <c r="L66" s="3">
        <f t="shared" si="10"/>
        <v>2.4382736011203772</v>
      </c>
      <c r="M66" s="7">
        <f t="shared" si="4"/>
        <v>444.10785536953347</v>
      </c>
      <c r="N66" s="3"/>
      <c r="O66" s="7"/>
      <c r="P66" s="93"/>
    </row>
    <row r="67" spans="1:16" x14ac:dyDescent="0.25">
      <c r="A67" t="s">
        <v>52</v>
      </c>
      <c r="C67" s="3">
        <f t="shared" ref="C67:L67" si="11">+$G16*C35</f>
        <v>188.89165255585974</v>
      </c>
      <c r="D67" s="3">
        <f t="shared" si="11"/>
        <v>9.4373467439047687</v>
      </c>
      <c r="E67" s="3">
        <f t="shared" si="11"/>
        <v>149.61615188745307</v>
      </c>
      <c r="F67" s="3">
        <f t="shared" si="11"/>
        <v>4.9686402699089705</v>
      </c>
      <c r="G67" s="3">
        <f t="shared" si="11"/>
        <v>11.090636577757973</v>
      </c>
      <c r="H67" s="3">
        <f t="shared" si="11"/>
        <v>67.811195493029487</v>
      </c>
      <c r="I67" s="3">
        <f t="shared" si="11"/>
        <v>12.879873321026166</v>
      </c>
      <c r="J67" s="3">
        <f t="shared" si="11"/>
        <v>4.929171812336878</v>
      </c>
      <c r="K67" s="3">
        <f t="shared" si="11"/>
        <v>2.622459736456809</v>
      </c>
      <c r="L67" s="3">
        <f t="shared" si="11"/>
        <v>0.87269145076071053</v>
      </c>
      <c r="M67" s="7">
        <f t="shared" si="4"/>
        <v>453.11981984849456</v>
      </c>
      <c r="N67" s="3"/>
      <c r="O67" s="7"/>
      <c r="P67" s="93"/>
    </row>
    <row r="68" spans="1:16" x14ac:dyDescent="0.25">
      <c r="A68" t="s">
        <v>15</v>
      </c>
      <c r="C68" s="3">
        <f t="shared" ref="C68:L68" si="12">+$G17*C36</f>
        <v>150.82213253548923</v>
      </c>
      <c r="D68" s="3">
        <f t="shared" si="12"/>
        <v>7.5472461646190094</v>
      </c>
      <c r="E68" s="3">
        <f t="shared" si="12"/>
        <v>109.19606594945574</v>
      </c>
      <c r="F68" s="3">
        <f t="shared" si="12"/>
        <v>3.7889719269208739</v>
      </c>
      <c r="G68" s="3">
        <f t="shared" si="12"/>
        <v>9.6259182634158762</v>
      </c>
      <c r="H68" s="3">
        <f t="shared" si="12"/>
        <v>67.894517792348339</v>
      </c>
      <c r="I68" s="3">
        <f t="shared" si="12"/>
        <v>11.976484181042714</v>
      </c>
      <c r="J68" s="3">
        <f t="shared" si="12"/>
        <v>4.5432580049653062</v>
      </c>
      <c r="K68" s="3">
        <f t="shared" si="12"/>
        <v>2.5917620472340701</v>
      </c>
      <c r="L68" s="3">
        <f t="shared" si="12"/>
        <v>1.6620606022025595</v>
      </c>
      <c r="M68" s="7">
        <f t="shared" si="4"/>
        <v>369.64841746769372</v>
      </c>
      <c r="N68" s="3"/>
      <c r="O68" s="7"/>
      <c r="P68" s="93"/>
    </row>
    <row r="69" spans="1:16" x14ac:dyDescent="0.25">
      <c r="A69" t="s">
        <v>13</v>
      </c>
      <c r="C69" s="3">
        <f t="shared" ref="C69:L69" si="13">+$G18*C37</f>
        <v>174.97244318543511</v>
      </c>
      <c r="D69" s="3">
        <f t="shared" si="13"/>
        <v>6.6000031828887904</v>
      </c>
      <c r="E69" s="3">
        <f t="shared" si="13"/>
        <v>122.53201922464831</v>
      </c>
      <c r="F69" s="3">
        <f t="shared" si="13"/>
        <v>3.9994703673053662</v>
      </c>
      <c r="G69" s="3">
        <f t="shared" si="13"/>
        <v>9.6346890317652303</v>
      </c>
      <c r="H69" s="3">
        <f t="shared" si="13"/>
        <v>55.071654465592971</v>
      </c>
      <c r="I69" s="3">
        <f t="shared" si="13"/>
        <v>12.616750270545548</v>
      </c>
      <c r="J69" s="3">
        <f t="shared" si="13"/>
        <v>4.775683366223185</v>
      </c>
      <c r="K69" s="3">
        <f t="shared" si="13"/>
        <v>2.9820612387803171</v>
      </c>
      <c r="L69" s="3">
        <f t="shared" si="13"/>
        <v>1.798007511617544</v>
      </c>
      <c r="M69" s="7">
        <f t="shared" si="4"/>
        <v>394.98278184480239</v>
      </c>
      <c r="N69" s="3"/>
      <c r="O69" s="7"/>
      <c r="P69" s="93"/>
    </row>
    <row r="70" spans="1:16" x14ac:dyDescent="0.25">
      <c r="A70" t="s">
        <v>14</v>
      </c>
      <c r="C70" s="3">
        <f t="shared" ref="C70:L70" si="14">+$G19*C38</f>
        <v>169.98187599465274</v>
      </c>
      <c r="D70" s="3">
        <f t="shared" si="14"/>
        <v>5.2931586988350627</v>
      </c>
      <c r="E70" s="3">
        <f t="shared" si="14"/>
        <v>110.02051817429498</v>
      </c>
      <c r="F70" s="3">
        <f t="shared" si="14"/>
        <v>4.6134241517601371</v>
      </c>
      <c r="G70" s="3">
        <f t="shared" si="14"/>
        <v>9.3891075179833212</v>
      </c>
      <c r="H70" s="3">
        <f t="shared" si="14"/>
        <v>56.488133554013615</v>
      </c>
      <c r="I70" s="3">
        <f t="shared" si="14"/>
        <v>12.805321790056656</v>
      </c>
      <c r="J70" s="3">
        <f t="shared" si="14"/>
        <v>4.1748857342924435</v>
      </c>
      <c r="K70" s="3">
        <f t="shared" si="14"/>
        <v>2.775948182570501</v>
      </c>
      <c r="L70" s="3">
        <f t="shared" si="14"/>
        <v>1.5524259978356354</v>
      </c>
      <c r="M70" s="7">
        <f t="shared" si="4"/>
        <v>377.09479979629521</v>
      </c>
      <c r="N70" s="3"/>
      <c r="O70" s="7"/>
      <c r="P70" s="93"/>
    </row>
    <row r="71" spans="1:16" ht="15" x14ac:dyDescent="0.4">
      <c r="A71" t="s">
        <v>2</v>
      </c>
      <c r="C71" s="14">
        <f t="shared" ref="C71:L71" si="15">+$G20*C39</f>
        <v>185.62454134572539</v>
      </c>
      <c r="D71" s="14">
        <f t="shared" si="15"/>
        <v>4.1003342033229355</v>
      </c>
      <c r="E71" s="14">
        <f t="shared" si="15"/>
        <v>104.48616334585269</v>
      </c>
      <c r="F71" s="14">
        <f t="shared" si="15"/>
        <v>4.7800687503978621</v>
      </c>
      <c r="G71" s="14">
        <f t="shared" si="15"/>
        <v>9.3891075179833212</v>
      </c>
      <c r="H71" s="14">
        <f t="shared" si="15"/>
        <v>55.659295944999684</v>
      </c>
      <c r="I71" s="14">
        <f t="shared" si="15"/>
        <v>12.971966388694378</v>
      </c>
      <c r="J71" s="14">
        <f t="shared" si="15"/>
        <v>4.1836565026417976</v>
      </c>
      <c r="K71" s="14">
        <f t="shared" si="15"/>
        <v>2.8592704818893631</v>
      </c>
      <c r="L71" s="14">
        <f t="shared" si="15"/>
        <v>1.8374759691896367</v>
      </c>
      <c r="M71" s="8">
        <f t="shared" si="4"/>
        <v>385.8918804506971</v>
      </c>
      <c r="N71" s="14"/>
      <c r="O71" s="8"/>
      <c r="P71" s="93"/>
    </row>
    <row r="72" spans="1:16" ht="15" x14ac:dyDescent="0.4">
      <c r="C72" s="25">
        <f>SUM(C60:C71)</f>
        <v>2106.5982252212107</v>
      </c>
      <c r="D72" s="25">
        <f t="shared" ref="D72:L72" si="16">SUM(D60:D71)</f>
        <v>230.96064294353562</v>
      </c>
      <c r="E72" s="25">
        <f t="shared" si="16"/>
        <v>1405.4673887580368</v>
      </c>
      <c r="F72" s="25">
        <f t="shared" si="16"/>
        <v>59.250925584060099</v>
      </c>
      <c r="G72" s="25">
        <f t="shared" si="16"/>
        <v>142.15661340632761</v>
      </c>
      <c r="H72" s="25">
        <f t="shared" si="16"/>
        <v>753.13710739066778</v>
      </c>
      <c r="I72" s="25">
        <f t="shared" si="16"/>
        <v>143.40206251193584</v>
      </c>
      <c r="J72" s="25">
        <f t="shared" si="16"/>
        <v>60.781424661022349</v>
      </c>
      <c r="K72" s="25">
        <f t="shared" si="16"/>
        <v>36.938090903303845</v>
      </c>
      <c r="L72" s="25">
        <f t="shared" si="16"/>
        <v>24.676556750907125</v>
      </c>
      <c r="M72" s="9">
        <f>SUM(M60:M71)</f>
        <v>4963.3690381310089</v>
      </c>
      <c r="N72" s="9"/>
      <c r="O72" s="9"/>
    </row>
    <row r="73" spans="1:16" x14ac:dyDescent="0.25">
      <c r="C73" s="94">
        <f t="shared" ref="C73:M73" si="17">+C72/$M72</f>
        <v>0.42442909423766417</v>
      </c>
      <c r="D73" s="94">
        <f t="shared" si="17"/>
        <v>4.6533038581089557E-2</v>
      </c>
      <c r="E73" s="94">
        <f t="shared" si="17"/>
        <v>0.28316802114865014</v>
      </c>
      <c r="F73" s="94">
        <f t="shared" si="17"/>
        <v>1.1937642582863724E-2</v>
      </c>
      <c r="G73" s="94">
        <f t="shared" si="17"/>
        <v>2.864115328000226E-2</v>
      </c>
      <c r="H73" s="94">
        <f t="shared" si="17"/>
        <v>0.15173909125126564</v>
      </c>
      <c r="I73" s="94">
        <f t="shared" si="17"/>
        <v>2.8892081449163186E-2</v>
      </c>
      <c r="J73" s="94">
        <f t="shared" si="17"/>
        <v>1.2246001494966414E-2</v>
      </c>
      <c r="K73" s="94">
        <f t="shared" si="17"/>
        <v>7.4421407353609031E-3</v>
      </c>
      <c r="L73" s="94">
        <f t="shared" si="17"/>
        <v>4.9717352389737381E-3</v>
      </c>
      <c r="M73" s="94">
        <f t="shared" si="17"/>
        <v>1</v>
      </c>
    </row>
    <row r="75" spans="1:16" x14ac:dyDescent="0.25">
      <c r="A75" s="4" t="s">
        <v>71</v>
      </c>
      <c r="B75" s="91">
        <f>+Customers!F15</f>
        <v>1.0835983659071203E-2</v>
      </c>
    </row>
    <row r="76" spans="1:16" x14ac:dyDescent="0.25">
      <c r="A76" t="s">
        <v>51</v>
      </c>
      <c r="C76" s="3">
        <f>+$B$75*C60</f>
        <v>2.3866420318586798</v>
      </c>
      <c r="D76" s="3">
        <f t="shared" ref="D76:L76" si="18">+$B$75*D60</f>
        <v>0.2263850477814342</v>
      </c>
      <c r="E76" s="3">
        <f t="shared" si="18"/>
        <v>1.4473151553902479</v>
      </c>
      <c r="F76" s="3">
        <f t="shared" si="18"/>
        <v>3.0507808706062293E-2</v>
      </c>
      <c r="G76" s="3">
        <f t="shared" si="18"/>
        <v>0.13153522507535892</v>
      </c>
      <c r="H76" s="3">
        <f t="shared" si="18"/>
        <v>0.72453669679335153</v>
      </c>
      <c r="I76" s="3">
        <f t="shared" si="18"/>
        <v>0.13044226619648128</v>
      </c>
      <c r="J76" s="3">
        <f t="shared" si="18"/>
        <v>3.3881725245206253E-2</v>
      </c>
      <c r="K76" s="3">
        <f t="shared" si="18"/>
        <v>3.264620651256199E-2</v>
      </c>
      <c r="L76" s="3">
        <f t="shared" si="18"/>
        <v>6.2251136144768852E-3</v>
      </c>
      <c r="M76" s="7">
        <f t="shared" ref="M76:M87" si="19">SUM(C76:L76)</f>
        <v>5.1501172771738606</v>
      </c>
      <c r="N76" s="3"/>
      <c r="O76" s="7"/>
    </row>
    <row r="77" spans="1:16" x14ac:dyDescent="0.25">
      <c r="A77" t="s">
        <v>7</v>
      </c>
      <c r="C77" s="3">
        <f t="shared" ref="C77:L87" si="20">+$B$75*C61</f>
        <v>2.1419142828926043</v>
      </c>
      <c r="D77" s="3">
        <f t="shared" si="20"/>
        <v>0.17349534203400846</v>
      </c>
      <c r="E77" s="3">
        <f t="shared" si="20"/>
        <v>1.2136595550667151</v>
      </c>
      <c r="F77" s="3">
        <f t="shared" si="20"/>
        <v>4.9230669500748503E-2</v>
      </c>
      <c r="G77" s="3">
        <f t="shared" si="20"/>
        <v>0.1549625610443445</v>
      </c>
      <c r="H77" s="3">
        <f t="shared" si="20"/>
        <v>0.62246384149643319</v>
      </c>
      <c r="I77" s="3">
        <f t="shared" si="20"/>
        <v>4.2292756617438388E-3</v>
      </c>
      <c r="J77" s="3">
        <f t="shared" si="20"/>
        <v>0.12825634843872608</v>
      </c>
      <c r="K77" s="3">
        <f t="shared" si="20"/>
        <v>4.5001393839004665E-2</v>
      </c>
      <c r="L77" s="3">
        <f t="shared" si="20"/>
        <v>6.2156096242257763E-2</v>
      </c>
      <c r="M77" s="7">
        <f t="shared" si="19"/>
        <v>4.5953693662165866</v>
      </c>
      <c r="N77" s="3"/>
      <c r="O77" s="7"/>
    </row>
    <row r="78" spans="1:16" x14ac:dyDescent="0.25">
      <c r="A78" t="s">
        <v>8</v>
      </c>
      <c r="C78" s="3">
        <f t="shared" si="20"/>
        <v>1.8248611681155829</v>
      </c>
      <c r="D78" s="3">
        <f t="shared" si="20"/>
        <v>0.29519393719946879</v>
      </c>
      <c r="E78" s="3">
        <f t="shared" si="20"/>
        <v>1.2681649391568295</v>
      </c>
      <c r="F78" s="3">
        <f t="shared" si="20"/>
        <v>5.3887624723792285E-2</v>
      </c>
      <c r="G78" s="3">
        <f t="shared" si="20"/>
        <v>0.12236387448303804</v>
      </c>
      <c r="H78" s="3">
        <f t="shared" si="20"/>
        <v>0.67207467060722603</v>
      </c>
      <c r="I78" s="3">
        <f t="shared" si="20"/>
        <v>0.13467154185822514</v>
      </c>
      <c r="J78" s="3">
        <f t="shared" si="20"/>
        <v>5.0371148330881681E-2</v>
      </c>
      <c r="K78" s="3">
        <f t="shared" si="20"/>
        <v>3.6780442271794736E-2</v>
      </c>
      <c r="L78" s="3">
        <f t="shared" si="20"/>
        <v>2.5280614067951936E-2</v>
      </c>
      <c r="M78" s="7">
        <f t="shared" si="19"/>
        <v>4.4836499608147902</v>
      </c>
      <c r="N78" s="3"/>
      <c r="O78" s="7"/>
    </row>
    <row r="79" spans="1:16" x14ac:dyDescent="0.25">
      <c r="A79" t="s">
        <v>9</v>
      </c>
      <c r="C79" s="3">
        <f t="shared" si="20"/>
        <v>1.9731234160328952</v>
      </c>
      <c r="D79" s="3">
        <f t="shared" si="20"/>
        <v>0.26131221195426252</v>
      </c>
      <c r="E79" s="3">
        <f t="shared" si="20"/>
        <v>1.2550494326102979</v>
      </c>
      <c r="F79" s="3">
        <f t="shared" si="20"/>
        <v>5.9685058776969224E-2</v>
      </c>
      <c r="G79" s="3">
        <f t="shared" si="20"/>
        <v>0.12573779102218199</v>
      </c>
      <c r="H79" s="3">
        <f t="shared" si="20"/>
        <v>0.74012324080517156</v>
      </c>
      <c r="I79" s="3">
        <f t="shared" si="20"/>
        <v>0.16650990919944281</v>
      </c>
      <c r="J79" s="3">
        <f t="shared" si="20"/>
        <v>5.0323628379626117E-2</v>
      </c>
      <c r="K79" s="3">
        <f t="shared" si="20"/>
        <v>2.399757538405211E-2</v>
      </c>
      <c r="L79" s="3">
        <f t="shared" si="20"/>
        <v>3.1363167828662171E-2</v>
      </c>
      <c r="M79" s="7">
        <f t="shared" si="19"/>
        <v>4.6872254319935607</v>
      </c>
      <c r="N79" s="3"/>
      <c r="O79" s="7"/>
    </row>
    <row r="80" spans="1:16" x14ac:dyDescent="0.25">
      <c r="A80" t="s">
        <v>10</v>
      </c>
      <c r="C80" s="3">
        <f t="shared" si="20"/>
        <v>1.7689777054390576</v>
      </c>
      <c r="D80" s="3">
        <f t="shared" si="20"/>
        <v>0.3823455278021452</v>
      </c>
      <c r="E80" s="3">
        <f t="shared" si="20"/>
        <v>1.1130122983074626</v>
      </c>
      <c r="F80" s="3">
        <f t="shared" si="20"/>
        <v>6.1015617412124586E-2</v>
      </c>
      <c r="G80" s="3">
        <f t="shared" si="20"/>
        <v>0.15999967587743263</v>
      </c>
      <c r="H80" s="3">
        <f t="shared" si="20"/>
        <v>0.73114197001787296</v>
      </c>
      <c r="I80" s="3">
        <f t="shared" si="20"/>
        <v>0.19003228507093944</v>
      </c>
      <c r="J80" s="3">
        <f t="shared" si="20"/>
        <v>5.6168582384058613E-2</v>
      </c>
      <c r="K80" s="3">
        <f t="shared" si="20"/>
        <v>3.4356924757761739E-2</v>
      </c>
      <c r="L80" s="3">
        <f t="shared" si="20"/>
        <v>2.4377734994096505E-2</v>
      </c>
      <c r="M80" s="7">
        <f t="shared" si="19"/>
        <v>4.5214283220629525</v>
      </c>
      <c r="N80" s="3"/>
      <c r="O80" s="7"/>
    </row>
    <row r="81" spans="1:17" x14ac:dyDescent="0.25">
      <c r="A81" t="s">
        <v>11</v>
      </c>
      <c r="C81" s="3">
        <f t="shared" si="20"/>
        <v>1.8080866253223742</v>
      </c>
      <c r="D81" s="3">
        <f t="shared" si="20"/>
        <v>0.40197126767068692</v>
      </c>
      <c r="E81" s="3">
        <f t="shared" si="20"/>
        <v>0.82746491121287036</v>
      </c>
      <c r="F81" s="3">
        <f t="shared" si="20"/>
        <v>8.5155752649943364E-2</v>
      </c>
      <c r="G81" s="3">
        <f t="shared" si="20"/>
        <v>0.12032051657904941</v>
      </c>
      <c r="H81" s="3">
        <f t="shared" si="20"/>
        <v>0.59675554786718121</v>
      </c>
      <c r="I81" s="3">
        <f t="shared" si="20"/>
        <v>0.12564275111967088</v>
      </c>
      <c r="J81" s="3">
        <f t="shared" si="20"/>
        <v>3.9631639347127656E-2</v>
      </c>
      <c r="K81" s="3">
        <f t="shared" si="20"/>
        <v>5.6691301847869649E-2</v>
      </c>
      <c r="L81" s="3">
        <f t="shared" si="20"/>
        <v>7.8883119084210921E-3</v>
      </c>
      <c r="M81" s="7">
        <f t="shared" si="19"/>
        <v>4.0696086255251958</v>
      </c>
      <c r="N81" s="3"/>
      <c r="O81" s="7"/>
    </row>
    <row r="82" spans="1:17" x14ac:dyDescent="0.25">
      <c r="A82" t="s">
        <v>12</v>
      </c>
      <c r="C82" s="3">
        <f t="shared" si="20"/>
        <v>1.4929818285468306</v>
      </c>
      <c r="D82" s="3">
        <f t="shared" si="20"/>
        <v>0.40463238494099762</v>
      </c>
      <c r="E82" s="3">
        <f t="shared" si="20"/>
        <v>1.6483245492012197</v>
      </c>
      <c r="F82" s="3">
        <f t="shared" si="20"/>
        <v>6.2536255852302144E-2</v>
      </c>
      <c r="G82" s="3">
        <f t="shared" si="20"/>
        <v>0.19312108190255012</v>
      </c>
      <c r="H82" s="3">
        <f t="shared" si="20"/>
        <v>0.79139726820990874</v>
      </c>
      <c r="I82" s="3">
        <f t="shared" si="20"/>
        <v>0.11699411999116104</v>
      </c>
      <c r="J82" s="3">
        <f t="shared" si="20"/>
        <v>5.5028103553925463E-2</v>
      </c>
      <c r="K82" s="3">
        <f t="shared" si="20"/>
        <v>2.0908778552441453E-2</v>
      </c>
      <c r="L82" s="3">
        <f t="shared" si="20"/>
        <v>2.6421092898085103E-2</v>
      </c>
      <c r="M82" s="7">
        <f t="shared" si="19"/>
        <v>4.8123454636494216</v>
      </c>
      <c r="N82" s="3"/>
      <c r="O82" s="7"/>
    </row>
    <row r="83" spans="1:17" x14ac:dyDescent="0.25">
      <c r="A83" t="s">
        <v>52</v>
      </c>
      <c r="C83" s="3">
        <f t="shared" si="20"/>
        <v>2.0468268604302513</v>
      </c>
      <c r="D83" s="3">
        <f t="shared" si="20"/>
        <v>0.1022629351019409</v>
      </c>
      <c r="E83" s="3">
        <f t="shared" si="20"/>
        <v>1.6212381769855566</v>
      </c>
      <c r="F83" s="3">
        <f t="shared" si="20"/>
        <v>5.3840104772536736E-2</v>
      </c>
      <c r="G83" s="3">
        <f t="shared" si="20"/>
        <v>0.12017795672528275</v>
      </c>
      <c r="H83" s="3">
        <f t="shared" si="20"/>
        <v>0.73480100626455025</v>
      </c>
      <c r="I83" s="3">
        <f t="shared" si="20"/>
        <v>0.13956609683754667</v>
      </c>
      <c r="J83" s="3">
        <f t="shared" si="20"/>
        <v>5.3412425211236791E-2</v>
      </c>
      <c r="K83" s="3">
        <f t="shared" si="20"/>
        <v>2.8416930850818155E-2</v>
      </c>
      <c r="L83" s="3">
        <f t="shared" si="20"/>
        <v>9.4564702998542003E-3</v>
      </c>
      <c r="M83" s="7">
        <f t="shared" si="19"/>
        <v>4.9099989634795742</v>
      </c>
      <c r="N83" s="3"/>
      <c r="O83" s="7"/>
    </row>
    <row r="84" spans="1:17" x14ac:dyDescent="0.25">
      <c r="A84" t="s">
        <v>15</v>
      </c>
      <c r="C84" s="3">
        <f t="shared" si="20"/>
        <v>1.6343061635808325</v>
      </c>
      <c r="D84" s="3">
        <f t="shared" si="20"/>
        <v>8.1781836110799394E-2</v>
      </c>
      <c r="E84" s="3">
        <f t="shared" si="20"/>
        <v>1.1832467862631637</v>
      </c>
      <c r="F84" s="3">
        <f t="shared" si="20"/>
        <v>4.1057237884794116E-2</v>
      </c>
      <c r="G84" s="3">
        <f t="shared" si="20"/>
        <v>0.10430629300592949</v>
      </c>
      <c r="H84" s="3">
        <f t="shared" si="20"/>
        <v>0.73570388533840558</v>
      </c>
      <c r="I84" s="3">
        <f t="shared" si="20"/>
        <v>0.1297769868789036</v>
      </c>
      <c r="J84" s="3">
        <f t="shared" si="20"/>
        <v>4.9230669500748489E-2</v>
      </c>
      <c r="K84" s="3">
        <f t="shared" si="20"/>
        <v>2.808429119202931E-2</v>
      </c>
      <c r="L84" s="3">
        <f t="shared" si="20"/>
        <v>1.8010061525852977E-2</v>
      </c>
      <c r="M84" s="7">
        <f t="shared" si="19"/>
        <v>4.0055042112814592</v>
      </c>
      <c r="N84" s="3"/>
      <c r="O84" s="7"/>
    </row>
    <row r="85" spans="1:17" x14ac:dyDescent="0.25">
      <c r="A85" t="s">
        <v>13</v>
      </c>
      <c r="C85" s="3">
        <f t="shared" si="20"/>
        <v>1.8959985351451392</v>
      </c>
      <c r="D85" s="3">
        <f t="shared" si="20"/>
        <v>7.1517526639600856E-2</v>
      </c>
      <c r="E85" s="3">
        <f t="shared" si="20"/>
        <v>1.3277549580312875</v>
      </c>
      <c r="F85" s="3">
        <f t="shared" si="20"/>
        <v>4.3338195545060451E-2</v>
      </c>
      <c r="G85" s="3">
        <f t="shared" si="20"/>
        <v>0.10440133290844059</v>
      </c>
      <c r="H85" s="3">
        <f t="shared" si="20"/>
        <v>0.5967555478671811</v>
      </c>
      <c r="I85" s="3">
        <f t="shared" si="20"/>
        <v>0.13671489976221374</v>
      </c>
      <c r="J85" s="3">
        <f t="shared" si="20"/>
        <v>5.1749226917292585E-2</v>
      </c>
      <c r="K85" s="3">
        <f t="shared" si="20"/>
        <v>3.2313566853773144E-2</v>
      </c>
      <c r="L85" s="3">
        <f t="shared" si="20"/>
        <v>1.9483180014774983E-2</v>
      </c>
      <c r="M85" s="7">
        <f t="shared" si="19"/>
        <v>4.2800269696847639</v>
      </c>
      <c r="N85" s="3"/>
      <c r="O85" s="7"/>
    </row>
    <row r="86" spans="1:17" x14ac:dyDescent="0.25">
      <c r="A86" t="s">
        <v>14</v>
      </c>
      <c r="C86" s="3">
        <f t="shared" si="20"/>
        <v>1.8419208306163246</v>
      </c>
      <c r="D86" s="3">
        <f t="shared" si="20"/>
        <v>5.7356581165447326E-2</v>
      </c>
      <c r="E86" s="3">
        <f t="shared" si="20"/>
        <v>1.1921805370992067</v>
      </c>
      <c r="F86" s="3">
        <f t="shared" si="20"/>
        <v>4.9990988720837272E-2</v>
      </c>
      <c r="G86" s="3">
        <f t="shared" si="20"/>
        <v>0.10174021563812985</v>
      </c>
      <c r="H86" s="3">
        <f t="shared" si="20"/>
        <v>0.61210449212272322</v>
      </c>
      <c r="I86" s="3">
        <f t="shared" si="20"/>
        <v>0.13875825766620231</v>
      </c>
      <c r="J86" s="3">
        <f t="shared" si="20"/>
        <v>4.5238993595282398E-2</v>
      </c>
      <c r="K86" s="3">
        <f t="shared" si="20"/>
        <v>3.0080129144762352E-2</v>
      </c>
      <c r="L86" s="3">
        <f t="shared" si="20"/>
        <v>1.6822062744464253E-2</v>
      </c>
      <c r="M86" s="7">
        <f t="shared" si="19"/>
        <v>4.0861930885133804</v>
      </c>
      <c r="N86" s="3"/>
      <c r="O86" s="7"/>
    </row>
    <row r="87" spans="1:17" ht="15" x14ac:dyDescent="0.4">
      <c r="A87" t="s">
        <v>2</v>
      </c>
      <c r="C87" s="14">
        <f t="shared" si="20"/>
        <v>2.0114244967448673</v>
      </c>
      <c r="D87" s="14">
        <f t="shared" si="20"/>
        <v>4.4431154423938066E-2</v>
      </c>
      <c r="E87" s="14">
        <f t="shared" si="20"/>
        <v>1.1322103586147041</v>
      </c>
      <c r="F87" s="14">
        <f t="shared" si="20"/>
        <v>5.1796746868548134E-2</v>
      </c>
      <c r="G87" s="14">
        <f t="shared" si="20"/>
        <v>0.10174021563812985</v>
      </c>
      <c r="H87" s="14">
        <f t="shared" si="20"/>
        <v>0.60312322133542462</v>
      </c>
      <c r="I87" s="14">
        <f t="shared" si="20"/>
        <v>0.14056401581391317</v>
      </c>
      <c r="J87" s="14">
        <f t="shared" si="20"/>
        <v>4.5334033497793497E-2</v>
      </c>
      <c r="K87" s="14">
        <f t="shared" si="20"/>
        <v>3.098300821861778E-2</v>
      </c>
      <c r="L87" s="14">
        <f t="shared" si="20"/>
        <v>1.9910859576074923E-2</v>
      </c>
      <c r="M87" s="8">
        <f t="shared" si="19"/>
        <v>4.1815181107320107</v>
      </c>
      <c r="N87" s="14"/>
      <c r="O87" s="8"/>
    </row>
    <row r="88" spans="1:17" ht="15" x14ac:dyDescent="0.4">
      <c r="C88" s="25">
        <f>SUM(C76:C87)</f>
        <v>22.827063944725438</v>
      </c>
      <c r="D88" s="25">
        <f t="shared" ref="D88" si="21">SUM(D76:D87)</f>
        <v>2.5026857528247302</v>
      </c>
      <c r="E88" s="25">
        <f t="shared" ref="E88" si="22">SUM(E76:E87)</f>
        <v>15.229621657939562</v>
      </c>
      <c r="F88" s="25">
        <f t="shared" ref="F88" si="23">SUM(F76:F87)</f>
        <v>0.64204206141371911</v>
      </c>
      <c r="G88" s="25">
        <f t="shared" ref="G88" si="24">SUM(G76:G87)</f>
        <v>1.5404067398998684</v>
      </c>
      <c r="H88" s="25">
        <f t="shared" ref="H88" si="25">SUM(H76:H87)</f>
        <v>8.1609813887254283</v>
      </c>
      <c r="I88" s="25">
        <f t="shared" ref="I88" si="26">SUM(I76:I87)</f>
        <v>1.5539024060564439</v>
      </c>
      <c r="J88" s="25">
        <f t="shared" ref="J88" si="27">SUM(J76:J87)</f>
        <v>0.65862652440190561</v>
      </c>
      <c r="K88" s="25">
        <f t="shared" ref="K88" si="28">SUM(K76:K87)</f>
        <v>0.40026054942548706</v>
      </c>
      <c r="L88" s="25">
        <f t="shared" ref="L88" si="29">SUM(L76:L87)</f>
        <v>0.26739476571497278</v>
      </c>
      <c r="M88" s="9">
        <f>SUM(M76:M87)</f>
        <v>53.782985791127558</v>
      </c>
      <c r="N88" s="9"/>
      <c r="O88" s="9"/>
      <c r="P88" s="7"/>
      <c r="Q88" s="7"/>
    </row>
    <row r="89" spans="1:17" x14ac:dyDescent="0.2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</row>
    <row r="91" spans="1:17" x14ac:dyDescent="0.25">
      <c r="A91" s="4" t="s">
        <v>72</v>
      </c>
    </row>
    <row r="92" spans="1:17" x14ac:dyDescent="0.25">
      <c r="A92" t="s">
        <v>51</v>
      </c>
      <c r="C92" s="3">
        <f>+C60-C76</f>
        <v>217.8648927571158</v>
      </c>
      <c r="D92" s="3">
        <f t="shared" ref="D92:L92" si="30">+D60-D76</f>
        <v>20.665585160379493</v>
      </c>
      <c r="E92" s="3">
        <f t="shared" si="30"/>
        <v>132.11833065274521</v>
      </c>
      <c r="F92" s="3">
        <f t="shared" si="30"/>
        <v>2.7849088314365313</v>
      </c>
      <c r="G92" s="3">
        <f t="shared" si="30"/>
        <v>12.007208170430403</v>
      </c>
      <c r="H92" s="3">
        <f t="shared" si="30"/>
        <v>66.139415814505895</v>
      </c>
      <c r="I92" s="3">
        <f t="shared" si="30"/>
        <v>11.907437293291709</v>
      </c>
      <c r="J92" s="3">
        <f t="shared" si="30"/>
        <v>3.0928971912994498</v>
      </c>
      <c r="K92" s="3">
        <f t="shared" si="30"/>
        <v>2.9801127214904941</v>
      </c>
      <c r="L92" s="3">
        <f t="shared" si="30"/>
        <v>0.56826021326820186</v>
      </c>
      <c r="M92" s="7">
        <f t="shared" ref="M92:M103" si="31">SUM(C92:L92)</f>
        <v>470.12904880596324</v>
      </c>
      <c r="N92" s="3"/>
      <c r="O92" s="7"/>
    </row>
    <row r="93" spans="1:17" x14ac:dyDescent="0.25">
      <c r="A93" t="s">
        <v>7</v>
      </c>
      <c r="C93" s="3">
        <f t="shared" ref="C93:L103" si="32">+C61-C77</f>
        <v>195.52489200649569</v>
      </c>
      <c r="D93" s="3">
        <f t="shared" si="32"/>
        <v>15.837542279711489</v>
      </c>
      <c r="E93" s="3">
        <f t="shared" si="32"/>
        <v>110.78905226618228</v>
      </c>
      <c r="F93" s="3">
        <f t="shared" si="32"/>
        <v>4.4940273354645583</v>
      </c>
      <c r="G93" s="3">
        <f t="shared" si="32"/>
        <v>14.145775232577151</v>
      </c>
      <c r="H93" s="3">
        <f t="shared" si="32"/>
        <v>56.821683462596781</v>
      </c>
      <c r="I93" s="3">
        <f t="shared" si="32"/>
        <v>0.38606991588450362</v>
      </c>
      <c r="J93" s="3">
        <f t="shared" si="32"/>
        <v>11.707895539014329</v>
      </c>
      <c r="K93" s="3">
        <f t="shared" si="32"/>
        <v>4.107957419580055</v>
      </c>
      <c r="L93" s="3">
        <f t="shared" si="32"/>
        <v>5.6739264042351767</v>
      </c>
      <c r="M93" s="7">
        <f t="shared" si="31"/>
        <v>419.488821861742</v>
      </c>
      <c r="N93" s="3"/>
      <c r="O93" s="7"/>
    </row>
    <row r="94" spans="1:17" x14ac:dyDescent="0.25">
      <c r="A94" t="s">
        <v>8</v>
      </c>
      <c r="C94" s="3">
        <f t="shared" si="32"/>
        <v>166.58266190782817</v>
      </c>
      <c r="D94" s="3">
        <f t="shared" si="32"/>
        <v>26.946812555893668</v>
      </c>
      <c r="E94" s="3">
        <f t="shared" si="32"/>
        <v>115.7645825304466</v>
      </c>
      <c r="F94" s="3">
        <f t="shared" si="32"/>
        <v>4.9191380293598552</v>
      </c>
      <c r="G94" s="3">
        <f t="shared" si="32"/>
        <v>11.170000375310076</v>
      </c>
      <c r="H94" s="3">
        <f t="shared" si="32"/>
        <v>61.350413711848709</v>
      </c>
      <c r="I94" s="3">
        <f t="shared" si="32"/>
        <v>12.293507209176216</v>
      </c>
      <c r="J94" s="3">
        <f t="shared" si="32"/>
        <v>4.5981360768266724</v>
      </c>
      <c r="K94" s="3">
        <f t="shared" si="32"/>
        <v>3.3575069089281557</v>
      </c>
      <c r="L94" s="3">
        <f t="shared" si="32"/>
        <v>2.3077437668601788</v>
      </c>
      <c r="M94" s="7">
        <f t="shared" si="31"/>
        <v>409.29050307247826</v>
      </c>
      <c r="N94" s="3"/>
      <c r="O94" s="7"/>
    </row>
    <row r="95" spans="1:17" x14ac:dyDescent="0.25">
      <c r="A95" t="s">
        <v>9</v>
      </c>
      <c r="C95" s="3">
        <f t="shared" si="32"/>
        <v>180.1167982849029</v>
      </c>
      <c r="D95" s="3">
        <f t="shared" si="32"/>
        <v>23.853915364594215</v>
      </c>
      <c r="E95" s="3">
        <f t="shared" si="32"/>
        <v>114.5673320047823</v>
      </c>
      <c r="F95" s="3">
        <f t="shared" si="32"/>
        <v>5.4483574646172643</v>
      </c>
      <c r="G95" s="3">
        <f t="shared" si="32"/>
        <v>11.477988735172994</v>
      </c>
      <c r="H95" s="3">
        <f t="shared" si="32"/>
        <v>67.562235279788112</v>
      </c>
      <c r="I95" s="3">
        <f t="shared" si="32"/>
        <v>15.199876238868546</v>
      </c>
      <c r="J95" s="3">
        <f t="shared" si="32"/>
        <v>4.5937982126032502</v>
      </c>
      <c r="K95" s="3">
        <f t="shared" si="32"/>
        <v>2.1906214328278009</v>
      </c>
      <c r="L95" s="3">
        <f t="shared" si="32"/>
        <v>2.8629903874581162</v>
      </c>
      <c r="M95" s="7">
        <f t="shared" si="31"/>
        <v>427.87391340561555</v>
      </c>
      <c r="N95" s="3"/>
      <c r="O95" s="7"/>
    </row>
    <row r="96" spans="1:17" x14ac:dyDescent="0.25">
      <c r="A96" t="s">
        <v>10</v>
      </c>
      <c r="C96" s="3">
        <f t="shared" si="32"/>
        <v>161.48133358108461</v>
      </c>
      <c r="D96" s="3">
        <f t="shared" si="32"/>
        <v>34.902455541648493</v>
      </c>
      <c r="E96" s="3">
        <f t="shared" si="32"/>
        <v>101.60145584097575</v>
      </c>
      <c r="F96" s="3">
        <f t="shared" si="32"/>
        <v>5.5698176628730627</v>
      </c>
      <c r="G96" s="3">
        <f t="shared" si="32"/>
        <v>14.605588840259815</v>
      </c>
      <c r="H96" s="3">
        <f t="shared" si="32"/>
        <v>66.742378941561483</v>
      </c>
      <c r="I96" s="3">
        <f t="shared" si="32"/>
        <v>17.347119029462135</v>
      </c>
      <c r="J96" s="3">
        <f t="shared" si="32"/>
        <v>5.1273555120840806</v>
      </c>
      <c r="K96" s="3">
        <f t="shared" si="32"/>
        <v>3.1362758335336638</v>
      </c>
      <c r="L96" s="3">
        <f t="shared" si="32"/>
        <v>2.2253243466151722</v>
      </c>
      <c r="M96" s="7">
        <f t="shared" si="31"/>
        <v>412.73910513009827</v>
      </c>
      <c r="N96" s="3"/>
      <c r="O96" s="7"/>
    </row>
    <row r="97" spans="1:15" x14ac:dyDescent="0.25">
      <c r="A97" t="s">
        <v>11</v>
      </c>
      <c r="C97" s="3">
        <f t="shared" si="32"/>
        <v>165.05139583696041</v>
      </c>
      <c r="D97" s="3">
        <f t="shared" si="32"/>
        <v>36.69399346592153</v>
      </c>
      <c r="E97" s="3">
        <f t="shared" si="32"/>
        <v>75.53522972243664</v>
      </c>
      <c r="F97" s="3">
        <f t="shared" si="32"/>
        <v>7.7734526883711288</v>
      </c>
      <c r="G97" s="3">
        <f t="shared" si="32"/>
        <v>10.983472213702955</v>
      </c>
      <c r="H97" s="3">
        <f t="shared" si="32"/>
        <v>54.474898917725803</v>
      </c>
      <c r="I97" s="3">
        <f t="shared" si="32"/>
        <v>11.469313006726152</v>
      </c>
      <c r="J97" s="3">
        <f t="shared" si="32"/>
        <v>3.6177787623334381</v>
      </c>
      <c r="K97" s="3">
        <f t="shared" si="32"/>
        <v>5.1750720185417158</v>
      </c>
      <c r="L97" s="3">
        <f t="shared" si="32"/>
        <v>0.72008546108795046</v>
      </c>
      <c r="M97" s="7">
        <f t="shared" si="31"/>
        <v>371.49469209380771</v>
      </c>
      <c r="N97" s="3"/>
      <c r="O97" s="7"/>
    </row>
    <row r="98" spans="1:15" x14ac:dyDescent="0.25">
      <c r="A98" t="s">
        <v>12</v>
      </c>
      <c r="C98" s="3">
        <f t="shared" si="32"/>
        <v>136.28701817145321</v>
      </c>
      <c r="D98" s="3">
        <f t="shared" si="32"/>
        <v>36.93691386243313</v>
      </c>
      <c r="E98" s="3">
        <f t="shared" si="32"/>
        <v>150.46749631781773</v>
      </c>
      <c r="F98" s="3">
        <f t="shared" si="32"/>
        <v>5.708629318022548</v>
      </c>
      <c r="G98" s="3">
        <f t="shared" si="32"/>
        <v>17.629080203984525</v>
      </c>
      <c r="H98" s="3">
        <f t="shared" si="32"/>
        <v>72.242790776859806</v>
      </c>
      <c r="I98" s="3">
        <f t="shared" si="32"/>
        <v>10.679821718063462</v>
      </c>
      <c r="J98" s="3">
        <f t="shared" si="32"/>
        <v>5.0232467707219692</v>
      </c>
      <c r="K98" s="3">
        <f t="shared" si="32"/>
        <v>1.9086602583054113</v>
      </c>
      <c r="L98" s="3">
        <f t="shared" si="32"/>
        <v>2.4118525082222919</v>
      </c>
      <c r="M98" s="7">
        <f t="shared" si="31"/>
        <v>439.2955099058841</v>
      </c>
      <c r="N98" s="3"/>
      <c r="O98" s="7"/>
    </row>
    <row r="99" spans="1:15" x14ac:dyDescent="0.25">
      <c r="A99" t="s">
        <v>52</v>
      </c>
      <c r="C99" s="3">
        <f t="shared" si="32"/>
        <v>186.84482569542948</v>
      </c>
      <c r="D99" s="3">
        <f t="shared" si="32"/>
        <v>9.3350838088028283</v>
      </c>
      <c r="E99" s="3">
        <f t="shared" si="32"/>
        <v>147.99491371046753</v>
      </c>
      <c r="F99" s="3">
        <f t="shared" si="32"/>
        <v>4.9148001651364339</v>
      </c>
      <c r="G99" s="3">
        <f t="shared" si="32"/>
        <v>10.970458621032691</v>
      </c>
      <c r="H99" s="3">
        <f t="shared" si="32"/>
        <v>67.07639448676494</v>
      </c>
      <c r="I99" s="3">
        <f t="shared" si="32"/>
        <v>12.740307224188619</v>
      </c>
      <c r="J99" s="3">
        <f t="shared" si="32"/>
        <v>4.8757593871256413</v>
      </c>
      <c r="K99" s="3">
        <f t="shared" si="32"/>
        <v>2.5940428056059908</v>
      </c>
      <c r="L99" s="3">
        <f t="shared" si="32"/>
        <v>0.86323498046085634</v>
      </c>
      <c r="M99" s="7">
        <f t="shared" si="31"/>
        <v>448.20982088501495</v>
      </c>
      <c r="N99" s="3"/>
      <c r="O99" s="7"/>
    </row>
    <row r="100" spans="1:15" x14ac:dyDescent="0.25">
      <c r="A100" t="s">
        <v>15</v>
      </c>
      <c r="C100" s="3">
        <f t="shared" si="32"/>
        <v>149.18782637190839</v>
      </c>
      <c r="D100" s="3">
        <f t="shared" si="32"/>
        <v>7.4654643285082098</v>
      </c>
      <c r="E100" s="3">
        <f t="shared" si="32"/>
        <v>108.01281916319257</v>
      </c>
      <c r="F100" s="3">
        <f t="shared" si="32"/>
        <v>3.7479146890360799</v>
      </c>
      <c r="G100" s="3">
        <f t="shared" si="32"/>
        <v>9.5216119704099462</v>
      </c>
      <c r="H100" s="3">
        <f t="shared" si="32"/>
        <v>67.158813907009929</v>
      </c>
      <c r="I100" s="3">
        <f t="shared" si="32"/>
        <v>11.846707194163811</v>
      </c>
      <c r="J100" s="3">
        <f t="shared" si="32"/>
        <v>4.4940273354645575</v>
      </c>
      <c r="K100" s="3">
        <f t="shared" si="32"/>
        <v>2.5636777560420407</v>
      </c>
      <c r="L100" s="3">
        <f t="shared" si="32"/>
        <v>1.6440505406767065</v>
      </c>
      <c r="M100" s="7">
        <f t="shared" si="31"/>
        <v>365.64291325641221</v>
      </c>
      <c r="N100" s="3"/>
      <c r="O100" s="7"/>
    </row>
    <row r="101" spans="1:15" x14ac:dyDescent="0.25">
      <c r="A101" t="s">
        <v>13</v>
      </c>
      <c r="C101" s="3">
        <f t="shared" si="32"/>
        <v>173.07644465028997</v>
      </c>
      <c r="D101" s="3">
        <f t="shared" si="32"/>
        <v>6.52848565624919</v>
      </c>
      <c r="E101" s="3">
        <f t="shared" si="32"/>
        <v>121.20426426661702</v>
      </c>
      <c r="F101" s="3">
        <f t="shared" si="32"/>
        <v>3.9561321717603057</v>
      </c>
      <c r="G101" s="3">
        <f t="shared" si="32"/>
        <v>9.5302876988567888</v>
      </c>
      <c r="H101" s="3">
        <f t="shared" si="32"/>
        <v>54.474898917725788</v>
      </c>
      <c r="I101" s="3">
        <f t="shared" si="32"/>
        <v>12.480035370783334</v>
      </c>
      <c r="J101" s="3">
        <f t="shared" si="32"/>
        <v>4.723934139305892</v>
      </c>
      <c r="K101" s="3">
        <f t="shared" si="32"/>
        <v>2.9497476719265441</v>
      </c>
      <c r="L101" s="3">
        <f t="shared" si="32"/>
        <v>1.778524331602769</v>
      </c>
      <c r="M101" s="7">
        <f t="shared" si="31"/>
        <v>390.70275487511765</v>
      </c>
      <c r="N101" s="3"/>
      <c r="O101" s="7"/>
    </row>
    <row r="102" spans="1:15" x14ac:dyDescent="0.25">
      <c r="A102" t="s">
        <v>14</v>
      </c>
      <c r="C102" s="3">
        <f t="shared" si="32"/>
        <v>168.13995516403642</v>
      </c>
      <c r="D102" s="3">
        <f t="shared" si="32"/>
        <v>5.235802117669615</v>
      </c>
      <c r="E102" s="3">
        <f t="shared" si="32"/>
        <v>108.82833763719577</v>
      </c>
      <c r="F102" s="3">
        <f t="shared" si="32"/>
        <v>4.5634331630393001</v>
      </c>
      <c r="G102" s="3">
        <f t="shared" si="32"/>
        <v>9.2873673023451921</v>
      </c>
      <c r="H102" s="3">
        <f t="shared" si="32"/>
        <v>55.87602906189089</v>
      </c>
      <c r="I102" s="3">
        <f t="shared" si="32"/>
        <v>12.666563532390454</v>
      </c>
      <c r="J102" s="3">
        <f t="shared" si="32"/>
        <v>4.1296467406971606</v>
      </c>
      <c r="K102" s="3">
        <f t="shared" si="32"/>
        <v>2.7458680534257387</v>
      </c>
      <c r="L102" s="3">
        <f t="shared" si="32"/>
        <v>1.5356039350911712</v>
      </c>
      <c r="M102" s="7">
        <f t="shared" si="31"/>
        <v>373.00860670778172</v>
      </c>
      <c r="N102" s="3"/>
      <c r="O102" s="7"/>
    </row>
    <row r="103" spans="1:15" ht="15" x14ac:dyDescent="0.4">
      <c r="A103" t="s">
        <v>2</v>
      </c>
      <c r="C103" s="14">
        <f t="shared" si="32"/>
        <v>183.61311684898052</v>
      </c>
      <c r="D103" s="14">
        <f t="shared" si="32"/>
        <v>4.0559030488989976</v>
      </c>
      <c r="E103" s="14">
        <f t="shared" si="32"/>
        <v>103.35395298723799</v>
      </c>
      <c r="F103" s="14">
        <f t="shared" si="32"/>
        <v>4.7282720035293142</v>
      </c>
      <c r="G103" s="14">
        <f t="shared" si="32"/>
        <v>9.2873673023451921</v>
      </c>
      <c r="H103" s="14">
        <f t="shared" si="32"/>
        <v>55.056172723664261</v>
      </c>
      <c r="I103" s="14">
        <f t="shared" si="32"/>
        <v>12.831402372880465</v>
      </c>
      <c r="J103" s="14">
        <f t="shared" si="32"/>
        <v>4.1383224691440041</v>
      </c>
      <c r="K103" s="14">
        <f t="shared" si="32"/>
        <v>2.8282874736707453</v>
      </c>
      <c r="L103" s="14">
        <f t="shared" si="32"/>
        <v>1.8175651096135619</v>
      </c>
      <c r="M103" s="8">
        <f t="shared" si="31"/>
        <v>381.710362339965</v>
      </c>
      <c r="N103" s="14"/>
      <c r="O103" s="8"/>
    </row>
    <row r="104" spans="1:15" ht="15" x14ac:dyDescent="0.4">
      <c r="C104" s="25">
        <f>SUM(C92:C103)</f>
        <v>2083.7711612764856</v>
      </c>
      <c r="D104" s="25">
        <f t="shared" ref="D104" si="33">SUM(D92:D103)</f>
        <v>228.45795719071083</v>
      </c>
      <c r="E104" s="25">
        <f t="shared" ref="E104" si="34">SUM(E92:E103)</f>
        <v>1390.2377671000972</v>
      </c>
      <c r="F104" s="25">
        <f t="shared" ref="F104" si="35">SUM(F92:F103)</f>
        <v>58.608883522646387</v>
      </c>
      <c r="G104" s="25">
        <f t="shared" ref="G104" si="36">SUM(G92:G103)</f>
        <v>140.61620666642773</v>
      </c>
      <c r="H104" s="25">
        <f t="shared" ref="H104" si="37">SUM(H92:H103)</f>
        <v>744.97612600194248</v>
      </c>
      <c r="I104" s="25">
        <f t="shared" ref="I104" si="38">SUM(I92:I103)</f>
        <v>141.8481601058794</v>
      </c>
      <c r="J104" s="25">
        <f t="shared" ref="J104" si="39">SUM(J92:J103)</f>
        <v>60.122798136620446</v>
      </c>
      <c r="K104" s="25">
        <f t="shared" ref="K104" si="40">SUM(K92:K103)</f>
        <v>36.537830353878356</v>
      </c>
      <c r="L104" s="25">
        <f t="shared" ref="L104" si="41">SUM(L92:L103)</f>
        <v>24.409161985192149</v>
      </c>
      <c r="M104" s="9">
        <f>SUM(M92:M103)</f>
        <v>4909.5860523398806</v>
      </c>
      <c r="N104" s="9"/>
      <c r="O104" s="9"/>
    </row>
    <row r="105" spans="1:15" x14ac:dyDescent="0.2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15" x14ac:dyDescent="0.25"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</row>
    <row r="107" spans="1:15" x14ac:dyDescent="0.25">
      <c r="C107" s="182" t="s">
        <v>55</v>
      </c>
      <c r="D107" s="182"/>
      <c r="E107" s="182"/>
      <c r="F107" s="182"/>
      <c r="G107" s="182"/>
      <c r="H107" s="182"/>
      <c r="I107" s="182"/>
      <c r="J107" s="182"/>
      <c r="K107" s="182"/>
      <c r="L107" s="182"/>
    </row>
    <row r="108" spans="1:15" x14ac:dyDescent="0.25">
      <c r="C108" s="36" t="s">
        <v>56</v>
      </c>
      <c r="D108" s="36" t="s">
        <v>57</v>
      </c>
      <c r="E108" s="36"/>
      <c r="F108" s="36" t="s">
        <v>58</v>
      </c>
      <c r="G108" s="36" t="s">
        <v>59</v>
      </c>
      <c r="H108" s="36"/>
      <c r="I108" s="36"/>
      <c r="J108" s="36" t="s">
        <v>0</v>
      </c>
      <c r="K108" s="36" t="s">
        <v>0</v>
      </c>
      <c r="L108" s="36" t="s">
        <v>60</v>
      </c>
    </row>
    <row r="109" spans="1:15" x14ac:dyDescent="0.25">
      <c r="C109" s="37" t="s">
        <v>61</v>
      </c>
      <c r="D109" s="37" t="s">
        <v>62</v>
      </c>
      <c r="E109" s="37" t="s">
        <v>24</v>
      </c>
      <c r="F109" s="37" t="s">
        <v>22</v>
      </c>
      <c r="G109" s="37" t="s">
        <v>23</v>
      </c>
      <c r="H109" s="37" t="s">
        <v>16</v>
      </c>
      <c r="I109" s="37" t="s">
        <v>1</v>
      </c>
      <c r="J109" s="37" t="s">
        <v>63</v>
      </c>
      <c r="K109" s="37" t="s">
        <v>64</v>
      </c>
      <c r="L109" s="37" t="s">
        <v>65</v>
      </c>
      <c r="M109" s="43" t="s">
        <v>3</v>
      </c>
    </row>
    <row r="110" spans="1:15" x14ac:dyDescent="0.25">
      <c r="A110" s="4" t="s">
        <v>73</v>
      </c>
    </row>
    <row r="111" spans="1:15" x14ac:dyDescent="0.25">
      <c r="A111" t="s">
        <v>51</v>
      </c>
      <c r="C111" s="11">
        <f t="shared" ref="C111:L111" si="42">+C76*C42</f>
        <v>209.21304051273188</v>
      </c>
      <c r="D111" s="11">
        <f t="shared" si="42"/>
        <v>13.368037071493688</v>
      </c>
      <c r="E111" s="11">
        <f t="shared" si="42"/>
        <v>143.11052256498772</v>
      </c>
      <c r="F111" s="11">
        <f t="shared" si="42"/>
        <v>44.604246796785432</v>
      </c>
      <c r="G111" s="11">
        <f t="shared" si="42"/>
        <v>17.348180835189087</v>
      </c>
      <c r="H111" s="11">
        <f t="shared" si="42"/>
        <v>-39.568665064794772</v>
      </c>
      <c r="I111" s="11">
        <f t="shared" si="42"/>
        <v>46.822251451226954</v>
      </c>
      <c r="J111" s="11">
        <f t="shared" si="42"/>
        <v>25.770440221503875</v>
      </c>
      <c r="K111" s="11">
        <f t="shared" si="42"/>
        <v>15.194523897141726</v>
      </c>
      <c r="L111" s="11">
        <f t="shared" si="42"/>
        <v>-1.8675340843430657E-2</v>
      </c>
      <c r="M111" s="11">
        <f t="shared" ref="M111:M122" si="43">SUM(C111:L111)</f>
        <v>475.8439029454222</v>
      </c>
    </row>
    <row r="112" spans="1:15" x14ac:dyDescent="0.25">
      <c r="A112" t="s">
        <v>7</v>
      </c>
      <c r="C112" s="11">
        <f t="shared" ref="C112:L112" si="44">+C77*C43</f>
        <v>196.32786316993611</v>
      </c>
      <c r="D112" s="11">
        <f t="shared" si="44"/>
        <v>12.928872888374309</v>
      </c>
      <c r="E112" s="11">
        <f t="shared" si="44"/>
        <v>132.98067744865997</v>
      </c>
      <c r="F112" s="11">
        <f t="shared" si="44"/>
        <v>72.199730663017718</v>
      </c>
      <c r="G112" s="11">
        <f t="shared" si="44"/>
        <v>19.793367922194122</v>
      </c>
      <c r="H112" s="11">
        <f t="shared" si="44"/>
        <v>-33.440969074878311</v>
      </c>
      <c r="I112" s="11">
        <f t="shared" si="44"/>
        <v>1.3042240285685649</v>
      </c>
      <c r="J112" s="11">
        <f t="shared" si="44"/>
        <v>117.55463872499877</v>
      </c>
      <c r="K112" s="11">
        <f t="shared" si="44"/>
        <v>26.234012552386162</v>
      </c>
      <c r="L112" s="11">
        <f t="shared" si="44"/>
        <v>-0.18646828872677329</v>
      </c>
      <c r="M112" s="11">
        <f t="shared" si="43"/>
        <v>545.6959500345306</v>
      </c>
    </row>
    <row r="113" spans="1:13" x14ac:dyDescent="0.25">
      <c r="A113" t="s">
        <v>8</v>
      </c>
      <c r="C113" s="11">
        <f t="shared" ref="C113:L113" si="45">+C78*C44</f>
        <v>179.84006811779068</v>
      </c>
      <c r="D113" s="11">
        <f t="shared" si="45"/>
        <v>24.087825275476654</v>
      </c>
      <c r="E113" s="11">
        <f t="shared" si="45"/>
        <v>147.47490077454771</v>
      </c>
      <c r="F113" s="11">
        <f t="shared" si="45"/>
        <v>84.99479497184862</v>
      </c>
      <c r="G113" s="11">
        <f t="shared" si="45"/>
        <v>16.007642059871035</v>
      </c>
      <c r="H113" s="11">
        <f t="shared" si="45"/>
        <v>-36.469177106394881</v>
      </c>
      <c r="I113" s="11">
        <f t="shared" si="45"/>
        <v>41.442473576031624</v>
      </c>
      <c r="J113" s="11">
        <f t="shared" si="45"/>
        <v>48.549727607237003</v>
      </c>
      <c r="K113" s="11">
        <f t="shared" si="45"/>
        <v>25.873937724939445</v>
      </c>
      <c r="L113" s="11">
        <f t="shared" si="45"/>
        <v>-7.5841842203855814E-2</v>
      </c>
      <c r="M113" s="11">
        <f t="shared" si="43"/>
        <v>531.72635115914397</v>
      </c>
    </row>
    <row r="114" spans="1:13" x14ac:dyDescent="0.25">
      <c r="A114" t="s">
        <v>9</v>
      </c>
      <c r="C114" s="11">
        <f t="shared" ref="C114:L114" si="46">+C79*C45</f>
        <v>194.88539980156906</v>
      </c>
      <c r="D114" s="11">
        <f t="shared" si="46"/>
        <v>17.769230412889851</v>
      </c>
      <c r="E114" s="11">
        <f t="shared" si="46"/>
        <v>146.41406680831736</v>
      </c>
      <c r="F114" s="11">
        <f t="shared" si="46"/>
        <v>92.740434879418089</v>
      </c>
      <c r="G114" s="11">
        <f t="shared" si="46"/>
        <v>19.480555963066656</v>
      </c>
      <c r="H114" s="11">
        <f t="shared" si="46"/>
        <v>-39.958328665090271</v>
      </c>
      <c r="I114" s="11">
        <f t="shared" si="46"/>
        <v>52.617131307023925</v>
      </c>
      <c r="J114" s="11">
        <f t="shared" si="46"/>
        <v>46.866898346229597</v>
      </c>
      <c r="K114" s="11">
        <f t="shared" si="46"/>
        <v>15.493314619451724</v>
      </c>
      <c r="L114" s="11">
        <f t="shared" si="46"/>
        <v>-9.408950348598652E-2</v>
      </c>
      <c r="M114" s="11">
        <f t="shared" si="43"/>
        <v>546.21461396939003</v>
      </c>
    </row>
    <row r="115" spans="1:13" x14ac:dyDescent="0.25">
      <c r="A115" t="s">
        <v>10</v>
      </c>
      <c r="C115" s="11">
        <f t="shared" ref="C115:L115" si="47">+C80*C46</f>
        <v>175.99559191413184</v>
      </c>
      <c r="D115" s="11">
        <f t="shared" si="47"/>
        <v>33.439939861575617</v>
      </c>
      <c r="E115" s="11">
        <f t="shared" si="47"/>
        <v>127.9518938134259</v>
      </c>
      <c r="F115" s="11">
        <f t="shared" si="47"/>
        <v>89.733838059489273</v>
      </c>
      <c r="G115" s="11">
        <f t="shared" si="47"/>
        <v>25.198348953936868</v>
      </c>
      <c r="H115" s="11">
        <f t="shared" si="47"/>
        <v>-39.733796895407806</v>
      </c>
      <c r="I115" s="11">
        <f t="shared" si="47"/>
        <v>50.668308168464584</v>
      </c>
      <c r="J115" s="11">
        <f t="shared" si="47"/>
        <v>53.620213801293872</v>
      </c>
      <c r="K115" s="11">
        <f t="shared" si="47"/>
        <v>21.585768686806546</v>
      </c>
      <c r="L115" s="11">
        <f t="shared" si="47"/>
        <v>-7.3133204982289507E-2</v>
      </c>
      <c r="M115" s="11">
        <f t="shared" si="43"/>
        <v>538.38697315873446</v>
      </c>
    </row>
    <row r="116" spans="1:13" x14ac:dyDescent="0.25">
      <c r="A116" t="s">
        <v>11</v>
      </c>
      <c r="C116" s="11">
        <f t="shared" ref="C116:L116" si="48">+C81*C47</f>
        <v>151.95159999209233</v>
      </c>
      <c r="D116" s="11">
        <f t="shared" si="48"/>
        <v>25.850772223901878</v>
      </c>
      <c r="E116" s="11">
        <f t="shared" si="48"/>
        <v>99.436458380450631</v>
      </c>
      <c r="F116" s="11">
        <f t="shared" si="48"/>
        <v>72.159281680509011</v>
      </c>
      <c r="G116" s="11">
        <f t="shared" si="48"/>
        <v>18.288718520015511</v>
      </c>
      <c r="H116" s="11">
        <f t="shared" si="48"/>
        <v>-32.798261734147012</v>
      </c>
      <c r="I116" s="11">
        <f t="shared" si="48"/>
        <v>47.82214393116913</v>
      </c>
      <c r="J116" s="11">
        <f t="shared" si="48"/>
        <v>30.925757131744124</v>
      </c>
      <c r="K116" s="11">
        <f t="shared" si="48"/>
        <v>34.267624314963292</v>
      </c>
      <c r="L116" s="11">
        <f t="shared" si="48"/>
        <v>-2.3664935725263278E-2</v>
      </c>
      <c r="M116" s="11">
        <f t="shared" si="43"/>
        <v>447.88042950497368</v>
      </c>
    </row>
    <row r="117" spans="1:13" x14ac:dyDescent="0.25">
      <c r="A117" t="s">
        <v>12</v>
      </c>
      <c r="C117" s="11">
        <f t="shared" ref="C117:L117" si="49">+C82*C48</f>
        <v>129.94913835671613</v>
      </c>
      <c r="D117" s="11">
        <f t="shared" si="49"/>
        <v>31.484445872259027</v>
      </c>
      <c r="E117" s="11">
        <f t="shared" si="49"/>
        <v>185.04091389332893</v>
      </c>
      <c r="F117" s="11">
        <f t="shared" si="49"/>
        <v>102.19549858871513</v>
      </c>
      <c r="G117" s="11">
        <f t="shared" si="49"/>
        <v>29.767683564459073</v>
      </c>
      <c r="H117" s="11">
        <f t="shared" si="49"/>
        <v>-43.028116653955443</v>
      </c>
      <c r="I117" s="11">
        <f t="shared" si="49"/>
        <v>25.977374402837395</v>
      </c>
      <c r="J117" s="11">
        <f t="shared" si="49"/>
        <v>39.2427417684464</v>
      </c>
      <c r="K117" s="11">
        <f t="shared" si="49"/>
        <v>12.16389101066834</v>
      </c>
      <c r="L117" s="11">
        <f t="shared" si="49"/>
        <v>-7.9263278694255312E-2</v>
      </c>
      <c r="M117" s="11">
        <f t="shared" si="43"/>
        <v>512.71430752478068</v>
      </c>
    </row>
    <row r="118" spans="1:13" x14ac:dyDescent="0.25">
      <c r="A118" t="s">
        <v>52</v>
      </c>
      <c r="C118" s="11">
        <f t="shared" ref="C118:L118" si="50">+C83*C49</f>
        <v>167.47137372040314</v>
      </c>
      <c r="D118" s="11">
        <f t="shared" si="50"/>
        <v>4.0015486505389477</v>
      </c>
      <c r="E118" s="11">
        <f t="shared" si="50"/>
        <v>149.80240755346543</v>
      </c>
      <c r="F118" s="11">
        <f t="shared" si="50"/>
        <v>87.94135033336606</v>
      </c>
      <c r="G118" s="11">
        <f t="shared" si="50"/>
        <v>17.543578122756774</v>
      </c>
      <c r="H118" s="11">
        <f t="shared" si="50"/>
        <v>-39.825272801574734</v>
      </c>
      <c r="I118" s="11">
        <f t="shared" si="50"/>
        <v>30.135111629163074</v>
      </c>
      <c r="J118" s="11">
        <f t="shared" si="50"/>
        <v>29.032323723567757</v>
      </c>
      <c r="K118" s="11">
        <f t="shared" si="50"/>
        <v>13.907530127698914</v>
      </c>
      <c r="L118" s="11">
        <f t="shared" si="50"/>
        <v>-0.28463975602561142</v>
      </c>
      <c r="M118" s="11">
        <f t="shared" si="43"/>
        <v>459.72531130335977</v>
      </c>
    </row>
    <row r="119" spans="1:13" x14ac:dyDescent="0.25">
      <c r="A119" t="s">
        <v>15</v>
      </c>
      <c r="C119" s="11">
        <f t="shared" ref="C119:L119" si="51">+C84*C50</f>
        <v>121.08574365970388</v>
      </c>
      <c r="D119" s="11">
        <f t="shared" si="51"/>
        <v>1.506421421160925</v>
      </c>
      <c r="E119" s="11">
        <f t="shared" si="51"/>
        <v>93.216181821812043</v>
      </c>
      <c r="F119" s="11">
        <f t="shared" si="51"/>
        <v>62.507591817704807</v>
      </c>
      <c r="G119" s="11">
        <f t="shared" si="51"/>
        <v>14.878249634365782</v>
      </c>
      <c r="H119" s="11">
        <f t="shared" si="51"/>
        <v>-39.84784477842112</v>
      </c>
      <c r="I119" s="11">
        <f t="shared" si="51"/>
        <v>21.478091328458547</v>
      </c>
      <c r="J119" s="11">
        <f t="shared" si="51"/>
        <v>20.676881190314365</v>
      </c>
      <c r="K119" s="11">
        <f t="shared" si="51"/>
        <v>7.7793486601921185</v>
      </c>
      <c r="L119" s="11">
        <f t="shared" si="51"/>
        <v>-0.26798971550469231</v>
      </c>
      <c r="M119" s="11">
        <f t="shared" si="43"/>
        <v>303.01267503978664</v>
      </c>
    </row>
    <row r="120" spans="1:13" x14ac:dyDescent="0.25">
      <c r="A120" t="s">
        <v>13</v>
      </c>
      <c r="C120" s="11">
        <f t="shared" ref="C120:L120" si="52">+C85*C51</f>
        <v>137.99077338786324</v>
      </c>
      <c r="D120" s="11">
        <f t="shared" si="52"/>
        <v>1.3202135417670318</v>
      </c>
      <c r="E120" s="11">
        <f t="shared" si="52"/>
        <v>100.55088297170941</v>
      </c>
      <c r="F120" s="11">
        <f t="shared" si="52"/>
        <v>59.010153818065206</v>
      </c>
      <c r="G120" s="11">
        <f t="shared" si="52"/>
        <v>10.32424781131569</v>
      </c>
      <c r="H120" s="11">
        <f t="shared" si="52"/>
        <v>-32.798261734147012</v>
      </c>
      <c r="I120" s="11">
        <f t="shared" si="52"/>
        <v>22.138243718495271</v>
      </c>
      <c r="J120" s="11">
        <f t="shared" si="52"/>
        <v>25.304854470286902</v>
      </c>
      <c r="K120" s="11">
        <f t="shared" si="52"/>
        <v>15.097221569751349</v>
      </c>
      <c r="L120" s="11">
        <f t="shared" si="52"/>
        <v>-0.13599259650312939</v>
      </c>
      <c r="M120" s="11">
        <f t="shared" si="43"/>
        <v>338.80233695860397</v>
      </c>
    </row>
    <row r="121" spans="1:13" x14ac:dyDescent="0.25">
      <c r="A121" t="s">
        <v>14</v>
      </c>
      <c r="C121" s="11">
        <f t="shared" ref="C121:L121" si="53">+C86*C52</f>
        <v>139.41498766934961</v>
      </c>
      <c r="D121" s="11">
        <f t="shared" si="53"/>
        <v>1.2584033907699144</v>
      </c>
      <c r="E121" s="11">
        <f t="shared" si="53"/>
        <v>93.800764658965591</v>
      </c>
      <c r="F121" s="11">
        <f t="shared" si="53"/>
        <v>69.832912054024803</v>
      </c>
      <c r="G121" s="11">
        <f t="shared" si="53"/>
        <v>10.174021563812985</v>
      </c>
      <c r="H121" s="11">
        <f t="shared" si="53"/>
        <v>-33.181985340535569</v>
      </c>
      <c r="I121" s="11">
        <f t="shared" si="53"/>
        <v>19.703672588600728</v>
      </c>
      <c r="J121" s="11">
        <f t="shared" si="53"/>
        <v>27.460069112336416</v>
      </c>
      <c r="K121" s="11">
        <f t="shared" si="53"/>
        <v>17.981600401447487</v>
      </c>
      <c r="L121" s="11">
        <f t="shared" si="53"/>
        <v>0.11775443921124977</v>
      </c>
      <c r="M121" s="11">
        <f t="shared" si="43"/>
        <v>346.56220053798324</v>
      </c>
    </row>
    <row r="122" spans="1:13" ht="15" x14ac:dyDescent="0.4">
      <c r="A122" t="s">
        <v>2</v>
      </c>
      <c r="C122" s="12">
        <f t="shared" ref="C122:L122" si="54">+C87*C53</f>
        <v>155.84517000779232</v>
      </c>
      <c r="D122" s="12">
        <f t="shared" si="54"/>
        <v>0.96593329717641352</v>
      </c>
      <c r="E122" s="12">
        <f t="shared" si="54"/>
        <v>101.26489447449913</v>
      </c>
      <c r="F122" s="12">
        <f t="shared" si="54"/>
        <v>57.308438702830344</v>
      </c>
      <c r="G122" s="12">
        <f t="shared" si="54"/>
        <v>10.287970605327692</v>
      </c>
      <c r="H122" s="12">
        <f t="shared" si="54"/>
        <v>-32.957453570853104</v>
      </c>
      <c r="I122" s="12">
        <f t="shared" si="54"/>
        <v>28.253367178596548</v>
      </c>
      <c r="J122" s="12">
        <f t="shared" si="54"/>
        <v>31.597821347962068</v>
      </c>
      <c r="K122" s="12">
        <f t="shared" si="54"/>
        <v>19.271431111980259</v>
      </c>
      <c r="L122" s="12">
        <f t="shared" si="54"/>
        <v>0.13937601703252447</v>
      </c>
      <c r="M122" s="12">
        <f t="shared" si="43"/>
        <v>371.97694917234418</v>
      </c>
    </row>
    <row r="123" spans="1:13" ht="15" x14ac:dyDescent="0.4">
      <c r="C123" s="13">
        <f>SUM(C111:C122)</f>
        <v>1959.9707503100801</v>
      </c>
      <c r="D123" s="13">
        <f t="shared" ref="D123" si="55">SUM(D111:D122)</f>
        <v>167.98164390738427</v>
      </c>
      <c r="E123" s="13">
        <f t="shared" ref="E123" si="56">SUM(E111:E122)</f>
        <v>1521.0445651641699</v>
      </c>
      <c r="F123" s="13">
        <f t="shared" ref="F123" si="57">SUM(F111:F122)</f>
        <v>895.22827236577439</v>
      </c>
      <c r="G123" s="13">
        <f t="shared" ref="G123" si="58">SUM(G111:G122)</f>
        <v>209.09256555631129</v>
      </c>
      <c r="H123" s="13">
        <f t="shared" ref="H123" si="59">SUM(H111:H122)</f>
        <v>-443.60813342019998</v>
      </c>
      <c r="I123" s="13">
        <f t="shared" ref="I123" si="60">SUM(I111:I122)</f>
        <v>388.3623933086364</v>
      </c>
      <c r="J123" s="13">
        <f t="shared" ref="J123" si="61">SUM(J111:J122)</f>
        <v>496.60236744592117</v>
      </c>
      <c r="K123" s="13">
        <f t="shared" ref="K123" si="62">SUM(K111:K122)</f>
        <v>224.85020467742737</v>
      </c>
      <c r="L123" s="13">
        <f t="shared" ref="L123" si="63">SUM(L111:L122)</f>
        <v>-0.98262800645151338</v>
      </c>
      <c r="M123" s="13">
        <f>SUM(M111:M122)</f>
        <v>5418.5420013090525</v>
      </c>
    </row>
    <row r="124" spans="1:13" ht="15" x14ac:dyDescent="0.4"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6" spans="1:13" x14ac:dyDescent="0.25">
      <c r="A126" s="4" t="s">
        <v>74</v>
      </c>
    </row>
    <row r="127" spans="1:13" x14ac:dyDescent="0.25">
      <c r="A127" t="s">
        <v>51</v>
      </c>
      <c r="C127" s="11">
        <f t="shared" ref="C127:L127" si="64">+C92*C42</f>
        <v>19098.036499088768</v>
      </c>
      <c r="D127" s="11">
        <f t="shared" si="64"/>
        <v>1220.302803720409</v>
      </c>
      <c r="E127" s="11">
        <f t="shared" si="64"/>
        <v>13063.860534943446</v>
      </c>
      <c r="F127" s="11">
        <f t="shared" si="64"/>
        <v>4071.703806090095</v>
      </c>
      <c r="G127" s="11">
        <f t="shared" si="64"/>
        <v>1583.6306855980656</v>
      </c>
      <c r="H127" s="11">
        <f t="shared" si="64"/>
        <v>-3612.0301477176863</v>
      </c>
      <c r="I127" s="11">
        <f t="shared" si="64"/>
        <v>4274.1746164270589</v>
      </c>
      <c r="J127" s="11">
        <f t="shared" si="64"/>
        <v>2352.4576037023617</v>
      </c>
      <c r="K127" s="11">
        <f t="shared" si="64"/>
        <v>1387.0338639633208</v>
      </c>
      <c r="L127" s="11">
        <f t="shared" si="64"/>
        <v>-1.7047806398046057</v>
      </c>
      <c r="M127" s="11">
        <f t="shared" ref="M127:M138" si="65">SUM(C127:L127)</f>
        <v>43437.465485176035</v>
      </c>
    </row>
    <row r="128" spans="1:13" x14ac:dyDescent="0.25">
      <c r="A128" t="s">
        <v>7</v>
      </c>
      <c r="C128" s="11">
        <f t="shared" ref="C128:L128" si="66">+C93*C43</f>
        <v>17921.811601315396</v>
      </c>
      <c r="D128" s="11">
        <f t="shared" si="66"/>
        <v>1180.2136506841</v>
      </c>
      <c r="E128" s="11">
        <f t="shared" si="66"/>
        <v>12139.156456805591</v>
      </c>
      <c r="F128" s="11">
        <f t="shared" si="66"/>
        <v>6590.7607290989026</v>
      </c>
      <c r="G128" s="11">
        <f t="shared" si="66"/>
        <v>1806.8398704570793</v>
      </c>
      <c r="H128" s="11">
        <f t="shared" si="66"/>
        <v>-3052.6627135274521</v>
      </c>
      <c r="I128" s="11">
        <f t="shared" si="66"/>
        <v>119.05624066046323</v>
      </c>
      <c r="J128" s="11">
        <f t="shared" si="66"/>
        <v>10730.988735238972</v>
      </c>
      <c r="K128" s="11">
        <f t="shared" si="66"/>
        <v>2394.774857318389</v>
      </c>
      <c r="L128" s="11">
        <f t="shared" si="66"/>
        <v>-17.021779212705532</v>
      </c>
      <c r="M128" s="11">
        <f t="shared" si="65"/>
        <v>49813.917648838731</v>
      </c>
    </row>
    <row r="129" spans="1:13" x14ac:dyDescent="0.25">
      <c r="A129" t="s">
        <v>8</v>
      </c>
      <c r="C129" s="11">
        <f t="shared" ref="C129:L129" si="67">+C94*C44</f>
        <v>16416.721331016466</v>
      </c>
      <c r="D129" s="11">
        <f t="shared" si="67"/>
        <v>2198.859904560923</v>
      </c>
      <c r="E129" s="11">
        <f t="shared" si="67"/>
        <v>13462.263302465637</v>
      </c>
      <c r="F129" s="11">
        <f t="shared" si="67"/>
        <v>7758.7596481881255</v>
      </c>
      <c r="G129" s="11">
        <f t="shared" si="67"/>
        <v>1461.2594490980641</v>
      </c>
      <c r="H129" s="11">
        <f t="shared" si="67"/>
        <v>-3329.0930324550036</v>
      </c>
      <c r="I129" s="11">
        <f t="shared" si="67"/>
        <v>3783.0809734797972</v>
      </c>
      <c r="J129" s="11">
        <f t="shared" si="67"/>
        <v>4431.8674762886203</v>
      </c>
      <c r="K129" s="11">
        <f t="shared" si="67"/>
        <v>2361.9053852236898</v>
      </c>
      <c r="L129" s="11">
        <f t="shared" si="67"/>
        <v>-6.9232313005805359</v>
      </c>
      <c r="M129" s="11">
        <f t="shared" si="65"/>
        <v>48538.70120656574</v>
      </c>
    </row>
    <row r="130" spans="1:13" x14ac:dyDescent="0.25">
      <c r="A130" t="s">
        <v>9</v>
      </c>
      <c r="C130" s="11">
        <f t="shared" ref="C130:L130" si="68">+C95*C45</f>
        <v>17790.136166599859</v>
      </c>
      <c r="D130" s="11">
        <f t="shared" si="68"/>
        <v>1622.0662447924067</v>
      </c>
      <c r="E130" s="11">
        <f t="shared" si="68"/>
        <v>13365.424951677904</v>
      </c>
      <c r="F130" s="11">
        <f t="shared" si="68"/>
        <v>8465.8212792462436</v>
      </c>
      <c r="G130" s="11">
        <f t="shared" si="68"/>
        <v>1778.284794740352</v>
      </c>
      <c r="H130" s="11">
        <f t="shared" si="68"/>
        <v>-3647.600634349742</v>
      </c>
      <c r="I130" s="11">
        <f t="shared" si="68"/>
        <v>4803.1608914824601</v>
      </c>
      <c r="J130" s="11">
        <f t="shared" si="68"/>
        <v>4278.2502133795324</v>
      </c>
      <c r="K130" s="11">
        <f t="shared" si="68"/>
        <v>1414.3090094622848</v>
      </c>
      <c r="L130" s="11">
        <f t="shared" si="68"/>
        <v>-8.5889711623743494</v>
      </c>
      <c r="M130" s="11">
        <f t="shared" si="65"/>
        <v>49861.263945868923</v>
      </c>
    </row>
    <row r="131" spans="1:13" x14ac:dyDescent="0.25">
      <c r="A131" t="s">
        <v>10</v>
      </c>
      <c r="C131" s="11">
        <f t="shared" ref="C131:L131" si="69">+C96*C46</f>
        <v>16065.777877982107</v>
      </c>
      <c r="D131" s="11">
        <f t="shared" si="69"/>
        <v>3052.5687616725768</v>
      </c>
      <c r="E131" s="11">
        <f t="shared" si="69"/>
        <v>11680.103363478571</v>
      </c>
      <c r="F131" s="11">
        <f t="shared" si="69"/>
        <v>8191.3637422575275</v>
      </c>
      <c r="G131" s="11">
        <f t="shared" si="69"/>
        <v>2300.2341864525183</v>
      </c>
      <c r="H131" s="11">
        <f t="shared" si="69"/>
        <v>-3627.1042258940761</v>
      </c>
      <c r="I131" s="11">
        <f t="shared" si="69"/>
        <v>4625.2623468254887</v>
      </c>
      <c r="J131" s="11">
        <f t="shared" si="69"/>
        <v>4894.7273925008258</v>
      </c>
      <c r="K131" s="11">
        <f t="shared" si="69"/>
        <v>1970.4593806925302</v>
      </c>
      <c r="L131" s="11">
        <f t="shared" si="69"/>
        <v>-6.6759730398455162</v>
      </c>
      <c r="M131" s="11">
        <f t="shared" si="65"/>
        <v>49146.716852928221</v>
      </c>
    </row>
    <row r="132" spans="1:13" x14ac:dyDescent="0.25">
      <c r="A132" t="s">
        <v>11</v>
      </c>
      <c r="C132" s="11">
        <f t="shared" ref="C132:L132" si="70">+C97*C47</f>
        <v>13870.919306138154</v>
      </c>
      <c r="D132" s="11">
        <f t="shared" si="70"/>
        <v>2359.7907197934137</v>
      </c>
      <c r="E132" s="11">
        <f t="shared" si="70"/>
        <v>9077.0685557452107</v>
      </c>
      <c r="F132" s="11">
        <f t="shared" si="70"/>
        <v>6587.0683390719269</v>
      </c>
      <c r="G132" s="11">
        <f t="shared" si="70"/>
        <v>1669.4877764828491</v>
      </c>
      <c r="H132" s="11">
        <f t="shared" si="70"/>
        <v>-2993.9930999056774</v>
      </c>
      <c r="I132" s="11">
        <f t="shared" si="70"/>
        <v>4365.4499166201076</v>
      </c>
      <c r="J132" s="11">
        <f t="shared" si="70"/>
        <v>2823.0613016116517</v>
      </c>
      <c r="K132" s="11">
        <f t="shared" si="70"/>
        <v>3128.1240323277257</v>
      </c>
      <c r="L132" s="11">
        <f t="shared" si="70"/>
        <v>-2.1602563832638513</v>
      </c>
      <c r="M132" s="11">
        <f t="shared" si="65"/>
        <v>40884.816591502102</v>
      </c>
    </row>
    <row r="133" spans="1:13" x14ac:dyDescent="0.25">
      <c r="A133" t="s">
        <v>12</v>
      </c>
      <c r="C133" s="11">
        <f t="shared" ref="C133:L133" si="71">+C98*C48</f>
        <v>11862.422061643289</v>
      </c>
      <c r="D133" s="11">
        <f t="shared" si="71"/>
        <v>2874.0612676359219</v>
      </c>
      <c r="E133" s="11">
        <f t="shared" si="71"/>
        <v>16891.48113663822</v>
      </c>
      <c r="F133" s="11">
        <f t="shared" si="71"/>
        <v>9328.9278589260884</v>
      </c>
      <c r="G133" s="11">
        <f t="shared" si="71"/>
        <v>2717.3464226421743</v>
      </c>
      <c r="H133" s="11">
        <f t="shared" si="71"/>
        <v>-3927.8265844727875</v>
      </c>
      <c r="I133" s="11">
        <f t="shared" si="71"/>
        <v>2371.3476142788109</v>
      </c>
      <c r="J133" s="11">
        <f t="shared" si="71"/>
        <v>3582.278202072665</v>
      </c>
      <c r="K133" s="11">
        <f t="shared" si="71"/>
        <v>1110.382191871756</v>
      </c>
      <c r="L133" s="11">
        <f t="shared" si="71"/>
        <v>-7.2355575246668753</v>
      </c>
      <c r="M133" s="11">
        <f t="shared" si="65"/>
        <v>46803.18461371147</v>
      </c>
    </row>
    <row r="134" spans="1:13" x14ac:dyDescent="0.25">
      <c r="A134" t="s">
        <v>52</v>
      </c>
      <c r="C134" s="11">
        <f t="shared" ref="C134:L134" si="72">+C99*C49</f>
        <v>15287.643638400039</v>
      </c>
      <c r="D134" s="11">
        <f t="shared" si="72"/>
        <v>365.28182943845468</v>
      </c>
      <c r="E134" s="11">
        <f t="shared" si="72"/>
        <v>13674.730026847201</v>
      </c>
      <c r="F134" s="11">
        <f t="shared" si="72"/>
        <v>8027.7362937305488</v>
      </c>
      <c r="G134" s="11">
        <f t="shared" si="72"/>
        <v>1601.4675494983521</v>
      </c>
      <c r="H134" s="11">
        <f t="shared" si="72"/>
        <v>-3635.4546145241625</v>
      </c>
      <c r="I134" s="11">
        <f t="shared" si="72"/>
        <v>2750.8871358468064</v>
      </c>
      <c r="J134" s="11">
        <f t="shared" si="72"/>
        <v>2650.219014872142</v>
      </c>
      <c r="K134" s="11">
        <f t="shared" si="72"/>
        <v>1269.550489491628</v>
      </c>
      <c r="L134" s="11">
        <f t="shared" si="72"/>
        <v>-25.983372911871776</v>
      </c>
      <c r="M134" s="11">
        <f t="shared" si="65"/>
        <v>41966.077990689148</v>
      </c>
    </row>
    <row r="135" spans="1:13" x14ac:dyDescent="0.25">
      <c r="A135" t="s">
        <v>15</v>
      </c>
      <c r="C135" s="11">
        <f t="shared" ref="C135:L135" si="73">+C100*C50</f>
        <v>11053.326055894693</v>
      </c>
      <c r="D135" s="11">
        <f t="shared" si="73"/>
        <v>137.51385293112125</v>
      </c>
      <c r="E135" s="11">
        <f t="shared" si="73"/>
        <v>8509.2498936763113</v>
      </c>
      <c r="F135" s="11">
        <f t="shared" si="73"/>
        <v>5706.0127183229797</v>
      </c>
      <c r="G135" s="11">
        <f t="shared" si="73"/>
        <v>1358.1627314592747</v>
      </c>
      <c r="H135" s="11">
        <f t="shared" si="73"/>
        <v>-3637.5151000302872</v>
      </c>
      <c r="I135" s="11">
        <f t="shared" si="73"/>
        <v>1960.6300406341106</v>
      </c>
      <c r="J135" s="11">
        <f t="shared" si="73"/>
        <v>1887.4914808951141</v>
      </c>
      <c r="K135" s="11">
        <f t="shared" si="73"/>
        <v>710.13873842364524</v>
      </c>
      <c r="L135" s="11">
        <f t="shared" si="73"/>
        <v>-24.463472045269395</v>
      </c>
      <c r="M135" s="11">
        <f t="shared" si="65"/>
        <v>27660.546940161687</v>
      </c>
    </row>
    <row r="136" spans="1:13" x14ac:dyDescent="0.25">
      <c r="A136" t="s">
        <v>13</v>
      </c>
      <c r="C136" s="11">
        <f t="shared" ref="C136:L136" si="74">+C101*C51</f>
        <v>12596.503641648103</v>
      </c>
      <c r="D136" s="11">
        <f t="shared" si="74"/>
        <v>120.51584521436006</v>
      </c>
      <c r="E136" s="11">
        <f t="shared" si="74"/>
        <v>9178.7989329109078</v>
      </c>
      <c r="F136" s="11">
        <f t="shared" si="74"/>
        <v>5386.7486877122674</v>
      </c>
      <c r="G136" s="11">
        <f t="shared" si="74"/>
        <v>942.4501505399478</v>
      </c>
      <c r="H136" s="11">
        <f t="shared" si="74"/>
        <v>-2993.9930999056769</v>
      </c>
      <c r="I136" s="11">
        <f t="shared" si="74"/>
        <v>2020.8921275909454</v>
      </c>
      <c r="J136" s="11">
        <f t="shared" si="74"/>
        <v>2309.9565547791881</v>
      </c>
      <c r="K136" s="11">
        <f t="shared" si="74"/>
        <v>1378.1516098008005</v>
      </c>
      <c r="L136" s="11">
        <f t="shared" si="74"/>
        <v>-12.414099834587329</v>
      </c>
      <c r="M136" s="11">
        <f t="shared" si="65"/>
        <v>30927.61035045626</v>
      </c>
    </row>
    <row r="137" spans="1:13" x14ac:dyDescent="0.25">
      <c r="A137" t="s">
        <v>14</v>
      </c>
      <c r="C137" s="11">
        <f t="shared" ref="C137:L137" si="75">+C102*C52</f>
        <v>12726.513206365917</v>
      </c>
      <c r="D137" s="11">
        <f t="shared" si="75"/>
        <v>114.87349846167136</v>
      </c>
      <c r="E137" s="11">
        <f t="shared" si="75"/>
        <v>8562.613605294564</v>
      </c>
      <c r="F137" s="11">
        <f t="shared" si="75"/>
        <v>6374.7054197812295</v>
      </c>
      <c r="G137" s="11">
        <f t="shared" si="75"/>
        <v>928.7367302345192</v>
      </c>
      <c r="H137" s="11">
        <f t="shared" si="75"/>
        <v>-3029.0213535098046</v>
      </c>
      <c r="I137" s="11">
        <f t="shared" si="75"/>
        <v>1798.6520215994444</v>
      </c>
      <c r="J137" s="11">
        <f t="shared" si="75"/>
        <v>2506.6955716031766</v>
      </c>
      <c r="K137" s="11">
        <f t="shared" si="75"/>
        <v>1641.4524636573722</v>
      </c>
      <c r="L137" s="11">
        <f t="shared" si="75"/>
        <v>10.749227545638199</v>
      </c>
      <c r="M137" s="11">
        <f t="shared" si="65"/>
        <v>31635.97039103373</v>
      </c>
    </row>
    <row r="138" spans="1:13" ht="15" x14ac:dyDescent="0.4">
      <c r="A138" t="s">
        <v>2</v>
      </c>
      <c r="C138" s="12">
        <f t="shared" ref="C138:L138" si="76">+C103*C53</f>
        <v>14226.344293459011</v>
      </c>
      <c r="D138" s="12">
        <f t="shared" si="76"/>
        <v>88.175332283064193</v>
      </c>
      <c r="E138" s="12">
        <f t="shared" si="76"/>
        <v>9243.977555178566</v>
      </c>
      <c r="F138" s="12">
        <f t="shared" si="76"/>
        <v>5231.4074274248687</v>
      </c>
      <c r="G138" s="12">
        <f t="shared" si="76"/>
        <v>939.1385816131459</v>
      </c>
      <c r="H138" s="12">
        <f t="shared" si="76"/>
        <v>-3008.5249450541392</v>
      </c>
      <c r="I138" s="12">
        <f t="shared" si="76"/>
        <v>2579.1118769489735</v>
      </c>
      <c r="J138" s="12">
        <f t="shared" si="76"/>
        <v>2884.4107609933708</v>
      </c>
      <c r="K138" s="12">
        <f t="shared" si="76"/>
        <v>1759.1948086232035</v>
      </c>
      <c r="L138" s="12">
        <f t="shared" si="76"/>
        <v>12.722955767294934</v>
      </c>
      <c r="M138" s="12">
        <f t="shared" si="65"/>
        <v>33955.958647237363</v>
      </c>
    </row>
    <row r="139" spans="1:13" ht="15" x14ac:dyDescent="0.4">
      <c r="C139" s="13">
        <f>SUM(C127:C138)</f>
        <v>178916.1556795518</v>
      </c>
      <c r="D139" s="13">
        <f t="shared" ref="D139" si="77">SUM(D127:D138)</f>
        <v>15334.223711188422</v>
      </c>
      <c r="E139" s="13">
        <f t="shared" ref="E139" si="78">SUM(E127:E138)</f>
        <v>138848.72831566213</v>
      </c>
      <c r="F139" s="13">
        <f t="shared" ref="F139" si="79">SUM(F127:F138)</f>
        <v>81721.0159498508</v>
      </c>
      <c r="G139" s="13">
        <f t="shared" ref="G139" si="80">SUM(G127:G138)</f>
        <v>19087.038928816342</v>
      </c>
      <c r="H139" s="13">
        <f t="shared" ref="H139" si="81">SUM(H127:H138)</f>
        <v>-40494.819551346496</v>
      </c>
      <c r="I139" s="13">
        <f t="shared" ref="I139" si="82">SUM(I127:I138)</f>
        <v>35451.70580239447</v>
      </c>
      <c r="J139" s="13">
        <f t="shared" ref="J139" si="83">SUM(J127:J138)</f>
        <v>45332.404307937613</v>
      </c>
      <c r="K139" s="13">
        <f t="shared" ref="K139" si="84">SUM(K127:K138)</f>
        <v>20525.476830856351</v>
      </c>
      <c r="L139" s="13">
        <f t="shared" ref="L139" si="85">SUM(L127:L138)</f>
        <v>-89.69931074203663</v>
      </c>
      <c r="M139" s="13">
        <f>SUM(M127:M138)</f>
        <v>494632.23066416942</v>
      </c>
    </row>
    <row r="140" spans="1:13" ht="14.4" x14ac:dyDescent="0.35">
      <c r="C140" s="95">
        <f>+C139/C104</f>
        <v>85.861710251307329</v>
      </c>
      <c r="D140" s="95">
        <f t="shared" ref="D140:M140" si="86">+D139/D104</f>
        <v>67.120549880378235</v>
      </c>
      <c r="E140" s="95">
        <f t="shared" si="86"/>
        <v>99.874087441378663</v>
      </c>
      <c r="F140" s="95">
        <f t="shared" si="86"/>
        <v>1394.3452090888904</v>
      </c>
      <c r="G140" s="95">
        <f t="shared" si="86"/>
        <v>135.73854238647581</v>
      </c>
      <c r="H140" s="95">
        <f t="shared" si="86"/>
        <v>-54.357204396159275</v>
      </c>
      <c r="I140" s="95">
        <f t="shared" si="86"/>
        <v>249.92714587155965</v>
      </c>
      <c r="J140" s="95">
        <f t="shared" si="86"/>
        <v>753.99691486291465</v>
      </c>
      <c r="K140" s="95">
        <f t="shared" si="86"/>
        <v>561.75959634334572</v>
      </c>
      <c r="L140" s="95">
        <f t="shared" si="86"/>
        <v>-3.674821396836681</v>
      </c>
      <c r="M140" s="95">
        <f t="shared" si="86"/>
        <v>100.74825563520382</v>
      </c>
    </row>
    <row r="142" spans="1:13" x14ac:dyDescent="0.25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</row>
    <row r="144" spans="1:13" x14ac:dyDescent="0.25"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3:13" x14ac:dyDescent="0.25"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43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B15" sqref="B15"/>
    </sheetView>
  </sheetViews>
  <sheetFormatPr defaultRowHeight="13.2" x14ac:dyDescent="0.25"/>
  <cols>
    <col min="1" max="1" width="39.6640625" customWidth="1"/>
    <col min="2" max="2" width="11.6640625" style="2" bestFit="1" customWidth="1"/>
    <col min="3" max="3" width="11.88671875" bestFit="1" customWidth="1"/>
    <col min="4" max="4" width="12.5546875" bestFit="1" customWidth="1"/>
    <col min="5" max="5" width="10.33203125" bestFit="1" customWidth="1"/>
    <col min="6" max="6" width="11.33203125" bestFit="1" customWidth="1"/>
    <col min="7" max="7" width="8" bestFit="1" customWidth="1"/>
    <col min="8" max="8" width="12.5546875" bestFit="1" customWidth="1"/>
    <col min="9" max="10" width="10.44140625" bestFit="1" customWidth="1"/>
  </cols>
  <sheetData>
    <row r="1" spans="1:10" s="1" customFormat="1" ht="22.8" x14ac:dyDescent="0.4">
      <c r="A1" s="34" t="s">
        <v>48</v>
      </c>
      <c r="B1" s="15"/>
    </row>
    <row r="2" spans="1:10" s="1" customFormat="1" x14ac:dyDescent="0.25">
      <c r="A2" s="1" t="s">
        <v>50</v>
      </c>
      <c r="B2" s="15"/>
    </row>
    <row r="3" spans="1:10" s="1" customFormat="1" x14ac:dyDescent="0.25">
      <c r="B3" s="15"/>
    </row>
    <row r="4" spans="1:10" s="1" customFormat="1" x14ac:dyDescent="0.25">
      <c r="B4" s="15"/>
    </row>
    <row r="5" spans="1:10" s="1" customFormat="1" x14ac:dyDescent="0.25">
      <c r="B5" s="15"/>
    </row>
    <row r="6" spans="1:10" s="1" customFormat="1" x14ac:dyDescent="0.25">
      <c r="B6" s="85" t="s">
        <v>28</v>
      </c>
    </row>
    <row r="7" spans="1:10" s="1" customFormat="1" x14ac:dyDescent="0.25">
      <c r="B7" s="85" t="s">
        <v>49</v>
      </c>
      <c r="C7" s="5" t="s">
        <v>30</v>
      </c>
      <c r="D7" s="5" t="s">
        <v>34</v>
      </c>
      <c r="E7" s="5" t="s">
        <v>36</v>
      </c>
      <c r="G7" s="97"/>
      <c r="H7" s="98"/>
      <c r="I7" s="98"/>
      <c r="J7" s="97"/>
    </row>
    <row r="8" spans="1:10" s="1" customFormat="1" x14ac:dyDescent="0.25">
      <c r="B8" s="86" t="s">
        <v>29</v>
      </c>
      <c r="C8" s="17" t="s">
        <v>31</v>
      </c>
      <c r="D8" s="17" t="s">
        <v>35</v>
      </c>
      <c r="E8" s="6" t="s">
        <v>27</v>
      </c>
      <c r="F8" s="6" t="s">
        <v>4</v>
      </c>
      <c r="G8" s="97"/>
      <c r="H8" s="99"/>
      <c r="I8" s="99"/>
      <c r="J8" s="99"/>
    </row>
    <row r="9" spans="1:10" x14ac:dyDescent="0.25">
      <c r="B9" s="87"/>
      <c r="G9" s="100"/>
      <c r="H9" s="100"/>
      <c r="I9" s="100"/>
      <c r="J9" s="100"/>
    </row>
    <row r="10" spans="1:10" x14ac:dyDescent="0.25">
      <c r="A10" s="4" t="s">
        <v>32</v>
      </c>
      <c r="B10" s="87"/>
      <c r="G10" s="100"/>
      <c r="H10" s="100"/>
      <c r="I10" s="100"/>
      <c r="J10" s="100"/>
    </row>
    <row r="11" spans="1:10" ht="15.6" x14ac:dyDescent="0.4">
      <c r="A11" t="s">
        <v>25</v>
      </c>
      <c r="B11" s="88">
        <f>+C36</f>
        <v>20667</v>
      </c>
      <c r="C11" s="27">
        <v>96</v>
      </c>
      <c r="D11">
        <v>2.1669999999999998</v>
      </c>
      <c r="E11" s="18">
        <f>+D11*C11*B11</f>
        <v>4299397.3439999996</v>
      </c>
      <c r="F11" s="23">
        <f>+E11/$E$18</f>
        <v>0.98916401634092888</v>
      </c>
      <c r="G11" s="100"/>
      <c r="H11" s="101"/>
      <c r="I11" s="102"/>
      <c r="J11" s="100"/>
    </row>
    <row r="12" spans="1:10" ht="15" x14ac:dyDescent="0.4">
      <c r="B12" s="89">
        <f>SUM(B11:B11)</f>
        <v>20667</v>
      </c>
      <c r="C12" s="28"/>
      <c r="D12" s="20"/>
      <c r="E12" s="19">
        <f>SUM(E11:E11)</f>
        <v>4299397.3439999996</v>
      </c>
      <c r="F12" s="24">
        <f>SUM(F11:F11)</f>
        <v>0.98916401634092888</v>
      </c>
      <c r="G12" s="100"/>
      <c r="H12" s="103"/>
      <c r="I12" s="103"/>
      <c r="J12" s="102"/>
    </row>
    <row r="13" spans="1:10" x14ac:dyDescent="0.25">
      <c r="B13" s="87"/>
      <c r="C13" s="27"/>
      <c r="F13" s="22"/>
    </row>
    <row r="14" spans="1:10" x14ac:dyDescent="0.25">
      <c r="A14" s="4" t="s">
        <v>33</v>
      </c>
      <c r="B14" s="87"/>
      <c r="C14" s="27"/>
      <c r="F14" s="22"/>
    </row>
    <row r="15" spans="1:10" ht="15" x14ac:dyDescent="0.4">
      <c r="A15" t="s">
        <v>26</v>
      </c>
      <c r="B15" s="89">
        <f>1260*'MF Yards'!P30</f>
        <v>310.56383617102898</v>
      </c>
      <c r="C15" s="158">
        <v>35</v>
      </c>
      <c r="D15" s="1">
        <v>4.3330000000000002</v>
      </c>
      <c r="E15" s="21">
        <f>+D15*C15*B15</f>
        <v>47098.558574517403</v>
      </c>
      <c r="F15" s="24">
        <f>+E15/$E$18</f>
        <v>1.0835983659071203E-2</v>
      </c>
      <c r="H15" s="7"/>
    </row>
    <row r="16" spans="1:10" ht="15" x14ac:dyDescent="0.4">
      <c r="B16" s="89"/>
      <c r="C16" s="20"/>
      <c r="D16" s="20"/>
      <c r="E16" s="21"/>
      <c r="F16" s="24"/>
    </row>
    <row r="17" spans="1:9" ht="15" x14ac:dyDescent="0.4">
      <c r="B17" s="89"/>
      <c r="C17" s="20"/>
      <c r="D17" s="20"/>
      <c r="E17" s="21"/>
      <c r="F17" s="24"/>
    </row>
    <row r="18" spans="1:9" ht="15" x14ac:dyDescent="0.4">
      <c r="A18" s="1" t="s">
        <v>3</v>
      </c>
      <c r="B18" s="89">
        <f>+B12+B15</f>
        <v>20977.56383617103</v>
      </c>
      <c r="C18" s="19"/>
      <c r="D18" s="19"/>
      <c r="E18" s="19">
        <f>+E12+E15</f>
        <v>4346495.9025745168</v>
      </c>
      <c r="F18" s="24">
        <f>+F15+F12</f>
        <v>1</v>
      </c>
    </row>
    <row r="19" spans="1:9" ht="15.75" customHeight="1" x14ac:dyDescent="0.25">
      <c r="B19" s="87"/>
    </row>
    <row r="20" spans="1:9" x14ac:dyDescent="0.25">
      <c r="B20" s="87"/>
    </row>
    <row r="21" spans="1:9" x14ac:dyDescent="0.25">
      <c r="B21" s="87"/>
    </row>
    <row r="22" spans="1:9" x14ac:dyDescent="0.25">
      <c r="B22" s="87"/>
      <c r="C22" s="183" t="s">
        <v>38</v>
      </c>
      <c r="D22" s="183"/>
      <c r="E22" s="183"/>
      <c r="F22" s="173"/>
      <c r="G22" s="173"/>
    </row>
    <row r="23" spans="1:9" ht="14.4" x14ac:dyDescent="0.3">
      <c r="A23" s="136"/>
      <c r="B23" s="136"/>
      <c r="C23" s="138" t="s">
        <v>3</v>
      </c>
      <c r="D23" s="5" t="s">
        <v>3</v>
      </c>
      <c r="F23" s="5"/>
      <c r="H23" s="5"/>
    </row>
    <row r="24" spans="1:9" ht="14.4" x14ac:dyDescent="0.3">
      <c r="A24" s="139" t="s">
        <v>102</v>
      </c>
      <c r="B24" s="140"/>
      <c r="C24" s="141" t="s">
        <v>5</v>
      </c>
      <c r="D24" s="6" t="s">
        <v>27</v>
      </c>
      <c r="E24" s="141" t="s">
        <v>4</v>
      </c>
      <c r="F24" s="6"/>
      <c r="G24" s="141"/>
      <c r="H24" s="6"/>
      <c r="I24" s="141"/>
    </row>
    <row r="25" spans="1:9" ht="14.4" x14ac:dyDescent="0.3">
      <c r="A25" s="136"/>
      <c r="B25" s="136"/>
      <c r="C25" s="137"/>
      <c r="E25" s="137"/>
      <c r="I25" s="137"/>
    </row>
    <row r="26" spans="1:9" ht="14.4" x14ac:dyDescent="0.3">
      <c r="A26" s="139" t="s">
        <v>103</v>
      </c>
      <c r="B26" s="145"/>
      <c r="C26" s="145"/>
      <c r="E26" s="145"/>
      <c r="I26" s="145"/>
    </row>
    <row r="27" spans="1:9" ht="14.4" x14ac:dyDescent="0.3">
      <c r="A27" s="136" t="s">
        <v>104</v>
      </c>
      <c r="B27" s="145"/>
      <c r="C27" s="143">
        <v>1247</v>
      </c>
      <c r="D27" s="2">
        <f>96*C27*26</f>
        <v>3112512</v>
      </c>
      <c r="E27" s="142">
        <f>+D27/$D$38</f>
        <v>2.6460415473083372E-2</v>
      </c>
      <c r="F27" s="2"/>
      <c r="G27" s="142"/>
      <c r="H27" s="16"/>
      <c r="I27" s="142"/>
    </row>
    <row r="28" spans="1:9" ht="14.4" x14ac:dyDescent="0.3">
      <c r="A28" s="136" t="s">
        <v>105</v>
      </c>
      <c r="B28" s="145"/>
      <c r="C28" s="143">
        <v>401</v>
      </c>
      <c r="D28" s="2">
        <f>96*C28*26</f>
        <v>1000896</v>
      </c>
      <c r="E28" s="142">
        <f>+D28/$D$38</f>
        <v>8.5089226982409238E-3</v>
      </c>
      <c r="F28" s="2"/>
      <c r="G28" s="142"/>
      <c r="H28" s="16"/>
      <c r="I28" s="142"/>
    </row>
    <row r="29" spans="1:9" ht="14.4" x14ac:dyDescent="0.3">
      <c r="A29" s="136" t="s">
        <v>106</v>
      </c>
      <c r="B29" s="145"/>
      <c r="C29" s="143">
        <v>2696</v>
      </c>
      <c r="D29" s="2">
        <f>96*C29*26</f>
        <v>6729216</v>
      </c>
      <c r="E29" s="142">
        <f>+D29/$D$38</f>
        <v>5.7207121183185862E-2</v>
      </c>
      <c r="F29" s="2"/>
      <c r="G29" s="142"/>
      <c r="H29" s="16"/>
      <c r="I29" s="142"/>
    </row>
    <row r="30" spans="1:9" ht="15.6" x14ac:dyDescent="0.4">
      <c r="A30" s="136" t="s">
        <v>107</v>
      </c>
      <c r="B30" s="145"/>
      <c r="C30" s="144">
        <v>22116</v>
      </c>
      <c r="D30" s="33">
        <f>96*C30*26</f>
        <v>55201536</v>
      </c>
      <c r="E30" s="150">
        <f>+D30/$D$38</f>
        <v>0.46928512317779619</v>
      </c>
      <c r="F30" s="33"/>
      <c r="G30" s="150"/>
      <c r="H30" s="18"/>
      <c r="I30" s="150"/>
    </row>
    <row r="31" spans="1:9" ht="17.399999999999999" x14ac:dyDescent="0.55000000000000004">
      <c r="A31" s="136"/>
      <c r="B31" s="145"/>
      <c r="C31" s="146">
        <f>SUM(C27:C30)</f>
        <v>26460</v>
      </c>
      <c r="D31" s="146">
        <f>SUM(D27:D30)</f>
        <v>66044160</v>
      </c>
      <c r="E31" s="151">
        <f>+D31/$D$38</f>
        <v>0.56146158253230627</v>
      </c>
      <c r="F31" s="146"/>
      <c r="G31" s="151"/>
      <c r="H31" s="153"/>
      <c r="I31" s="151"/>
    </row>
    <row r="32" spans="1:9" ht="15.6" x14ac:dyDescent="0.4">
      <c r="A32" s="136"/>
      <c r="B32" s="145"/>
      <c r="C32" s="144"/>
      <c r="E32" s="142"/>
      <c r="F32" s="2"/>
      <c r="G32" s="142"/>
      <c r="I32" s="142"/>
    </row>
    <row r="33" spans="1:9" ht="15.6" x14ac:dyDescent="0.4">
      <c r="A33" s="139" t="s">
        <v>108</v>
      </c>
      <c r="B33" s="145"/>
      <c r="C33" s="144"/>
      <c r="E33" s="142"/>
      <c r="F33" s="2"/>
      <c r="G33" s="142"/>
      <c r="I33" s="142"/>
    </row>
    <row r="34" spans="1:9" ht="14.4" x14ac:dyDescent="0.3">
      <c r="A34" s="136" t="s">
        <v>109</v>
      </c>
      <c r="B34" s="145"/>
      <c r="C34" s="143">
        <v>521</v>
      </c>
      <c r="D34" s="2">
        <f>96*C34*26</f>
        <v>1300416</v>
      </c>
      <c r="E34" s="142">
        <f>+D34/$D$38</f>
        <v>1.1055233730133469E-2</v>
      </c>
      <c r="F34" s="2"/>
      <c r="G34" s="142"/>
      <c r="H34" s="16"/>
      <c r="I34" s="142"/>
    </row>
    <row r="35" spans="1:9" ht="16.2" x14ac:dyDescent="0.45">
      <c r="A35" s="136" t="s">
        <v>110</v>
      </c>
      <c r="B35" s="145"/>
      <c r="C35" s="147">
        <v>20146</v>
      </c>
      <c r="D35" s="33">
        <f>96*C35*26</f>
        <v>50284416</v>
      </c>
      <c r="E35" s="150">
        <f>+D35/$D$38</f>
        <v>0.42748318373756022</v>
      </c>
      <c r="F35" s="33"/>
      <c r="G35" s="150"/>
      <c r="H35" s="18"/>
      <c r="I35" s="150"/>
    </row>
    <row r="36" spans="1:9" ht="18" x14ac:dyDescent="0.6">
      <c r="A36" s="136"/>
      <c r="B36" s="145"/>
      <c r="C36" s="148">
        <f>SUM(C34:C35)</f>
        <v>20667</v>
      </c>
      <c r="D36" s="148">
        <f>SUM(D34:D35)</f>
        <v>51584832</v>
      </c>
      <c r="E36" s="151">
        <f>+D36/$D$38</f>
        <v>0.43853841746769368</v>
      </c>
      <c r="F36" s="148"/>
      <c r="G36" s="151"/>
      <c r="H36" s="153"/>
      <c r="I36" s="151"/>
    </row>
    <row r="37" spans="1:9" ht="16.2" x14ac:dyDescent="0.45">
      <c r="A37" s="136"/>
      <c r="B37" s="145"/>
      <c r="C37" s="147"/>
      <c r="D37" s="147"/>
      <c r="E37" s="151"/>
      <c r="F37" s="147"/>
      <c r="G37" s="151"/>
      <c r="I37" s="151"/>
    </row>
    <row r="38" spans="1:9" ht="16.2" x14ac:dyDescent="0.45">
      <c r="A38" s="136"/>
      <c r="B38" s="145"/>
      <c r="C38" s="149">
        <f>+C36+C31</f>
        <v>47127</v>
      </c>
      <c r="D38" s="149">
        <f>+D36+D31</f>
        <v>117628992</v>
      </c>
      <c r="E38" s="152">
        <f>+D38/$D$38</f>
        <v>1</v>
      </c>
      <c r="F38" s="149"/>
      <c r="G38" s="152"/>
      <c r="H38" s="149"/>
      <c r="I38" s="152"/>
    </row>
    <row r="39" spans="1:9" ht="14.4" x14ac:dyDescent="0.3">
      <c r="A39" s="136"/>
      <c r="B39" s="145"/>
      <c r="C39" s="143"/>
      <c r="D39" s="155"/>
      <c r="E39" s="156"/>
      <c r="F39" s="157"/>
    </row>
  </sheetData>
  <mergeCells count="1">
    <mergeCell ref="C22:E22"/>
  </mergeCells>
  <pageMargins left="0.7" right="0.7" top="0.75" bottom="0.75" header="0.3" footer="0.3"/>
  <pageSetup scale="94" orientation="portrait" verticalDpi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workbookViewId="0">
      <pane xSplit="1" ySplit="5" topLeftCell="E13" activePane="bottomRight" state="frozen"/>
      <selection pane="topRight" activeCell="B1" sqref="B1"/>
      <selection pane="bottomLeft" activeCell="A6" sqref="A6"/>
      <selection pane="bottomRight" activeCell="Z13" sqref="Z13"/>
    </sheetView>
  </sheetViews>
  <sheetFormatPr defaultRowHeight="13.2" x14ac:dyDescent="0.25"/>
  <cols>
    <col min="1" max="1" width="12.109375" style="106" bestFit="1" customWidth="1"/>
    <col min="2" max="2" width="9" style="106" bestFit="1" customWidth="1"/>
    <col min="3" max="3" width="6" style="106" bestFit="1" customWidth="1"/>
    <col min="4" max="4" width="7.5546875" style="106" bestFit="1" customWidth="1"/>
    <col min="5" max="5" width="6" style="106" bestFit="1" customWidth="1"/>
    <col min="6" max="6" width="7.5546875" style="106" bestFit="1" customWidth="1"/>
    <col min="7" max="7" width="6" style="106" bestFit="1" customWidth="1"/>
    <col min="8" max="8" width="7.5546875" style="106" bestFit="1" customWidth="1"/>
    <col min="9" max="9" width="6" style="106" bestFit="1" customWidth="1"/>
    <col min="10" max="10" width="7.5546875" style="106" bestFit="1" customWidth="1"/>
    <col min="11" max="11" width="6" style="106" bestFit="1" customWidth="1"/>
    <col min="12" max="12" width="7.5546875" style="106" bestFit="1" customWidth="1"/>
    <col min="13" max="13" width="6" style="106" bestFit="1" customWidth="1"/>
    <col min="14" max="14" width="9" style="106" bestFit="1" customWidth="1"/>
    <col min="15" max="15" width="6" style="106" bestFit="1" customWidth="1"/>
    <col min="16" max="16" width="9" style="106" bestFit="1" customWidth="1"/>
    <col min="17" max="17" width="6" style="106" bestFit="1" customWidth="1"/>
    <col min="18" max="18" width="7.5546875" style="106" bestFit="1" customWidth="1"/>
    <col min="19" max="19" width="6" style="106" bestFit="1" customWidth="1"/>
    <col min="20" max="20" width="7.5546875" style="106" bestFit="1" customWidth="1"/>
    <col min="21" max="21" width="6" style="106" bestFit="1" customWidth="1"/>
    <col min="22" max="22" width="7.5546875" style="106" bestFit="1" customWidth="1"/>
    <col min="23" max="23" width="6" style="106" bestFit="1" customWidth="1"/>
    <col min="24" max="24" width="7.5546875" style="106" bestFit="1" customWidth="1"/>
    <col min="25" max="25" width="6" style="106" bestFit="1" customWidth="1"/>
    <col min="26" max="26" width="10" bestFit="1" customWidth="1"/>
    <col min="27" max="27" width="6" bestFit="1" customWidth="1"/>
    <col min="29" max="175" width="9.109375" style="106"/>
    <col min="176" max="176" width="18.44140625" style="106" customWidth="1"/>
    <col min="177" max="186" width="9.109375" style="106"/>
    <col min="187" max="187" width="10.33203125" style="106" bestFit="1" customWidth="1"/>
    <col min="188" max="431" width="9.109375" style="106"/>
    <col min="432" max="432" width="18.44140625" style="106" customWidth="1"/>
    <col min="433" max="442" width="9.109375" style="106"/>
    <col min="443" max="443" width="10.33203125" style="106" bestFit="1" customWidth="1"/>
    <col min="444" max="687" width="9.109375" style="106"/>
    <col min="688" max="688" width="18.44140625" style="106" customWidth="1"/>
    <col min="689" max="698" width="9.109375" style="106"/>
    <col min="699" max="699" width="10.33203125" style="106" bestFit="1" customWidth="1"/>
    <col min="700" max="943" width="9.109375" style="106"/>
    <col min="944" max="944" width="18.44140625" style="106" customWidth="1"/>
    <col min="945" max="954" width="9.109375" style="106"/>
    <col min="955" max="955" width="10.33203125" style="106" bestFit="1" customWidth="1"/>
    <col min="956" max="1199" width="9.109375" style="106"/>
    <col min="1200" max="1200" width="18.44140625" style="106" customWidth="1"/>
    <col min="1201" max="1210" width="9.109375" style="106"/>
    <col min="1211" max="1211" width="10.33203125" style="106" bestFit="1" customWidth="1"/>
    <col min="1212" max="1455" width="9.109375" style="106"/>
    <col min="1456" max="1456" width="18.44140625" style="106" customWidth="1"/>
    <col min="1457" max="1466" width="9.109375" style="106"/>
    <col min="1467" max="1467" width="10.33203125" style="106" bestFit="1" customWidth="1"/>
    <col min="1468" max="1711" width="9.109375" style="106"/>
    <col min="1712" max="1712" width="18.44140625" style="106" customWidth="1"/>
    <col min="1713" max="1722" width="9.109375" style="106"/>
    <col min="1723" max="1723" width="10.33203125" style="106" bestFit="1" customWidth="1"/>
    <col min="1724" max="1967" width="9.109375" style="106"/>
    <col min="1968" max="1968" width="18.44140625" style="106" customWidth="1"/>
    <col min="1969" max="1978" width="9.109375" style="106"/>
    <col min="1979" max="1979" width="10.33203125" style="106" bestFit="1" customWidth="1"/>
    <col min="1980" max="2223" width="9.109375" style="106"/>
    <col min="2224" max="2224" width="18.44140625" style="106" customWidth="1"/>
    <col min="2225" max="2234" width="9.109375" style="106"/>
    <col min="2235" max="2235" width="10.33203125" style="106" bestFit="1" customWidth="1"/>
    <col min="2236" max="2479" width="9.109375" style="106"/>
    <col min="2480" max="2480" width="18.44140625" style="106" customWidth="1"/>
    <col min="2481" max="2490" width="9.109375" style="106"/>
    <col min="2491" max="2491" width="10.33203125" style="106" bestFit="1" customWidth="1"/>
    <col min="2492" max="2735" width="9.109375" style="106"/>
    <col min="2736" max="2736" width="18.44140625" style="106" customWidth="1"/>
    <col min="2737" max="2746" width="9.109375" style="106"/>
    <col min="2747" max="2747" width="10.33203125" style="106" bestFit="1" customWidth="1"/>
    <col min="2748" max="2991" width="9.109375" style="106"/>
    <col min="2992" max="2992" width="18.44140625" style="106" customWidth="1"/>
    <col min="2993" max="3002" width="9.109375" style="106"/>
    <col min="3003" max="3003" width="10.33203125" style="106" bestFit="1" customWidth="1"/>
    <col min="3004" max="3247" width="9.109375" style="106"/>
    <col min="3248" max="3248" width="18.44140625" style="106" customWidth="1"/>
    <col min="3249" max="3258" width="9.109375" style="106"/>
    <col min="3259" max="3259" width="10.33203125" style="106" bestFit="1" customWidth="1"/>
    <col min="3260" max="3503" width="9.109375" style="106"/>
    <col min="3504" max="3504" width="18.44140625" style="106" customWidth="1"/>
    <col min="3505" max="3514" width="9.109375" style="106"/>
    <col min="3515" max="3515" width="10.33203125" style="106" bestFit="1" customWidth="1"/>
    <col min="3516" max="3759" width="9.109375" style="106"/>
    <col min="3760" max="3760" width="18.44140625" style="106" customWidth="1"/>
    <col min="3761" max="3770" width="9.109375" style="106"/>
    <col min="3771" max="3771" width="10.33203125" style="106" bestFit="1" customWidth="1"/>
    <col min="3772" max="4015" width="9.109375" style="106"/>
    <col min="4016" max="4016" width="18.44140625" style="106" customWidth="1"/>
    <col min="4017" max="4026" width="9.109375" style="106"/>
    <col min="4027" max="4027" width="10.33203125" style="106" bestFit="1" customWidth="1"/>
    <col min="4028" max="4271" width="9.109375" style="106"/>
    <col min="4272" max="4272" width="18.44140625" style="106" customWidth="1"/>
    <col min="4273" max="4282" width="9.109375" style="106"/>
    <col min="4283" max="4283" width="10.33203125" style="106" bestFit="1" customWidth="1"/>
    <col min="4284" max="4527" width="9.109375" style="106"/>
    <col min="4528" max="4528" width="18.44140625" style="106" customWidth="1"/>
    <col min="4529" max="4538" width="9.109375" style="106"/>
    <col min="4539" max="4539" width="10.33203125" style="106" bestFit="1" customWidth="1"/>
    <col min="4540" max="4783" width="9.109375" style="106"/>
    <col min="4784" max="4784" width="18.44140625" style="106" customWidth="1"/>
    <col min="4785" max="4794" width="9.109375" style="106"/>
    <col min="4795" max="4795" width="10.33203125" style="106" bestFit="1" customWidth="1"/>
    <col min="4796" max="5039" width="9.109375" style="106"/>
    <col min="5040" max="5040" width="18.44140625" style="106" customWidth="1"/>
    <col min="5041" max="5050" width="9.109375" style="106"/>
    <col min="5051" max="5051" width="10.33203125" style="106" bestFit="1" customWidth="1"/>
    <col min="5052" max="5295" width="9.109375" style="106"/>
    <col min="5296" max="5296" width="18.44140625" style="106" customWidth="1"/>
    <col min="5297" max="5306" width="9.109375" style="106"/>
    <col min="5307" max="5307" width="10.33203125" style="106" bestFit="1" customWidth="1"/>
    <col min="5308" max="5551" width="9.109375" style="106"/>
    <col min="5552" max="5552" width="18.44140625" style="106" customWidth="1"/>
    <col min="5553" max="5562" width="9.109375" style="106"/>
    <col min="5563" max="5563" width="10.33203125" style="106" bestFit="1" customWidth="1"/>
    <col min="5564" max="5807" width="9.109375" style="106"/>
    <col min="5808" max="5808" width="18.44140625" style="106" customWidth="1"/>
    <col min="5809" max="5818" width="9.109375" style="106"/>
    <col min="5819" max="5819" width="10.33203125" style="106" bestFit="1" customWidth="1"/>
    <col min="5820" max="6063" width="9.109375" style="106"/>
    <col min="6064" max="6064" width="18.44140625" style="106" customWidth="1"/>
    <col min="6065" max="6074" width="9.109375" style="106"/>
    <col min="6075" max="6075" width="10.33203125" style="106" bestFit="1" customWidth="1"/>
    <col min="6076" max="6319" width="9.109375" style="106"/>
    <col min="6320" max="6320" width="18.44140625" style="106" customWidth="1"/>
    <col min="6321" max="6330" width="9.109375" style="106"/>
    <col min="6331" max="6331" width="10.33203125" style="106" bestFit="1" customWidth="1"/>
    <col min="6332" max="6575" width="9.109375" style="106"/>
    <col min="6576" max="6576" width="18.44140625" style="106" customWidth="1"/>
    <col min="6577" max="6586" width="9.109375" style="106"/>
    <col min="6587" max="6587" width="10.33203125" style="106" bestFit="1" customWidth="1"/>
    <col min="6588" max="6831" width="9.109375" style="106"/>
    <col min="6832" max="6832" width="18.44140625" style="106" customWidth="1"/>
    <col min="6833" max="6842" width="9.109375" style="106"/>
    <col min="6843" max="6843" width="10.33203125" style="106" bestFit="1" customWidth="1"/>
    <col min="6844" max="7087" width="9.109375" style="106"/>
    <col min="7088" max="7088" width="18.44140625" style="106" customWidth="1"/>
    <col min="7089" max="7098" width="9.109375" style="106"/>
    <col min="7099" max="7099" width="10.33203125" style="106" bestFit="1" customWidth="1"/>
    <col min="7100" max="7343" width="9.109375" style="106"/>
    <col min="7344" max="7344" width="18.44140625" style="106" customWidth="1"/>
    <col min="7345" max="7354" width="9.109375" style="106"/>
    <col min="7355" max="7355" width="10.33203125" style="106" bestFit="1" customWidth="1"/>
    <col min="7356" max="7599" width="9.109375" style="106"/>
    <col min="7600" max="7600" width="18.44140625" style="106" customWidth="1"/>
    <col min="7601" max="7610" width="9.109375" style="106"/>
    <col min="7611" max="7611" width="10.33203125" style="106" bestFit="1" customWidth="1"/>
    <col min="7612" max="7855" width="9.109375" style="106"/>
    <col min="7856" max="7856" width="18.44140625" style="106" customWidth="1"/>
    <col min="7857" max="7866" width="9.109375" style="106"/>
    <col min="7867" max="7867" width="10.33203125" style="106" bestFit="1" customWidth="1"/>
    <col min="7868" max="8111" width="9.109375" style="106"/>
    <col min="8112" max="8112" width="18.44140625" style="106" customWidth="1"/>
    <col min="8113" max="8122" width="9.109375" style="106"/>
    <col min="8123" max="8123" width="10.33203125" style="106" bestFit="1" customWidth="1"/>
    <col min="8124" max="8367" width="9.109375" style="106"/>
    <col min="8368" max="8368" width="18.44140625" style="106" customWidth="1"/>
    <col min="8369" max="8378" width="9.109375" style="106"/>
    <col min="8379" max="8379" width="10.33203125" style="106" bestFit="1" customWidth="1"/>
    <col min="8380" max="8623" width="9.109375" style="106"/>
    <col min="8624" max="8624" width="18.44140625" style="106" customWidth="1"/>
    <col min="8625" max="8634" width="9.109375" style="106"/>
    <col min="8635" max="8635" width="10.33203125" style="106" bestFit="1" customWidth="1"/>
    <col min="8636" max="8879" width="9.109375" style="106"/>
    <col min="8880" max="8880" width="18.44140625" style="106" customWidth="1"/>
    <col min="8881" max="8890" width="9.109375" style="106"/>
    <col min="8891" max="8891" width="10.33203125" style="106" bestFit="1" customWidth="1"/>
    <col min="8892" max="9135" width="9.109375" style="106"/>
    <col min="9136" max="9136" width="18.44140625" style="106" customWidth="1"/>
    <col min="9137" max="9146" width="9.109375" style="106"/>
    <col min="9147" max="9147" width="10.33203125" style="106" bestFit="1" customWidth="1"/>
    <col min="9148" max="9391" width="9.109375" style="106"/>
    <col min="9392" max="9392" width="18.44140625" style="106" customWidth="1"/>
    <col min="9393" max="9402" width="9.109375" style="106"/>
    <col min="9403" max="9403" width="10.33203125" style="106" bestFit="1" customWidth="1"/>
    <col min="9404" max="9647" width="9.109375" style="106"/>
    <col min="9648" max="9648" width="18.44140625" style="106" customWidth="1"/>
    <col min="9649" max="9658" width="9.109375" style="106"/>
    <col min="9659" max="9659" width="10.33203125" style="106" bestFit="1" customWidth="1"/>
    <col min="9660" max="9903" width="9.109375" style="106"/>
    <col min="9904" max="9904" width="18.44140625" style="106" customWidth="1"/>
    <col min="9905" max="9914" width="9.109375" style="106"/>
    <col min="9915" max="9915" width="10.33203125" style="106" bestFit="1" customWidth="1"/>
    <col min="9916" max="10159" width="9.109375" style="106"/>
    <col min="10160" max="10160" width="18.44140625" style="106" customWidth="1"/>
    <col min="10161" max="10170" width="9.109375" style="106"/>
    <col min="10171" max="10171" width="10.33203125" style="106" bestFit="1" customWidth="1"/>
    <col min="10172" max="10415" width="9.109375" style="106"/>
    <col min="10416" max="10416" width="18.44140625" style="106" customWidth="1"/>
    <col min="10417" max="10426" width="9.109375" style="106"/>
    <col min="10427" max="10427" width="10.33203125" style="106" bestFit="1" customWidth="1"/>
    <col min="10428" max="10671" width="9.109375" style="106"/>
    <col min="10672" max="10672" width="18.44140625" style="106" customWidth="1"/>
    <col min="10673" max="10682" width="9.109375" style="106"/>
    <col min="10683" max="10683" width="10.33203125" style="106" bestFit="1" customWidth="1"/>
    <col min="10684" max="10927" width="9.109375" style="106"/>
    <col min="10928" max="10928" width="18.44140625" style="106" customWidth="1"/>
    <col min="10929" max="10938" width="9.109375" style="106"/>
    <col min="10939" max="10939" width="10.33203125" style="106" bestFit="1" customWidth="1"/>
    <col min="10940" max="11183" width="9.109375" style="106"/>
    <col min="11184" max="11184" width="18.44140625" style="106" customWidth="1"/>
    <col min="11185" max="11194" width="9.109375" style="106"/>
    <col min="11195" max="11195" width="10.33203125" style="106" bestFit="1" customWidth="1"/>
    <col min="11196" max="11439" width="9.109375" style="106"/>
    <col min="11440" max="11440" width="18.44140625" style="106" customWidth="1"/>
    <col min="11441" max="11450" width="9.109375" style="106"/>
    <col min="11451" max="11451" width="10.33203125" style="106" bestFit="1" customWidth="1"/>
    <col min="11452" max="11695" width="9.109375" style="106"/>
    <col min="11696" max="11696" width="18.44140625" style="106" customWidth="1"/>
    <col min="11697" max="11706" width="9.109375" style="106"/>
    <col min="11707" max="11707" width="10.33203125" style="106" bestFit="1" customWidth="1"/>
    <col min="11708" max="11951" width="9.109375" style="106"/>
    <col min="11952" max="11952" width="18.44140625" style="106" customWidth="1"/>
    <col min="11953" max="11962" width="9.109375" style="106"/>
    <col min="11963" max="11963" width="10.33203125" style="106" bestFit="1" customWidth="1"/>
    <col min="11964" max="12207" width="9.109375" style="106"/>
    <col min="12208" max="12208" width="18.44140625" style="106" customWidth="1"/>
    <col min="12209" max="12218" width="9.109375" style="106"/>
    <col min="12219" max="12219" width="10.33203125" style="106" bestFit="1" customWidth="1"/>
    <col min="12220" max="12463" width="9.109375" style="106"/>
    <col min="12464" max="12464" width="18.44140625" style="106" customWidth="1"/>
    <col min="12465" max="12474" width="9.109375" style="106"/>
    <col min="12475" max="12475" width="10.33203125" style="106" bestFit="1" customWidth="1"/>
    <col min="12476" max="12719" width="9.109375" style="106"/>
    <col min="12720" max="12720" width="18.44140625" style="106" customWidth="1"/>
    <col min="12721" max="12730" width="9.109375" style="106"/>
    <col min="12731" max="12731" width="10.33203125" style="106" bestFit="1" customWidth="1"/>
    <col min="12732" max="12975" width="9.109375" style="106"/>
    <col min="12976" max="12976" width="18.44140625" style="106" customWidth="1"/>
    <col min="12977" max="12986" width="9.109375" style="106"/>
    <col min="12987" max="12987" width="10.33203125" style="106" bestFit="1" customWidth="1"/>
    <col min="12988" max="13231" width="9.109375" style="106"/>
    <col min="13232" max="13232" width="18.44140625" style="106" customWidth="1"/>
    <col min="13233" max="13242" width="9.109375" style="106"/>
    <col min="13243" max="13243" width="10.33203125" style="106" bestFit="1" customWidth="1"/>
    <col min="13244" max="13487" width="9.109375" style="106"/>
    <col min="13488" max="13488" width="18.44140625" style="106" customWidth="1"/>
    <col min="13489" max="13498" width="9.109375" style="106"/>
    <col min="13499" max="13499" width="10.33203125" style="106" bestFit="1" customWidth="1"/>
    <col min="13500" max="13743" width="9.109375" style="106"/>
    <col min="13744" max="13744" width="18.44140625" style="106" customWidth="1"/>
    <col min="13745" max="13754" width="9.109375" style="106"/>
    <col min="13755" max="13755" width="10.33203125" style="106" bestFit="1" customWidth="1"/>
    <col min="13756" max="13999" width="9.109375" style="106"/>
    <col min="14000" max="14000" width="18.44140625" style="106" customWidth="1"/>
    <col min="14001" max="14010" width="9.109375" style="106"/>
    <col min="14011" max="14011" width="10.33203125" style="106" bestFit="1" customWidth="1"/>
    <col min="14012" max="14255" width="9.109375" style="106"/>
    <col min="14256" max="14256" width="18.44140625" style="106" customWidth="1"/>
    <col min="14257" max="14266" width="9.109375" style="106"/>
    <col min="14267" max="14267" width="10.33203125" style="106" bestFit="1" customWidth="1"/>
    <col min="14268" max="14511" width="9.109375" style="106"/>
    <col min="14512" max="14512" width="18.44140625" style="106" customWidth="1"/>
    <col min="14513" max="14522" width="9.109375" style="106"/>
    <col min="14523" max="14523" width="10.33203125" style="106" bestFit="1" customWidth="1"/>
    <col min="14524" max="14767" width="9.109375" style="106"/>
    <col min="14768" max="14768" width="18.44140625" style="106" customWidth="1"/>
    <col min="14769" max="14778" width="9.109375" style="106"/>
    <col min="14779" max="14779" width="10.33203125" style="106" bestFit="1" customWidth="1"/>
    <col min="14780" max="15023" width="9.109375" style="106"/>
    <col min="15024" max="15024" width="18.44140625" style="106" customWidth="1"/>
    <col min="15025" max="15034" width="9.109375" style="106"/>
    <col min="15035" max="15035" width="10.33203125" style="106" bestFit="1" customWidth="1"/>
    <col min="15036" max="15279" width="9.109375" style="106"/>
    <col min="15280" max="15280" width="18.44140625" style="106" customWidth="1"/>
    <col min="15281" max="15290" width="9.109375" style="106"/>
    <col min="15291" max="15291" width="10.33203125" style="106" bestFit="1" customWidth="1"/>
    <col min="15292" max="15535" width="9.109375" style="106"/>
    <col min="15536" max="15536" width="18.44140625" style="106" customWidth="1"/>
    <col min="15537" max="15546" width="9.109375" style="106"/>
    <col min="15547" max="15547" width="10.33203125" style="106" bestFit="1" customWidth="1"/>
    <col min="15548" max="15791" width="9.109375" style="106"/>
    <col min="15792" max="15792" width="18.44140625" style="106" customWidth="1"/>
    <col min="15793" max="15802" width="9.109375" style="106"/>
    <col min="15803" max="15803" width="10.33203125" style="106" bestFit="1" customWidth="1"/>
    <col min="15804" max="16047" width="9.109375" style="106"/>
    <col min="16048" max="16048" width="18.44140625" style="106" customWidth="1"/>
    <col min="16049" max="16058" width="9.109375" style="106"/>
    <col min="16059" max="16059" width="10.33203125" style="106" bestFit="1" customWidth="1"/>
    <col min="16060" max="16384" width="9.109375" style="106"/>
  </cols>
  <sheetData>
    <row r="1" spans="1:32" ht="12" x14ac:dyDescent="0.25">
      <c r="A1" s="123" t="s">
        <v>132</v>
      </c>
      <c r="Z1" s="106"/>
      <c r="AA1" s="106"/>
      <c r="AB1" s="106"/>
    </row>
    <row r="2" spans="1:32" s="107" customFormat="1" ht="12" x14ac:dyDescent="0.25">
      <c r="A2" s="105" t="s">
        <v>130</v>
      </c>
      <c r="B2" s="170"/>
    </row>
    <row r="3" spans="1:32" s="107" customFormat="1" ht="12" x14ac:dyDescent="0.25">
      <c r="A3" s="108"/>
    </row>
    <row r="4" spans="1:32" s="107" customFormat="1" ht="12" x14ac:dyDescent="0.25">
      <c r="B4" s="184">
        <v>41791</v>
      </c>
      <c r="C4" s="184"/>
      <c r="D4" s="184">
        <v>41821</v>
      </c>
      <c r="E4" s="184"/>
      <c r="F4" s="184">
        <v>41852</v>
      </c>
      <c r="G4" s="184"/>
      <c r="H4" s="184">
        <v>41883</v>
      </c>
      <c r="I4" s="184"/>
      <c r="J4" s="184">
        <v>41913</v>
      </c>
      <c r="K4" s="184"/>
      <c r="L4" s="184">
        <v>41944</v>
      </c>
      <c r="M4" s="184"/>
      <c r="N4" s="184">
        <v>41974</v>
      </c>
      <c r="O4" s="184"/>
      <c r="P4" s="184">
        <v>42005</v>
      </c>
      <c r="Q4" s="184"/>
      <c r="R4" s="184">
        <v>42036</v>
      </c>
      <c r="S4" s="184"/>
      <c r="T4" s="184">
        <v>42064</v>
      </c>
      <c r="U4" s="184"/>
      <c r="V4" s="184">
        <v>42095</v>
      </c>
      <c r="W4" s="184"/>
      <c r="X4" s="184">
        <v>42125</v>
      </c>
      <c r="Y4" s="184"/>
      <c r="Z4" s="184" t="s">
        <v>3</v>
      </c>
      <c r="AA4" s="184"/>
    </row>
    <row r="5" spans="1:32" s="107" customFormat="1" ht="12" x14ac:dyDescent="0.25">
      <c r="B5" s="109" t="s">
        <v>17</v>
      </c>
      <c r="C5" s="109" t="s">
        <v>4</v>
      </c>
      <c r="D5" s="109" t="s">
        <v>17</v>
      </c>
      <c r="E5" s="109" t="s">
        <v>4</v>
      </c>
      <c r="F5" s="109" t="s">
        <v>17</v>
      </c>
      <c r="G5" s="109" t="s">
        <v>4</v>
      </c>
      <c r="H5" s="109" t="s">
        <v>17</v>
      </c>
      <c r="I5" s="109" t="s">
        <v>4</v>
      </c>
      <c r="J5" s="109" t="s">
        <v>17</v>
      </c>
      <c r="K5" s="109" t="s">
        <v>4</v>
      </c>
      <c r="L5" s="109" t="s">
        <v>17</v>
      </c>
      <c r="M5" s="109" t="s">
        <v>4</v>
      </c>
      <c r="N5" s="109" t="s">
        <v>17</v>
      </c>
      <c r="O5" s="109" t="s">
        <v>4</v>
      </c>
      <c r="P5" s="109" t="s">
        <v>17</v>
      </c>
      <c r="Q5" s="109" t="s">
        <v>4</v>
      </c>
      <c r="R5" s="109" t="s">
        <v>17</v>
      </c>
      <c r="S5" s="109" t="s">
        <v>4</v>
      </c>
      <c r="T5" s="109" t="s">
        <v>17</v>
      </c>
      <c r="U5" s="109" t="s">
        <v>4</v>
      </c>
      <c r="V5" s="109" t="s">
        <v>17</v>
      </c>
      <c r="W5" s="109" t="s">
        <v>4</v>
      </c>
      <c r="X5" s="109" t="s">
        <v>17</v>
      </c>
      <c r="Y5" s="109" t="s">
        <v>4</v>
      </c>
      <c r="Z5" s="109" t="s">
        <v>17</v>
      </c>
      <c r="AA5" s="109" t="s">
        <v>4</v>
      </c>
    </row>
    <row r="6" spans="1:32" s="107" customFormat="1" ht="12" x14ac:dyDescent="0.25">
      <c r="A6" s="107" t="s">
        <v>56</v>
      </c>
      <c r="B6" s="133">
        <v>502.24</v>
      </c>
      <c r="C6" s="111">
        <f t="shared" ref="C6:C15" si="0">B6/B$17</f>
        <v>0.46341508424218941</v>
      </c>
      <c r="D6" s="133">
        <v>450.74</v>
      </c>
      <c r="E6" s="111">
        <f t="shared" ref="E6:E15" si="1">D6/D$17</f>
        <v>0.46610274652547978</v>
      </c>
      <c r="F6" s="133">
        <v>384.02</v>
      </c>
      <c r="G6" s="111">
        <f t="shared" ref="G6:G15" si="2">F6/F$17</f>
        <v>0.40700348690555671</v>
      </c>
      <c r="H6" s="133">
        <v>415.22</v>
      </c>
      <c r="I6" s="111">
        <f t="shared" ref="I6:I15" si="3">H6/H$17</f>
        <v>0.42095765280776992</v>
      </c>
      <c r="J6" s="133">
        <v>372.26</v>
      </c>
      <c r="K6" s="111">
        <f t="shared" ref="K6:K15" si="4">J6/J$17</f>
        <v>0.39124311598772438</v>
      </c>
      <c r="L6" s="133">
        <v>380.49</v>
      </c>
      <c r="M6" s="111">
        <f t="shared" ref="M6:M15" si="5">L6/L$17</f>
        <v>0.44429005137786076</v>
      </c>
      <c r="N6" s="133">
        <v>314.18</v>
      </c>
      <c r="O6" s="111">
        <f t="shared" ref="O6:O15" si="6">N6/N$17</f>
        <v>0.31023995260195519</v>
      </c>
      <c r="P6" s="133">
        <v>430.73</v>
      </c>
      <c r="Q6" s="111">
        <f t="shared" ref="Q6:Q15" si="7">P6/P$17</f>
        <v>0.4168691023469635</v>
      </c>
      <c r="R6" s="133">
        <v>343.92</v>
      </c>
      <c r="S6" s="111">
        <f t="shared" ref="S6:S15" si="8">IFERROR(R6/R$17,"")</f>
        <v>0.40801509057906549</v>
      </c>
      <c r="T6" s="133">
        <v>398.99</v>
      </c>
      <c r="U6" s="111">
        <f t="shared" ref="U6:U15" si="9">IFERROR(T6/T$17,"")</f>
        <v>0.44298752054003637</v>
      </c>
      <c r="V6" s="133">
        <v>387.61</v>
      </c>
      <c r="W6" s="111">
        <f t="shared" ref="W6:W15" si="10">IFERROR(V6/V$17,"")</f>
        <v>0.45076695856446758</v>
      </c>
      <c r="X6" s="133">
        <v>423.28</v>
      </c>
      <c r="Y6" s="111">
        <f t="shared" ref="Y6:Y15" si="11">X6/X$17</f>
        <v>0.48102733109835788</v>
      </c>
      <c r="Z6" s="110">
        <f>+X6+V6+T6+R6+P6+N6+L6+J6+H6+F6+D6+B6</f>
        <v>4803.68</v>
      </c>
      <c r="AA6" s="111">
        <f t="shared" ref="AA6:AA15" si="12">Z6/Z$17</f>
        <v>0.42442909423766428</v>
      </c>
      <c r="AC6" s="123"/>
    </row>
    <row r="7" spans="1:32" s="107" customFormat="1" ht="12" x14ac:dyDescent="0.25">
      <c r="A7" s="107" t="s">
        <v>85</v>
      </c>
      <c r="B7" s="133">
        <v>47.64</v>
      </c>
      <c r="C7" s="111">
        <f t="shared" si="0"/>
        <v>4.3957260698665783E-2</v>
      </c>
      <c r="D7" s="133">
        <v>36.51</v>
      </c>
      <c r="E7" s="111">
        <f t="shared" si="1"/>
        <v>3.775438451356717E-2</v>
      </c>
      <c r="F7" s="133">
        <v>62.12</v>
      </c>
      <c r="G7" s="111">
        <f t="shared" si="2"/>
        <v>6.5837864190857728E-2</v>
      </c>
      <c r="H7" s="133">
        <v>54.99</v>
      </c>
      <c r="I7" s="111">
        <f t="shared" si="3"/>
        <v>5.5749870738161136E-2</v>
      </c>
      <c r="J7" s="133">
        <v>80.459999999999994</v>
      </c>
      <c r="K7" s="111">
        <f t="shared" si="4"/>
        <v>8.4562996594778658E-2</v>
      </c>
      <c r="L7" s="133">
        <v>84.59</v>
      </c>
      <c r="M7" s="111">
        <f t="shared" si="5"/>
        <v>9.8773937412424101E-2</v>
      </c>
      <c r="N7" s="133">
        <v>85.15</v>
      </c>
      <c r="O7" s="111">
        <f t="shared" si="6"/>
        <v>8.4082156611039807E-2</v>
      </c>
      <c r="P7" s="133">
        <v>21.52</v>
      </c>
      <c r="Q7" s="111">
        <f t="shared" si="7"/>
        <v>2.0827486087587707E-2</v>
      </c>
      <c r="R7" s="133">
        <v>17.21</v>
      </c>
      <c r="S7" s="111">
        <f t="shared" si="8"/>
        <v>2.0417363656855422E-2</v>
      </c>
      <c r="T7" s="133">
        <v>15.05</v>
      </c>
      <c r="U7" s="111">
        <f t="shared" si="9"/>
        <v>1.6709597193231781E-2</v>
      </c>
      <c r="V7" s="133">
        <v>12.07</v>
      </c>
      <c r="W7" s="111">
        <f t="shared" si="10"/>
        <v>1.4036679110118737E-2</v>
      </c>
      <c r="X7" s="133">
        <v>9.35</v>
      </c>
      <c r="Y7" s="111">
        <f t="shared" si="11"/>
        <v>1.0625603727484516E-2</v>
      </c>
      <c r="Z7" s="110">
        <f t="shared" ref="Z7:Z15" si="13">+X7+V7+T7+R7+P7+N7+L7+J7+H7+F7+D7+B7</f>
        <v>526.66000000000008</v>
      </c>
      <c r="AA7" s="111">
        <f t="shared" si="12"/>
        <v>4.6533038581089557E-2</v>
      </c>
      <c r="AC7" s="123"/>
    </row>
    <row r="8" spans="1:32" s="107" customFormat="1" ht="12" x14ac:dyDescent="0.25">
      <c r="A8" s="107" t="s">
        <v>24</v>
      </c>
      <c r="B8" s="133">
        <v>304.57</v>
      </c>
      <c r="C8" s="111">
        <f t="shared" si="0"/>
        <v>0.28102566941630219</v>
      </c>
      <c r="D8" s="133">
        <v>255.4</v>
      </c>
      <c r="E8" s="111">
        <f t="shared" si="1"/>
        <v>0.26410489741892784</v>
      </c>
      <c r="F8" s="133">
        <v>266.87</v>
      </c>
      <c r="G8" s="111">
        <f t="shared" si="2"/>
        <v>0.28284209299121382</v>
      </c>
      <c r="H8" s="133">
        <v>264.11</v>
      </c>
      <c r="I8" s="111">
        <f t="shared" si="3"/>
        <v>0.26775956284153007</v>
      </c>
      <c r="J8" s="133">
        <v>234.22</v>
      </c>
      <c r="K8" s="111">
        <f t="shared" si="4"/>
        <v>0.24616387102198678</v>
      </c>
      <c r="L8" s="133">
        <v>174.13</v>
      </c>
      <c r="M8" s="111">
        <f t="shared" si="5"/>
        <v>0.20332788416627742</v>
      </c>
      <c r="N8" s="133">
        <v>346.87</v>
      </c>
      <c r="O8" s="111">
        <f t="shared" si="6"/>
        <v>0.34251999605016298</v>
      </c>
      <c r="P8" s="133">
        <v>341.17</v>
      </c>
      <c r="Q8" s="111">
        <f t="shared" si="7"/>
        <v>0.33019114444713282</v>
      </c>
      <c r="R8" s="133">
        <v>249</v>
      </c>
      <c r="S8" s="111">
        <f t="shared" si="8"/>
        <v>0.29540520340249854</v>
      </c>
      <c r="T8" s="133">
        <v>279.41000000000003</v>
      </c>
      <c r="U8" s="111">
        <f t="shared" si="9"/>
        <v>0.3102211662299596</v>
      </c>
      <c r="V8" s="133">
        <v>250.88</v>
      </c>
      <c r="W8" s="111">
        <f t="shared" si="10"/>
        <v>0.29175824814801893</v>
      </c>
      <c r="X8" s="133">
        <v>238.26</v>
      </c>
      <c r="Y8" s="111">
        <f t="shared" si="11"/>
        <v>0.27076538439684072</v>
      </c>
      <c r="Z8" s="110">
        <f t="shared" si="13"/>
        <v>3204.8900000000003</v>
      </c>
      <c r="AA8" s="111">
        <f t="shared" si="12"/>
        <v>0.2831680211486502</v>
      </c>
      <c r="AC8" s="123"/>
    </row>
    <row r="9" spans="1:32" s="107" customFormat="1" ht="12" x14ac:dyDescent="0.25">
      <c r="A9" s="107" t="s">
        <v>22</v>
      </c>
      <c r="B9" s="133">
        <v>6.42</v>
      </c>
      <c r="C9" s="111">
        <f t="shared" si="0"/>
        <v>5.9237114543542052E-3</v>
      </c>
      <c r="D9" s="133">
        <v>10.36</v>
      </c>
      <c r="E9" s="111">
        <f t="shared" si="1"/>
        <v>1.0713103904698873E-2</v>
      </c>
      <c r="F9" s="133">
        <v>11.34</v>
      </c>
      <c r="G9" s="111">
        <f t="shared" si="2"/>
        <v>1.20186957489428E-2</v>
      </c>
      <c r="H9" s="133">
        <v>12.56</v>
      </c>
      <c r="I9" s="111">
        <f t="shared" si="3"/>
        <v>1.2733558401005709E-2</v>
      </c>
      <c r="J9" s="133">
        <v>12.84</v>
      </c>
      <c r="K9" s="111">
        <f t="shared" si="4"/>
        <v>1.3494766048682053E-2</v>
      </c>
      <c r="L9" s="133">
        <v>17.920000000000002</v>
      </c>
      <c r="M9" s="111">
        <f t="shared" si="5"/>
        <v>2.0924801494628678E-2</v>
      </c>
      <c r="N9" s="133">
        <v>13.16</v>
      </c>
      <c r="O9" s="111">
        <f t="shared" si="6"/>
        <v>1.2994963957736744E-2</v>
      </c>
      <c r="P9" s="133">
        <v>11.33</v>
      </c>
      <c r="Q9" s="111">
        <f t="shared" si="7"/>
        <v>1.0965400435518994E-2</v>
      </c>
      <c r="R9" s="133">
        <v>8.64</v>
      </c>
      <c r="S9" s="111">
        <f t="shared" si="8"/>
        <v>1.0250204648183082E-2</v>
      </c>
      <c r="T9" s="133">
        <v>9.1199999999999992</v>
      </c>
      <c r="U9" s="111">
        <f t="shared" si="9"/>
        <v>1.0125682817426832E-2</v>
      </c>
      <c r="V9" s="133">
        <v>10.52</v>
      </c>
      <c r="W9" s="111">
        <f t="shared" si="10"/>
        <v>1.2234122969216993E-2</v>
      </c>
      <c r="X9" s="133">
        <v>10.9</v>
      </c>
      <c r="Y9" s="111">
        <f t="shared" si="11"/>
        <v>1.2387067447014037E-2</v>
      </c>
      <c r="Z9" s="110">
        <f t="shared" si="13"/>
        <v>135.10999999999999</v>
      </c>
      <c r="AA9" s="111">
        <f t="shared" si="12"/>
        <v>1.1937642582863724E-2</v>
      </c>
      <c r="AC9" s="123"/>
    </row>
    <row r="10" spans="1:32" s="107" customFormat="1" ht="12" x14ac:dyDescent="0.25">
      <c r="A10" s="107" t="s">
        <v>89</v>
      </c>
      <c r="B10" s="133">
        <v>27.68</v>
      </c>
      <c r="C10" s="111">
        <f t="shared" si="0"/>
        <v>2.5540238793851151E-2</v>
      </c>
      <c r="D10" s="133">
        <v>32.61</v>
      </c>
      <c r="E10" s="111">
        <f t="shared" si="1"/>
        <v>3.3721459298477828E-2</v>
      </c>
      <c r="F10" s="133">
        <v>25.75</v>
      </c>
      <c r="G10" s="111">
        <f t="shared" si="2"/>
        <v>2.72911301177493E-2</v>
      </c>
      <c r="H10" s="133">
        <v>26.46</v>
      </c>
      <c r="I10" s="111">
        <f t="shared" si="3"/>
        <v>2.6825633383010434E-2</v>
      </c>
      <c r="J10" s="133">
        <v>33.67</v>
      </c>
      <c r="K10" s="111">
        <f t="shared" si="4"/>
        <v>3.5386976079371087E-2</v>
      </c>
      <c r="L10" s="133">
        <v>25.32</v>
      </c>
      <c r="M10" s="111">
        <f t="shared" si="5"/>
        <v>2.9565623540401677E-2</v>
      </c>
      <c r="N10" s="133">
        <v>40.64</v>
      </c>
      <c r="O10" s="111">
        <f t="shared" si="6"/>
        <v>4.0130344623284291E-2</v>
      </c>
      <c r="P10" s="133">
        <v>25.29</v>
      </c>
      <c r="Q10" s="111">
        <f t="shared" si="7"/>
        <v>2.4476167432857486E-2</v>
      </c>
      <c r="R10" s="133">
        <v>21.95</v>
      </c>
      <c r="S10" s="111">
        <f t="shared" si="8"/>
        <v>2.6040739818011416E-2</v>
      </c>
      <c r="T10" s="133">
        <v>21.97</v>
      </c>
      <c r="U10" s="111">
        <f t="shared" si="9"/>
        <v>2.4392681085402136E-2</v>
      </c>
      <c r="V10" s="133">
        <v>21.41</v>
      </c>
      <c r="W10" s="111">
        <f t="shared" si="10"/>
        <v>2.489853353335892E-2</v>
      </c>
      <c r="X10" s="133">
        <v>21.41</v>
      </c>
      <c r="Y10" s="111">
        <f t="shared" si="11"/>
        <v>2.4330927893630321E-2</v>
      </c>
      <c r="Z10" s="110">
        <f t="shared" si="13"/>
        <v>324.16000000000003</v>
      </c>
      <c r="AA10" s="111">
        <f t="shared" si="12"/>
        <v>2.864115328000226E-2</v>
      </c>
      <c r="AC10" s="123"/>
    </row>
    <row r="11" spans="1:32" s="107" customFormat="1" ht="12" x14ac:dyDescent="0.25">
      <c r="A11" s="107" t="s">
        <v>16</v>
      </c>
      <c r="B11" s="133">
        <v>152.47</v>
      </c>
      <c r="C11" s="111">
        <f t="shared" si="0"/>
        <v>0.14068353355847127</v>
      </c>
      <c r="D11" s="133">
        <v>130.99</v>
      </c>
      <c r="E11" s="111">
        <f t="shared" si="1"/>
        <v>0.13545458305757777</v>
      </c>
      <c r="F11" s="133">
        <v>141.43</v>
      </c>
      <c r="G11" s="111">
        <f t="shared" si="2"/>
        <v>0.14989454495352558</v>
      </c>
      <c r="H11" s="133">
        <v>155.75</v>
      </c>
      <c r="I11" s="111">
        <f t="shared" si="3"/>
        <v>0.15790220708253494</v>
      </c>
      <c r="J11" s="133">
        <v>153.86000000000001</v>
      </c>
      <c r="K11" s="111">
        <f t="shared" si="4"/>
        <v>0.16170597385126331</v>
      </c>
      <c r="L11" s="133">
        <v>125.58</v>
      </c>
      <c r="M11" s="111">
        <f t="shared" si="5"/>
        <v>0.14663708547407753</v>
      </c>
      <c r="N11" s="133">
        <v>166.54</v>
      </c>
      <c r="O11" s="111">
        <f t="shared" si="6"/>
        <v>0.16445146637701194</v>
      </c>
      <c r="P11" s="133">
        <v>154.63</v>
      </c>
      <c r="Q11" s="111">
        <f t="shared" si="7"/>
        <v>0.14965400435518994</v>
      </c>
      <c r="R11" s="133">
        <v>154.82</v>
      </c>
      <c r="S11" s="111">
        <f t="shared" si="8"/>
        <v>0.18367322727218804</v>
      </c>
      <c r="T11" s="133">
        <v>125.58</v>
      </c>
      <c r="U11" s="111">
        <f t="shared" si="9"/>
        <v>0.13942798774259446</v>
      </c>
      <c r="V11" s="133">
        <v>128.81</v>
      </c>
      <c r="W11" s="111">
        <f t="shared" si="10"/>
        <v>0.14979823000616357</v>
      </c>
      <c r="X11" s="133">
        <v>126.92</v>
      </c>
      <c r="Y11" s="111">
        <f t="shared" si="11"/>
        <v>0.14423546792431388</v>
      </c>
      <c r="Z11" s="110">
        <f t="shared" si="13"/>
        <v>1717.38</v>
      </c>
      <c r="AA11" s="111">
        <f t="shared" si="12"/>
        <v>0.15173909125126567</v>
      </c>
      <c r="AC11" s="123"/>
    </row>
    <row r="12" spans="1:32" s="107" customFormat="1" ht="12" x14ac:dyDescent="0.25">
      <c r="A12" s="107" t="s">
        <v>1</v>
      </c>
      <c r="B12" s="133">
        <v>27.45</v>
      </c>
      <c r="C12" s="111">
        <f t="shared" si="0"/>
        <v>2.5328018601561201E-2</v>
      </c>
      <c r="D12" s="133">
        <v>0.89</v>
      </c>
      <c r="E12" s="111">
        <f t="shared" si="1"/>
        <v>9.2033421575115812E-4</v>
      </c>
      <c r="F12" s="133">
        <v>28.34</v>
      </c>
      <c r="G12" s="111">
        <f t="shared" si="2"/>
        <v>3.0036140875223889E-2</v>
      </c>
      <c r="H12" s="133">
        <v>35.04</v>
      </c>
      <c r="I12" s="111">
        <f t="shared" si="3"/>
        <v>3.5524194774780256E-2</v>
      </c>
      <c r="J12" s="133">
        <v>39.99</v>
      </c>
      <c r="K12" s="111">
        <f t="shared" si="4"/>
        <v>4.2029259679656955E-2</v>
      </c>
      <c r="L12" s="133">
        <v>26.44</v>
      </c>
      <c r="M12" s="111">
        <f t="shared" si="5"/>
        <v>3.0873423633815972E-2</v>
      </c>
      <c r="N12" s="133">
        <v>24.62</v>
      </c>
      <c r="O12" s="111">
        <f t="shared" si="6"/>
        <v>2.4311247161054608E-2</v>
      </c>
      <c r="P12" s="133">
        <v>29.37</v>
      </c>
      <c r="Q12" s="111">
        <f t="shared" si="7"/>
        <v>2.8424872973626905E-2</v>
      </c>
      <c r="R12" s="133">
        <v>27.31</v>
      </c>
      <c r="S12" s="111">
        <f t="shared" si="8"/>
        <v>3.2399663071976843E-2</v>
      </c>
      <c r="T12" s="133">
        <v>28.77</v>
      </c>
      <c r="U12" s="111">
        <f t="shared" si="9"/>
        <v>3.1942532308922147E-2</v>
      </c>
      <c r="V12" s="133">
        <v>29.2</v>
      </c>
      <c r="W12" s="111">
        <f t="shared" si="10"/>
        <v>3.3957831815697358E-2</v>
      </c>
      <c r="X12" s="133">
        <v>29.58</v>
      </c>
      <c r="Y12" s="111">
        <f t="shared" si="11"/>
        <v>3.3615546337860104E-2</v>
      </c>
      <c r="Z12" s="110">
        <f t="shared" si="13"/>
        <v>326.99999999999994</v>
      </c>
      <c r="AA12" s="111">
        <f t="shared" si="12"/>
        <v>2.8892081449163182E-2</v>
      </c>
      <c r="AC12" s="123"/>
    </row>
    <row r="13" spans="1:32" s="107" customFormat="1" ht="12" x14ac:dyDescent="0.25">
      <c r="A13" s="107" t="s">
        <v>86</v>
      </c>
      <c r="B13" s="133">
        <v>7.13</v>
      </c>
      <c r="C13" s="111">
        <f t="shared" si="0"/>
        <v>6.578825960988393E-3</v>
      </c>
      <c r="D13" s="133">
        <v>26.99</v>
      </c>
      <c r="E13" s="111">
        <f t="shared" si="1"/>
        <v>2.7909910655195231E-2</v>
      </c>
      <c r="F13" s="133">
        <v>10.6</v>
      </c>
      <c r="G13" s="111">
        <f t="shared" si="2"/>
        <v>1.1234406961092916E-2</v>
      </c>
      <c r="H13" s="133">
        <v>10.59</v>
      </c>
      <c r="I13" s="111">
        <f t="shared" si="3"/>
        <v>1.0736336263268347E-2</v>
      </c>
      <c r="J13" s="133">
        <v>11.82</v>
      </c>
      <c r="K13" s="111">
        <f t="shared" si="4"/>
        <v>1.242275192331946E-2</v>
      </c>
      <c r="L13" s="133">
        <v>8.34</v>
      </c>
      <c r="M13" s="111">
        <f t="shared" si="5"/>
        <v>9.7384399813171402E-3</v>
      </c>
      <c r="N13" s="133">
        <v>11.58</v>
      </c>
      <c r="O13" s="111">
        <f t="shared" si="6"/>
        <v>1.1434778315394491E-2</v>
      </c>
      <c r="P13" s="133">
        <v>11.24</v>
      </c>
      <c r="Q13" s="111">
        <f t="shared" si="7"/>
        <v>1.0878296636825551E-2</v>
      </c>
      <c r="R13" s="133">
        <v>10.36</v>
      </c>
      <c r="S13" s="111">
        <f t="shared" si="8"/>
        <v>1.2290754647589898E-2</v>
      </c>
      <c r="T13" s="133">
        <v>10.89</v>
      </c>
      <c r="U13" s="111">
        <f t="shared" si="9"/>
        <v>1.209086468001954E-2</v>
      </c>
      <c r="V13" s="133">
        <v>9.52</v>
      </c>
      <c r="W13" s="111">
        <f t="shared" si="10"/>
        <v>1.1071183523473933E-2</v>
      </c>
      <c r="X13" s="133">
        <v>9.5399999999999991</v>
      </c>
      <c r="Y13" s="111">
        <f t="shared" si="11"/>
        <v>1.084152508665265E-2</v>
      </c>
      <c r="Z13" s="110">
        <f t="shared" si="13"/>
        <v>138.6</v>
      </c>
      <c r="AA13" s="111">
        <f t="shared" si="12"/>
        <v>1.2246001494966414E-2</v>
      </c>
      <c r="AC13" s="123"/>
    </row>
    <row r="14" spans="1:32" s="107" customFormat="1" ht="12" x14ac:dyDescent="0.25">
      <c r="A14" s="107" t="s">
        <v>87</v>
      </c>
      <c r="B14" s="133">
        <v>6.87</v>
      </c>
      <c r="C14" s="111">
        <f t="shared" si="0"/>
        <v>6.3389248740519299E-3</v>
      </c>
      <c r="D14" s="133">
        <v>9.4700000000000006</v>
      </c>
      <c r="E14" s="111">
        <f t="shared" si="1"/>
        <v>9.7927696889477164E-3</v>
      </c>
      <c r="F14" s="133">
        <v>7.74</v>
      </c>
      <c r="G14" s="111">
        <f t="shared" si="2"/>
        <v>8.2032367810244509E-3</v>
      </c>
      <c r="H14" s="133">
        <v>5.05</v>
      </c>
      <c r="I14" s="111">
        <f t="shared" si="3"/>
        <v>5.1197826373470395E-3</v>
      </c>
      <c r="J14" s="133">
        <v>7.23</v>
      </c>
      <c r="K14" s="111">
        <f t="shared" si="4"/>
        <v>7.5986883591877916E-3</v>
      </c>
      <c r="L14" s="133">
        <v>11.93</v>
      </c>
      <c r="M14" s="111">
        <f t="shared" si="5"/>
        <v>1.3930406352171881E-2</v>
      </c>
      <c r="N14" s="133">
        <v>4.4000000000000004</v>
      </c>
      <c r="O14" s="111">
        <f t="shared" si="6"/>
        <v>4.3448207761429851E-3</v>
      </c>
      <c r="P14" s="133">
        <v>5.98</v>
      </c>
      <c r="Q14" s="111">
        <f t="shared" si="7"/>
        <v>5.7875635131865479E-3</v>
      </c>
      <c r="R14" s="133">
        <v>5.91</v>
      </c>
      <c r="S14" s="111">
        <f t="shared" si="8"/>
        <v>7.0114247072641219E-3</v>
      </c>
      <c r="T14" s="133">
        <v>6.8</v>
      </c>
      <c r="U14" s="111">
        <f t="shared" si="9"/>
        <v>7.5498512235200061E-3</v>
      </c>
      <c r="V14" s="133">
        <v>6.33</v>
      </c>
      <c r="W14" s="111">
        <f t="shared" si="10"/>
        <v>7.3614066915535714E-3</v>
      </c>
      <c r="X14" s="133">
        <v>6.52</v>
      </c>
      <c r="Y14" s="111">
        <f t="shared" si="11"/>
        <v>7.4095119040854598E-3</v>
      </c>
      <c r="Z14" s="110">
        <f t="shared" si="13"/>
        <v>84.22999999999999</v>
      </c>
      <c r="AA14" s="111">
        <f t="shared" si="12"/>
        <v>7.4421407353609014E-3</v>
      </c>
      <c r="AC14" s="123"/>
    </row>
    <row r="15" spans="1:32" s="107" customFormat="1" ht="12" x14ac:dyDescent="0.25">
      <c r="A15" s="107" t="s">
        <v>88</v>
      </c>
      <c r="B15" s="133">
        <v>1.31</v>
      </c>
      <c r="C15" s="111">
        <f t="shared" si="0"/>
        <v>1.2087323995644873E-3</v>
      </c>
      <c r="D15" s="133">
        <v>13.08</v>
      </c>
      <c r="E15" s="111">
        <f t="shared" si="1"/>
        <v>1.3525810721376571E-2</v>
      </c>
      <c r="F15" s="133">
        <v>5.32</v>
      </c>
      <c r="G15" s="111">
        <f t="shared" si="2"/>
        <v>5.638400474812671E-3</v>
      </c>
      <c r="H15" s="133">
        <v>6.6</v>
      </c>
      <c r="I15" s="111">
        <f t="shared" si="3"/>
        <v>6.6912010705921709E-3</v>
      </c>
      <c r="J15" s="133">
        <v>5.13</v>
      </c>
      <c r="K15" s="111">
        <f t="shared" si="4"/>
        <v>5.3916004540295118E-3</v>
      </c>
      <c r="L15" s="133">
        <v>1.66</v>
      </c>
      <c r="M15" s="111">
        <f t="shared" si="5"/>
        <v>1.9383465670247545E-3</v>
      </c>
      <c r="N15" s="133">
        <v>5.56</v>
      </c>
      <c r="O15" s="111">
        <f t="shared" si="6"/>
        <v>5.4902735262170434E-3</v>
      </c>
      <c r="P15" s="133">
        <v>1.99</v>
      </c>
      <c r="Q15" s="111">
        <f t="shared" si="7"/>
        <v>1.9259617711105735E-3</v>
      </c>
      <c r="R15" s="133">
        <v>3.79</v>
      </c>
      <c r="S15" s="111">
        <f t="shared" si="8"/>
        <v>4.4963281963673477E-3</v>
      </c>
      <c r="T15" s="133">
        <v>4.0999999999999996</v>
      </c>
      <c r="U15" s="111">
        <f t="shared" si="9"/>
        <v>4.5521161788870624E-3</v>
      </c>
      <c r="V15" s="133">
        <v>3.54</v>
      </c>
      <c r="W15" s="111">
        <f t="shared" si="10"/>
        <v>4.1168056379304327E-3</v>
      </c>
      <c r="X15" s="133">
        <v>4.1900000000000004</v>
      </c>
      <c r="Y15" s="111">
        <f t="shared" si="11"/>
        <v>4.7616341837604416E-3</v>
      </c>
      <c r="Z15" s="110">
        <f t="shared" si="13"/>
        <v>56.269999999999996</v>
      </c>
      <c r="AA15" s="111">
        <f t="shared" si="12"/>
        <v>4.9717352389737381E-3</v>
      </c>
      <c r="AC15" s="123"/>
    </row>
    <row r="16" spans="1:32" x14ac:dyDescent="0.25">
      <c r="AC16" s="123"/>
      <c r="AF16" s="107"/>
    </row>
    <row r="17" spans="1:32" s="123" customFormat="1" ht="12.6" thickBot="1" x14ac:dyDescent="0.3">
      <c r="B17" s="124">
        <f>SUM(B6:B15)</f>
        <v>1083.78</v>
      </c>
      <c r="C17" s="125">
        <f>SUM(C6:C16)</f>
        <v>1</v>
      </c>
      <c r="D17" s="124">
        <f>SUM(D6:D15)</f>
        <v>967.04000000000008</v>
      </c>
      <c r="E17" s="125">
        <f>SUM(E6:E16)</f>
        <v>0.99999999999999989</v>
      </c>
      <c r="F17" s="124">
        <f>SUM(F6:F15)</f>
        <v>943.53000000000009</v>
      </c>
      <c r="G17" s="125">
        <f>SUM(G6:G16)</f>
        <v>0.99999999999999989</v>
      </c>
      <c r="H17" s="124">
        <f>SUM(H6:H15)</f>
        <v>986.37</v>
      </c>
      <c r="I17" s="125">
        <f>SUM(I6:I16)</f>
        <v>1.0000000000000002</v>
      </c>
      <c r="J17" s="124">
        <f>SUM(J6:J15)</f>
        <v>951.48</v>
      </c>
      <c r="K17" s="125">
        <f>SUM(K6:K16)</f>
        <v>1</v>
      </c>
      <c r="L17" s="124">
        <f>SUM(L6:L15)</f>
        <v>856.40000000000009</v>
      </c>
      <c r="M17" s="125">
        <f>SUM(M6:M16)</f>
        <v>1</v>
      </c>
      <c r="N17" s="124">
        <f>SUM(N6:N15)</f>
        <v>1012.6999999999999</v>
      </c>
      <c r="O17" s="125">
        <f>SUM(O6:O16)</f>
        <v>0.99999999999999989</v>
      </c>
      <c r="P17" s="124">
        <f>SUM(P6:P15)</f>
        <v>1033.25</v>
      </c>
      <c r="Q17" s="125">
        <f>SUM(Q6:Q16)</f>
        <v>1</v>
      </c>
      <c r="R17" s="124">
        <f>SUM(R6:R15)</f>
        <v>842.90999999999985</v>
      </c>
      <c r="S17" s="125">
        <f>SUM(S6:S16)</f>
        <v>1</v>
      </c>
      <c r="T17" s="124">
        <f>SUM(T6:T15)</f>
        <v>900.68000000000006</v>
      </c>
      <c r="U17" s="125">
        <f>SUM(U6:U16)</f>
        <v>1</v>
      </c>
      <c r="V17" s="124">
        <f>SUM(V6:V15)</f>
        <v>859.89</v>
      </c>
      <c r="W17" s="125">
        <f>SUM(W6:W16)</f>
        <v>1</v>
      </c>
      <c r="X17" s="124">
        <f>SUM(X6:X15)</f>
        <v>879.94999999999993</v>
      </c>
      <c r="Y17" s="125">
        <f>SUM(Y6:Y16)</f>
        <v>1</v>
      </c>
      <c r="Z17" s="124">
        <f>SUM(Z6:Z15)</f>
        <v>11317.980000000001</v>
      </c>
      <c r="AA17" s="125">
        <f>SUM(AA6:AA16)</f>
        <v>1</v>
      </c>
      <c r="AF17" s="107"/>
    </row>
    <row r="18" spans="1:32" s="107" customFormat="1" ht="12.6" thickTop="1" x14ac:dyDescent="0.25">
      <c r="AC18" s="123"/>
    </row>
    <row r="19" spans="1:32" s="107" customFormat="1" ht="12" x14ac:dyDescent="0.25">
      <c r="A19" s="107" t="s">
        <v>90</v>
      </c>
      <c r="B19" s="133">
        <v>70.989999999999995</v>
      </c>
      <c r="C19" s="111">
        <f>B19/B$17</f>
        <v>6.5502223698536602E-2</v>
      </c>
      <c r="D19" s="133">
        <v>71.42</v>
      </c>
      <c r="E19" s="111">
        <f>D19/D$17</f>
        <v>7.3854235605559232E-2</v>
      </c>
      <c r="F19" s="133">
        <v>74.150000000000006</v>
      </c>
      <c r="G19" s="111">
        <f>F19/F$17</f>
        <v>7.8587856241984888E-2</v>
      </c>
      <c r="H19" s="133">
        <v>75.510000000000005</v>
      </c>
      <c r="I19" s="111">
        <f>H19/H$17</f>
        <v>7.655342315763862E-2</v>
      </c>
      <c r="J19" s="133">
        <v>89.51</v>
      </c>
      <c r="K19" s="111">
        <f>J19/J$17</f>
        <v>9.4074494471770298E-2</v>
      </c>
      <c r="L19" s="133">
        <v>66.63</v>
      </c>
      <c r="M19" s="111">
        <f>L19/L$17</f>
        <v>7.7802428771602039E-2</v>
      </c>
      <c r="N19" s="133">
        <v>67.39</v>
      </c>
      <c r="O19" s="111">
        <f>N19/N$17</f>
        <v>6.654488002369903E-2</v>
      </c>
      <c r="P19" s="133">
        <v>39.35</v>
      </c>
      <c r="Q19" s="111">
        <f>P19/P$17</f>
        <v>3.8083716428744252E-2</v>
      </c>
      <c r="R19" s="133">
        <v>77.819999999999993</v>
      </c>
      <c r="S19" s="111">
        <f>IFERROR(R19/R$17,"")</f>
        <v>9.2323023810371219E-2</v>
      </c>
      <c r="T19" s="133">
        <v>77.23</v>
      </c>
      <c r="U19" s="111">
        <f>IFERROR(T19/T$17,"")</f>
        <v>8.574632499888972E-2</v>
      </c>
      <c r="V19" s="133">
        <v>58.69</v>
      </c>
      <c r="W19" s="111">
        <f>IFERROR(V19/V$17,"")</f>
        <v>6.8252916070660197E-2</v>
      </c>
      <c r="X19" s="133">
        <v>85.93</v>
      </c>
      <c r="Y19" s="111">
        <f>X19/X$17</f>
        <v>9.7653275754304242E-2</v>
      </c>
      <c r="Z19" s="110">
        <f>+X19+V19+T19+R19+P19+N19+L19+J19+H19+F19+D19+B19</f>
        <v>854.62</v>
      </c>
      <c r="AA19" s="111">
        <f>Z19/Z$17</f>
        <v>7.5509940819828258E-2</v>
      </c>
      <c r="AC19" s="123"/>
    </row>
    <row r="21" spans="1:32" ht="12" x14ac:dyDescent="0.25">
      <c r="A21" s="108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33"/>
      <c r="W21" s="107"/>
      <c r="X21" s="107"/>
      <c r="Y21" s="107"/>
      <c r="Z21" s="106"/>
      <c r="AA21" s="106"/>
      <c r="AB21" s="106"/>
    </row>
    <row r="22" spans="1:32" ht="11.4" x14ac:dyDescent="0.2">
      <c r="A22" s="107"/>
      <c r="B22" s="113"/>
      <c r="C22" s="107"/>
      <c r="D22" s="113"/>
      <c r="E22" s="107"/>
      <c r="F22" s="113"/>
      <c r="G22" s="107"/>
      <c r="H22" s="113"/>
      <c r="I22" s="107"/>
      <c r="J22" s="113"/>
      <c r="K22" s="107"/>
      <c r="L22" s="113"/>
      <c r="M22" s="107"/>
      <c r="N22" s="113"/>
      <c r="O22" s="107"/>
      <c r="P22" s="113"/>
      <c r="Q22" s="114"/>
      <c r="R22" s="113"/>
      <c r="S22" s="114"/>
      <c r="T22" s="113"/>
      <c r="U22" s="114"/>
      <c r="V22" s="113"/>
      <c r="W22" s="107"/>
      <c r="X22" s="113"/>
      <c r="Y22" s="107"/>
      <c r="Z22" s="106"/>
      <c r="AA22" s="106"/>
      <c r="AB22" s="106"/>
    </row>
    <row r="23" spans="1:32" ht="11.4" x14ac:dyDescent="0.2">
      <c r="A23" s="107"/>
      <c r="B23" s="114"/>
      <c r="C23" s="107"/>
      <c r="D23" s="114"/>
      <c r="E23" s="107"/>
      <c r="F23" s="114"/>
      <c r="G23" s="107"/>
      <c r="H23" s="114"/>
      <c r="I23" s="107"/>
      <c r="J23" s="114"/>
      <c r="K23" s="107"/>
      <c r="L23" s="114"/>
      <c r="M23" s="107"/>
      <c r="N23" s="114"/>
      <c r="O23" s="107"/>
      <c r="P23" s="114"/>
      <c r="Q23" s="114"/>
      <c r="R23" s="114"/>
      <c r="S23" s="114"/>
      <c r="T23" s="114"/>
      <c r="U23" s="114"/>
      <c r="V23" s="114"/>
      <c r="W23" s="107"/>
      <c r="X23" s="114"/>
      <c r="Y23" s="107"/>
      <c r="Z23" s="106"/>
      <c r="AA23" s="106"/>
      <c r="AB23" s="106"/>
    </row>
    <row r="24" spans="1:32" ht="11.4" x14ac:dyDescent="0.2">
      <c r="A24" s="107"/>
      <c r="B24" s="115"/>
      <c r="C24" s="117"/>
      <c r="D24" s="115"/>
      <c r="E24" s="117"/>
      <c r="F24" s="115"/>
      <c r="G24" s="117"/>
      <c r="H24" s="115"/>
      <c r="I24" s="117"/>
      <c r="J24" s="115"/>
      <c r="K24" s="117"/>
      <c r="L24" s="115"/>
      <c r="M24" s="117"/>
      <c r="N24" s="115"/>
      <c r="O24" s="117"/>
      <c r="P24" s="115"/>
      <c r="Q24" s="116"/>
      <c r="R24" s="115"/>
      <c r="S24" s="111"/>
      <c r="T24" s="115"/>
      <c r="U24" s="111"/>
      <c r="V24" s="115"/>
      <c r="W24" s="117"/>
      <c r="X24" s="115"/>
      <c r="Y24" s="117"/>
      <c r="Z24" s="106"/>
      <c r="AA24" s="106"/>
      <c r="AB24" s="106"/>
    </row>
    <row r="25" spans="1:32" ht="11.4" x14ac:dyDescent="0.2">
      <c r="A25" s="107"/>
      <c r="B25" s="115"/>
      <c r="C25" s="117"/>
      <c r="D25" s="115"/>
      <c r="E25" s="117"/>
      <c r="F25" s="115"/>
      <c r="G25" s="117"/>
      <c r="H25" s="115"/>
      <c r="I25" s="117"/>
      <c r="J25" s="115"/>
      <c r="K25" s="117"/>
      <c r="L25" s="115"/>
      <c r="M25" s="117"/>
      <c r="N25" s="115"/>
      <c r="O25" s="117"/>
      <c r="P25" s="115"/>
      <c r="Q25" s="116"/>
      <c r="R25" s="115"/>
      <c r="S25" s="111"/>
      <c r="T25" s="115"/>
      <c r="U25" s="111"/>
      <c r="V25" s="115"/>
      <c r="W25" s="117"/>
      <c r="X25" s="115"/>
      <c r="Y25" s="117"/>
      <c r="Z25" s="106"/>
      <c r="AA25" s="106"/>
      <c r="AB25" s="106"/>
    </row>
    <row r="26" spans="1:32" ht="11.4" x14ac:dyDescent="0.2">
      <c r="A26" s="107"/>
      <c r="B26" s="115"/>
      <c r="C26" s="117"/>
      <c r="D26" s="115"/>
      <c r="E26" s="117"/>
      <c r="F26" s="115"/>
      <c r="G26" s="117"/>
      <c r="H26" s="115"/>
      <c r="I26" s="117"/>
      <c r="J26" s="115"/>
      <c r="K26" s="117"/>
      <c r="L26" s="115"/>
      <c r="M26" s="117"/>
      <c r="N26" s="115"/>
      <c r="O26" s="117"/>
      <c r="P26" s="118"/>
      <c r="Q26" s="111"/>
      <c r="R26" s="107"/>
      <c r="S26" s="111"/>
      <c r="T26" s="107"/>
      <c r="U26" s="111"/>
      <c r="V26" s="115"/>
      <c r="W26" s="117"/>
      <c r="X26" s="115"/>
      <c r="Y26" s="117"/>
      <c r="Z26" s="106"/>
      <c r="AA26" s="106"/>
      <c r="AB26" s="106"/>
    </row>
    <row r="27" spans="1:32" ht="11.4" x14ac:dyDescent="0.2">
      <c r="A27" s="107"/>
      <c r="B27" s="107"/>
      <c r="C27" s="119"/>
      <c r="D27" s="107"/>
      <c r="E27" s="119"/>
      <c r="F27" s="107"/>
      <c r="G27" s="119"/>
      <c r="H27" s="107"/>
      <c r="I27" s="119"/>
      <c r="J27" s="107"/>
      <c r="K27" s="119"/>
      <c r="L27" s="107"/>
      <c r="M27" s="119"/>
      <c r="N27" s="107"/>
      <c r="O27" s="119"/>
      <c r="P27" s="107"/>
      <c r="Q27" s="112"/>
      <c r="R27" s="107"/>
      <c r="S27" s="112"/>
      <c r="T27" s="107"/>
      <c r="U27" s="112"/>
      <c r="V27" s="107"/>
      <c r="W27" s="112"/>
      <c r="X27" s="107"/>
      <c r="Y27" s="119"/>
      <c r="Z27" s="106"/>
      <c r="AA27" s="106"/>
      <c r="AB27" s="106"/>
    </row>
    <row r="30" spans="1:32" ht="11.4" x14ac:dyDescent="0.2">
      <c r="P30" s="120"/>
      <c r="Z30" s="106"/>
      <c r="AA30" s="106"/>
      <c r="AB30" s="106"/>
    </row>
    <row r="31" spans="1:32" ht="11.4" x14ac:dyDescent="0.2">
      <c r="P31" s="120"/>
      <c r="Z31" s="106"/>
      <c r="AA31" s="106"/>
      <c r="AB31" s="106"/>
    </row>
    <row r="32" spans="1:32" ht="11.4" x14ac:dyDescent="0.2">
      <c r="P32" s="120"/>
      <c r="Z32" s="106"/>
      <c r="AA32" s="106"/>
      <c r="AB32" s="106"/>
    </row>
    <row r="33" spans="1:28" ht="11.4" x14ac:dyDescent="0.2">
      <c r="P33" s="120"/>
      <c r="Z33" s="106"/>
      <c r="AA33" s="106"/>
      <c r="AB33" s="106"/>
    </row>
    <row r="34" spans="1:28" ht="11.4" x14ac:dyDescent="0.2">
      <c r="P34" s="120"/>
      <c r="Z34" s="106"/>
      <c r="AA34" s="106"/>
      <c r="AB34" s="106"/>
    </row>
    <row r="35" spans="1:28" ht="11.4" x14ac:dyDescent="0.2">
      <c r="P35" s="120"/>
      <c r="Z35" s="106"/>
      <c r="AA35" s="106"/>
      <c r="AB35" s="106"/>
    </row>
    <row r="36" spans="1:28" ht="11.4" x14ac:dyDescent="0.2">
      <c r="P36" s="120"/>
      <c r="Z36" s="106"/>
      <c r="AA36" s="106"/>
      <c r="AB36" s="106"/>
    </row>
    <row r="37" spans="1:28" ht="11.4" x14ac:dyDescent="0.2">
      <c r="P37" s="120"/>
      <c r="Z37" s="106"/>
      <c r="AA37" s="106"/>
      <c r="AB37" s="106"/>
    </row>
    <row r="38" spans="1:28" ht="12" x14ac:dyDescent="0.25">
      <c r="P38" s="120"/>
      <c r="Q38" s="121"/>
      <c r="Z38" s="106"/>
      <c r="AA38" s="106"/>
      <c r="AB38" s="106"/>
    </row>
    <row r="39" spans="1:28" ht="11.4" x14ac:dyDescent="0.2">
      <c r="A39" s="122"/>
      <c r="P39" s="120"/>
      <c r="Z39" s="106"/>
      <c r="AA39" s="106"/>
      <c r="AB39" s="106"/>
    </row>
    <row r="40" spans="1:28" ht="11.4" x14ac:dyDescent="0.2">
      <c r="A40" s="122"/>
      <c r="P40" s="120"/>
      <c r="Z40" s="106"/>
      <c r="AA40" s="106"/>
      <c r="AB40" s="106"/>
    </row>
    <row r="41" spans="1:28" ht="11.4" x14ac:dyDescent="0.2">
      <c r="A41" s="122"/>
      <c r="P41" s="120"/>
      <c r="Z41" s="106"/>
      <c r="AA41" s="106"/>
      <c r="AB41" s="106"/>
    </row>
    <row r="42" spans="1:28" ht="11.4" x14ac:dyDescent="0.2">
      <c r="A42" s="122"/>
      <c r="P42" s="120"/>
      <c r="Z42" s="106"/>
      <c r="AA42" s="106"/>
      <c r="AB42" s="106"/>
    </row>
  </sheetData>
  <mergeCells count="13">
    <mergeCell ref="X4:Y4"/>
    <mergeCell ref="B4:C4"/>
    <mergeCell ref="Z4:AA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45" right="0.2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E22" sqref="E22"/>
    </sheetView>
  </sheetViews>
  <sheetFormatPr defaultRowHeight="11.4" x14ac:dyDescent="0.2"/>
  <cols>
    <col min="1" max="1" width="9.109375" style="107" customWidth="1"/>
    <col min="2" max="2" width="7.5546875" style="107" bestFit="1" customWidth="1"/>
    <col min="3" max="3" width="11.109375" style="107" bestFit="1" customWidth="1"/>
    <col min="4" max="4" width="8.5546875" style="107" bestFit="1" customWidth="1"/>
    <col min="5" max="5" width="10" style="107" bestFit="1" customWidth="1"/>
    <col min="6" max="6" width="8.5546875" style="107" bestFit="1" customWidth="1"/>
    <col min="7" max="7" width="8.109375" style="107" bestFit="1" customWidth="1"/>
    <col min="8" max="8" width="8.5546875" style="107" bestFit="1" customWidth="1"/>
    <col min="9" max="9" width="11.6640625" style="107" bestFit="1" customWidth="1"/>
    <col min="10" max="10" width="12.109375" style="107" bestFit="1" customWidth="1"/>
    <col min="11" max="11" width="10.5546875" style="107" bestFit="1" customWidth="1"/>
    <col min="12" max="181" width="9.109375" style="107"/>
    <col min="182" max="182" width="12.109375" style="107" customWidth="1"/>
    <col min="183" max="183" width="13.5546875" style="107" customWidth="1"/>
    <col min="184" max="184" width="10.6640625" style="107" customWidth="1"/>
    <col min="185" max="186" width="12.109375" style="107" customWidth="1"/>
    <col min="187" max="187" width="10" style="107" customWidth="1"/>
    <col min="188" max="188" width="10.88671875" style="107" customWidth="1"/>
    <col min="189" max="189" width="9.5546875" style="107" customWidth="1"/>
    <col min="190" max="190" width="10.109375" style="107" customWidth="1"/>
    <col min="191" max="191" width="11.5546875" style="107" customWidth="1"/>
    <col min="192" max="192" width="13.44140625" style="107" customWidth="1"/>
    <col min="193" max="193" width="15.109375" style="107" customWidth="1"/>
    <col min="194" max="194" width="9.109375" style="107"/>
    <col min="195" max="195" width="17.33203125" style="107" customWidth="1"/>
    <col min="196" max="196" width="10.44140625" style="107" bestFit="1" customWidth="1"/>
    <col min="197" max="437" width="9.109375" style="107"/>
    <col min="438" max="438" width="12.109375" style="107" customWidth="1"/>
    <col min="439" max="439" width="13.5546875" style="107" customWidth="1"/>
    <col min="440" max="440" width="10.6640625" style="107" customWidth="1"/>
    <col min="441" max="442" width="12.109375" style="107" customWidth="1"/>
    <col min="443" max="443" width="10" style="107" customWidth="1"/>
    <col min="444" max="444" width="10.88671875" style="107" customWidth="1"/>
    <col min="445" max="445" width="9.5546875" style="107" customWidth="1"/>
    <col min="446" max="446" width="10.109375" style="107" customWidth="1"/>
    <col min="447" max="447" width="11.5546875" style="107" customWidth="1"/>
    <col min="448" max="448" width="13.44140625" style="107" customWidth="1"/>
    <col min="449" max="449" width="15.109375" style="107" customWidth="1"/>
    <col min="450" max="450" width="9.109375" style="107"/>
    <col min="451" max="451" width="17.33203125" style="107" customWidth="1"/>
    <col min="452" max="452" width="10.44140625" style="107" bestFit="1" customWidth="1"/>
    <col min="453" max="693" width="9.109375" style="107"/>
    <col min="694" max="694" width="12.109375" style="107" customWidth="1"/>
    <col min="695" max="695" width="13.5546875" style="107" customWidth="1"/>
    <col min="696" max="696" width="10.6640625" style="107" customWidth="1"/>
    <col min="697" max="698" width="12.109375" style="107" customWidth="1"/>
    <col min="699" max="699" width="10" style="107" customWidth="1"/>
    <col min="700" max="700" width="10.88671875" style="107" customWidth="1"/>
    <col min="701" max="701" width="9.5546875" style="107" customWidth="1"/>
    <col min="702" max="702" width="10.109375" style="107" customWidth="1"/>
    <col min="703" max="703" width="11.5546875" style="107" customWidth="1"/>
    <col min="704" max="704" width="13.44140625" style="107" customWidth="1"/>
    <col min="705" max="705" width="15.109375" style="107" customWidth="1"/>
    <col min="706" max="706" width="9.109375" style="107"/>
    <col min="707" max="707" width="17.33203125" style="107" customWidth="1"/>
    <col min="708" max="708" width="10.44140625" style="107" bestFit="1" customWidth="1"/>
    <col min="709" max="949" width="9.109375" style="107"/>
    <col min="950" max="950" width="12.109375" style="107" customWidth="1"/>
    <col min="951" max="951" width="13.5546875" style="107" customWidth="1"/>
    <col min="952" max="952" width="10.6640625" style="107" customWidth="1"/>
    <col min="953" max="954" width="12.109375" style="107" customWidth="1"/>
    <col min="955" max="955" width="10" style="107" customWidth="1"/>
    <col min="956" max="956" width="10.88671875" style="107" customWidth="1"/>
    <col min="957" max="957" width="9.5546875" style="107" customWidth="1"/>
    <col min="958" max="958" width="10.109375" style="107" customWidth="1"/>
    <col min="959" max="959" width="11.5546875" style="107" customWidth="1"/>
    <col min="960" max="960" width="13.44140625" style="107" customWidth="1"/>
    <col min="961" max="961" width="15.109375" style="107" customWidth="1"/>
    <col min="962" max="962" width="9.109375" style="107"/>
    <col min="963" max="963" width="17.33203125" style="107" customWidth="1"/>
    <col min="964" max="964" width="10.44140625" style="107" bestFit="1" customWidth="1"/>
    <col min="965" max="1205" width="9.109375" style="107"/>
    <col min="1206" max="1206" width="12.109375" style="107" customWidth="1"/>
    <col min="1207" max="1207" width="13.5546875" style="107" customWidth="1"/>
    <col min="1208" max="1208" width="10.6640625" style="107" customWidth="1"/>
    <col min="1209" max="1210" width="12.109375" style="107" customWidth="1"/>
    <col min="1211" max="1211" width="10" style="107" customWidth="1"/>
    <col min="1212" max="1212" width="10.88671875" style="107" customWidth="1"/>
    <col min="1213" max="1213" width="9.5546875" style="107" customWidth="1"/>
    <col min="1214" max="1214" width="10.109375" style="107" customWidth="1"/>
    <col min="1215" max="1215" width="11.5546875" style="107" customWidth="1"/>
    <col min="1216" max="1216" width="13.44140625" style="107" customWidth="1"/>
    <col min="1217" max="1217" width="15.109375" style="107" customWidth="1"/>
    <col min="1218" max="1218" width="9.109375" style="107"/>
    <col min="1219" max="1219" width="17.33203125" style="107" customWidth="1"/>
    <col min="1220" max="1220" width="10.44140625" style="107" bestFit="1" customWidth="1"/>
    <col min="1221" max="1461" width="9.109375" style="107"/>
    <col min="1462" max="1462" width="12.109375" style="107" customWidth="1"/>
    <col min="1463" max="1463" width="13.5546875" style="107" customWidth="1"/>
    <col min="1464" max="1464" width="10.6640625" style="107" customWidth="1"/>
    <col min="1465" max="1466" width="12.109375" style="107" customWidth="1"/>
    <col min="1467" max="1467" width="10" style="107" customWidth="1"/>
    <col min="1468" max="1468" width="10.88671875" style="107" customWidth="1"/>
    <col min="1469" max="1469" width="9.5546875" style="107" customWidth="1"/>
    <col min="1470" max="1470" width="10.109375" style="107" customWidth="1"/>
    <col min="1471" max="1471" width="11.5546875" style="107" customWidth="1"/>
    <col min="1472" max="1472" width="13.44140625" style="107" customWidth="1"/>
    <col min="1473" max="1473" width="15.109375" style="107" customWidth="1"/>
    <col min="1474" max="1474" width="9.109375" style="107"/>
    <col min="1475" max="1475" width="17.33203125" style="107" customWidth="1"/>
    <col min="1476" max="1476" width="10.44140625" style="107" bestFit="1" customWidth="1"/>
    <col min="1477" max="1717" width="9.109375" style="107"/>
    <col min="1718" max="1718" width="12.109375" style="107" customWidth="1"/>
    <col min="1719" max="1719" width="13.5546875" style="107" customWidth="1"/>
    <col min="1720" max="1720" width="10.6640625" style="107" customWidth="1"/>
    <col min="1721" max="1722" width="12.109375" style="107" customWidth="1"/>
    <col min="1723" max="1723" width="10" style="107" customWidth="1"/>
    <col min="1724" max="1724" width="10.88671875" style="107" customWidth="1"/>
    <col min="1725" max="1725" width="9.5546875" style="107" customWidth="1"/>
    <col min="1726" max="1726" width="10.109375" style="107" customWidth="1"/>
    <col min="1727" max="1727" width="11.5546875" style="107" customWidth="1"/>
    <col min="1728" max="1728" width="13.44140625" style="107" customWidth="1"/>
    <col min="1729" max="1729" width="15.109375" style="107" customWidth="1"/>
    <col min="1730" max="1730" width="9.109375" style="107"/>
    <col min="1731" max="1731" width="17.33203125" style="107" customWidth="1"/>
    <col min="1732" max="1732" width="10.44140625" style="107" bestFit="1" customWidth="1"/>
    <col min="1733" max="1973" width="9.109375" style="107"/>
    <col min="1974" max="1974" width="12.109375" style="107" customWidth="1"/>
    <col min="1975" max="1975" width="13.5546875" style="107" customWidth="1"/>
    <col min="1976" max="1976" width="10.6640625" style="107" customWidth="1"/>
    <col min="1977" max="1978" width="12.109375" style="107" customWidth="1"/>
    <col min="1979" max="1979" width="10" style="107" customWidth="1"/>
    <col min="1980" max="1980" width="10.88671875" style="107" customWidth="1"/>
    <col min="1981" max="1981" width="9.5546875" style="107" customWidth="1"/>
    <col min="1982" max="1982" width="10.109375" style="107" customWidth="1"/>
    <col min="1983" max="1983" width="11.5546875" style="107" customWidth="1"/>
    <col min="1984" max="1984" width="13.44140625" style="107" customWidth="1"/>
    <col min="1985" max="1985" width="15.109375" style="107" customWidth="1"/>
    <col min="1986" max="1986" width="9.109375" style="107"/>
    <col min="1987" max="1987" width="17.33203125" style="107" customWidth="1"/>
    <col min="1988" max="1988" width="10.44140625" style="107" bestFit="1" customWidth="1"/>
    <col min="1989" max="2229" width="9.109375" style="107"/>
    <col min="2230" max="2230" width="12.109375" style="107" customWidth="1"/>
    <col min="2231" max="2231" width="13.5546875" style="107" customWidth="1"/>
    <col min="2232" max="2232" width="10.6640625" style="107" customWidth="1"/>
    <col min="2233" max="2234" width="12.109375" style="107" customWidth="1"/>
    <col min="2235" max="2235" width="10" style="107" customWidth="1"/>
    <col min="2236" max="2236" width="10.88671875" style="107" customWidth="1"/>
    <col min="2237" max="2237" width="9.5546875" style="107" customWidth="1"/>
    <col min="2238" max="2238" width="10.109375" style="107" customWidth="1"/>
    <col min="2239" max="2239" width="11.5546875" style="107" customWidth="1"/>
    <col min="2240" max="2240" width="13.44140625" style="107" customWidth="1"/>
    <col min="2241" max="2241" width="15.109375" style="107" customWidth="1"/>
    <col min="2242" max="2242" width="9.109375" style="107"/>
    <col min="2243" max="2243" width="17.33203125" style="107" customWidth="1"/>
    <col min="2244" max="2244" width="10.44140625" style="107" bestFit="1" customWidth="1"/>
    <col min="2245" max="2485" width="9.109375" style="107"/>
    <col min="2486" max="2486" width="12.109375" style="107" customWidth="1"/>
    <col min="2487" max="2487" width="13.5546875" style="107" customWidth="1"/>
    <col min="2488" max="2488" width="10.6640625" style="107" customWidth="1"/>
    <col min="2489" max="2490" width="12.109375" style="107" customWidth="1"/>
    <col min="2491" max="2491" width="10" style="107" customWidth="1"/>
    <col min="2492" max="2492" width="10.88671875" style="107" customWidth="1"/>
    <col min="2493" max="2493" width="9.5546875" style="107" customWidth="1"/>
    <col min="2494" max="2494" width="10.109375" style="107" customWidth="1"/>
    <col min="2495" max="2495" width="11.5546875" style="107" customWidth="1"/>
    <col min="2496" max="2496" width="13.44140625" style="107" customWidth="1"/>
    <col min="2497" max="2497" width="15.109375" style="107" customWidth="1"/>
    <col min="2498" max="2498" width="9.109375" style="107"/>
    <col min="2499" max="2499" width="17.33203125" style="107" customWidth="1"/>
    <col min="2500" max="2500" width="10.44140625" style="107" bestFit="1" customWidth="1"/>
    <col min="2501" max="2741" width="9.109375" style="107"/>
    <col min="2742" max="2742" width="12.109375" style="107" customWidth="1"/>
    <col min="2743" max="2743" width="13.5546875" style="107" customWidth="1"/>
    <col min="2744" max="2744" width="10.6640625" style="107" customWidth="1"/>
    <col min="2745" max="2746" width="12.109375" style="107" customWidth="1"/>
    <col min="2747" max="2747" width="10" style="107" customWidth="1"/>
    <col min="2748" max="2748" width="10.88671875" style="107" customWidth="1"/>
    <col min="2749" max="2749" width="9.5546875" style="107" customWidth="1"/>
    <col min="2750" max="2750" width="10.109375" style="107" customWidth="1"/>
    <col min="2751" max="2751" width="11.5546875" style="107" customWidth="1"/>
    <col min="2752" max="2752" width="13.44140625" style="107" customWidth="1"/>
    <col min="2753" max="2753" width="15.109375" style="107" customWidth="1"/>
    <col min="2754" max="2754" width="9.109375" style="107"/>
    <col min="2755" max="2755" width="17.33203125" style="107" customWidth="1"/>
    <col min="2756" max="2756" width="10.44140625" style="107" bestFit="1" customWidth="1"/>
    <col min="2757" max="2997" width="9.109375" style="107"/>
    <col min="2998" max="2998" width="12.109375" style="107" customWidth="1"/>
    <col min="2999" max="2999" width="13.5546875" style="107" customWidth="1"/>
    <col min="3000" max="3000" width="10.6640625" style="107" customWidth="1"/>
    <col min="3001" max="3002" width="12.109375" style="107" customWidth="1"/>
    <col min="3003" max="3003" width="10" style="107" customWidth="1"/>
    <col min="3004" max="3004" width="10.88671875" style="107" customWidth="1"/>
    <col min="3005" max="3005" width="9.5546875" style="107" customWidth="1"/>
    <col min="3006" max="3006" width="10.109375" style="107" customWidth="1"/>
    <col min="3007" max="3007" width="11.5546875" style="107" customWidth="1"/>
    <col min="3008" max="3008" width="13.44140625" style="107" customWidth="1"/>
    <col min="3009" max="3009" width="15.109375" style="107" customWidth="1"/>
    <col min="3010" max="3010" width="9.109375" style="107"/>
    <col min="3011" max="3011" width="17.33203125" style="107" customWidth="1"/>
    <col min="3012" max="3012" width="10.44140625" style="107" bestFit="1" customWidth="1"/>
    <col min="3013" max="3253" width="9.109375" style="107"/>
    <col min="3254" max="3254" width="12.109375" style="107" customWidth="1"/>
    <col min="3255" max="3255" width="13.5546875" style="107" customWidth="1"/>
    <col min="3256" max="3256" width="10.6640625" style="107" customWidth="1"/>
    <col min="3257" max="3258" width="12.109375" style="107" customWidth="1"/>
    <col min="3259" max="3259" width="10" style="107" customWidth="1"/>
    <col min="3260" max="3260" width="10.88671875" style="107" customWidth="1"/>
    <col min="3261" max="3261" width="9.5546875" style="107" customWidth="1"/>
    <col min="3262" max="3262" width="10.109375" style="107" customWidth="1"/>
    <col min="3263" max="3263" width="11.5546875" style="107" customWidth="1"/>
    <col min="3264" max="3264" width="13.44140625" style="107" customWidth="1"/>
    <col min="3265" max="3265" width="15.109375" style="107" customWidth="1"/>
    <col min="3266" max="3266" width="9.109375" style="107"/>
    <col min="3267" max="3267" width="17.33203125" style="107" customWidth="1"/>
    <col min="3268" max="3268" width="10.44140625" style="107" bestFit="1" customWidth="1"/>
    <col min="3269" max="3509" width="9.109375" style="107"/>
    <col min="3510" max="3510" width="12.109375" style="107" customWidth="1"/>
    <col min="3511" max="3511" width="13.5546875" style="107" customWidth="1"/>
    <col min="3512" max="3512" width="10.6640625" style="107" customWidth="1"/>
    <col min="3513" max="3514" width="12.109375" style="107" customWidth="1"/>
    <col min="3515" max="3515" width="10" style="107" customWidth="1"/>
    <col min="3516" max="3516" width="10.88671875" style="107" customWidth="1"/>
    <col min="3517" max="3517" width="9.5546875" style="107" customWidth="1"/>
    <col min="3518" max="3518" width="10.109375" style="107" customWidth="1"/>
    <col min="3519" max="3519" width="11.5546875" style="107" customWidth="1"/>
    <col min="3520" max="3520" width="13.44140625" style="107" customWidth="1"/>
    <col min="3521" max="3521" width="15.109375" style="107" customWidth="1"/>
    <col min="3522" max="3522" width="9.109375" style="107"/>
    <col min="3523" max="3523" width="17.33203125" style="107" customWidth="1"/>
    <col min="3524" max="3524" width="10.44140625" style="107" bestFit="1" customWidth="1"/>
    <col min="3525" max="3765" width="9.109375" style="107"/>
    <col min="3766" max="3766" width="12.109375" style="107" customWidth="1"/>
    <col min="3767" max="3767" width="13.5546875" style="107" customWidth="1"/>
    <col min="3768" max="3768" width="10.6640625" style="107" customWidth="1"/>
    <col min="3769" max="3770" width="12.109375" style="107" customWidth="1"/>
    <col min="3771" max="3771" width="10" style="107" customWidth="1"/>
    <col min="3772" max="3772" width="10.88671875" style="107" customWidth="1"/>
    <col min="3773" max="3773" width="9.5546875" style="107" customWidth="1"/>
    <col min="3774" max="3774" width="10.109375" style="107" customWidth="1"/>
    <col min="3775" max="3775" width="11.5546875" style="107" customWidth="1"/>
    <col min="3776" max="3776" width="13.44140625" style="107" customWidth="1"/>
    <col min="3777" max="3777" width="15.109375" style="107" customWidth="1"/>
    <col min="3778" max="3778" width="9.109375" style="107"/>
    <col min="3779" max="3779" width="17.33203125" style="107" customWidth="1"/>
    <col min="3780" max="3780" width="10.44140625" style="107" bestFit="1" customWidth="1"/>
    <col min="3781" max="4021" width="9.109375" style="107"/>
    <col min="4022" max="4022" width="12.109375" style="107" customWidth="1"/>
    <col min="4023" max="4023" width="13.5546875" style="107" customWidth="1"/>
    <col min="4024" max="4024" width="10.6640625" style="107" customWidth="1"/>
    <col min="4025" max="4026" width="12.109375" style="107" customWidth="1"/>
    <col min="4027" max="4027" width="10" style="107" customWidth="1"/>
    <col min="4028" max="4028" width="10.88671875" style="107" customWidth="1"/>
    <col min="4029" max="4029" width="9.5546875" style="107" customWidth="1"/>
    <col min="4030" max="4030" width="10.109375" style="107" customWidth="1"/>
    <col min="4031" max="4031" width="11.5546875" style="107" customWidth="1"/>
    <col min="4032" max="4032" width="13.44140625" style="107" customWidth="1"/>
    <col min="4033" max="4033" width="15.109375" style="107" customWidth="1"/>
    <col min="4034" max="4034" width="9.109375" style="107"/>
    <col min="4035" max="4035" width="17.33203125" style="107" customWidth="1"/>
    <col min="4036" max="4036" width="10.44140625" style="107" bestFit="1" customWidth="1"/>
    <col min="4037" max="4277" width="9.109375" style="107"/>
    <col min="4278" max="4278" width="12.109375" style="107" customWidth="1"/>
    <col min="4279" max="4279" width="13.5546875" style="107" customWidth="1"/>
    <col min="4280" max="4280" width="10.6640625" style="107" customWidth="1"/>
    <col min="4281" max="4282" width="12.109375" style="107" customWidth="1"/>
    <col min="4283" max="4283" width="10" style="107" customWidth="1"/>
    <col min="4284" max="4284" width="10.88671875" style="107" customWidth="1"/>
    <col min="4285" max="4285" width="9.5546875" style="107" customWidth="1"/>
    <col min="4286" max="4286" width="10.109375" style="107" customWidth="1"/>
    <col min="4287" max="4287" width="11.5546875" style="107" customWidth="1"/>
    <col min="4288" max="4288" width="13.44140625" style="107" customWidth="1"/>
    <col min="4289" max="4289" width="15.109375" style="107" customWidth="1"/>
    <col min="4290" max="4290" width="9.109375" style="107"/>
    <col min="4291" max="4291" width="17.33203125" style="107" customWidth="1"/>
    <col min="4292" max="4292" width="10.44140625" style="107" bestFit="1" customWidth="1"/>
    <col min="4293" max="4533" width="9.109375" style="107"/>
    <col min="4534" max="4534" width="12.109375" style="107" customWidth="1"/>
    <col min="4535" max="4535" width="13.5546875" style="107" customWidth="1"/>
    <col min="4536" max="4536" width="10.6640625" style="107" customWidth="1"/>
    <col min="4537" max="4538" width="12.109375" style="107" customWidth="1"/>
    <col min="4539" max="4539" width="10" style="107" customWidth="1"/>
    <col min="4540" max="4540" width="10.88671875" style="107" customWidth="1"/>
    <col min="4541" max="4541" width="9.5546875" style="107" customWidth="1"/>
    <col min="4542" max="4542" width="10.109375" style="107" customWidth="1"/>
    <col min="4543" max="4543" width="11.5546875" style="107" customWidth="1"/>
    <col min="4544" max="4544" width="13.44140625" style="107" customWidth="1"/>
    <col min="4545" max="4545" width="15.109375" style="107" customWidth="1"/>
    <col min="4546" max="4546" width="9.109375" style="107"/>
    <col min="4547" max="4547" width="17.33203125" style="107" customWidth="1"/>
    <col min="4548" max="4548" width="10.44140625" style="107" bestFit="1" customWidth="1"/>
    <col min="4549" max="4789" width="9.109375" style="107"/>
    <col min="4790" max="4790" width="12.109375" style="107" customWidth="1"/>
    <col min="4791" max="4791" width="13.5546875" style="107" customWidth="1"/>
    <col min="4792" max="4792" width="10.6640625" style="107" customWidth="1"/>
    <col min="4793" max="4794" width="12.109375" style="107" customWidth="1"/>
    <col min="4795" max="4795" width="10" style="107" customWidth="1"/>
    <col min="4796" max="4796" width="10.88671875" style="107" customWidth="1"/>
    <col min="4797" max="4797" width="9.5546875" style="107" customWidth="1"/>
    <col min="4798" max="4798" width="10.109375" style="107" customWidth="1"/>
    <col min="4799" max="4799" width="11.5546875" style="107" customWidth="1"/>
    <col min="4800" max="4800" width="13.44140625" style="107" customWidth="1"/>
    <col min="4801" max="4801" width="15.109375" style="107" customWidth="1"/>
    <col min="4802" max="4802" width="9.109375" style="107"/>
    <col min="4803" max="4803" width="17.33203125" style="107" customWidth="1"/>
    <col min="4804" max="4804" width="10.44140625" style="107" bestFit="1" customWidth="1"/>
    <col min="4805" max="5045" width="9.109375" style="107"/>
    <col min="5046" max="5046" width="12.109375" style="107" customWidth="1"/>
    <col min="5047" max="5047" width="13.5546875" style="107" customWidth="1"/>
    <col min="5048" max="5048" width="10.6640625" style="107" customWidth="1"/>
    <col min="5049" max="5050" width="12.109375" style="107" customWidth="1"/>
    <col min="5051" max="5051" width="10" style="107" customWidth="1"/>
    <col min="5052" max="5052" width="10.88671875" style="107" customWidth="1"/>
    <col min="5053" max="5053" width="9.5546875" style="107" customWidth="1"/>
    <col min="5054" max="5054" width="10.109375" style="107" customWidth="1"/>
    <col min="5055" max="5055" width="11.5546875" style="107" customWidth="1"/>
    <col min="5056" max="5056" width="13.44140625" style="107" customWidth="1"/>
    <col min="5057" max="5057" width="15.109375" style="107" customWidth="1"/>
    <col min="5058" max="5058" width="9.109375" style="107"/>
    <col min="5059" max="5059" width="17.33203125" style="107" customWidth="1"/>
    <col min="5060" max="5060" width="10.44140625" style="107" bestFit="1" customWidth="1"/>
    <col min="5061" max="5301" width="9.109375" style="107"/>
    <col min="5302" max="5302" width="12.109375" style="107" customWidth="1"/>
    <col min="5303" max="5303" width="13.5546875" style="107" customWidth="1"/>
    <col min="5304" max="5304" width="10.6640625" style="107" customWidth="1"/>
    <col min="5305" max="5306" width="12.109375" style="107" customWidth="1"/>
    <col min="5307" max="5307" width="10" style="107" customWidth="1"/>
    <col min="5308" max="5308" width="10.88671875" style="107" customWidth="1"/>
    <col min="5309" max="5309" width="9.5546875" style="107" customWidth="1"/>
    <col min="5310" max="5310" width="10.109375" style="107" customWidth="1"/>
    <col min="5311" max="5311" width="11.5546875" style="107" customWidth="1"/>
    <col min="5312" max="5312" width="13.44140625" style="107" customWidth="1"/>
    <col min="5313" max="5313" width="15.109375" style="107" customWidth="1"/>
    <col min="5314" max="5314" width="9.109375" style="107"/>
    <col min="5315" max="5315" width="17.33203125" style="107" customWidth="1"/>
    <col min="5316" max="5316" width="10.44140625" style="107" bestFit="1" customWidth="1"/>
    <col min="5317" max="5557" width="9.109375" style="107"/>
    <col min="5558" max="5558" width="12.109375" style="107" customWidth="1"/>
    <col min="5559" max="5559" width="13.5546875" style="107" customWidth="1"/>
    <col min="5560" max="5560" width="10.6640625" style="107" customWidth="1"/>
    <col min="5561" max="5562" width="12.109375" style="107" customWidth="1"/>
    <col min="5563" max="5563" width="10" style="107" customWidth="1"/>
    <col min="5564" max="5564" width="10.88671875" style="107" customWidth="1"/>
    <col min="5565" max="5565" width="9.5546875" style="107" customWidth="1"/>
    <col min="5566" max="5566" width="10.109375" style="107" customWidth="1"/>
    <col min="5567" max="5567" width="11.5546875" style="107" customWidth="1"/>
    <col min="5568" max="5568" width="13.44140625" style="107" customWidth="1"/>
    <col min="5569" max="5569" width="15.109375" style="107" customWidth="1"/>
    <col min="5570" max="5570" width="9.109375" style="107"/>
    <col min="5571" max="5571" width="17.33203125" style="107" customWidth="1"/>
    <col min="5572" max="5572" width="10.44140625" style="107" bestFit="1" customWidth="1"/>
    <col min="5573" max="5813" width="9.109375" style="107"/>
    <col min="5814" max="5814" width="12.109375" style="107" customWidth="1"/>
    <col min="5815" max="5815" width="13.5546875" style="107" customWidth="1"/>
    <col min="5816" max="5816" width="10.6640625" style="107" customWidth="1"/>
    <col min="5817" max="5818" width="12.109375" style="107" customWidth="1"/>
    <col min="5819" max="5819" width="10" style="107" customWidth="1"/>
    <col min="5820" max="5820" width="10.88671875" style="107" customWidth="1"/>
    <col min="5821" max="5821" width="9.5546875" style="107" customWidth="1"/>
    <col min="5822" max="5822" width="10.109375" style="107" customWidth="1"/>
    <col min="5823" max="5823" width="11.5546875" style="107" customWidth="1"/>
    <col min="5824" max="5824" width="13.44140625" style="107" customWidth="1"/>
    <col min="5825" max="5825" width="15.109375" style="107" customWidth="1"/>
    <col min="5826" max="5826" width="9.109375" style="107"/>
    <col min="5827" max="5827" width="17.33203125" style="107" customWidth="1"/>
    <col min="5828" max="5828" width="10.44140625" style="107" bestFit="1" customWidth="1"/>
    <col min="5829" max="6069" width="9.109375" style="107"/>
    <col min="6070" max="6070" width="12.109375" style="107" customWidth="1"/>
    <col min="6071" max="6071" width="13.5546875" style="107" customWidth="1"/>
    <col min="6072" max="6072" width="10.6640625" style="107" customWidth="1"/>
    <col min="6073" max="6074" width="12.109375" style="107" customWidth="1"/>
    <col min="6075" max="6075" width="10" style="107" customWidth="1"/>
    <col min="6076" max="6076" width="10.88671875" style="107" customWidth="1"/>
    <col min="6077" max="6077" width="9.5546875" style="107" customWidth="1"/>
    <col min="6078" max="6078" width="10.109375" style="107" customWidth="1"/>
    <col min="6079" max="6079" width="11.5546875" style="107" customWidth="1"/>
    <col min="6080" max="6080" width="13.44140625" style="107" customWidth="1"/>
    <col min="6081" max="6081" width="15.109375" style="107" customWidth="1"/>
    <col min="6082" max="6082" width="9.109375" style="107"/>
    <col min="6083" max="6083" width="17.33203125" style="107" customWidth="1"/>
    <col min="6084" max="6084" width="10.44140625" style="107" bestFit="1" customWidth="1"/>
    <col min="6085" max="6325" width="9.109375" style="107"/>
    <col min="6326" max="6326" width="12.109375" style="107" customWidth="1"/>
    <col min="6327" max="6327" width="13.5546875" style="107" customWidth="1"/>
    <col min="6328" max="6328" width="10.6640625" style="107" customWidth="1"/>
    <col min="6329" max="6330" width="12.109375" style="107" customWidth="1"/>
    <col min="6331" max="6331" width="10" style="107" customWidth="1"/>
    <col min="6332" max="6332" width="10.88671875" style="107" customWidth="1"/>
    <col min="6333" max="6333" width="9.5546875" style="107" customWidth="1"/>
    <col min="6334" max="6334" width="10.109375" style="107" customWidth="1"/>
    <col min="6335" max="6335" width="11.5546875" style="107" customWidth="1"/>
    <col min="6336" max="6336" width="13.44140625" style="107" customWidth="1"/>
    <col min="6337" max="6337" width="15.109375" style="107" customWidth="1"/>
    <col min="6338" max="6338" width="9.109375" style="107"/>
    <col min="6339" max="6339" width="17.33203125" style="107" customWidth="1"/>
    <col min="6340" max="6340" width="10.44140625" style="107" bestFit="1" customWidth="1"/>
    <col min="6341" max="6581" width="9.109375" style="107"/>
    <col min="6582" max="6582" width="12.109375" style="107" customWidth="1"/>
    <col min="6583" max="6583" width="13.5546875" style="107" customWidth="1"/>
    <col min="6584" max="6584" width="10.6640625" style="107" customWidth="1"/>
    <col min="6585" max="6586" width="12.109375" style="107" customWidth="1"/>
    <col min="6587" max="6587" width="10" style="107" customWidth="1"/>
    <col min="6588" max="6588" width="10.88671875" style="107" customWidth="1"/>
    <col min="6589" max="6589" width="9.5546875" style="107" customWidth="1"/>
    <col min="6590" max="6590" width="10.109375" style="107" customWidth="1"/>
    <col min="6591" max="6591" width="11.5546875" style="107" customWidth="1"/>
    <col min="6592" max="6592" width="13.44140625" style="107" customWidth="1"/>
    <col min="6593" max="6593" width="15.109375" style="107" customWidth="1"/>
    <col min="6594" max="6594" width="9.109375" style="107"/>
    <col min="6595" max="6595" width="17.33203125" style="107" customWidth="1"/>
    <col min="6596" max="6596" width="10.44140625" style="107" bestFit="1" customWidth="1"/>
    <col min="6597" max="6837" width="9.109375" style="107"/>
    <col min="6838" max="6838" width="12.109375" style="107" customWidth="1"/>
    <col min="6839" max="6839" width="13.5546875" style="107" customWidth="1"/>
    <col min="6840" max="6840" width="10.6640625" style="107" customWidth="1"/>
    <col min="6841" max="6842" width="12.109375" style="107" customWidth="1"/>
    <col min="6843" max="6843" width="10" style="107" customWidth="1"/>
    <col min="6844" max="6844" width="10.88671875" style="107" customWidth="1"/>
    <col min="6845" max="6845" width="9.5546875" style="107" customWidth="1"/>
    <col min="6846" max="6846" width="10.109375" style="107" customWidth="1"/>
    <col min="6847" max="6847" width="11.5546875" style="107" customWidth="1"/>
    <col min="6848" max="6848" width="13.44140625" style="107" customWidth="1"/>
    <col min="6849" max="6849" width="15.109375" style="107" customWidth="1"/>
    <col min="6850" max="6850" width="9.109375" style="107"/>
    <col min="6851" max="6851" width="17.33203125" style="107" customWidth="1"/>
    <col min="6852" max="6852" width="10.44140625" style="107" bestFit="1" customWidth="1"/>
    <col min="6853" max="7093" width="9.109375" style="107"/>
    <col min="7094" max="7094" width="12.109375" style="107" customWidth="1"/>
    <col min="7095" max="7095" width="13.5546875" style="107" customWidth="1"/>
    <col min="7096" max="7096" width="10.6640625" style="107" customWidth="1"/>
    <col min="7097" max="7098" width="12.109375" style="107" customWidth="1"/>
    <col min="7099" max="7099" width="10" style="107" customWidth="1"/>
    <col min="7100" max="7100" width="10.88671875" style="107" customWidth="1"/>
    <col min="7101" max="7101" width="9.5546875" style="107" customWidth="1"/>
    <col min="7102" max="7102" width="10.109375" style="107" customWidth="1"/>
    <col min="7103" max="7103" width="11.5546875" style="107" customWidth="1"/>
    <col min="7104" max="7104" width="13.44140625" style="107" customWidth="1"/>
    <col min="7105" max="7105" width="15.109375" style="107" customWidth="1"/>
    <col min="7106" max="7106" width="9.109375" style="107"/>
    <col min="7107" max="7107" width="17.33203125" style="107" customWidth="1"/>
    <col min="7108" max="7108" width="10.44140625" style="107" bestFit="1" customWidth="1"/>
    <col min="7109" max="7349" width="9.109375" style="107"/>
    <col min="7350" max="7350" width="12.109375" style="107" customWidth="1"/>
    <col min="7351" max="7351" width="13.5546875" style="107" customWidth="1"/>
    <col min="7352" max="7352" width="10.6640625" style="107" customWidth="1"/>
    <col min="7353" max="7354" width="12.109375" style="107" customWidth="1"/>
    <col min="7355" max="7355" width="10" style="107" customWidth="1"/>
    <col min="7356" max="7356" width="10.88671875" style="107" customWidth="1"/>
    <col min="7357" max="7357" width="9.5546875" style="107" customWidth="1"/>
    <col min="7358" max="7358" width="10.109375" style="107" customWidth="1"/>
    <col min="7359" max="7359" width="11.5546875" style="107" customWidth="1"/>
    <col min="7360" max="7360" width="13.44140625" style="107" customWidth="1"/>
    <col min="7361" max="7361" width="15.109375" style="107" customWidth="1"/>
    <col min="7362" max="7362" width="9.109375" style="107"/>
    <col min="7363" max="7363" width="17.33203125" style="107" customWidth="1"/>
    <col min="7364" max="7364" width="10.44140625" style="107" bestFit="1" customWidth="1"/>
    <col min="7365" max="7605" width="9.109375" style="107"/>
    <col min="7606" max="7606" width="12.109375" style="107" customWidth="1"/>
    <col min="7607" max="7607" width="13.5546875" style="107" customWidth="1"/>
    <col min="7608" max="7608" width="10.6640625" style="107" customWidth="1"/>
    <col min="7609" max="7610" width="12.109375" style="107" customWidth="1"/>
    <col min="7611" max="7611" width="10" style="107" customWidth="1"/>
    <col min="7612" max="7612" width="10.88671875" style="107" customWidth="1"/>
    <col min="7613" max="7613" width="9.5546875" style="107" customWidth="1"/>
    <col min="7614" max="7614" width="10.109375" style="107" customWidth="1"/>
    <col min="7615" max="7615" width="11.5546875" style="107" customWidth="1"/>
    <col min="7616" max="7616" width="13.44140625" style="107" customWidth="1"/>
    <col min="7617" max="7617" width="15.109375" style="107" customWidth="1"/>
    <col min="7618" max="7618" width="9.109375" style="107"/>
    <col min="7619" max="7619" width="17.33203125" style="107" customWidth="1"/>
    <col min="7620" max="7620" width="10.44140625" style="107" bestFit="1" customWidth="1"/>
    <col min="7621" max="7861" width="9.109375" style="107"/>
    <col min="7862" max="7862" width="12.109375" style="107" customWidth="1"/>
    <col min="7863" max="7863" width="13.5546875" style="107" customWidth="1"/>
    <col min="7864" max="7864" width="10.6640625" style="107" customWidth="1"/>
    <col min="7865" max="7866" width="12.109375" style="107" customWidth="1"/>
    <col min="7867" max="7867" width="10" style="107" customWidth="1"/>
    <col min="7868" max="7868" width="10.88671875" style="107" customWidth="1"/>
    <col min="7869" max="7869" width="9.5546875" style="107" customWidth="1"/>
    <col min="7870" max="7870" width="10.109375" style="107" customWidth="1"/>
    <col min="7871" max="7871" width="11.5546875" style="107" customWidth="1"/>
    <col min="7872" max="7872" width="13.44140625" style="107" customWidth="1"/>
    <col min="7873" max="7873" width="15.109375" style="107" customWidth="1"/>
    <col min="7874" max="7874" width="9.109375" style="107"/>
    <col min="7875" max="7875" width="17.33203125" style="107" customWidth="1"/>
    <col min="7876" max="7876" width="10.44140625" style="107" bestFit="1" customWidth="1"/>
    <col min="7877" max="8117" width="9.109375" style="107"/>
    <col min="8118" max="8118" width="12.109375" style="107" customWidth="1"/>
    <col min="8119" max="8119" width="13.5546875" style="107" customWidth="1"/>
    <col min="8120" max="8120" width="10.6640625" style="107" customWidth="1"/>
    <col min="8121" max="8122" width="12.109375" style="107" customWidth="1"/>
    <col min="8123" max="8123" width="10" style="107" customWidth="1"/>
    <col min="8124" max="8124" width="10.88671875" style="107" customWidth="1"/>
    <col min="8125" max="8125" width="9.5546875" style="107" customWidth="1"/>
    <col min="8126" max="8126" width="10.109375" style="107" customWidth="1"/>
    <col min="8127" max="8127" width="11.5546875" style="107" customWidth="1"/>
    <col min="8128" max="8128" width="13.44140625" style="107" customWidth="1"/>
    <col min="8129" max="8129" width="15.109375" style="107" customWidth="1"/>
    <col min="8130" max="8130" width="9.109375" style="107"/>
    <col min="8131" max="8131" width="17.33203125" style="107" customWidth="1"/>
    <col min="8132" max="8132" width="10.44140625" style="107" bestFit="1" customWidth="1"/>
    <col min="8133" max="8373" width="9.109375" style="107"/>
    <col min="8374" max="8374" width="12.109375" style="107" customWidth="1"/>
    <col min="8375" max="8375" width="13.5546875" style="107" customWidth="1"/>
    <col min="8376" max="8376" width="10.6640625" style="107" customWidth="1"/>
    <col min="8377" max="8378" width="12.109375" style="107" customWidth="1"/>
    <col min="8379" max="8379" width="10" style="107" customWidth="1"/>
    <col min="8380" max="8380" width="10.88671875" style="107" customWidth="1"/>
    <col min="8381" max="8381" width="9.5546875" style="107" customWidth="1"/>
    <col min="8382" max="8382" width="10.109375" style="107" customWidth="1"/>
    <col min="8383" max="8383" width="11.5546875" style="107" customWidth="1"/>
    <col min="8384" max="8384" width="13.44140625" style="107" customWidth="1"/>
    <col min="8385" max="8385" width="15.109375" style="107" customWidth="1"/>
    <col min="8386" max="8386" width="9.109375" style="107"/>
    <col min="8387" max="8387" width="17.33203125" style="107" customWidth="1"/>
    <col min="8388" max="8388" width="10.44140625" style="107" bestFit="1" customWidth="1"/>
    <col min="8389" max="8629" width="9.109375" style="107"/>
    <col min="8630" max="8630" width="12.109375" style="107" customWidth="1"/>
    <col min="8631" max="8631" width="13.5546875" style="107" customWidth="1"/>
    <col min="8632" max="8632" width="10.6640625" style="107" customWidth="1"/>
    <col min="8633" max="8634" width="12.109375" style="107" customWidth="1"/>
    <col min="8635" max="8635" width="10" style="107" customWidth="1"/>
    <col min="8636" max="8636" width="10.88671875" style="107" customWidth="1"/>
    <col min="8637" max="8637" width="9.5546875" style="107" customWidth="1"/>
    <col min="8638" max="8638" width="10.109375" style="107" customWidth="1"/>
    <col min="8639" max="8639" width="11.5546875" style="107" customWidth="1"/>
    <col min="8640" max="8640" width="13.44140625" style="107" customWidth="1"/>
    <col min="8641" max="8641" width="15.109375" style="107" customWidth="1"/>
    <col min="8642" max="8642" width="9.109375" style="107"/>
    <col min="8643" max="8643" width="17.33203125" style="107" customWidth="1"/>
    <col min="8644" max="8644" width="10.44140625" style="107" bestFit="1" customWidth="1"/>
    <col min="8645" max="8885" width="9.109375" style="107"/>
    <col min="8886" max="8886" width="12.109375" style="107" customWidth="1"/>
    <col min="8887" max="8887" width="13.5546875" style="107" customWidth="1"/>
    <col min="8888" max="8888" width="10.6640625" style="107" customWidth="1"/>
    <col min="8889" max="8890" width="12.109375" style="107" customWidth="1"/>
    <col min="8891" max="8891" width="10" style="107" customWidth="1"/>
    <col min="8892" max="8892" width="10.88671875" style="107" customWidth="1"/>
    <col min="8893" max="8893" width="9.5546875" style="107" customWidth="1"/>
    <col min="8894" max="8894" width="10.109375" style="107" customWidth="1"/>
    <col min="8895" max="8895" width="11.5546875" style="107" customWidth="1"/>
    <col min="8896" max="8896" width="13.44140625" style="107" customWidth="1"/>
    <col min="8897" max="8897" width="15.109375" style="107" customWidth="1"/>
    <col min="8898" max="8898" width="9.109375" style="107"/>
    <col min="8899" max="8899" width="17.33203125" style="107" customWidth="1"/>
    <col min="8900" max="8900" width="10.44140625" style="107" bestFit="1" customWidth="1"/>
    <col min="8901" max="9141" width="9.109375" style="107"/>
    <col min="9142" max="9142" width="12.109375" style="107" customWidth="1"/>
    <col min="9143" max="9143" width="13.5546875" style="107" customWidth="1"/>
    <col min="9144" max="9144" width="10.6640625" style="107" customWidth="1"/>
    <col min="9145" max="9146" width="12.109375" style="107" customWidth="1"/>
    <col min="9147" max="9147" width="10" style="107" customWidth="1"/>
    <col min="9148" max="9148" width="10.88671875" style="107" customWidth="1"/>
    <col min="9149" max="9149" width="9.5546875" style="107" customWidth="1"/>
    <col min="9150" max="9150" width="10.109375" style="107" customWidth="1"/>
    <col min="9151" max="9151" width="11.5546875" style="107" customWidth="1"/>
    <col min="9152" max="9152" width="13.44140625" style="107" customWidth="1"/>
    <col min="9153" max="9153" width="15.109375" style="107" customWidth="1"/>
    <col min="9154" max="9154" width="9.109375" style="107"/>
    <col min="9155" max="9155" width="17.33203125" style="107" customWidth="1"/>
    <col min="9156" max="9156" width="10.44140625" style="107" bestFit="1" customWidth="1"/>
    <col min="9157" max="9397" width="9.109375" style="107"/>
    <col min="9398" max="9398" width="12.109375" style="107" customWidth="1"/>
    <col min="9399" max="9399" width="13.5546875" style="107" customWidth="1"/>
    <col min="9400" max="9400" width="10.6640625" style="107" customWidth="1"/>
    <col min="9401" max="9402" width="12.109375" style="107" customWidth="1"/>
    <col min="9403" max="9403" width="10" style="107" customWidth="1"/>
    <col min="9404" max="9404" width="10.88671875" style="107" customWidth="1"/>
    <col min="9405" max="9405" width="9.5546875" style="107" customWidth="1"/>
    <col min="9406" max="9406" width="10.109375" style="107" customWidth="1"/>
    <col min="9407" max="9407" width="11.5546875" style="107" customWidth="1"/>
    <col min="9408" max="9408" width="13.44140625" style="107" customWidth="1"/>
    <col min="9409" max="9409" width="15.109375" style="107" customWidth="1"/>
    <col min="9410" max="9410" width="9.109375" style="107"/>
    <col min="9411" max="9411" width="17.33203125" style="107" customWidth="1"/>
    <col min="9412" max="9412" width="10.44140625" style="107" bestFit="1" customWidth="1"/>
    <col min="9413" max="9653" width="9.109375" style="107"/>
    <col min="9654" max="9654" width="12.109375" style="107" customWidth="1"/>
    <col min="9655" max="9655" width="13.5546875" style="107" customWidth="1"/>
    <col min="9656" max="9656" width="10.6640625" style="107" customWidth="1"/>
    <col min="9657" max="9658" width="12.109375" style="107" customWidth="1"/>
    <col min="9659" max="9659" width="10" style="107" customWidth="1"/>
    <col min="9660" max="9660" width="10.88671875" style="107" customWidth="1"/>
    <col min="9661" max="9661" width="9.5546875" style="107" customWidth="1"/>
    <col min="9662" max="9662" width="10.109375" style="107" customWidth="1"/>
    <col min="9663" max="9663" width="11.5546875" style="107" customWidth="1"/>
    <col min="9664" max="9664" width="13.44140625" style="107" customWidth="1"/>
    <col min="9665" max="9665" width="15.109375" style="107" customWidth="1"/>
    <col min="9666" max="9666" width="9.109375" style="107"/>
    <col min="9667" max="9667" width="17.33203125" style="107" customWidth="1"/>
    <col min="9668" max="9668" width="10.44140625" style="107" bestFit="1" customWidth="1"/>
    <col min="9669" max="9909" width="9.109375" style="107"/>
    <col min="9910" max="9910" width="12.109375" style="107" customWidth="1"/>
    <col min="9911" max="9911" width="13.5546875" style="107" customWidth="1"/>
    <col min="9912" max="9912" width="10.6640625" style="107" customWidth="1"/>
    <col min="9913" max="9914" width="12.109375" style="107" customWidth="1"/>
    <col min="9915" max="9915" width="10" style="107" customWidth="1"/>
    <col min="9916" max="9916" width="10.88671875" style="107" customWidth="1"/>
    <col min="9917" max="9917" width="9.5546875" style="107" customWidth="1"/>
    <col min="9918" max="9918" width="10.109375" style="107" customWidth="1"/>
    <col min="9919" max="9919" width="11.5546875" style="107" customWidth="1"/>
    <col min="9920" max="9920" width="13.44140625" style="107" customWidth="1"/>
    <col min="9921" max="9921" width="15.109375" style="107" customWidth="1"/>
    <col min="9922" max="9922" width="9.109375" style="107"/>
    <col min="9923" max="9923" width="17.33203125" style="107" customWidth="1"/>
    <col min="9924" max="9924" width="10.44140625" style="107" bestFit="1" customWidth="1"/>
    <col min="9925" max="10165" width="9.109375" style="107"/>
    <col min="10166" max="10166" width="12.109375" style="107" customWidth="1"/>
    <col min="10167" max="10167" width="13.5546875" style="107" customWidth="1"/>
    <col min="10168" max="10168" width="10.6640625" style="107" customWidth="1"/>
    <col min="10169" max="10170" width="12.109375" style="107" customWidth="1"/>
    <col min="10171" max="10171" width="10" style="107" customWidth="1"/>
    <col min="10172" max="10172" width="10.88671875" style="107" customWidth="1"/>
    <col min="10173" max="10173" width="9.5546875" style="107" customWidth="1"/>
    <col min="10174" max="10174" width="10.109375" style="107" customWidth="1"/>
    <col min="10175" max="10175" width="11.5546875" style="107" customWidth="1"/>
    <col min="10176" max="10176" width="13.44140625" style="107" customWidth="1"/>
    <col min="10177" max="10177" width="15.109375" style="107" customWidth="1"/>
    <col min="10178" max="10178" width="9.109375" style="107"/>
    <col min="10179" max="10179" width="17.33203125" style="107" customWidth="1"/>
    <col min="10180" max="10180" width="10.44140625" style="107" bestFit="1" customWidth="1"/>
    <col min="10181" max="10421" width="9.109375" style="107"/>
    <col min="10422" max="10422" width="12.109375" style="107" customWidth="1"/>
    <col min="10423" max="10423" width="13.5546875" style="107" customWidth="1"/>
    <col min="10424" max="10424" width="10.6640625" style="107" customWidth="1"/>
    <col min="10425" max="10426" width="12.109375" style="107" customWidth="1"/>
    <col min="10427" max="10427" width="10" style="107" customWidth="1"/>
    <col min="10428" max="10428" width="10.88671875" style="107" customWidth="1"/>
    <col min="10429" max="10429" width="9.5546875" style="107" customWidth="1"/>
    <col min="10430" max="10430" width="10.109375" style="107" customWidth="1"/>
    <col min="10431" max="10431" width="11.5546875" style="107" customWidth="1"/>
    <col min="10432" max="10432" width="13.44140625" style="107" customWidth="1"/>
    <col min="10433" max="10433" width="15.109375" style="107" customWidth="1"/>
    <col min="10434" max="10434" width="9.109375" style="107"/>
    <col min="10435" max="10435" width="17.33203125" style="107" customWidth="1"/>
    <col min="10436" max="10436" width="10.44140625" style="107" bestFit="1" customWidth="1"/>
    <col min="10437" max="10677" width="9.109375" style="107"/>
    <col min="10678" max="10678" width="12.109375" style="107" customWidth="1"/>
    <col min="10679" max="10679" width="13.5546875" style="107" customWidth="1"/>
    <col min="10680" max="10680" width="10.6640625" style="107" customWidth="1"/>
    <col min="10681" max="10682" width="12.109375" style="107" customWidth="1"/>
    <col min="10683" max="10683" width="10" style="107" customWidth="1"/>
    <col min="10684" max="10684" width="10.88671875" style="107" customWidth="1"/>
    <col min="10685" max="10685" width="9.5546875" style="107" customWidth="1"/>
    <col min="10686" max="10686" width="10.109375" style="107" customWidth="1"/>
    <col min="10687" max="10687" width="11.5546875" style="107" customWidth="1"/>
    <col min="10688" max="10688" width="13.44140625" style="107" customWidth="1"/>
    <col min="10689" max="10689" width="15.109375" style="107" customWidth="1"/>
    <col min="10690" max="10690" width="9.109375" style="107"/>
    <col min="10691" max="10691" width="17.33203125" style="107" customWidth="1"/>
    <col min="10692" max="10692" width="10.44140625" style="107" bestFit="1" customWidth="1"/>
    <col min="10693" max="10933" width="9.109375" style="107"/>
    <col min="10934" max="10934" width="12.109375" style="107" customWidth="1"/>
    <col min="10935" max="10935" width="13.5546875" style="107" customWidth="1"/>
    <col min="10936" max="10936" width="10.6640625" style="107" customWidth="1"/>
    <col min="10937" max="10938" width="12.109375" style="107" customWidth="1"/>
    <col min="10939" max="10939" width="10" style="107" customWidth="1"/>
    <col min="10940" max="10940" width="10.88671875" style="107" customWidth="1"/>
    <col min="10941" max="10941" width="9.5546875" style="107" customWidth="1"/>
    <col min="10942" max="10942" width="10.109375" style="107" customWidth="1"/>
    <col min="10943" max="10943" width="11.5546875" style="107" customWidth="1"/>
    <col min="10944" max="10944" width="13.44140625" style="107" customWidth="1"/>
    <col min="10945" max="10945" width="15.109375" style="107" customWidth="1"/>
    <col min="10946" max="10946" width="9.109375" style="107"/>
    <col min="10947" max="10947" width="17.33203125" style="107" customWidth="1"/>
    <col min="10948" max="10948" width="10.44140625" style="107" bestFit="1" customWidth="1"/>
    <col min="10949" max="11189" width="9.109375" style="107"/>
    <col min="11190" max="11190" width="12.109375" style="107" customWidth="1"/>
    <col min="11191" max="11191" width="13.5546875" style="107" customWidth="1"/>
    <col min="11192" max="11192" width="10.6640625" style="107" customWidth="1"/>
    <col min="11193" max="11194" width="12.109375" style="107" customWidth="1"/>
    <col min="11195" max="11195" width="10" style="107" customWidth="1"/>
    <col min="11196" max="11196" width="10.88671875" style="107" customWidth="1"/>
    <col min="11197" max="11197" width="9.5546875" style="107" customWidth="1"/>
    <col min="11198" max="11198" width="10.109375" style="107" customWidth="1"/>
    <col min="11199" max="11199" width="11.5546875" style="107" customWidth="1"/>
    <col min="11200" max="11200" width="13.44140625" style="107" customWidth="1"/>
    <col min="11201" max="11201" width="15.109375" style="107" customWidth="1"/>
    <col min="11202" max="11202" width="9.109375" style="107"/>
    <col min="11203" max="11203" width="17.33203125" style="107" customWidth="1"/>
    <col min="11204" max="11204" width="10.44140625" style="107" bestFit="1" customWidth="1"/>
    <col min="11205" max="11445" width="9.109375" style="107"/>
    <col min="11446" max="11446" width="12.109375" style="107" customWidth="1"/>
    <col min="11447" max="11447" width="13.5546875" style="107" customWidth="1"/>
    <col min="11448" max="11448" width="10.6640625" style="107" customWidth="1"/>
    <col min="11449" max="11450" width="12.109375" style="107" customWidth="1"/>
    <col min="11451" max="11451" width="10" style="107" customWidth="1"/>
    <col min="11452" max="11452" width="10.88671875" style="107" customWidth="1"/>
    <col min="11453" max="11453" width="9.5546875" style="107" customWidth="1"/>
    <col min="11454" max="11454" width="10.109375" style="107" customWidth="1"/>
    <col min="11455" max="11455" width="11.5546875" style="107" customWidth="1"/>
    <col min="11456" max="11456" width="13.44140625" style="107" customWidth="1"/>
    <col min="11457" max="11457" width="15.109375" style="107" customWidth="1"/>
    <col min="11458" max="11458" width="9.109375" style="107"/>
    <col min="11459" max="11459" width="17.33203125" style="107" customWidth="1"/>
    <col min="11460" max="11460" width="10.44140625" style="107" bestFit="1" customWidth="1"/>
    <col min="11461" max="11701" width="9.109375" style="107"/>
    <col min="11702" max="11702" width="12.109375" style="107" customWidth="1"/>
    <col min="11703" max="11703" width="13.5546875" style="107" customWidth="1"/>
    <col min="11704" max="11704" width="10.6640625" style="107" customWidth="1"/>
    <col min="11705" max="11706" width="12.109375" style="107" customWidth="1"/>
    <col min="11707" max="11707" width="10" style="107" customWidth="1"/>
    <col min="11708" max="11708" width="10.88671875" style="107" customWidth="1"/>
    <col min="11709" max="11709" width="9.5546875" style="107" customWidth="1"/>
    <col min="11710" max="11710" width="10.109375" style="107" customWidth="1"/>
    <col min="11711" max="11711" width="11.5546875" style="107" customWidth="1"/>
    <col min="11712" max="11712" width="13.44140625" style="107" customWidth="1"/>
    <col min="11713" max="11713" width="15.109375" style="107" customWidth="1"/>
    <col min="11714" max="11714" width="9.109375" style="107"/>
    <col min="11715" max="11715" width="17.33203125" style="107" customWidth="1"/>
    <col min="11716" max="11716" width="10.44140625" style="107" bestFit="1" customWidth="1"/>
    <col min="11717" max="11957" width="9.109375" style="107"/>
    <col min="11958" max="11958" width="12.109375" style="107" customWidth="1"/>
    <col min="11959" max="11959" width="13.5546875" style="107" customWidth="1"/>
    <col min="11960" max="11960" width="10.6640625" style="107" customWidth="1"/>
    <col min="11961" max="11962" width="12.109375" style="107" customWidth="1"/>
    <col min="11963" max="11963" width="10" style="107" customWidth="1"/>
    <col min="11964" max="11964" width="10.88671875" style="107" customWidth="1"/>
    <col min="11965" max="11965" width="9.5546875" style="107" customWidth="1"/>
    <col min="11966" max="11966" width="10.109375" style="107" customWidth="1"/>
    <col min="11967" max="11967" width="11.5546875" style="107" customWidth="1"/>
    <col min="11968" max="11968" width="13.44140625" style="107" customWidth="1"/>
    <col min="11969" max="11969" width="15.109375" style="107" customWidth="1"/>
    <col min="11970" max="11970" width="9.109375" style="107"/>
    <col min="11971" max="11971" width="17.33203125" style="107" customWidth="1"/>
    <col min="11972" max="11972" width="10.44140625" style="107" bestFit="1" customWidth="1"/>
    <col min="11973" max="12213" width="9.109375" style="107"/>
    <col min="12214" max="12214" width="12.109375" style="107" customWidth="1"/>
    <col min="12215" max="12215" width="13.5546875" style="107" customWidth="1"/>
    <col min="12216" max="12216" width="10.6640625" style="107" customWidth="1"/>
    <col min="12217" max="12218" width="12.109375" style="107" customWidth="1"/>
    <col min="12219" max="12219" width="10" style="107" customWidth="1"/>
    <col min="12220" max="12220" width="10.88671875" style="107" customWidth="1"/>
    <col min="12221" max="12221" width="9.5546875" style="107" customWidth="1"/>
    <col min="12222" max="12222" width="10.109375" style="107" customWidth="1"/>
    <col min="12223" max="12223" width="11.5546875" style="107" customWidth="1"/>
    <col min="12224" max="12224" width="13.44140625" style="107" customWidth="1"/>
    <col min="12225" max="12225" width="15.109375" style="107" customWidth="1"/>
    <col min="12226" max="12226" width="9.109375" style="107"/>
    <col min="12227" max="12227" width="17.33203125" style="107" customWidth="1"/>
    <col min="12228" max="12228" width="10.44140625" style="107" bestFit="1" customWidth="1"/>
    <col min="12229" max="12469" width="9.109375" style="107"/>
    <col min="12470" max="12470" width="12.109375" style="107" customWidth="1"/>
    <col min="12471" max="12471" width="13.5546875" style="107" customWidth="1"/>
    <col min="12472" max="12472" width="10.6640625" style="107" customWidth="1"/>
    <col min="12473" max="12474" width="12.109375" style="107" customWidth="1"/>
    <col min="12475" max="12475" width="10" style="107" customWidth="1"/>
    <col min="12476" max="12476" width="10.88671875" style="107" customWidth="1"/>
    <col min="12477" max="12477" width="9.5546875" style="107" customWidth="1"/>
    <col min="12478" max="12478" width="10.109375" style="107" customWidth="1"/>
    <col min="12479" max="12479" width="11.5546875" style="107" customWidth="1"/>
    <col min="12480" max="12480" width="13.44140625" style="107" customWidth="1"/>
    <col min="12481" max="12481" width="15.109375" style="107" customWidth="1"/>
    <col min="12482" max="12482" width="9.109375" style="107"/>
    <col min="12483" max="12483" width="17.33203125" style="107" customWidth="1"/>
    <col min="12484" max="12484" width="10.44140625" style="107" bestFit="1" customWidth="1"/>
    <col min="12485" max="12725" width="9.109375" style="107"/>
    <col min="12726" max="12726" width="12.109375" style="107" customWidth="1"/>
    <col min="12727" max="12727" width="13.5546875" style="107" customWidth="1"/>
    <col min="12728" max="12728" width="10.6640625" style="107" customWidth="1"/>
    <col min="12729" max="12730" width="12.109375" style="107" customWidth="1"/>
    <col min="12731" max="12731" width="10" style="107" customWidth="1"/>
    <col min="12732" max="12732" width="10.88671875" style="107" customWidth="1"/>
    <col min="12733" max="12733" width="9.5546875" style="107" customWidth="1"/>
    <col min="12734" max="12734" width="10.109375" style="107" customWidth="1"/>
    <col min="12735" max="12735" width="11.5546875" style="107" customWidth="1"/>
    <col min="12736" max="12736" width="13.44140625" style="107" customWidth="1"/>
    <col min="12737" max="12737" width="15.109375" style="107" customWidth="1"/>
    <col min="12738" max="12738" width="9.109375" style="107"/>
    <col min="12739" max="12739" width="17.33203125" style="107" customWidth="1"/>
    <col min="12740" max="12740" width="10.44140625" style="107" bestFit="1" customWidth="1"/>
    <col min="12741" max="12981" width="9.109375" style="107"/>
    <col min="12982" max="12982" width="12.109375" style="107" customWidth="1"/>
    <col min="12983" max="12983" width="13.5546875" style="107" customWidth="1"/>
    <col min="12984" max="12984" width="10.6640625" style="107" customWidth="1"/>
    <col min="12985" max="12986" width="12.109375" style="107" customWidth="1"/>
    <col min="12987" max="12987" width="10" style="107" customWidth="1"/>
    <col min="12988" max="12988" width="10.88671875" style="107" customWidth="1"/>
    <col min="12989" max="12989" width="9.5546875" style="107" customWidth="1"/>
    <col min="12990" max="12990" width="10.109375" style="107" customWidth="1"/>
    <col min="12991" max="12991" width="11.5546875" style="107" customWidth="1"/>
    <col min="12992" max="12992" width="13.44140625" style="107" customWidth="1"/>
    <col min="12993" max="12993" width="15.109375" style="107" customWidth="1"/>
    <col min="12994" max="12994" width="9.109375" style="107"/>
    <col min="12995" max="12995" width="17.33203125" style="107" customWidth="1"/>
    <col min="12996" max="12996" width="10.44140625" style="107" bestFit="1" customWidth="1"/>
    <col min="12997" max="13237" width="9.109375" style="107"/>
    <col min="13238" max="13238" width="12.109375" style="107" customWidth="1"/>
    <col min="13239" max="13239" width="13.5546875" style="107" customWidth="1"/>
    <col min="13240" max="13240" width="10.6640625" style="107" customWidth="1"/>
    <col min="13241" max="13242" width="12.109375" style="107" customWidth="1"/>
    <col min="13243" max="13243" width="10" style="107" customWidth="1"/>
    <col min="13244" max="13244" width="10.88671875" style="107" customWidth="1"/>
    <col min="13245" max="13245" width="9.5546875" style="107" customWidth="1"/>
    <col min="13246" max="13246" width="10.109375" style="107" customWidth="1"/>
    <col min="13247" max="13247" width="11.5546875" style="107" customWidth="1"/>
    <col min="13248" max="13248" width="13.44140625" style="107" customWidth="1"/>
    <col min="13249" max="13249" width="15.109375" style="107" customWidth="1"/>
    <col min="13250" max="13250" width="9.109375" style="107"/>
    <col min="13251" max="13251" width="17.33203125" style="107" customWidth="1"/>
    <col min="13252" max="13252" width="10.44140625" style="107" bestFit="1" customWidth="1"/>
    <col min="13253" max="13493" width="9.109375" style="107"/>
    <col min="13494" max="13494" width="12.109375" style="107" customWidth="1"/>
    <col min="13495" max="13495" width="13.5546875" style="107" customWidth="1"/>
    <col min="13496" max="13496" width="10.6640625" style="107" customWidth="1"/>
    <col min="13497" max="13498" width="12.109375" style="107" customWidth="1"/>
    <col min="13499" max="13499" width="10" style="107" customWidth="1"/>
    <col min="13500" max="13500" width="10.88671875" style="107" customWidth="1"/>
    <col min="13501" max="13501" width="9.5546875" style="107" customWidth="1"/>
    <col min="13502" max="13502" width="10.109375" style="107" customWidth="1"/>
    <col min="13503" max="13503" width="11.5546875" style="107" customWidth="1"/>
    <col min="13504" max="13504" width="13.44140625" style="107" customWidth="1"/>
    <col min="13505" max="13505" width="15.109375" style="107" customWidth="1"/>
    <col min="13506" max="13506" width="9.109375" style="107"/>
    <col min="13507" max="13507" width="17.33203125" style="107" customWidth="1"/>
    <col min="13508" max="13508" width="10.44140625" style="107" bestFit="1" customWidth="1"/>
    <col min="13509" max="13749" width="9.109375" style="107"/>
    <col min="13750" max="13750" width="12.109375" style="107" customWidth="1"/>
    <col min="13751" max="13751" width="13.5546875" style="107" customWidth="1"/>
    <col min="13752" max="13752" width="10.6640625" style="107" customWidth="1"/>
    <col min="13753" max="13754" width="12.109375" style="107" customWidth="1"/>
    <col min="13755" max="13755" width="10" style="107" customWidth="1"/>
    <col min="13756" max="13756" width="10.88671875" style="107" customWidth="1"/>
    <col min="13757" max="13757" width="9.5546875" style="107" customWidth="1"/>
    <col min="13758" max="13758" width="10.109375" style="107" customWidth="1"/>
    <col min="13759" max="13759" width="11.5546875" style="107" customWidth="1"/>
    <col min="13760" max="13760" width="13.44140625" style="107" customWidth="1"/>
    <col min="13761" max="13761" width="15.109375" style="107" customWidth="1"/>
    <col min="13762" max="13762" width="9.109375" style="107"/>
    <col min="13763" max="13763" width="17.33203125" style="107" customWidth="1"/>
    <col min="13764" max="13764" width="10.44140625" style="107" bestFit="1" customWidth="1"/>
    <col min="13765" max="14005" width="9.109375" style="107"/>
    <col min="14006" max="14006" width="12.109375" style="107" customWidth="1"/>
    <col min="14007" max="14007" width="13.5546875" style="107" customWidth="1"/>
    <col min="14008" max="14008" width="10.6640625" style="107" customWidth="1"/>
    <col min="14009" max="14010" width="12.109375" style="107" customWidth="1"/>
    <col min="14011" max="14011" width="10" style="107" customWidth="1"/>
    <col min="14012" max="14012" width="10.88671875" style="107" customWidth="1"/>
    <col min="14013" max="14013" width="9.5546875" style="107" customWidth="1"/>
    <col min="14014" max="14014" width="10.109375" style="107" customWidth="1"/>
    <col min="14015" max="14015" width="11.5546875" style="107" customWidth="1"/>
    <col min="14016" max="14016" width="13.44140625" style="107" customWidth="1"/>
    <col min="14017" max="14017" width="15.109375" style="107" customWidth="1"/>
    <col min="14018" max="14018" width="9.109375" style="107"/>
    <col min="14019" max="14019" width="17.33203125" style="107" customWidth="1"/>
    <col min="14020" max="14020" width="10.44140625" style="107" bestFit="1" customWidth="1"/>
    <col min="14021" max="14261" width="9.109375" style="107"/>
    <col min="14262" max="14262" width="12.109375" style="107" customWidth="1"/>
    <col min="14263" max="14263" width="13.5546875" style="107" customWidth="1"/>
    <col min="14264" max="14264" width="10.6640625" style="107" customWidth="1"/>
    <col min="14265" max="14266" width="12.109375" style="107" customWidth="1"/>
    <col min="14267" max="14267" width="10" style="107" customWidth="1"/>
    <col min="14268" max="14268" width="10.88671875" style="107" customWidth="1"/>
    <col min="14269" max="14269" width="9.5546875" style="107" customWidth="1"/>
    <col min="14270" max="14270" width="10.109375" style="107" customWidth="1"/>
    <col min="14271" max="14271" width="11.5546875" style="107" customWidth="1"/>
    <col min="14272" max="14272" width="13.44140625" style="107" customWidth="1"/>
    <col min="14273" max="14273" width="15.109375" style="107" customWidth="1"/>
    <col min="14274" max="14274" width="9.109375" style="107"/>
    <col min="14275" max="14275" width="17.33203125" style="107" customWidth="1"/>
    <col min="14276" max="14276" width="10.44140625" style="107" bestFit="1" customWidth="1"/>
    <col min="14277" max="14517" width="9.109375" style="107"/>
    <col min="14518" max="14518" width="12.109375" style="107" customWidth="1"/>
    <col min="14519" max="14519" width="13.5546875" style="107" customWidth="1"/>
    <col min="14520" max="14520" width="10.6640625" style="107" customWidth="1"/>
    <col min="14521" max="14522" width="12.109375" style="107" customWidth="1"/>
    <col min="14523" max="14523" width="10" style="107" customWidth="1"/>
    <col min="14524" max="14524" width="10.88671875" style="107" customWidth="1"/>
    <col min="14525" max="14525" width="9.5546875" style="107" customWidth="1"/>
    <col min="14526" max="14526" width="10.109375" style="107" customWidth="1"/>
    <col min="14527" max="14527" width="11.5546875" style="107" customWidth="1"/>
    <col min="14528" max="14528" width="13.44140625" style="107" customWidth="1"/>
    <col min="14529" max="14529" width="15.109375" style="107" customWidth="1"/>
    <col min="14530" max="14530" width="9.109375" style="107"/>
    <col min="14531" max="14531" width="17.33203125" style="107" customWidth="1"/>
    <col min="14532" max="14532" width="10.44140625" style="107" bestFit="1" customWidth="1"/>
    <col min="14533" max="14773" width="9.109375" style="107"/>
    <col min="14774" max="14774" width="12.109375" style="107" customWidth="1"/>
    <col min="14775" max="14775" width="13.5546875" style="107" customWidth="1"/>
    <col min="14776" max="14776" width="10.6640625" style="107" customWidth="1"/>
    <col min="14777" max="14778" width="12.109375" style="107" customWidth="1"/>
    <col min="14779" max="14779" width="10" style="107" customWidth="1"/>
    <col min="14780" max="14780" width="10.88671875" style="107" customWidth="1"/>
    <col min="14781" max="14781" width="9.5546875" style="107" customWidth="1"/>
    <col min="14782" max="14782" width="10.109375" style="107" customWidth="1"/>
    <col min="14783" max="14783" width="11.5546875" style="107" customWidth="1"/>
    <col min="14784" max="14784" width="13.44140625" style="107" customWidth="1"/>
    <col min="14785" max="14785" width="15.109375" style="107" customWidth="1"/>
    <col min="14786" max="14786" width="9.109375" style="107"/>
    <col min="14787" max="14787" width="17.33203125" style="107" customWidth="1"/>
    <col min="14788" max="14788" width="10.44140625" style="107" bestFit="1" customWidth="1"/>
    <col min="14789" max="15029" width="9.109375" style="107"/>
    <col min="15030" max="15030" width="12.109375" style="107" customWidth="1"/>
    <col min="15031" max="15031" width="13.5546875" style="107" customWidth="1"/>
    <col min="15032" max="15032" width="10.6640625" style="107" customWidth="1"/>
    <col min="15033" max="15034" width="12.109375" style="107" customWidth="1"/>
    <col min="15035" max="15035" width="10" style="107" customWidth="1"/>
    <col min="15036" max="15036" width="10.88671875" style="107" customWidth="1"/>
    <col min="15037" max="15037" width="9.5546875" style="107" customWidth="1"/>
    <col min="15038" max="15038" width="10.109375" style="107" customWidth="1"/>
    <col min="15039" max="15039" width="11.5546875" style="107" customWidth="1"/>
    <col min="15040" max="15040" width="13.44140625" style="107" customWidth="1"/>
    <col min="15041" max="15041" width="15.109375" style="107" customWidth="1"/>
    <col min="15042" max="15042" width="9.109375" style="107"/>
    <col min="15043" max="15043" width="17.33203125" style="107" customWidth="1"/>
    <col min="15044" max="15044" width="10.44140625" style="107" bestFit="1" customWidth="1"/>
    <col min="15045" max="15285" width="9.109375" style="107"/>
    <col min="15286" max="15286" width="12.109375" style="107" customWidth="1"/>
    <col min="15287" max="15287" width="13.5546875" style="107" customWidth="1"/>
    <col min="15288" max="15288" width="10.6640625" style="107" customWidth="1"/>
    <col min="15289" max="15290" width="12.109375" style="107" customWidth="1"/>
    <col min="15291" max="15291" width="10" style="107" customWidth="1"/>
    <col min="15292" max="15292" width="10.88671875" style="107" customWidth="1"/>
    <col min="15293" max="15293" width="9.5546875" style="107" customWidth="1"/>
    <col min="15294" max="15294" width="10.109375" style="107" customWidth="1"/>
    <col min="15295" max="15295" width="11.5546875" style="107" customWidth="1"/>
    <col min="15296" max="15296" width="13.44140625" style="107" customWidth="1"/>
    <col min="15297" max="15297" width="15.109375" style="107" customWidth="1"/>
    <col min="15298" max="15298" width="9.109375" style="107"/>
    <col min="15299" max="15299" width="17.33203125" style="107" customWidth="1"/>
    <col min="15300" max="15300" width="10.44140625" style="107" bestFit="1" customWidth="1"/>
    <col min="15301" max="15541" width="9.109375" style="107"/>
    <col min="15542" max="15542" width="12.109375" style="107" customWidth="1"/>
    <col min="15543" max="15543" width="13.5546875" style="107" customWidth="1"/>
    <col min="15544" max="15544" width="10.6640625" style="107" customWidth="1"/>
    <col min="15545" max="15546" width="12.109375" style="107" customWidth="1"/>
    <col min="15547" max="15547" width="10" style="107" customWidth="1"/>
    <col min="15548" max="15548" width="10.88671875" style="107" customWidth="1"/>
    <col min="15549" max="15549" width="9.5546875" style="107" customWidth="1"/>
    <col min="15550" max="15550" width="10.109375" style="107" customWidth="1"/>
    <col min="15551" max="15551" width="11.5546875" style="107" customWidth="1"/>
    <col min="15552" max="15552" width="13.44140625" style="107" customWidth="1"/>
    <col min="15553" max="15553" width="15.109375" style="107" customWidth="1"/>
    <col min="15554" max="15554" width="9.109375" style="107"/>
    <col min="15555" max="15555" width="17.33203125" style="107" customWidth="1"/>
    <col min="15556" max="15556" width="10.44140625" style="107" bestFit="1" customWidth="1"/>
    <col min="15557" max="15797" width="9.109375" style="107"/>
    <col min="15798" max="15798" width="12.109375" style="107" customWidth="1"/>
    <col min="15799" max="15799" width="13.5546875" style="107" customWidth="1"/>
    <col min="15800" max="15800" width="10.6640625" style="107" customWidth="1"/>
    <col min="15801" max="15802" width="12.109375" style="107" customWidth="1"/>
    <col min="15803" max="15803" width="10" style="107" customWidth="1"/>
    <col min="15804" max="15804" width="10.88671875" style="107" customWidth="1"/>
    <col min="15805" max="15805" width="9.5546875" style="107" customWidth="1"/>
    <col min="15806" max="15806" width="10.109375" style="107" customWidth="1"/>
    <col min="15807" max="15807" width="11.5546875" style="107" customWidth="1"/>
    <col min="15808" max="15808" width="13.44140625" style="107" customWidth="1"/>
    <col min="15809" max="15809" width="15.109375" style="107" customWidth="1"/>
    <col min="15810" max="15810" width="9.109375" style="107"/>
    <col min="15811" max="15811" width="17.33203125" style="107" customWidth="1"/>
    <col min="15812" max="15812" width="10.44140625" style="107" bestFit="1" customWidth="1"/>
    <col min="15813" max="16053" width="9.109375" style="107"/>
    <col min="16054" max="16054" width="12.109375" style="107" customWidth="1"/>
    <col min="16055" max="16055" width="13.5546875" style="107" customWidth="1"/>
    <col min="16056" max="16056" width="10.6640625" style="107" customWidth="1"/>
    <col min="16057" max="16058" width="12.109375" style="107" customWidth="1"/>
    <col min="16059" max="16059" width="10" style="107" customWidth="1"/>
    <col min="16060" max="16060" width="10.88671875" style="107" customWidth="1"/>
    <col min="16061" max="16061" width="9.5546875" style="107" customWidth="1"/>
    <col min="16062" max="16062" width="10.109375" style="107" customWidth="1"/>
    <col min="16063" max="16063" width="11.5546875" style="107" customWidth="1"/>
    <col min="16064" max="16064" width="13.44140625" style="107" customWidth="1"/>
    <col min="16065" max="16065" width="15.109375" style="107" customWidth="1"/>
    <col min="16066" max="16066" width="9.109375" style="107"/>
    <col min="16067" max="16067" width="17.33203125" style="107" customWidth="1"/>
    <col min="16068" max="16068" width="10.44140625" style="107" bestFit="1" customWidth="1"/>
    <col min="16069" max="16384" width="9.109375" style="107"/>
  </cols>
  <sheetData>
    <row r="1" spans="1:11" ht="12" x14ac:dyDescent="0.25">
      <c r="A1" s="123" t="s">
        <v>132</v>
      </c>
    </row>
    <row r="2" spans="1:11" ht="12" x14ac:dyDescent="0.25">
      <c r="A2" s="126" t="s">
        <v>91</v>
      </c>
      <c r="C2" s="127"/>
      <c r="D2" s="127"/>
      <c r="E2" s="128"/>
      <c r="F2" s="127"/>
      <c r="G2" s="127"/>
      <c r="H2" s="127"/>
      <c r="I2" s="128"/>
      <c r="J2" s="128"/>
      <c r="K2" s="128"/>
    </row>
    <row r="3" spans="1:11" ht="12" x14ac:dyDescent="0.25">
      <c r="A3" s="108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2" x14ac:dyDescent="0.25">
      <c r="A4" s="127"/>
      <c r="B4" s="129" t="s">
        <v>92</v>
      </c>
      <c r="C4" s="129" t="s">
        <v>93</v>
      </c>
      <c r="D4" s="129" t="s">
        <v>24</v>
      </c>
      <c r="E4" s="129" t="s">
        <v>94</v>
      </c>
      <c r="F4" s="129" t="s">
        <v>23</v>
      </c>
      <c r="G4" s="129" t="s">
        <v>16</v>
      </c>
      <c r="H4" s="129" t="s">
        <v>1</v>
      </c>
      <c r="I4" s="129" t="s">
        <v>95</v>
      </c>
      <c r="J4" s="129" t="s">
        <v>96</v>
      </c>
      <c r="K4" s="130" t="s">
        <v>97</v>
      </c>
    </row>
    <row r="5" spans="1:11" ht="12" x14ac:dyDescent="0.25">
      <c r="A5" s="131">
        <v>41791</v>
      </c>
      <c r="B5" s="134">
        <v>87.66</v>
      </c>
      <c r="C5" s="134">
        <v>59.05</v>
      </c>
      <c r="D5" s="134">
        <v>98.88</v>
      </c>
      <c r="E5" s="134">
        <v>1462.06</v>
      </c>
      <c r="F5" s="134">
        <v>131.88999999999999</v>
      </c>
      <c r="G5" s="134">
        <f>-G23</f>
        <v>-54.612368483083657</v>
      </c>
      <c r="H5" s="134">
        <v>358.95</v>
      </c>
      <c r="I5" s="134">
        <v>760.6</v>
      </c>
      <c r="J5" s="134">
        <v>465.43</v>
      </c>
      <c r="K5" s="134">
        <v>-3</v>
      </c>
    </row>
    <row r="6" spans="1:11" ht="12" x14ac:dyDescent="0.25">
      <c r="A6" s="131">
        <v>41821</v>
      </c>
      <c r="B6" s="134">
        <v>91.66</v>
      </c>
      <c r="C6" s="134">
        <v>74.52</v>
      </c>
      <c r="D6" s="134">
        <v>109.57</v>
      </c>
      <c r="E6" s="134">
        <v>1466.56</v>
      </c>
      <c r="F6" s="134">
        <v>127.72999999999999</v>
      </c>
      <c r="G6" s="134">
        <f t="shared" ref="G6:G16" si="0">-G24</f>
        <v>-53.72355283237755</v>
      </c>
      <c r="H6" s="134">
        <v>308.38</v>
      </c>
      <c r="I6" s="134">
        <v>916.56</v>
      </c>
      <c r="J6" s="134">
        <v>582.96</v>
      </c>
      <c r="K6" s="134">
        <v>-3</v>
      </c>
    </row>
    <row r="7" spans="1:11" ht="12" x14ac:dyDescent="0.25">
      <c r="A7" s="131">
        <v>41852</v>
      </c>
      <c r="B7" s="134">
        <v>98.55</v>
      </c>
      <c r="C7" s="134">
        <v>81.599999999999994</v>
      </c>
      <c r="D7" s="134">
        <v>116.29</v>
      </c>
      <c r="E7" s="134">
        <v>1577.26</v>
      </c>
      <c r="F7" s="134">
        <v>130.82</v>
      </c>
      <c r="G7" s="134">
        <f t="shared" si="0"/>
        <v>-54.263579184504344</v>
      </c>
      <c r="H7" s="134">
        <v>307.73</v>
      </c>
      <c r="I7" s="134">
        <v>963.84</v>
      </c>
      <c r="J7" s="134">
        <v>703.47</v>
      </c>
      <c r="K7" s="134">
        <v>-3</v>
      </c>
    </row>
    <row r="8" spans="1:11" ht="12" x14ac:dyDescent="0.25">
      <c r="A8" s="131">
        <v>41883</v>
      </c>
      <c r="B8" s="134">
        <v>98.77</v>
      </c>
      <c r="C8" s="134">
        <v>68</v>
      </c>
      <c r="D8" s="134">
        <v>116.66</v>
      </c>
      <c r="E8" s="134">
        <v>1553.83</v>
      </c>
      <c r="F8" s="134">
        <v>154.93</v>
      </c>
      <c r="G8" s="134">
        <f t="shared" si="0"/>
        <v>-53.988750064948732</v>
      </c>
      <c r="H8" s="134">
        <v>316</v>
      </c>
      <c r="I8" s="134">
        <v>931.31</v>
      </c>
      <c r="J8" s="134">
        <v>645.62</v>
      </c>
      <c r="K8" s="134">
        <v>-3</v>
      </c>
    </row>
    <row r="9" spans="1:11" ht="12" x14ac:dyDescent="0.25">
      <c r="A9" s="131">
        <v>41913</v>
      </c>
      <c r="B9" s="134">
        <v>99.49</v>
      </c>
      <c r="C9" s="134">
        <v>87.46</v>
      </c>
      <c r="D9" s="134">
        <v>114.96</v>
      </c>
      <c r="E9" s="134">
        <v>1470.67</v>
      </c>
      <c r="F9" s="134">
        <v>157.49</v>
      </c>
      <c r="G9" s="134">
        <f t="shared" si="0"/>
        <v>-54.344844810969477</v>
      </c>
      <c r="H9" s="134">
        <v>266.63</v>
      </c>
      <c r="I9" s="134">
        <v>954.63</v>
      </c>
      <c r="J9" s="134">
        <v>628.28</v>
      </c>
      <c r="K9" s="134">
        <v>-3</v>
      </c>
    </row>
    <row r="10" spans="1:11" ht="12" x14ac:dyDescent="0.25">
      <c r="A10" s="131">
        <v>41944</v>
      </c>
      <c r="B10" s="134">
        <v>84.04</v>
      </c>
      <c r="C10" s="134">
        <v>64.31</v>
      </c>
      <c r="D10" s="134">
        <v>120.17</v>
      </c>
      <c r="E10" s="134">
        <v>847.38</v>
      </c>
      <c r="F10" s="134">
        <v>152</v>
      </c>
      <c r="G10" s="134">
        <f t="shared" si="0"/>
        <v>-54.960966599085332</v>
      </c>
      <c r="H10" s="134">
        <v>380.62</v>
      </c>
      <c r="I10" s="134">
        <v>780.33</v>
      </c>
      <c r="J10" s="134">
        <v>604.46</v>
      </c>
      <c r="K10" s="134">
        <v>-3</v>
      </c>
    </row>
    <row r="11" spans="1:11" ht="12" x14ac:dyDescent="0.25">
      <c r="A11" s="131">
        <v>41974</v>
      </c>
      <c r="B11" s="134">
        <v>87.04</v>
      </c>
      <c r="C11" s="134">
        <v>77.81</v>
      </c>
      <c r="D11" s="134">
        <v>112.26</v>
      </c>
      <c r="E11" s="134">
        <v>1634.18</v>
      </c>
      <c r="F11" s="134">
        <v>154.13999999999999</v>
      </c>
      <c r="G11" s="134">
        <f t="shared" si="0"/>
        <v>-54.369806900246651</v>
      </c>
      <c r="H11" s="134">
        <v>222.04</v>
      </c>
      <c r="I11" s="134">
        <v>713.14</v>
      </c>
      <c r="J11" s="134">
        <v>581.76</v>
      </c>
      <c r="K11" s="134">
        <v>-3</v>
      </c>
    </row>
    <row r="12" spans="1:11" ht="12" x14ac:dyDescent="0.25">
      <c r="A12" s="131">
        <v>42005</v>
      </c>
      <c r="B12" s="134">
        <v>81.819999999999993</v>
      </c>
      <c r="C12" s="134">
        <v>39.130000000000003</v>
      </c>
      <c r="D12" s="134">
        <v>92.4</v>
      </c>
      <c r="E12" s="134">
        <v>1633.38</v>
      </c>
      <c r="F12" s="134">
        <v>145.97999999999999</v>
      </c>
      <c r="G12" s="134">
        <f t="shared" si="0"/>
        <v>-54.198718376872293</v>
      </c>
      <c r="H12" s="134">
        <v>215.92</v>
      </c>
      <c r="I12" s="134">
        <v>543.54999999999995</v>
      </c>
      <c r="J12" s="134">
        <v>489.41</v>
      </c>
      <c r="K12" s="134">
        <v>-30.1</v>
      </c>
    </row>
    <row r="13" spans="1:11" ht="12" x14ac:dyDescent="0.25">
      <c r="A13" s="131">
        <v>42036</v>
      </c>
      <c r="B13" s="134">
        <v>74.09</v>
      </c>
      <c r="C13" s="134">
        <v>18.420000000000002</v>
      </c>
      <c r="D13" s="134">
        <v>78.78</v>
      </c>
      <c r="E13" s="134">
        <v>1522.45</v>
      </c>
      <c r="F13" s="134">
        <v>142.63999999999999</v>
      </c>
      <c r="G13" s="134">
        <f t="shared" si="0"/>
        <v>-54.162884786305156</v>
      </c>
      <c r="H13" s="134">
        <v>165.5</v>
      </c>
      <c r="I13" s="134">
        <v>420</v>
      </c>
      <c r="J13" s="134">
        <v>277</v>
      </c>
      <c r="K13" s="134">
        <v>-14.88</v>
      </c>
    </row>
    <row r="14" spans="1:11" ht="12" x14ac:dyDescent="0.25">
      <c r="A14" s="131">
        <v>42064</v>
      </c>
      <c r="B14" s="134">
        <v>72.78</v>
      </c>
      <c r="C14" s="134">
        <v>18.46</v>
      </c>
      <c r="D14" s="134">
        <v>75.73</v>
      </c>
      <c r="E14" s="134">
        <v>1361.62</v>
      </c>
      <c r="F14" s="134">
        <v>98.89</v>
      </c>
      <c r="G14" s="134">
        <f t="shared" si="0"/>
        <v>-54.960966599085339</v>
      </c>
      <c r="H14" s="134">
        <v>161.93</v>
      </c>
      <c r="I14" s="134">
        <v>488.99</v>
      </c>
      <c r="J14" s="134">
        <v>467.21</v>
      </c>
      <c r="K14" s="134">
        <v>-6.98</v>
      </c>
    </row>
    <row r="15" spans="1:11" ht="12" x14ac:dyDescent="0.25">
      <c r="A15" s="131">
        <v>42095</v>
      </c>
      <c r="B15" s="134">
        <v>75.69</v>
      </c>
      <c r="C15" s="134">
        <v>21.94</v>
      </c>
      <c r="D15" s="134">
        <v>78.680000000000007</v>
      </c>
      <c r="E15" s="134">
        <v>1396.91</v>
      </c>
      <c r="F15" s="134">
        <v>100</v>
      </c>
      <c r="G15" s="134">
        <f t="shared" si="0"/>
        <v>-54.209674602229157</v>
      </c>
      <c r="H15" s="134">
        <v>142</v>
      </c>
      <c r="I15" s="134">
        <v>607</v>
      </c>
      <c r="J15" s="134">
        <v>597.79</v>
      </c>
      <c r="K15" s="134">
        <v>7</v>
      </c>
    </row>
    <row r="16" spans="1:11" ht="12" x14ac:dyDescent="0.25">
      <c r="A16" s="131">
        <v>42125</v>
      </c>
      <c r="B16" s="134">
        <v>77.48</v>
      </c>
      <c r="C16" s="134">
        <v>21.74</v>
      </c>
      <c r="D16" s="134">
        <v>89.44</v>
      </c>
      <c r="E16" s="134">
        <v>1106.4100000000001</v>
      </c>
      <c r="F16" s="134">
        <v>101.12</v>
      </c>
      <c r="G16" s="134">
        <f t="shared" si="0"/>
        <v>-54.644643756012741</v>
      </c>
      <c r="H16" s="134">
        <v>201</v>
      </c>
      <c r="I16" s="134">
        <v>697</v>
      </c>
      <c r="J16" s="134">
        <v>622</v>
      </c>
      <c r="K16" s="134">
        <v>7</v>
      </c>
    </row>
    <row r="18" spans="1:12" x14ac:dyDescent="0.2"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20" spans="1:12" ht="13.2" x14ac:dyDescent="0.25">
      <c r="A20" s="5" t="s">
        <v>17</v>
      </c>
      <c r="B20" s="5"/>
      <c r="C20" s="5" t="s">
        <v>120</v>
      </c>
      <c r="D20" s="5" t="s">
        <v>3</v>
      </c>
      <c r="E20" s="5" t="s">
        <v>121</v>
      </c>
      <c r="F20"/>
      <c r="G20"/>
    </row>
    <row r="21" spans="1:12" ht="13.2" x14ac:dyDescent="0.25">
      <c r="A21" s="5" t="s">
        <v>122</v>
      </c>
      <c r="B21" s="5" t="s">
        <v>123</v>
      </c>
      <c r="C21" s="5" t="s">
        <v>122</v>
      </c>
      <c r="D21" s="5" t="s">
        <v>121</v>
      </c>
      <c r="E21" s="5" t="s">
        <v>124</v>
      </c>
      <c r="F21" s="5" t="s">
        <v>125</v>
      </c>
      <c r="G21"/>
    </row>
    <row r="22" spans="1:12" ht="13.2" x14ac:dyDescent="0.25">
      <c r="A22" s="159" t="s">
        <v>126</v>
      </c>
      <c r="B22" s="159" t="s">
        <v>127</v>
      </c>
      <c r="C22" s="159" t="s">
        <v>128</v>
      </c>
      <c r="D22" s="159" t="s">
        <v>120</v>
      </c>
      <c r="E22" s="159" t="s">
        <v>129</v>
      </c>
      <c r="F22" s="159" t="s">
        <v>120</v>
      </c>
      <c r="G22" s="159" t="s">
        <v>3</v>
      </c>
    </row>
    <row r="23" spans="1:12" ht="13.2" x14ac:dyDescent="0.25">
      <c r="A23" s="171">
        <v>6</v>
      </c>
      <c r="B23" s="27">
        <f>ROUNDUP(+'Tons &amp; Revenue'!H60/A23,0)</f>
        <v>12</v>
      </c>
      <c r="C23" s="90">
        <v>165</v>
      </c>
      <c r="D23" s="11">
        <f t="shared" ref="D23:D34" si="1">+C23*B23</f>
        <v>1980</v>
      </c>
      <c r="E23" s="90">
        <f>+D23/'Tons &amp; Revenue'!H60</f>
        <v>29.612368483083657</v>
      </c>
      <c r="F23" s="90">
        <v>25</v>
      </c>
      <c r="G23" s="29">
        <f t="shared" ref="G23:G34" si="2">+F23+E23</f>
        <v>54.612368483083657</v>
      </c>
    </row>
    <row r="24" spans="1:12" ht="13.2" x14ac:dyDescent="0.25">
      <c r="A24" s="171">
        <v>6</v>
      </c>
      <c r="B24" s="27">
        <f>ROUNDUP(+'Tons &amp; Revenue'!H61/A24,0)</f>
        <v>10</v>
      </c>
      <c r="C24" s="90">
        <f t="shared" ref="C24:C34" si="3">+C23</f>
        <v>165</v>
      </c>
      <c r="D24" s="11">
        <f t="shared" si="1"/>
        <v>1650</v>
      </c>
      <c r="E24" s="90">
        <f>+D24/'Tons &amp; Revenue'!H61</f>
        <v>28.723552832377553</v>
      </c>
      <c r="F24" s="90">
        <v>25</v>
      </c>
      <c r="G24" s="29">
        <f t="shared" si="2"/>
        <v>53.72355283237755</v>
      </c>
    </row>
    <row r="25" spans="1:12" ht="13.2" x14ac:dyDescent="0.25">
      <c r="A25" s="171">
        <v>6</v>
      </c>
      <c r="B25" s="27">
        <f>ROUNDUP(+'Tons &amp; Revenue'!H62/A25,0)</f>
        <v>11</v>
      </c>
      <c r="C25" s="90">
        <f t="shared" si="3"/>
        <v>165</v>
      </c>
      <c r="D25" s="11">
        <f t="shared" si="1"/>
        <v>1815</v>
      </c>
      <c r="E25" s="90">
        <f>+D25/'Tons &amp; Revenue'!H62</f>
        <v>29.263579184504344</v>
      </c>
      <c r="F25" s="90">
        <v>25</v>
      </c>
      <c r="G25" s="29">
        <f t="shared" si="2"/>
        <v>54.263579184504344</v>
      </c>
    </row>
    <row r="26" spans="1:12" ht="13.2" x14ac:dyDescent="0.25">
      <c r="A26" s="171">
        <v>6</v>
      </c>
      <c r="B26" s="27">
        <f>ROUNDUP(+'Tons &amp; Revenue'!H63/A26,0)</f>
        <v>12</v>
      </c>
      <c r="C26" s="90">
        <f t="shared" si="3"/>
        <v>165</v>
      </c>
      <c r="D26" s="11">
        <f t="shared" si="1"/>
        <v>1980</v>
      </c>
      <c r="E26" s="90">
        <f>+D26/'Tons &amp; Revenue'!H63</f>
        <v>28.988750064948729</v>
      </c>
      <c r="F26" s="90">
        <v>25</v>
      </c>
      <c r="G26" s="29">
        <f t="shared" si="2"/>
        <v>53.988750064948732</v>
      </c>
    </row>
    <row r="27" spans="1:12" ht="13.2" x14ac:dyDescent="0.25">
      <c r="A27" s="171">
        <v>6</v>
      </c>
      <c r="B27" s="27">
        <f>ROUNDUP(+'Tons &amp; Revenue'!H64/A27,0)</f>
        <v>12</v>
      </c>
      <c r="C27" s="90">
        <f t="shared" si="3"/>
        <v>165</v>
      </c>
      <c r="D27" s="11">
        <f t="shared" si="1"/>
        <v>1980</v>
      </c>
      <c r="E27" s="90">
        <f>+D27/'Tons &amp; Revenue'!H64</f>
        <v>29.344844810969477</v>
      </c>
      <c r="F27" s="90">
        <v>25</v>
      </c>
      <c r="G27" s="29">
        <f t="shared" si="2"/>
        <v>54.344844810969477</v>
      </c>
    </row>
    <row r="28" spans="1:12" ht="13.2" x14ac:dyDescent="0.25">
      <c r="A28" s="171">
        <v>6</v>
      </c>
      <c r="B28" s="27">
        <f>ROUNDUP(+'Tons &amp; Revenue'!H65/A28,0)</f>
        <v>10</v>
      </c>
      <c r="C28" s="90">
        <f t="shared" si="3"/>
        <v>165</v>
      </c>
      <c r="D28" s="11">
        <f t="shared" si="1"/>
        <v>1650</v>
      </c>
      <c r="E28" s="90">
        <f>+D28/'Tons &amp; Revenue'!H65</f>
        <v>29.960966599085332</v>
      </c>
      <c r="F28" s="90">
        <v>25</v>
      </c>
      <c r="G28" s="29">
        <f t="shared" si="2"/>
        <v>54.960966599085332</v>
      </c>
    </row>
    <row r="29" spans="1:12" ht="13.2" x14ac:dyDescent="0.25">
      <c r="A29" s="171">
        <v>6</v>
      </c>
      <c r="B29" s="27">
        <f>ROUNDUP(+'Tons &amp; Revenue'!H66/A29,0)</f>
        <v>13</v>
      </c>
      <c r="C29" s="90">
        <f t="shared" si="3"/>
        <v>165</v>
      </c>
      <c r="D29" s="11">
        <f t="shared" si="1"/>
        <v>2145</v>
      </c>
      <c r="E29" s="90">
        <f>+D29/'Tons &amp; Revenue'!H66</f>
        <v>29.369806900246651</v>
      </c>
      <c r="F29" s="90">
        <v>25</v>
      </c>
      <c r="G29" s="29">
        <f t="shared" si="2"/>
        <v>54.369806900246651</v>
      </c>
    </row>
    <row r="30" spans="1:12" ht="13.2" x14ac:dyDescent="0.25">
      <c r="A30" s="171">
        <v>6</v>
      </c>
      <c r="B30" s="27">
        <f>ROUNDUP(+'Tons &amp; Revenue'!H67/A30,0)</f>
        <v>12</v>
      </c>
      <c r="C30" s="90">
        <f t="shared" si="3"/>
        <v>165</v>
      </c>
      <c r="D30" s="11">
        <f t="shared" si="1"/>
        <v>1980</v>
      </c>
      <c r="E30" s="90">
        <f>+D30/'Tons &amp; Revenue'!H67</f>
        <v>29.198718376872296</v>
      </c>
      <c r="F30" s="90">
        <v>25</v>
      </c>
      <c r="G30" s="29">
        <f t="shared" si="2"/>
        <v>54.198718376872293</v>
      </c>
    </row>
    <row r="31" spans="1:12" ht="13.2" x14ac:dyDescent="0.25">
      <c r="A31" s="171">
        <v>6</v>
      </c>
      <c r="B31" s="27">
        <f>ROUNDUP(+'Tons &amp; Revenue'!H68/A31,0)</f>
        <v>12</v>
      </c>
      <c r="C31" s="90">
        <f t="shared" si="3"/>
        <v>165</v>
      </c>
      <c r="D31" s="11">
        <f t="shared" si="1"/>
        <v>1980</v>
      </c>
      <c r="E31" s="90">
        <f>+D31/'Tons &amp; Revenue'!H68</f>
        <v>29.162884786305156</v>
      </c>
      <c r="F31" s="90">
        <v>25</v>
      </c>
      <c r="G31" s="29">
        <f t="shared" si="2"/>
        <v>54.162884786305156</v>
      </c>
    </row>
    <row r="32" spans="1:12" ht="13.2" x14ac:dyDescent="0.25">
      <c r="A32" s="171">
        <v>6</v>
      </c>
      <c r="B32" s="27">
        <f>ROUNDUP(+'Tons &amp; Revenue'!H69/A32,0)</f>
        <v>10</v>
      </c>
      <c r="C32" s="90">
        <f t="shared" si="3"/>
        <v>165</v>
      </c>
      <c r="D32" s="11">
        <f t="shared" si="1"/>
        <v>1650</v>
      </c>
      <c r="E32" s="90">
        <f>+D32/'Tons &amp; Revenue'!H69</f>
        <v>29.960966599085339</v>
      </c>
      <c r="F32" s="90">
        <v>25</v>
      </c>
      <c r="G32" s="29">
        <f t="shared" si="2"/>
        <v>54.960966599085339</v>
      </c>
    </row>
    <row r="33" spans="1:7" ht="13.2" x14ac:dyDescent="0.25">
      <c r="A33" s="171">
        <v>6</v>
      </c>
      <c r="B33" s="27">
        <f>ROUNDUP(+'Tons &amp; Revenue'!H70/A33,0)</f>
        <v>10</v>
      </c>
      <c r="C33" s="90">
        <f t="shared" si="3"/>
        <v>165</v>
      </c>
      <c r="D33" s="11">
        <f t="shared" si="1"/>
        <v>1650</v>
      </c>
      <c r="E33" s="90">
        <f>+D33/'Tons &amp; Revenue'!H70</f>
        <v>29.209674602229153</v>
      </c>
      <c r="F33" s="90">
        <v>25</v>
      </c>
      <c r="G33" s="29">
        <f t="shared" si="2"/>
        <v>54.209674602229157</v>
      </c>
    </row>
    <row r="34" spans="1:7" ht="13.2" x14ac:dyDescent="0.25">
      <c r="A34" s="171">
        <v>6</v>
      </c>
      <c r="B34" s="92">
        <f>ROUNDUP(+'Tons &amp; Revenue'!H71/A34,0)</f>
        <v>10</v>
      </c>
      <c r="C34" s="90">
        <f t="shared" si="3"/>
        <v>165</v>
      </c>
      <c r="D34" s="11">
        <f t="shared" si="1"/>
        <v>1650</v>
      </c>
      <c r="E34" s="90">
        <f>+D34/'Tons &amp; Revenue'!H71</f>
        <v>29.644643756012737</v>
      </c>
      <c r="F34" s="90">
        <v>25</v>
      </c>
      <c r="G34" s="29">
        <f t="shared" si="2"/>
        <v>54.644643756012741</v>
      </c>
    </row>
    <row r="35" spans="1:7" ht="13.2" x14ac:dyDescent="0.25">
      <c r="A35"/>
      <c r="B35" s="172">
        <f>SUM(B23:B34)</f>
        <v>134</v>
      </c>
      <c r="C35"/>
      <c r="D35"/>
      <c r="E35"/>
      <c r="F35"/>
      <c r="G35"/>
    </row>
  </sheetData>
  <pageMargins left="0.45" right="0.2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topLeftCell="A22" workbookViewId="0">
      <selection activeCell="A33" sqref="A33"/>
    </sheetView>
  </sheetViews>
  <sheetFormatPr defaultRowHeight="13.2" x14ac:dyDescent="0.25"/>
  <cols>
    <col min="1" max="1" width="40.109375" bestFit="1" customWidth="1"/>
    <col min="2" max="2" width="1.5546875" customWidth="1"/>
    <col min="3" max="14" width="9.88671875" bestFit="1" customWidth="1"/>
    <col min="15" max="15" width="10.88671875" customWidth="1"/>
    <col min="16" max="16" width="7" bestFit="1" customWidth="1"/>
    <col min="17" max="17" width="14" bestFit="1" customWidth="1"/>
  </cols>
  <sheetData>
    <row r="1" spans="1:18" s="1" customFormat="1" ht="17.399999999999999" x14ac:dyDescent="0.3">
      <c r="A1" s="175" t="s">
        <v>48</v>
      </c>
    </row>
    <row r="2" spans="1:18" s="1" customFormat="1" ht="13.8" x14ac:dyDescent="0.25">
      <c r="A2" s="174" t="s">
        <v>131</v>
      </c>
    </row>
    <row r="3" spans="1:18" s="1" customFormat="1" x14ac:dyDescent="0.25"/>
    <row r="4" spans="1:18" s="1" customFormat="1" x14ac:dyDescent="0.25"/>
    <row r="5" spans="1:18" s="1" customFormat="1" x14ac:dyDescent="0.25">
      <c r="A5" s="4" t="s">
        <v>111</v>
      </c>
      <c r="C5" s="154">
        <v>201406</v>
      </c>
      <c r="D5" s="154">
        <v>201407</v>
      </c>
      <c r="E5" s="154">
        <v>201408</v>
      </c>
      <c r="F5" s="154">
        <v>201409</v>
      </c>
      <c r="G5" s="154">
        <v>201410</v>
      </c>
      <c r="H5" s="154">
        <v>201411</v>
      </c>
      <c r="I5" s="154">
        <v>201412</v>
      </c>
      <c r="J5" s="154">
        <v>201501</v>
      </c>
      <c r="K5" s="154">
        <v>201502</v>
      </c>
      <c r="L5" s="154">
        <v>201503</v>
      </c>
      <c r="M5" s="154">
        <v>201504</v>
      </c>
      <c r="N5" s="154">
        <v>201505</v>
      </c>
      <c r="O5" s="154" t="s">
        <v>3</v>
      </c>
    </row>
    <row r="6" spans="1:18" s="1" customFormat="1" x14ac:dyDescent="0.25">
      <c r="A6" s="162" t="s">
        <v>112</v>
      </c>
      <c r="C6" s="163"/>
      <c r="D6" s="163"/>
      <c r="E6" s="163"/>
      <c r="F6" s="163"/>
      <c r="G6" s="163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</row>
    <row r="7" spans="1:18" x14ac:dyDescent="0.25">
      <c r="A7" s="160" t="s">
        <v>113</v>
      </c>
      <c r="C7" s="3">
        <v>-64.790000000000006</v>
      </c>
      <c r="D7" s="3">
        <v>-64.790000000000006</v>
      </c>
      <c r="E7" s="3">
        <v>-64.790000000000006</v>
      </c>
      <c r="F7" s="3">
        <v>-64.790000000000006</v>
      </c>
      <c r="G7" s="3">
        <v>-64.790000000000006</v>
      </c>
      <c r="H7" s="3">
        <v>-99.44</v>
      </c>
      <c r="I7" s="3"/>
      <c r="J7" s="161"/>
      <c r="K7" s="161"/>
      <c r="L7" s="3">
        <v>-1.6</v>
      </c>
      <c r="M7" s="3">
        <v>-1.6</v>
      </c>
      <c r="N7" s="3"/>
      <c r="O7" s="3">
        <f>SUM(C7:N7)</f>
        <v>-426.59000000000009</v>
      </c>
      <c r="P7" s="3"/>
      <c r="Q7" s="3"/>
      <c r="R7" s="3"/>
    </row>
    <row r="8" spans="1:18" x14ac:dyDescent="0.25">
      <c r="A8" s="160"/>
      <c r="C8" s="3"/>
      <c r="D8" s="3"/>
      <c r="E8" s="3"/>
      <c r="F8" s="3"/>
      <c r="G8" s="3"/>
      <c r="H8" s="3"/>
      <c r="I8" s="3"/>
      <c r="J8" s="161"/>
      <c r="K8" s="161"/>
      <c r="L8" s="161"/>
      <c r="M8" s="161"/>
      <c r="N8" s="161"/>
      <c r="O8" s="3"/>
      <c r="P8" s="3"/>
      <c r="Q8" s="3"/>
      <c r="R8" s="3"/>
    </row>
    <row r="9" spans="1:18" s="1" customFormat="1" x14ac:dyDescent="0.25">
      <c r="A9" s="162" t="s">
        <v>118</v>
      </c>
      <c r="C9" s="163"/>
      <c r="D9" s="163"/>
      <c r="E9" s="163"/>
      <c r="F9" s="163"/>
      <c r="G9" s="163"/>
      <c r="H9" s="163"/>
      <c r="I9" s="163"/>
      <c r="J9" s="164"/>
      <c r="K9" s="164"/>
      <c r="L9" s="164"/>
      <c r="M9" s="164"/>
      <c r="N9" s="164"/>
      <c r="O9" s="3"/>
      <c r="P9" s="163"/>
      <c r="Q9" s="163"/>
      <c r="R9" s="3"/>
    </row>
    <row r="10" spans="1:18" x14ac:dyDescent="0.25">
      <c r="A10" s="160" t="s">
        <v>113</v>
      </c>
      <c r="C10" s="178">
        <v>-962.89</v>
      </c>
      <c r="D10" s="178">
        <v>-962.73</v>
      </c>
      <c r="E10" s="178">
        <v>-962.11</v>
      </c>
      <c r="F10" s="178">
        <v>-961.59</v>
      </c>
      <c r="G10" s="178">
        <v>-957.74</v>
      </c>
      <c r="H10" s="178">
        <v>-1471.12</v>
      </c>
      <c r="I10" s="178">
        <v>-1398.17</v>
      </c>
      <c r="J10" s="178">
        <v>-1402.69</v>
      </c>
      <c r="K10" s="178">
        <v>-1392.52</v>
      </c>
      <c r="L10" s="178">
        <v>-1395.2</v>
      </c>
      <c r="M10" s="178">
        <f>-1396.77-112.67</f>
        <v>-1509.44</v>
      </c>
      <c r="N10" s="178">
        <f>-1396.77-112.67</f>
        <v>-1509.44</v>
      </c>
      <c r="O10" s="178">
        <f>SUM(C10:N10)</f>
        <v>-14885.640000000003</v>
      </c>
      <c r="R10" s="3"/>
    </row>
    <row r="11" spans="1:18" x14ac:dyDescent="0.25">
      <c r="A11" s="160"/>
      <c r="C11" s="3"/>
      <c r="D11" s="3"/>
      <c r="E11" s="3"/>
      <c r="F11" s="3"/>
      <c r="G11" s="3"/>
      <c r="H11" s="3"/>
      <c r="I11" s="3"/>
      <c r="J11" s="161"/>
      <c r="K11" s="161"/>
      <c r="L11" s="161"/>
      <c r="M11" s="161"/>
      <c r="N11" s="161"/>
      <c r="O11" s="3"/>
      <c r="P11" s="3"/>
      <c r="Q11" s="3"/>
      <c r="R11" s="3"/>
    </row>
    <row r="12" spans="1:18" s="1" customFormat="1" x14ac:dyDescent="0.25">
      <c r="A12" s="162" t="s">
        <v>114</v>
      </c>
      <c r="C12" s="163"/>
      <c r="D12" s="163"/>
      <c r="E12" s="163"/>
      <c r="F12" s="163"/>
      <c r="G12" s="163"/>
      <c r="H12" s="163"/>
      <c r="I12" s="163"/>
      <c r="J12" s="164"/>
      <c r="K12" s="164"/>
      <c r="L12" s="164"/>
      <c r="M12" s="164"/>
      <c r="N12" s="164"/>
      <c r="O12" s="3"/>
      <c r="P12" s="163"/>
      <c r="Q12" s="163"/>
      <c r="R12" s="3"/>
    </row>
    <row r="13" spans="1:18" x14ac:dyDescent="0.25">
      <c r="A13" s="160" t="s">
        <v>113</v>
      </c>
      <c r="C13" s="3">
        <v>-11.76</v>
      </c>
      <c r="D13" s="3">
        <v>-11.76</v>
      </c>
      <c r="E13" s="3">
        <v>-11.76</v>
      </c>
      <c r="F13" s="3">
        <v>-11.76</v>
      </c>
      <c r="G13" s="3">
        <v>-11.76</v>
      </c>
      <c r="H13" s="3">
        <v>-18.079999999999998</v>
      </c>
      <c r="I13" s="3">
        <v>-18.079999999999998</v>
      </c>
      <c r="J13" s="161"/>
      <c r="K13" s="161"/>
      <c r="L13" s="161"/>
      <c r="M13" s="161"/>
      <c r="N13" s="161"/>
      <c r="O13" s="3">
        <f>SUM(C13:N13)</f>
        <v>-94.96</v>
      </c>
      <c r="R13" s="3"/>
    </row>
    <row r="14" spans="1:18" x14ac:dyDescent="0.25">
      <c r="A14" s="160"/>
      <c r="C14" s="3"/>
      <c r="D14" s="3"/>
      <c r="E14" s="3"/>
      <c r="F14" s="3"/>
      <c r="G14" s="3"/>
      <c r="H14" s="3"/>
      <c r="I14" s="3"/>
      <c r="J14" s="161"/>
      <c r="K14" s="161"/>
      <c r="L14" s="161"/>
      <c r="M14" s="161"/>
      <c r="N14" s="161"/>
      <c r="O14" s="3"/>
      <c r="P14" s="3"/>
      <c r="Q14" s="3"/>
      <c r="R14" s="3"/>
    </row>
    <row r="15" spans="1:18" s="1" customFormat="1" x14ac:dyDescent="0.25">
      <c r="A15" s="162" t="s">
        <v>115</v>
      </c>
      <c r="C15" s="163"/>
      <c r="D15" s="163"/>
      <c r="E15" s="163"/>
      <c r="F15" s="163"/>
      <c r="G15" s="163"/>
      <c r="H15" s="163"/>
      <c r="I15" s="163"/>
      <c r="J15" s="164"/>
      <c r="K15" s="164"/>
      <c r="L15" s="164"/>
      <c r="M15" s="164"/>
      <c r="N15" s="164"/>
      <c r="O15" s="3"/>
      <c r="P15" s="163"/>
      <c r="Q15" s="163"/>
      <c r="R15" s="3"/>
    </row>
    <row r="16" spans="1:18" x14ac:dyDescent="0.25">
      <c r="A16" s="160" t="s">
        <v>113</v>
      </c>
      <c r="C16" s="3">
        <v>-1.47</v>
      </c>
      <c r="D16" s="3">
        <v>-1.47</v>
      </c>
      <c r="E16" s="3">
        <v>-1.47</v>
      </c>
      <c r="F16" s="3">
        <v>-1.47</v>
      </c>
      <c r="G16" s="3">
        <v>-1.47</v>
      </c>
      <c r="H16" s="3">
        <v>-2.2599999999999998</v>
      </c>
      <c r="I16" s="3">
        <v>-2.2599999999999998</v>
      </c>
      <c r="J16" s="3">
        <v>-2.25</v>
      </c>
      <c r="K16" s="3">
        <v>-2.25</v>
      </c>
      <c r="L16" s="3">
        <v>-2.25</v>
      </c>
      <c r="M16" s="3">
        <v>-2.25</v>
      </c>
      <c r="N16" s="3">
        <v>-2.25</v>
      </c>
      <c r="O16" s="3">
        <f t="shared" ref="O16:O22" si="0">SUM(C16:N16)</f>
        <v>-23.119999999999997</v>
      </c>
      <c r="P16" s="3"/>
      <c r="Q16" s="3"/>
      <c r="R16" s="3"/>
    </row>
    <row r="17" spans="1:18" x14ac:dyDescent="0.25">
      <c r="A17" s="160"/>
      <c r="C17" s="3"/>
      <c r="D17" s="3"/>
      <c r="E17" s="3"/>
      <c r="F17" s="3"/>
      <c r="G17" s="3"/>
      <c r="H17" s="3"/>
      <c r="I17" s="3"/>
      <c r="J17" s="161"/>
      <c r="K17" s="161"/>
      <c r="L17" s="161"/>
      <c r="M17" s="161"/>
      <c r="N17" s="161"/>
      <c r="O17" s="3"/>
      <c r="P17" s="3"/>
      <c r="Q17" s="3"/>
      <c r="R17" s="3"/>
    </row>
    <row r="18" spans="1:18" s="1" customFormat="1" x14ac:dyDescent="0.25">
      <c r="A18" s="162" t="s">
        <v>116</v>
      </c>
      <c r="C18" s="163"/>
      <c r="D18" s="163"/>
      <c r="E18" s="163"/>
      <c r="F18" s="163"/>
      <c r="G18" s="163"/>
      <c r="H18" s="163"/>
      <c r="I18" s="163"/>
      <c r="J18" s="164"/>
      <c r="K18" s="164"/>
      <c r="L18" s="164"/>
      <c r="M18" s="164"/>
      <c r="N18" s="164"/>
      <c r="O18" s="3"/>
      <c r="P18" s="163"/>
      <c r="Q18" s="163"/>
      <c r="R18" s="3"/>
    </row>
    <row r="19" spans="1:18" x14ac:dyDescent="0.25">
      <c r="A19" s="160" t="s">
        <v>113</v>
      </c>
      <c r="C19" s="3">
        <v>-99.98</v>
      </c>
      <c r="D19" s="3">
        <v>-99.98</v>
      </c>
      <c r="E19" s="3">
        <v>-99.98</v>
      </c>
      <c r="F19" s="3">
        <v>-99.98</v>
      </c>
      <c r="G19" s="3">
        <v>-99.98</v>
      </c>
      <c r="H19" s="3">
        <v>-153.68</v>
      </c>
      <c r="I19" s="3">
        <v>-153.68</v>
      </c>
      <c r="J19" s="3">
        <v>-153.22999999999999</v>
      </c>
      <c r="K19" s="3">
        <v>-153.22999999999999</v>
      </c>
      <c r="L19" s="3">
        <v>-153.22999999999999</v>
      </c>
      <c r="M19" s="3">
        <v>-40.56</v>
      </c>
      <c r="N19" s="3">
        <v>-40.56</v>
      </c>
      <c r="O19" s="3">
        <f t="shared" si="0"/>
        <v>-1348.07</v>
      </c>
      <c r="R19" s="3"/>
    </row>
    <row r="20" spans="1:18" x14ac:dyDescent="0.25">
      <c r="A20" s="160"/>
      <c r="C20" s="3"/>
      <c r="D20" s="3"/>
      <c r="E20" s="3"/>
      <c r="F20" s="3"/>
      <c r="G20" s="3"/>
      <c r="H20" s="3"/>
      <c r="I20" s="3"/>
      <c r="J20" s="161"/>
      <c r="K20" s="161"/>
      <c r="L20" s="161"/>
      <c r="M20" s="161"/>
      <c r="N20" s="161"/>
      <c r="O20" s="3"/>
      <c r="P20" s="3"/>
      <c r="Q20" s="3"/>
      <c r="R20" s="3"/>
    </row>
    <row r="21" spans="1:18" s="1" customFormat="1" x14ac:dyDescent="0.25">
      <c r="A21" s="162" t="s">
        <v>117</v>
      </c>
      <c r="C21" s="163"/>
      <c r="D21" s="163"/>
      <c r="E21" s="163"/>
      <c r="F21" s="163"/>
      <c r="G21" s="163"/>
      <c r="H21" s="163"/>
      <c r="I21" s="163"/>
      <c r="J21" s="164"/>
      <c r="K21" s="164"/>
      <c r="L21" s="164"/>
      <c r="M21" s="164"/>
      <c r="N21" s="164"/>
      <c r="O21" s="3"/>
      <c r="P21" s="163"/>
      <c r="Q21" s="163"/>
      <c r="R21" s="3"/>
    </row>
    <row r="22" spans="1:18" ht="15" x14ac:dyDescent="0.4">
      <c r="A22" s="160" t="s">
        <v>113</v>
      </c>
      <c r="C22" s="14">
        <v>-225.03</v>
      </c>
      <c r="D22" s="14">
        <v>-149.4</v>
      </c>
      <c r="E22" s="14">
        <v>-225.03</v>
      </c>
      <c r="F22" s="14">
        <v>-225.02999999999997</v>
      </c>
      <c r="G22" s="14">
        <v>-225.02999999999997</v>
      </c>
      <c r="H22" s="14">
        <v>-345.56</v>
      </c>
      <c r="I22" s="14">
        <v>-345.56</v>
      </c>
      <c r="J22" s="14">
        <v>-344.49</v>
      </c>
      <c r="K22" s="14">
        <v>-373.87</v>
      </c>
      <c r="L22" s="14">
        <v>-363.28</v>
      </c>
      <c r="M22" s="14">
        <v>-379.03</v>
      </c>
      <c r="N22" s="14">
        <v>-379.03</v>
      </c>
      <c r="O22" s="14">
        <f t="shared" si="0"/>
        <v>-3580.3399999999992</v>
      </c>
    </row>
    <row r="23" spans="1:18" ht="15" x14ac:dyDescent="0.4">
      <c r="A23" s="16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8" ht="15" x14ac:dyDescent="0.4">
      <c r="C24" s="25">
        <f t="shared" ref="C24:O24" si="1">SUM(C7:C22)</f>
        <v>-1365.92</v>
      </c>
      <c r="D24" s="25">
        <f t="shared" si="1"/>
        <v>-1290.1300000000001</v>
      </c>
      <c r="E24" s="25">
        <f t="shared" si="1"/>
        <v>-1365.14</v>
      </c>
      <c r="F24" s="25">
        <f t="shared" si="1"/>
        <v>-1364.6200000000001</v>
      </c>
      <c r="G24" s="25">
        <f t="shared" si="1"/>
        <v>-1360.77</v>
      </c>
      <c r="H24" s="25">
        <f t="shared" si="1"/>
        <v>-2090.14</v>
      </c>
      <c r="I24" s="25">
        <f t="shared" si="1"/>
        <v>-1917.75</v>
      </c>
      <c r="J24" s="25">
        <f t="shared" si="1"/>
        <v>-1902.66</v>
      </c>
      <c r="K24" s="25">
        <f t="shared" si="1"/>
        <v>-1921.87</v>
      </c>
      <c r="L24" s="25">
        <f t="shared" si="1"/>
        <v>-1915.56</v>
      </c>
      <c r="M24" s="25">
        <f t="shared" si="1"/>
        <v>-1932.8799999999999</v>
      </c>
      <c r="N24" s="25">
        <f t="shared" si="1"/>
        <v>-1931.28</v>
      </c>
      <c r="O24" s="25">
        <f t="shared" si="1"/>
        <v>-20358.720000000005</v>
      </c>
      <c r="P24" s="3"/>
      <c r="Q24" s="3"/>
      <c r="R24" s="3"/>
    </row>
    <row r="26" spans="1:18" s="1" customFormat="1" ht="16.8" x14ac:dyDescent="0.55000000000000004">
      <c r="A26" s="1" t="s">
        <v>119</v>
      </c>
      <c r="C26" s="176">
        <f>+'Rebate Calculation'!E161</f>
        <v>0.17</v>
      </c>
      <c r="D26" s="176">
        <f>+C26</f>
        <v>0.17</v>
      </c>
      <c r="E26" s="176">
        <f>+'Rebate Calculation'!E107</f>
        <v>0.26</v>
      </c>
      <c r="F26" s="176">
        <f>+E26</f>
        <v>0.26</v>
      </c>
      <c r="G26" s="176">
        <f t="shared" ref="G26:N26" si="2">+F26</f>
        <v>0.26</v>
      </c>
      <c r="H26" s="176">
        <f t="shared" si="2"/>
        <v>0.26</v>
      </c>
      <c r="I26" s="176">
        <f t="shared" si="2"/>
        <v>0.26</v>
      </c>
      <c r="J26" s="176">
        <f t="shared" si="2"/>
        <v>0.26</v>
      </c>
      <c r="K26" s="176">
        <f t="shared" si="2"/>
        <v>0.26</v>
      </c>
      <c r="L26" s="176">
        <f t="shared" si="2"/>
        <v>0.26</v>
      </c>
      <c r="M26" s="176">
        <f t="shared" si="2"/>
        <v>0.26</v>
      </c>
      <c r="N26" s="176">
        <f t="shared" si="2"/>
        <v>0.26</v>
      </c>
      <c r="O26" s="177"/>
    </row>
    <row r="28" spans="1:18" s="165" customFormat="1" x14ac:dyDescent="0.25">
      <c r="A28" s="1" t="s">
        <v>133</v>
      </c>
      <c r="C28" s="166">
        <f>-C24/C26</f>
        <v>8034.8235294117649</v>
      </c>
      <c r="D28" s="166">
        <f t="shared" ref="D28:N28" si="3">-D24/D26</f>
        <v>7589</v>
      </c>
      <c r="E28" s="166">
        <f t="shared" si="3"/>
        <v>5250.5384615384619</v>
      </c>
      <c r="F28" s="166">
        <f t="shared" si="3"/>
        <v>5248.5384615384619</v>
      </c>
      <c r="G28" s="166">
        <f t="shared" si="3"/>
        <v>5233.7307692307686</v>
      </c>
      <c r="H28" s="166">
        <f t="shared" si="3"/>
        <v>8038.9999999999991</v>
      </c>
      <c r="I28" s="166">
        <f t="shared" si="3"/>
        <v>7375.9615384615381</v>
      </c>
      <c r="J28" s="166">
        <f t="shared" si="3"/>
        <v>7317.9230769230771</v>
      </c>
      <c r="K28" s="166">
        <f t="shared" si="3"/>
        <v>7391.8076923076915</v>
      </c>
      <c r="L28" s="166">
        <f t="shared" si="3"/>
        <v>7367.538461538461</v>
      </c>
      <c r="M28" s="166">
        <f t="shared" si="3"/>
        <v>7434.1538461538457</v>
      </c>
      <c r="N28" s="166">
        <f t="shared" si="3"/>
        <v>7428</v>
      </c>
      <c r="O28" s="167">
        <f>SUM(C28:N28)</f>
        <v>83711.01583710406</v>
      </c>
      <c r="P28" s="169">
        <f>+P30+P32</f>
        <v>1</v>
      </c>
      <c r="Q28" s="166"/>
    </row>
    <row r="29" spans="1:18" s="165" customFormat="1" x14ac:dyDescent="0.25">
      <c r="A29" s="1"/>
      <c r="Q29" s="166"/>
    </row>
    <row r="30" spans="1:18" s="165" customFormat="1" x14ac:dyDescent="0.25">
      <c r="A30" s="1" t="s">
        <v>134</v>
      </c>
      <c r="C30" s="166">
        <f t="shared" ref="C30:N30" si="4">-(C13+C16+C19+C22)/C26</f>
        <v>1989.6470588235293</v>
      </c>
      <c r="D30" s="166">
        <f t="shared" si="4"/>
        <v>1544.7647058823529</v>
      </c>
      <c r="E30" s="166">
        <f t="shared" si="4"/>
        <v>1300.9230769230769</v>
      </c>
      <c r="F30" s="166">
        <f t="shared" si="4"/>
        <v>1300.9230769230769</v>
      </c>
      <c r="G30" s="166">
        <f t="shared" si="4"/>
        <v>1300.9230769230769</v>
      </c>
      <c r="H30" s="166">
        <f t="shared" si="4"/>
        <v>1998.3846153846155</v>
      </c>
      <c r="I30" s="166">
        <f t="shared" si="4"/>
        <v>1998.3846153846155</v>
      </c>
      <c r="J30" s="166">
        <f t="shared" si="4"/>
        <v>1922.9615384615386</v>
      </c>
      <c r="K30" s="166">
        <f t="shared" si="4"/>
        <v>2035.9615384615386</v>
      </c>
      <c r="L30" s="166">
        <f t="shared" si="4"/>
        <v>1995.2307692307691</v>
      </c>
      <c r="M30" s="166">
        <f t="shared" si="4"/>
        <v>1622.4615384615383</v>
      </c>
      <c r="N30" s="166">
        <f t="shared" si="4"/>
        <v>1622.4615384615383</v>
      </c>
      <c r="O30" s="167">
        <f>SUM(C30:N30)</f>
        <v>20633.027149321268</v>
      </c>
      <c r="P30" s="157">
        <f>+O30/O28</f>
        <v>0.2464792350563722</v>
      </c>
      <c r="Q30" s="166"/>
    </row>
    <row r="31" spans="1:18" s="165" customFormat="1" x14ac:dyDescent="0.25">
      <c r="A31" s="1"/>
      <c r="P31" s="157"/>
      <c r="Q31" s="166"/>
    </row>
    <row r="32" spans="1:18" s="165" customFormat="1" x14ac:dyDescent="0.25">
      <c r="A32" s="1" t="s">
        <v>135</v>
      </c>
      <c r="C32" s="167">
        <f>+C28-C30</f>
        <v>6045.176470588236</v>
      </c>
      <c r="D32" s="167">
        <f t="shared" ref="D32:N32" si="5">+D28-D30</f>
        <v>6044.2352941176468</v>
      </c>
      <c r="E32" s="167">
        <f t="shared" si="5"/>
        <v>3949.6153846153848</v>
      </c>
      <c r="F32" s="167">
        <f t="shared" si="5"/>
        <v>3947.6153846153848</v>
      </c>
      <c r="G32" s="167">
        <f t="shared" si="5"/>
        <v>3932.8076923076915</v>
      </c>
      <c r="H32" s="167">
        <f t="shared" si="5"/>
        <v>6040.6153846153838</v>
      </c>
      <c r="I32" s="167">
        <f t="shared" si="5"/>
        <v>5377.5769230769229</v>
      </c>
      <c r="J32" s="167">
        <f t="shared" si="5"/>
        <v>5394.961538461539</v>
      </c>
      <c r="K32" s="167">
        <f t="shared" si="5"/>
        <v>5355.8461538461524</v>
      </c>
      <c r="L32" s="167">
        <f t="shared" si="5"/>
        <v>5372.3076923076915</v>
      </c>
      <c r="M32" s="167">
        <f t="shared" si="5"/>
        <v>5811.6923076923076</v>
      </c>
      <c r="N32" s="167">
        <f t="shared" si="5"/>
        <v>5805.5384615384619</v>
      </c>
      <c r="O32" s="167">
        <f>SUM(C32:N32)</f>
        <v>63077.988687782796</v>
      </c>
      <c r="P32" s="157">
        <f>+O32/O28</f>
        <v>0.75352076494362785</v>
      </c>
      <c r="Q32" s="166"/>
    </row>
    <row r="33" spans="1:16" x14ac:dyDescent="0.25">
      <c r="A33" s="73"/>
      <c r="P33" s="168"/>
    </row>
  </sheetData>
  <pageMargins left="0.45" right="0.2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58E835C625674BAB6FBFD19F4FF5E3" ma:contentTypeVersion="119" ma:contentTypeDescription="" ma:contentTypeScope="" ma:versionID="1282a7311c56377cd32142e6a4372a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2015-06-11T07:00:00+00:00</OpenedDate>
    <Date1 xmlns="dc463f71-b30c-4ab2-9473-d307f9d35888">2015-06-11T07:00:00+00:00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151216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7F56CB-40D6-47FD-BD6B-22785B3AB2E3}"/>
</file>

<file path=customXml/itemProps2.xml><?xml version="1.0" encoding="utf-8"?>
<ds:datastoreItem xmlns:ds="http://schemas.openxmlformats.org/officeDocument/2006/customXml" ds:itemID="{BBA80EE1-310B-4E43-8EAD-C47CAB5BC192}"/>
</file>

<file path=customXml/itemProps3.xml><?xml version="1.0" encoding="utf-8"?>
<ds:datastoreItem xmlns:ds="http://schemas.openxmlformats.org/officeDocument/2006/customXml" ds:itemID="{E0CD76EC-DDB2-42CB-AF9B-46F240AA15BA}"/>
</file>

<file path=customXml/itemProps4.xml><?xml version="1.0" encoding="utf-8"?>
<ds:datastoreItem xmlns:ds="http://schemas.openxmlformats.org/officeDocument/2006/customXml" ds:itemID="{6B090EE7-AFCF-4A02-A61B-48B9964E2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Rebate Calculation</vt:lpstr>
      <vt:lpstr>Tons &amp; Revenue</vt:lpstr>
      <vt:lpstr>Customers</vt:lpstr>
      <vt:lpstr>Composition</vt:lpstr>
      <vt:lpstr>Prices</vt:lpstr>
      <vt:lpstr>MF Yards</vt:lpstr>
      <vt:lpstr>Composition!Print_Area</vt:lpstr>
      <vt:lpstr>Customers!Print_Area</vt:lpstr>
      <vt:lpstr>'MF Yards'!Print_Area</vt:lpstr>
      <vt:lpstr>Prices!Print_Area</vt:lpstr>
      <vt:lpstr>'Rebate Calculation'!Print_Area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Jennifer Snyder</cp:lastModifiedBy>
  <cp:lastPrinted>2015-06-11T16:23:45Z</cp:lastPrinted>
  <dcterms:created xsi:type="dcterms:W3CDTF">2004-02-20T19:40:08Z</dcterms:created>
  <dcterms:modified xsi:type="dcterms:W3CDTF">2015-06-11T20:39:53Z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0x0101006E56B4D1795A2E4DB2F0B01679ED314A00E758E835C625674BAB6FBFD19F4FF5E3</vt:lpwstr>
  </property>
  <property fmtid="{D5CDD505-2E9C-101B-9397-08002B2CF9AE}" pid="3" name="_docset_NoMedatataSyncRequired">
    <vt:lpwstr>False</vt:lpwstr>
  </property>
</Properties>
</file>