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Default Extension="vml" ContentType="application/vnd.openxmlformats-officedocument.vmlDrawing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700" activeTab="0"/>
  </bookViews>
  <sheets>
    <sheet name="WAGas12_04" sheetId="1" r:id="rId1"/>
    <sheet name="PFRstmtSheet" sheetId="2" r:id="rId2"/>
    <sheet name="SYSGas12_04" sheetId="3" r:id="rId3"/>
    <sheet name="ResultSumGas" sheetId="4" r:id="rId4"/>
    <sheet name="DFITWaGas" sheetId="5" r:id="rId5"/>
    <sheet name="DFITIdGas" sheetId="6" r:id="rId6"/>
    <sheet name="BldGain" sheetId="7" r:id="rId7"/>
    <sheet name="GasInv" sheetId="8" r:id="rId8"/>
    <sheet name="WznDSM" sheetId="9" r:id="rId9"/>
    <sheet name="CustAdv" sheetId="10" r:id="rId10"/>
    <sheet name="WeatherGas" sheetId="11" r:id="rId11"/>
    <sheet name="RevenueNorm" sheetId="12" r:id="rId12"/>
    <sheet name="BandO" sheetId="13" r:id="rId13"/>
    <sheet name="PropTax" sheetId="14" r:id="rId14"/>
    <sheet name="UncollExp" sheetId="15" r:id="rId15"/>
    <sheet name="RegExp" sheetId="16" r:id="rId16"/>
    <sheet name="InjDam" sheetId="17" r:id="rId17"/>
    <sheet name="FIT" sheetId="18" r:id="rId18"/>
    <sheet name="DebtInt" sheetId="19" r:id="rId19"/>
    <sheet name="PayClear" sheetId="20" r:id="rId20"/>
    <sheet name="Unbilled" sheetId="21" r:id="rId21"/>
    <sheet name="SIT" sheetId="22" r:id="rId22"/>
    <sheet name="ElimAR" sheetId="23" r:id="rId23"/>
    <sheet name="SubSpace" sheetId="24" r:id="rId24"/>
    <sheet name="XFranchTax" sheetId="25" r:id="rId25"/>
    <sheet name="BldgLease" sheetId="26" r:id="rId26"/>
    <sheet name="Depr" sheetId="27" r:id="rId27"/>
    <sheet name="Incent" sheetId="28" r:id="rId28"/>
    <sheet name="Inputs" sheetId="29" r:id="rId29"/>
    <sheet name="CompWA" sheetId="30" r:id="rId30"/>
    <sheet name="CompID" sheetId="31" r:id="rId31"/>
    <sheet name="DebtCalc" sheetId="32" r:id="rId32"/>
    <sheet name="CWIPAlloc" sheetId="33" r:id="rId33"/>
    <sheet name="PFPension" sheetId="34" r:id="rId34"/>
    <sheet name="PF Ins" sheetId="35" r:id="rId35"/>
    <sheet name="PFLabor" sheetId="36" r:id="rId36"/>
    <sheet name="PFExec" sheetId="37" r:id="rId37"/>
    <sheet name="PFGasProc" sheetId="38" r:id="rId38"/>
    <sheet name="PFAlloc" sheetId="39" r:id="rId39"/>
    <sheet name="PFHamilton" sheetId="40" r:id="rId40"/>
    <sheet name="Proposed Rates" sheetId="41" r:id="rId41"/>
    <sheet name="RevReqEx" sheetId="42" r:id="rId42"/>
    <sheet name="ConverFac_Exh" sheetId="43" r:id="rId43"/>
  </sheets>
  <definedNames>
    <definedName name="ID_Elec">'DebtCalc'!#REF!</definedName>
    <definedName name="ID_Gas">'DebtCalc'!$A$71:$F$121</definedName>
    <definedName name="ine" localSheetId="12">'BandO'!#REF!</definedName>
    <definedName name="ine" localSheetId="25">'BldgLease'!#REF!</definedName>
    <definedName name="ine" localSheetId="9">'CustAdv'!#REF!</definedName>
    <definedName name="ine" localSheetId="22">'ElimAR'!#REF!</definedName>
    <definedName name="ine" localSheetId="13">'PropTax'!#REF!</definedName>
    <definedName name="ine" localSheetId="15">'RegExp'!#REF!</definedName>
    <definedName name="ine" localSheetId="21">'SIT'!#REF!</definedName>
    <definedName name="ine" localSheetId="23">'SubSpace'!#REF!</definedName>
    <definedName name="ine" localSheetId="20">'Unbilled'!#REF!</definedName>
    <definedName name="_xlnm.Print_Area" localSheetId="12">'BandO'!$A$1:$G$112</definedName>
    <definedName name="_xlnm.Print_Area" localSheetId="6">'BldGain'!$A$1:$G$65</definedName>
    <definedName name="_xlnm.Print_Area" localSheetId="25">'BldgLease'!$A$1:$G$65</definedName>
    <definedName name="_xlnm.Print_Area" localSheetId="42">'ConverFac_Exh'!$A$1:$E$29</definedName>
    <definedName name="_xlnm.Print_Area" localSheetId="9">'CustAdv'!$A$1:$G$65</definedName>
    <definedName name="_xlnm.Print_Area" localSheetId="32">'CWIPAlloc'!$A$1:$W$100,'CWIPAlloc'!$X$1:$AC$16</definedName>
    <definedName name="_xlnm.Print_Area" localSheetId="31">'DebtCalc'!$A$1:$F$121</definedName>
    <definedName name="_xlnm.Print_Area" localSheetId="18">'DebtInt'!$A$1:$G$65</definedName>
    <definedName name="_xlnm.Print_Area" localSheetId="26">'Depr'!$A$1:$G$65</definedName>
    <definedName name="_xlnm.Print_Area" localSheetId="5">'DFITIdGas'!$A$1:$G$65</definedName>
    <definedName name="_xlnm.Print_Area" localSheetId="4">'DFITWaGas'!$A$1:$G$65</definedName>
    <definedName name="_xlnm.Print_Area" localSheetId="22">'ElimAR'!$A$1:$G$65</definedName>
    <definedName name="_xlnm.Print_Area" localSheetId="17">'FIT'!$A$1:$G$65</definedName>
    <definedName name="_xlnm.Print_Area" localSheetId="7">'GasInv'!$A$1:$G$65</definedName>
    <definedName name="_xlnm.Print_Area" localSheetId="27">'Incent'!$A$1:$G$113</definedName>
    <definedName name="_xlnm.Print_Area" localSheetId="16">'InjDam'!$A$1:$G$114</definedName>
    <definedName name="_xlnm.Print_Area" localSheetId="19">'PayClear'!$A$1:$G$113</definedName>
    <definedName name="_xlnm.Print_Area" localSheetId="34">'PF Ins'!$A$1:$G$114</definedName>
    <definedName name="_xlnm.Print_Area" localSheetId="38">'PFAlloc'!$A$1:$G$114</definedName>
    <definedName name="_xlnm.Print_Area" localSheetId="36">'PFExec'!$A$1:$G$113</definedName>
    <definedName name="_xlnm.Print_Area" localSheetId="37">'PFGasProc'!$A$1:$G$114</definedName>
    <definedName name="_xlnm.Print_Area" localSheetId="39">'PFHamilton'!$A$1:$G$65</definedName>
    <definedName name="_xlnm.Print_Area" localSheetId="35">'PFLabor'!$A$1:$G$113</definedName>
    <definedName name="_xlnm.Print_Area" localSheetId="33">'PFPension'!$A$1:$G$113</definedName>
    <definedName name="_xlnm.Print_Area" localSheetId="1">'PFRstmtSheet'!$A$1:$J$51</definedName>
    <definedName name="_xlnm.Print_Area" localSheetId="40">'Proposed Rates'!$A$1:$J$70</definedName>
    <definedName name="_xlnm.Print_Area" localSheetId="13">'PropTax'!$A$1:$G$112</definedName>
    <definedName name="_xlnm.Print_Area" localSheetId="15">'RegExp'!$A$1:$G$112</definedName>
    <definedName name="_xlnm.Print_Area" localSheetId="3">'ResultSumGas'!$A$1:$G$65</definedName>
    <definedName name="_xlnm.Print_Area" localSheetId="11">'RevenueNorm'!$A$1:$G$113</definedName>
    <definedName name="_xlnm.Print_Area" localSheetId="41">'RevReqEx'!$A$1:$F$29</definedName>
    <definedName name="_xlnm.Print_Area" localSheetId="21">'SIT'!$A$1:$G$113</definedName>
    <definedName name="_xlnm.Print_Area" localSheetId="23">'SubSpace'!$A$1:$G$65</definedName>
    <definedName name="_xlnm.Print_Area" localSheetId="2">'SYSGas12_04'!$F$11:$AD$70</definedName>
    <definedName name="_xlnm.Print_Area" localSheetId="20">'Unbilled'!$A$1:$G$113</definedName>
    <definedName name="_xlnm.Print_Area" localSheetId="14">'UncollExp'!$A$1:$G$113</definedName>
    <definedName name="_xlnm.Print_Area" localSheetId="0">'WAGas12_04'!$F$11:$AL$70</definedName>
    <definedName name="_xlnm.Print_Area" localSheetId="10">'WeatherGas'!$A$1:$G$113</definedName>
    <definedName name="_xlnm.Print_Area" localSheetId="8">'WznDSM'!$A$1:$G$65</definedName>
    <definedName name="_xlnm.Print_Area" localSheetId="24">'XFranchTax'!$A$1:$G$65</definedName>
    <definedName name="Print_for_CBReport">'PFRstmtSheet'!$A$1:$H$51</definedName>
    <definedName name="Print_for_Checking">'PFRstmtSheet'!$A$1:$J$51</definedName>
    <definedName name="_xlnm.Print_Titles" localSheetId="32">'CWIPAlloc'!$1:$4</definedName>
    <definedName name="_xlnm.Print_Titles" localSheetId="2">'SYSGas12_04'!$A:$E,'SYSGas12_04'!$1:$10</definedName>
    <definedName name="_xlnm.Print_Titles" localSheetId="0">'WAGas12_04'!$A:$E,'WAGas12_04'!$1:$10</definedName>
    <definedName name="proforma" localSheetId="2">'SYSGas12_04'!$F$11:$AD$70</definedName>
    <definedName name="restated" localSheetId="2">'SYSGas12_04'!$F$11:$AD$70</definedName>
    <definedName name="Summary">'CWIPAlloc'!$X$1:$AD$16</definedName>
    <definedName name="WA_Elec">'DebtCalc'!#REF!</definedName>
    <definedName name="WA_Gas">'DebtCalc'!$A$1:$F$70</definedName>
    <definedName name="Z_5BE913A1_B14F_11D2_B0DC_0000832CDFF0_.wvu.Cols" localSheetId="0" hidden="1">'WAGas12_04'!$AD:$AL</definedName>
    <definedName name="Z_5BE913A1_B14F_11D2_B0DC_0000832CDFF0_.wvu.PrintArea" localSheetId="12" hidden="1">'BandO'!$A$1:$G$112</definedName>
    <definedName name="Z_5BE913A1_B14F_11D2_B0DC_0000832CDFF0_.wvu.PrintArea" localSheetId="6" hidden="1">'BldGain'!$A$1:$G$65</definedName>
    <definedName name="Z_5BE913A1_B14F_11D2_B0DC_0000832CDFF0_.wvu.PrintArea" localSheetId="25" hidden="1">'BldgLease'!$A$1:$G$65</definedName>
    <definedName name="Z_5BE913A1_B14F_11D2_B0DC_0000832CDFF0_.wvu.PrintArea" localSheetId="9" hidden="1">'CustAdv'!$A$1:$G$65</definedName>
    <definedName name="Z_5BE913A1_B14F_11D2_B0DC_0000832CDFF0_.wvu.PrintArea" localSheetId="18" hidden="1">'DebtInt'!$A$1:$G$65</definedName>
    <definedName name="Z_5BE913A1_B14F_11D2_B0DC_0000832CDFF0_.wvu.PrintArea" localSheetId="22" hidden="1">'ElimAR'!$A$1:$G$65</definedName>
    <definedName name="Z_5BE913A1_B14F_11D2_B0DC_0000832CDFF0_.wvu.PrintArea" localSheetId="17" hidden="1">'FIT'!$A$1:$G$65</definedName>
    <definedName name="Z_5BE913A1_B14F_11D2_B0DC_0000832CDFF0_.wvu.PrintArea" localSheetId="7" hidden="1">'GasInv'!$A$1:$G$65</definedName>
    <definedName name="Z_5BE913A1_B14F_11D2_B0DC_0000832CDFF0_.wvu.PrintArea" localSheetId="27" hidden="1">'Incent'!$A$1:$G$113</definedName>
    <definedName name="Z_5BE913A1_B14F_11D2_B0DC_0000832CDFF0_.wvu.PrintArea" localSheetId="19" hidden="1">'PayClear'!$A$1:$G$113</definedName>
    <definedName name="Z_5BE913A1_B14F_11D2_B0DC_0000832CDFF0_.wvu.PrintArea" localSheetId="36" hidden="1">'PFExec'!$A$1:$G$113</definedName>
    <definedName name="Z_5BE913A1_B14F_11D2_B0DC_0000832CDFF0_.wvu.PrintArea" localSheetId="35" hidden="1">'PFLabor'!$A$1:$G$113</definedName>
    <definedName name="Z_5BE913A1_B14F_11D2_B0DC_0000832CDFF0_.wvu.PrintArea" localSheetId="33" hidden="1">'PFPension'!$A$1:$G$113</definedName>
    <definedName name="Z_5BE913A1_B14F_11D2_B0DC_0000832CDFF0_.wvu.PrintArea" localSheetId="1" hidden="1">'PFRstmtSheet'!$A$1:$I$51</definedName>
    <definedName name="Z_5BE913A1_B14F_11D2_B0DC_0000832CDFF0_.wvu.PrintArea" localSheetId="13" hidden="1">'PropTax'!$A$1:$G$112</definedName>
    <definedName name="Z_5BE913A1_B14F_11D2_B0DC_0000832CDFF0_.wvu.PrintArea" localSheetId="15" hidden="1">'RegExp'!$A$1:$G$112</definedName>
    <definedName name="Z_5BE913A1_B14F_11D2_B0DC_0000832CDFF0_.wvu.PrintArea" localSheetId="3" hidden="1">'ResultSumGas'!$A$1:$G$65</definedName>
    <definedName name="Z_5BE913A1_B14F_11D2_B0DC_0000832CDFF0_.wvu.PrintArea" localSheetId="11" hidden="1">'RevenueNorm'!$A$1:$G$113</definedName>
    <definedName name="Z_5BE913A1_B14F_11D2_B0DC_0000832CDFF0_.wvu.PrintArea" localSheetId="21" hidden="1">'SIT'!$A$1:$G$113</definedName>
    <definedName name="Z_5BE913A1_B14F_11D2_B0DC_0000832CDFF0_.wvu.PrintArea" localSheetId="23" hidden="1">'SubSpace'!$A$1:$G$65</definedName>
    <definedName name="Z_5BE913A1_B14F_11D2_B0DC_0000832CDFF0_.wvu.PrintArea" localSheetId="2" hidden="1">'SYSGas12_04'!$F$11:$AD$70</definedName>
    <definedName name="Z_5BE913A1_B14F_11D2_B0DC_0000832CDFF0_.wvu.PrintArea" localSheetId="20" hidden="1">'Unbilled'!$A$1:$G$113</definedName>
    <definedName name="Z_5BE913A1_B14F_11D2_B0DC_0000832CDFF0_.wvu.PrintArea" localSheetId="0" hidden="1">'WAGas12_04'!$F$11:$AL$70</definedName>
    <definedName name="Z_5BE913A1_B14F_11D2_B0DC_0000832CDFF0_.wvu.PrintTitles" localSheetId="2" hidden="1">'SYSGas12_04'!$A:$E,'SYSGas12_04'!$1:$10</definedName>
    <definedName name="Z_5BE913A1_B14F_11D2_B0DC_0000832CDFF0_.wvu.PrintTitles" localSheetId="0" hidden="1">'WAGas12_04'!$A:$E,'WAGas12_04'!$1:$10</definedName>
    <definedName name="Z_5BE913A1_B14F_11D2_B0DC_0000832CDFF0_.wvu.Rows" localSheetId="1" hidden="1">'PFRstmtSheet'!$34:$34,'PFRstmtSheet'!$37:$51,'PFRstmtSheet'!#REF!</definedName>
    <definedName name="Z_A15D1964_B049_11D2_8670_0000832CEEE8_.wvu.Cols" localSheetId="0" hidden="1">'WAGas12_04'!$AD:$AL</definedName>
    <definedName name="Z_A15D1964_B049_11D2_8670_0000832CEEE8_.wvu.PrintArea" localSheetId="12" hidden="1">'BandO'!$A$1:$G$112</definedName>
    <definedName name="Z_A15D1964_B049_11D2_8670_0000832CEEE8_.wvu.PrintArea" localSheetId="6" hidden="1">'BldGain'!$A$1:$G$65</definedName>
    <definedName name="Z_A15D1964_B049_11D2_8670_0000832CEEE8_.wvu.PrintArea" localSheetId="25" hidden="1">'BldgLease'!$A$1:$G$65</definedName>
    <definedName name="Z_A15D1964_B049_11D2_8670_0000832CEEE8_.wvu.PrintArea" localSheetId="9" hidden="1">'CustAdv'!$A$1:$G$65</definedName>
    <definedName name="Z_A15D1964_B049_11D2_8670_0000832CEEE8_.wvu.PrintArea" localSheetId="18" hidden="1">'DebtInt'!$A$1:$G$65</definedName>
    <definedName name="Z_A15D1964_B049_11D2_8670_0000832CEEE8_.wvu.PrintArea" localSheetId="22" hidden="1">'ElimAR'!$A$1:$G$65</definedName>
    <definedName name="Z_A15D1964_B049_11D2_8670_0000832CEEE8_.wvu.PrintArea" localSheetId="17" hidden="1">'FIT'!$A$1:$G$65</definedName>
    <definedName name="Z_A15D1964_B049_11D2_8670_0000832CEEE8_.wvu.PrintArea" localSheetId="7" hidden="1">'GasInv'!$A$1:$G$65</definedName>
    <definedName name="Z_A15D1964_B049_11D2_8670_0000832CEEE8_.wvu.PrintArea" localSheetId="27" hidden="1">'Incent'!$A$1:$G$113</definedName>
    <definedName name="Z_A15D1964_B049_11D2_8670_0000832CEEE8_.wvu.PrintArea" localSheetId="19" hidden="1">'PayClear'!$A$1:$G$113</definedName>
    <definedName name="Z_A15D1964_B049_11D2_8670_0000832CEEE8_.wvu.PrintArea" localSheetId="36" hidden="1">'PFExec'!$A$1:$G$113</definedName>
    <definedName name="Z_A15D1964_B049_11D2_8670_0000832CEEE8_.wvu.PrintArea" localSheetId="35" hidden="1">'PFLabor'!$A$1:$G$113</definedName>
    <definedName name="Z_A15D1964_B049_11D2_8670_0000832CEEE8_.wvu.PrintArea" localSheetId="33" hidden="1">'PFPension'!$A$1:$G$113</definedName>
    <definedName name="Z_A15D1964_B049_11D2_8670_0000832CEEE8_.wvu.PrintArea" localSheetId="1" hidden="1">'PFRstmtSheet'!$A$1:$I$51</definedName>
    <definedName name="Z_A15D1964_B049_11D2_8670_0000832CEEE8_.wvu.PrintArea" localSheetId="13" hidden="1">'PropTax'!$A$1:$G$112</definedName>
    <definedName name="Z_A15D1964_B049_11D2_8670_0000832CEEE8_.wvu.PrintArea" localSheetId="15" hidden="1">'RegExp'!$A$1:$G$112</definedName>
    <definedName name="Z_A15D1964_B049_11D2_8670_0000832CEEE8_.wvu.PrintArea" localSheetId="3" hidden="1">'ResultSumGas'!$A$1:$G$65</definedName>
    <definedName name="Z_A15D1964_B049_11D2_8670_0000832CEEE8_.wvu.PrintArea" localSheetId="11" hidden="1">'RevenueNorm'!$A$1:$G$113</definedName>
    <definedName name="Z_A15D1964_B049_11D2_8670_0000832CEEE8_.wvu.PrintArea" localSheetId="21" hidden="1">'SIT'!$A$1:$G$113</definedName>
    <definedName name="Z_A15D1964_B049_11D2_8670_0000832CEEE8_.wvu.PrintArea" localSheetId="23" hidden="1">'SubSpace'!$A$1:$G$65</definedName>
    <definedName name="Z_A15D1964_B049_11D2_8670_0000832CEEE8_.wvu.PrintArea" localSheetId="2" hidden="1">'SYSGas12_04'!$F$11:$AD$70</definedName>
    <definedName name="Z_A15D1964_B049_11D2_8670_0000832CEEE8_.wvu.PrintArea" localSheetId="20" hidden="1">'Unbilled'!$A$1:$G$113</definedName>
    <definedName name="Z_A15D1964_B049_11D2_8670_0000832CEEE8_.wvu.PrintArea" localSheetId="0" hidden="1">'WAGas12_04'!$F$11:$AL$70</definedName>
    <definedName name="Z_A15D1964_B049_11D2_8670_0000832CEEE8_.wvu.PrintTitles" localSheetId="2" hidden="1">'SYSGas12_04'!$A:$E,'SYSGas12_04'!$1:$10</definedName>
    <definedName name="Z_A15D1964_B049_11D2_8670_0000832CEEE8_.wvu.PrintTitles" localSheetId="0" hidden="1">'WAGas12_04'!$A:$E,'WAGas12_04'!$1:$10</definedName>
    <definedName name="Z_A15D1964_B049_11D2_8670_0000832CEEE8_.wvu.Rows" localSheetId="1" hidden="1">'PFRstmtSheet'!$34:$34,'PFRstmtSheet'!$37:$51,'PFRstmtSheet'!#REF!</definedName>
  </definedNames>
  <calcPr fullCalcOnLoad="1"/>
</workbook>
</file>

<file path=xl/comments42.xml><?xml version="1.0" encoding="utf-8"?>
<comments xmlns="http://schemas.openxmlformats.org/spreadsheetml/2006/main">
  <authors>
    <author>sz0rsr</author>
  </authors>
  <commentList>
    <comment ref="F22" authorId="0">
      <text>
        <r>
          <rPr>
            <b/>
            <sz val="8"/>
            <rFont val="Tahoma"/>
            <family val="0"/>
          </rPr>
          <t xml:space="preserve">PF Conversion Factor….Millwood expires in 2004, therfore Millwood Pro Formed out here
</t>
        </r>
      </text>
    </comment>
  </commentList>
</comments>
</file>

<file path=xl/sharedStrings.xml><?xml version="1.0" encoding="utf-8"?>
<sst xmlns="http://schemas.openxmlformats.org/spreadsheetml/2006/main" count="3850" uniqueCount="404">
  <si>
    <t>GAS RESULTS OF OPERATION</t>
  </si>
  <si>
    <t>WASHINGTON RESTATED RESULTS</t>
  </si>
  <si>
    <t>(000'S OF DOLLARS)</t>
  </si>
  <si>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</si>
  <si>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</si>
  <si>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</si>
  <si>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</si>
  <si>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</si>
  <si>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</si>
  <si>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</si>
  <si>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Lease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</si>
  <si>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</si>
  <si>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</si>
  <si>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</si>
  <si>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</si>
  <si>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</si>
  <si>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</si>
  <si>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</si>
  <si>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Subtotal</t>
  </si>
  <si>
    <t xml:space="preserve">B &amp; O </t>
  </si>
  <si>
    <t>Property</t>
  </si>
  <si>
    <t>Expense</t>
  </si>
  <si>
    <t xml:space="preserve">and </t>
  </si>
  <si>
    <t>Debt</t>
  </si>
  <si>
    <t>Revenue</t>
  </si>
  <si>
    <t>A/R</t>
  </si>
  <si>
    <t>Charges to</t>
  </si>
  <si>
    <t>Restated</t>
  </si>
  <si>
    <t>Pro Forma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</si>
  <si>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</si>
  <si>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</si>
  <si>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</si>
  <si>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</si>
  <si>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</si>
  <si>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</si>
  <si>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</si>
  <si>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</si>
  <si>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Actual</t>
  </si>
  <si>
    <t>Adjustment</t>
  </si>
  <si>
    <t>Taxes</t>
  </si>
  <si>
    <t>Tax</t>
  </si>
  <si>
    <t>Damages</t>
  </si>
  <si>
    <t>Interest</t>
  </si>
  <si>
    <t>Expenses</t>
  </si>
  <si>
    <t>Subs</t>
  </si>
  <si>
    <t>Total</t>
  </si>
  <si>
    <t>a</t>
  </si>
  <si>
    <t>b</t>
  </si>
  <si>
    <t>c</t>
  </si>
  <si>
    <t>d</t>
  </si>
  <si>
    <t>e</t>
  </si>
  <si>
    <t>f</t>
  </si>
  <si>
    <t>g</t>
  </si>
  <si>
    <t>-</t>
  </si>
  <si>
    <t>h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</si>
  <si>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</si>
  <si>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</si>
  <si>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</si>
  <si>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</si>
  <si>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</si>
  <si>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</si>
  <si>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</si>
  <si>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</si>
  <si>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</si>
  <si>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</si>
  <si>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</si>
  <si>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</si>
  <si>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PF1</t>
  </si>
  <si>
    <t>PF2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</si>
  <si>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</si>
  <si>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</si>
  <si>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</si>
  <si>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</si>
  <si>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</si>
  <si>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</si>
  <si>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</si>
  <si>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</si>
  <si>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</si>
  <si>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</si>
  <si>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</si>
  <si>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</si>
  <si>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</si>
  <si>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</si>
  <si>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</si>
  <si>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</si>
  <si>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</si>
  <si>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</si>
  <si>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</si>
  <si>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</si>
  <si>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</si>
  <si>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</si>
  <si>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</si>
  <si>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</si>
  <si>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</si>
  <si>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</si>
  <si>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</si>
  <si>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</si>
  <si>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</si>
  <si>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</si>
  <si>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</si>
  <si>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</si>
  <si>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</si>
  <si>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</si>
  <si>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</si>
  <si>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</si>
  <si>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</si>
  <si>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</si>
  <si>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</si>
  <si>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</si>
  <si>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RATE OF RETURN</t>
  </si>
  <si>
    <t>IDAHO RESTATED RESULTS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</si>
  <si>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</si>
  <si>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</si>
  <si>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</si>
  <si>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</si>
  <si>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</si>
  <si>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</si>
  <si>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</si>
  <si>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</si>
  <si>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SYSTEM RESTATED RESULTS</t>
  </si>
  <si>
    <t>i</t>
  </si>
  <si>
    <t>l</t>
  </si>
  <si>
    <t>GAS ADJUSTMENT SUMMARY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</si>
  <si>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</si>
  <si>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</si>
  <si>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</si>
  <si>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</si>
  <si>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</si>
  <si>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</si>
  <si>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</si>
  <si>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</si>
  <si>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</si>
  <si>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</si>
  <si>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</si>
  <si>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>Exploration &amp; Development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</si>
  <si>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</si>
  <si>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</si>
  <si>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</si>
  <si>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</si>
  <si>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</si>
  <si>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</si>
  <si>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</si>
  <si>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</si>
  <si>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</si>
  <si>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</si>
  <si>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</si>
  <si>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</si>
  <si>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</si>
  <si>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</si>
  <si>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</si>
  <si>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</si>
  <si>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</si>
  <si>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</si>
  <si>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</si>
  <si>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</si>
  <si>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</si>
  <si>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</si>
  <si>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</si>
  <si>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 xml:space="preserve">      Total Accum. Depreciation</t>
  </si>
  <si>
    <t>DEFERRED TAXES</t>
  </si>
  <si>
    <t xml:space="preserve"> </t>
  </si>
  <si>
    <t>WASHINGTON</t>
  </si>
  <si>
    <t>DEFERRED FIT RATE BASE</t>
  </si>
  <si>
    <t xml:space="preserve">   Current Accrual (at 35%)</t>
  </si>
  <si>
    <t xml:space="preserve">   General Plant</t>
  </si>
  <si>
    <t>IDAHO</t>
  </si>
  <si>
    <t>DEFERRED GAIN</t>
  </si>
  <si>
    <t>ON OFFICE BUILDING</t>
  </si>
  <si>
    <t>CALCULATION OF IDAHO STATE INCOME TAX</t>
  </si>
  <si>
    <t xml:space="preserve">(000's OF DOLLARS)   </t>
  </si>
  <si>
    <t>Operating Income before FIT and SIT</t>
  </si>
  <si>
    <t>Idaho State Income Tax</t>
  </si>
  <si>
    <t xml:space="preserve">    Adjusted Rate of </t>
  </si>
  <si>
    <t>ADJUSTMENT</t>
  </si>
  <si>
    <t>DSM INVESTMENT</t>
  </si>
  <si>
    <t>CUSTOMER</t>
  </si>
  <si>
    <t>ADVANCES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</si>
  <si>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</si>
  <si>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</si>
  <si>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</si>
  <si>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</si>
  <si>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</si>
  <si>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</si>
  <si>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</si>
  <si>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</si>
  <si>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</si>
  <si>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</si>
  <si>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</si>
  <si>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</si>
  <si>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UNBILLED REVENUE</t>
  </si>
  <si>
    <t>A/R EXPENSES</t>
  </si>
  <si>
    <t>OFFICE SPACE CHARGES</t>
  </si>
  <si>
    <t>TO SUBSIDIARIES</t>
  </si>
  <si>
    <t>RESTATE WASHINGTON</t>
  </si>
  <si>
    <t>EXCISE AND FRANCHISE TAXES</t>
  </si>
  <si>
    <t>BUILDING LEASE EXPENSE</t>
  </si>
  <si>
    <t>Twelve month period</t>
  </si>
  <si>
    <t>Idaho State Income Tax Adjusted Rate of</t>
  </si>
  <si>
    <t>Company Name</t>
  </si>
  <si>
    <t>AVISTA UTILITIES</t>
  </si>
  <si>
    <t>TWELVE MONTHS ENDED</t>
  </si>
  <si>
    <t>Difference</t>
  </si>
  <si>
    <t>% Difference</t>
  </si>
  <si>
    <t>Deferred Gain</t>
  </si>
  <si>
    <t>Uncollectible</t>
  </si>
  <si>
    <t>Excise/Franchise</t>
  </si>
  <si>
    <t>Weatherization</t>
  </si>
  <si>
    <t>Normalization &amp;</t>
  </si>
  <si>
    <t>Gas Cost Adjust</t>
  </si>
  <si>
    <t>WEATHER  NORMALIZATION</t>
  </si>
  <si>
    <t>AND GAS COST ADJUSTMENT</t>
  </si>
  <si>
    <t>Jurisdictional Allocation</t>
  </si>
  <si>
    <t>Allocator</t>
  </si>
  <si>
    <t>Oregon</t>
  </si>
  <si>
    <t>California</t>
  </si>
  <si>
    <t>ELECTRIC</t>
  </si>
  <si>
    <t xml:space="preserve">This calcualtion uses a calculation like that of AMA </t>
  </si>
  <si>
    <t>Intangible</t>
  </si>
  <si>
    <t>TOTAL ELECTRIC</t>
  </si>
  <si>
    <t>It adds the "first" and "last" together , divides by 2,</t>
  </si>
  <si>
    <t>then adds the result to the "middle" and divides by 2</t>
  </si>
  <si>
    <t>Transmission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</si>
  <si>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</si>
  <si>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</si>
  <si>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</si>
  <si>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</si>
  <si>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</si>
  <si>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</si>
  <si>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</si>
  <si>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</si>
  <si>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</si>
  <si>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</si>
  <si>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</si>
  <si>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</si>
  <si>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</si>
  <si>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</si>
  <si>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</si>
  <si>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</si>
  <si>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</si>
  <si>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</si>
  <si>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</si>
  <si>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</si>
  <si>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</si>
  <si>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</si>
  <si>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</si>
  <si>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</si>
  <si>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</si>
  <si>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</si>
  <si>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</si>
  <si>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</si>
  <si>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</si>
  <si>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</si>
  <si>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</si>
  <si>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</si>
  <si>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</si>
  <si>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>Common All</t>
  </si>
  <si>
    <t>Common Gas</t>
  </si>
  <si>
    <t>Common WWP</t>
  </si>
  <si>
    <t xml:space="preserve">     Total Common</t>
  </si>
  <si>
    <t>Allocation Factors</t>
  </si>
  <si>
    <t>Utility 7</t>
  </si>
  <si>
    <t>Utility 8</t>
  </si>
  <si>
    <t>Utility 9</t>
  </si>
  <si>
    <t>Washington - Gas</t>
  </si>
  <si>
    <t>(000's)</t>
  </si>
  <si>
    <t>Adjustment Description</t>
  </si>
  <si>
    <t>Adjustments</t>
  </si>
  <si>
    <t xml:space="preserve">   Total Restated Rate Base</t>
  </si>
  <si>
    <t>Restated Debt Interest</t>
  </si>
  <si>
    <t>Actual Interest (G-FIT-12A)</t>
  </si>
  <si>
    <t>Capitalized Interest</t>
  </si>
  <si>
    <t>Net Deductible Interest</t>
  </si>
  <si>
    <t>Increase (Decrease) in Interest Expense</t>
  </si>
  <si>
    <t>FIT Rate</t>
  </si>
  <si>
    <t>Increase (Decrease) in FIT</t>
  </si>
  <si>
    <t>Capitalized Interest-Company</t>
  </si>
  <si>
    <t>Equity AFUDC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</si>
  <si>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</si>
  <si>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</si>
  <si>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</si>
  <si>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</si>
  <si>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</si>
  <si>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</si>
  <si>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</si>
  <si>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</si>
  <si>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</si>
  <si>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</si>
  <si>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</si>
  <si>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</si>
  <si>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</si>
  <si>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Gas</t>
  </si>
  <si>
    <t>Weighted Average Cost of Debt</t>
  </si>
  <si>
    <t>STATE INCOME TAX</t>
  </si>
  <si>
    <t>Pension</t>
  </si>
  <si>
    <t>Payroll</t>
  </si>
  <si>
    <t>Clearing</t>
  </si>
  <si>
    <t>PAYROLL CLEARING</t>
  </si>
  <si>
    <t>PENSION</t>
  </si>
  <si>
    <t>PRO FORMA ADJUSTMENT</t>
  </si>
  <si>
    <t>INSURANCE</t>
  </si>
  <si>
    <t>Insurance</t>
  </si>
  <si>
    <t xml:space="preserve">     Pro Forma Total</t>
  </si>
  <si>
    <t>PF3</t>
  </si>
  <si>
    <t>PF4</t>
  </si>
  <si>
    <t>Labor</t>
  </si>
  <si>
    <t>Non-Exec</t>
  </si>
  <si>
    <t>Executive</t>
  </si>
  <si>
    <t>NON-EXECUTIVE LABOR</t>
  </si>
  <si>
    <t>PRO FORMA</t>
  </si>
  <si>
    <t>EXECUTIVE LABOR</t>
  </si>
  <si>
    <t>PF5</t>
  </si>
  <si>
    <t xml:space="preserve">Pro Forma </t>
  </si>
  <si>
    <t>Restate Debt Interest - Proforma</t>
  </si>
  <si>
    <t>Comes from "DebtCalc"</t>
  </si>
  <si>
    <t>Ending Balance CWIP December 31, 2003</t>
  </si>
  <si>
    <t>Average CWIP for the Twelve Months Ended 12/31/03</t>
  </si>
  <si>
    <t>Ending CWIP at 12/31/03</t>
  </si>
  <si>
    <t>Copy columns Q:W over A:G</t>
  </si>
  <si>
    <t>Then input into Q:W and  I:O</t>
  </si>
  <si>
    <t>GAS COST ADJUSTMENT</t>
  </si>
  <si>
    <t>Calculation of General Revenue Requirement</t>
  </si>
  <si>
    <t>(000's OF DOLLARS)</t>
  </si>
  <si>
    <t xml:space="preserve">Line </t>
  </si>
  <si>
    <t>Capital</t>
  </si>
  <si>
    <t>Weighted</t>
  </si>
  <si>
    <t>Component</t>
  </si>
  <si>
    <t>Structure</t>
  </si>
  <si>
    <t>Cost</t>
  </si>
  <si>
    <t xml:space="preserve">Pro Forma Rate Base </t>
  </si>
  <si>
    <t>Total Debt</t>
  </si>
  <si>
    <t>Proposed Rate of Return</t>
  </si>
  <si>
    <t>Net Operating Income Requirement</t>
  </si>
  <si>
    <t>Pref Trust</t>
  </si>
  <si>
    <t>Pro Forma Net Operating Income</t>
  </si>
  <si>
    <t>Pref Stock</t>
  </si>
  <si>
    <t>Net Operating Income Deficiency</t>
  </si>
  <si>
    <t>Common</t>
  </si>
  <si>
    <t>Conversion Factor</t>
  </si>
  <si>
    <t>Revenue Requirement</t>
  </si>
  <si>
    <t>Total General Business Revenues</t>
  </si>
  <si>
    <t>Percentage Revenue Increase</t>
  </si>
  <si>
    <t>WASH</t>
  </si>
  <si>
    <t>Pro Forma Cost of Capital</t>
  </si>
  <si>
    <t>DEPRECIATION ADJUSTMENT</t>
  </si>
  <si>
    <t>Incentives</t>
  </si>
  <si>
    <t>ADJUST INCENTIVES</t>
  </si>
  <si>
    <t>As of December 31, 2005</t>
  </si>
  <si>
    <t>Hide and unhide rows to make sure that ratebase related adjustments are coming forward</t>
  </si>
  <si>
    <t>TWELVE MONTHS ENDED DECEMBER 31, 2004</t>
  </si>
  <si>
    <t>Ending Balance CWIP June 30, 2004</t>
  </si>
  <si>
    <t>Ending Balance CWIP December 31, 2004</t>
  </si>
  <si>
    <t>PF6</t>
  </si>
  <si>
    <t>AND OTHER</t>
  </si>
  <si>
    <t>and Other</t>
  </si>
  <si>
    <t>PF7</t>
  </si>
  <si>
    <t>Remove</t>
  </si>
  <si>
    <t>Hamilton St</t>
  </si>
  <si>
    <t>REMOVE HAMILTON ST. BRIDGE</t>
  </si>
  <si>
    <t>AMORTIZATION PRO FORMA</t>
  </si>
  <si>
    <t>REVENUE NORMALIZATION AND</t>
  </si>
  <si>
    <t>Allocation</t>
  </si>
  <si>
    <t>Procurement</t>
  </si>
  <si>
    <t>ALLOCATION ADJUSTMENT</t>
  </si>
  <si>
    <t>GAS PROCUREMENT</t>
  </si>
  <si>
    <t>WASHINGTON PRO FORMA RESULTS</t>
  </si>
  <si>
    <t>WITH PRESENT RATES</t>
  </si>
  <si>
    <t>WITH PROPOSED RATES</t>
  </si>
  <si>
    <t>Actual Per</t>
  </si>
  <si>
    <t>Proposed</t>
  </si>
  <si>
    <t>Revenues &amp;</t>
  </si>
  <si>
    <t>Related Exp</t>
  </si>
  <si>
    <t>Revenues</t>
  </si>
  <si>
    <t>Expense:</t>
  </si>
  <si>
    <t xml:space="preserve">    Total Expense</t>
  </si>
  <si>
    <t>Net Operating Income Before FIT</t>
  </si>
  <si>
    <t>REVENUE CONVERSION FACTOR</t>
  </si>
  <si>
    <t>NOTES:</t>
  </si>
  <si>
    <t>(1)  Calculation of Effective Uncollectible Rate:</t>
  </si>
  <si>
    <t xml:space="preserve">       Net Write-Offs *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</si>
  <si>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</si>
  <si>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</si>
  <si>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</si>
  <si>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</si>
  <si>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</si>
  <si>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(2)  WUTC fees rate per March 5, 2004 letter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</si>
  <si>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</si>
  <si>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</si>
  <si>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</si>
  <si>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</si>
  <si>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</si>
  <si>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</si>
  <si>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</si>
  <si>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</si>
  <si>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(4)  Calculation of Franchise Fee Rate:</t>
  </si>
  <si>
    <t xml:space="preserve">     Total Fees Paid (Millwood/Spokane) *</t>
  </si>
  <si>
    <t xml:space="preserve">     *  From Excise/Franchise Tax Adjustment Workpapers.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</si>
  <si>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</si>
  <si>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</si>
  <si>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</si>
  <si>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</si>
  <si>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Revenue Conversion Factor</t>
  </si>
  <si>
    <t>Washington - Gas System</t>
  </si>
  <si>
    <t xml:space="preserve">  Federal Income Tax @ 35%</t>
  </si>
  <si>
    <t>Factor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</si>
</sst>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General"/>
    <numFmt numFmtId="165" formatCode="&quot;$&quot;#,##0"/>
    <numFmt numFmtId="166" formatCode="#,##0;\(#,##0\)"/>
    <numFmt numFmtId="167" formatCode="#,##0\ ;\(#,##0\)"/>
    <numFmt numFmtId="168" formatCode="0.0%"/>
    <numFmt numFmtId="169" formatCode="#,###_);\(#,###\)"/>
    <numFmt numFmtId="170" formatCode="&quot;$&quot;#,###_);\(&quot;$&quot;#,###\)"/>
    <numFmt numFmtId="171" formatCode="_(&quot;$&quot;* #,###_);_(&quot;$&quot;* \(#,###\);_(&quot;$&quot;* &quot;-&quot;_);_(@_)"/>
    <numFmt numFmtId="172" formatCode="_(&quot;$&quot;* #,###_);_(&quot;$&quot;* \(#,###\);_(* &quot;-&quot;_);_(@_)"/>
    <numFmt numFmtId="173" formatCode="_(&quot;$&quot;* #,###_);_(&quot;$&quot;* \(#,###\);_(* _);_(@_)"/>
    <numFmt numFmtId="174" formatCode="_(&quot;$&quot;#,###_);_(&quot;$&quot;\ \(#,###\);_(* _);_(@_)"/>
    <numFmt numFmtId="175" formatCode="0.00000"/>
    <numFmt numFmtId="176" formatCode="0.000000"/>
    <numFmt numFmtId="177" formatCode="0.000%"/>
    <numFmt numFmtId="178" formatCode="#,##0.00\ ;\(#,##0.00\)"/>
    <numFmt numFmtId="179" formatCode="#,##0.00;#,##0.00"/>
    <numFmt numFmtId="180" formatCode="#,##0.00;\(#,##0.00\)"/>
    <numFmt numFmtId="181" formatCode="#,##0.0\ ;\(#,##0.0\)"/>
    <numFmt numFmtId="182" formatCode="0,_);\(0,\)"/>
    <numFmt numFmtId="183" formatCode="&quot;$&quot;0,_);\(&quot;$&quot;0,\)"/>
    <numFmt numFmtId="184" formatCode="&quot;@ &quot;0.00%"/>
    <numFmt numFmtId="185" formatCode="#,"/>
    <numFmt numFmtId="186" formatCode="#,##0,"/>
    <numFmt numFmtId="187" formatCode="#,##0.000_);[Red]\(#,##0.000\)"/>
    <numFmt numFmtId="188" formatCode="#,##0.0000_);[Red]\(#,##0.0000\)"/>
    <numFmt numFmtId="189" formatCode="#,##0.0_);[Red]\(#,##0.0\)"/>
    <numFmt numFmtId="190" formatCode="&quot;@&quot;\ 0%"/>
    <numFmt numFmtId="191" formatCode="&quot;$&quot;#,##0.0_);[Red]\(&quot;$&quot;#,##0.0\)"/>
    <numFmt numFmtId="192" formatCode="&quot;÷&quot;\ 0"/>
    <numFmt numFmtId="193" formatCode="&quot;@&quot;\ 0.000000"/>
    <numFmt numFmtId="194" formatCode="00.000\¢"/>
    <numFmt numFmtId="195" formatCode="0.000\¢"/>
    <numFmt numFmtId="196" formatCode="0.00_);\(0.00\)"/>
    <numFmt numFmtId="197" formatCode="0.0_);\(0.0\)"/>
    <numFmt numFmtId="198" formatCode="0_);\(0\)"/>
    <numFmt numFmtId="199" formatCode="&quot;x &quot;0.00"/>
    <numFmt numFmtId="200" formatCode="&quot;x &quot;0.000"/>
    <numFmt numFmtId="201" formatCode="&quot;÷ &quot;0"/>
    <numFmt numFmtId="202" formatCode="mmm"/>
    <numFmt numFmtId="203" formatCode="yyyy"/>
    <numFmt numFmtId="204" formatCode="m/dd/yy"/>
    <numFmt numFmtId="205" formatCode="0.0000"/>
    <numFmt numFmtId="206" formatCode="0.0"/>
    <numFmt numFmtId="207" formatCode="&quot;$&quot;#,##0.00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_)"/>
    <numFmt numFmtId="212" formatCode="&quot;$&quot;#,##0.0"/>
    <numFmt numFmtId="213" formatCode="0.0000%"/>
    <numFmt numFmtId="214" formatCode="#,##0.0"/>
    <numFmt numFmtId="215" formatCode="&quot;$&quot;#,##0.0_);\(&quot;$&quot;#,##0.0\)"/>
    <numFmt numFmtId="216" formatCode="#,##0.000"/>
    <numFmt numFmtId="217" formatCode="#,##0.0000"/>
    <numFmt numFmtId="218" formatCode="_(* #,##0.0_);_(* \(#,##0.0\);_(* &quot;-&quot;??_);_(@_)"/>
    <numFmt numFmtId="219" formatCode="_(* #,##0_);_(* \(#,##0\);_(* &quot;-&quot;??_);_(@_)"/>
    <numFmt numFmtId="220" formatCode="0.00000%"/>
    <numFmt numFmtId="221" formatCode="#,##0.0_);\(#,##0.0\)"/>
    <numFmt numFmtId="222" formatCode="#,##0.000_);\(#,##0.000\)"/>
    <numFmt numFmtId="223" formatCode="#,##0.0000_);\(#,##0.0000\)"/>
    <numFmt numFmtId="224" formatCode="0.0000000"/>
    <numFmt numFmtId="225" formatCode="0.000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0"/>
    </font>
    <font>
      <b/>
      <sz val="10"/>
      <name val="Geneva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Calisto MT"/>
      <family val="1"/>
    </font>
    <font>
      <b/>
      <sz val="9"/>
      <name val="Calisto MT"/>
      <family val="1"/>
    </font>
    <font>
      <u val="single"/>
      <sz val="9"/>
      <name val="Calisto MT"/>
      <family val="1"/>
    </font>
    <font>
      <sz val="9"/>
      <color indexed="8"/>
      <name val="Times New Roman"/>
      <family val="1"/>
    </font>
    <font>
      <sz val="10"/>
      <name val="Calisto MT"/>
      <family val="1"/>
    </font>
    <font>
      <sz val="10"/>
      <color indexed="21"/>
      <name val="Calisto MT"/>
      <family val="1"/>
    </font>
    <font>
      <sz val="9"/>
      <color indexed="14"/>
      <name val="Times New Roman"/>
      <family val="1"/>
    </font>
    <font>
      <sz val="9"/>
      <color indexed="33"/>
      <name val="Times New Roman"/>
      <family val="1"/>
    </font>
    <font>
      <u val="single"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8"/>
      <name val="Times New Roman"/>
      <family val="0"/>
    </font>
    <font>
      <b/>
      <u val="single"/>
      <sz val="8"/>
      <name val="Times New Roman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i/>
      <sz val="10"/>
      <name val="Times New Roman"/>
      <family val="1"/>
    </font>
    <font>
      <sz val="9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sz val="9"/>
      <color indexed="12"/>
      <name val="Times New Roman"/>
      <family val="1"/>
    </font>
    <font>
      <b/>
      <sz val="8"/>
      <name val="Tahoma"/>
      <family val="0"/>
    </font>
    <font>
      <sz val="9"/>
      <color indexed="21"/>
      <name val="Calisto MT"/>
      <family val="0"/>
    </font>
    <font>
      <b/>
      <sz val="10"/>
      <color indexed="48"/>
      <name val="Times New Roman"/>
      <family val="0"/>
    </font>
    <font>
      <sz val="10"/>
      <color indexed="4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991">
    <xf numFmtId="0" fontId="0" fillId="0" borderId="0" xfId="0" applyAlignment="1">
      <alignment/>
    </xf>
    <xf numFmtId="0" fontId="5" fillId="0" borderId="0" xfId="45" applyNumberFormat="1" applyFont="1" applyAlignment="1">
      <alignment horizontal="left"/>
      <protection/>
    </xf>
    <xf numFmtId="0" fontId="5" fillId="0" borderId="0" xfId="45" applyFont="1">
      <alignment/>
      <protection/>
    </xf>
    <xf numFmtId="0" fontId="6" fillId="0" borderId="0" xfId="45" applyNumberFormat="1" applyFont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1" xfId="45" applyNumberFormat="1" applyFont="1" applyBorder="1" applyAlignment="1">
      <alignment horizontal="center"/>
      <protection/>
    </xf>
    <xf numFmtId="0" fontId="6" fillId="0" borderId="2" xfId="45" applyFont="1" applyBorder="1" applyAlignment="1">
      <alignment horizontal="center"/>
      <protection/>
    </xf>
    <xf numFmtId="0" fontId="6" fillId="0" borderId="3" xfId="45" applyFont="1" applyBorder="1" applyAlignment="1">
      <alignment horizontal="center"/>
      <protection/>
    </xf>
    <xf numFmtId="0" fontId="5" fillId="0" borderId="4" xfId="45" applyFont="1" applyBorder="1">
      <alignment/>
      <protection/>
    </xf>
    <xf numFmtId="0" fontId="6" fillId="0" borderId="5" xfId="45" applyNumberFormat="1" applyFont="1" applyBorder="1" applyAlignment="1">
      <alignment horizontal="center"/>
      <protection/>
    </xf>
    <xf numFmtId="0" fontId="6" fillId="0" borderId="6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/>
      <protection/>
    </xf>
    <xf numFmtId="0" fontId="5" fillId="0" borderId="7" xfId="45" applyFont="1" applyBorder="1">
      <alignment/>
      <protection/>
    </xf>
    <xf numFmtId="0" fontId="6" fillId="0" borderId="8" xfId="45" applyNumberFormat="1" applyFont="1" applyBorder="1" applyAlignment="1">
      <alignment horizontal="center"/>
      <protection/>
    </xf>
    <xf numFmtId="0" fontId="6" fillId="0" borderId="9" xfId="45" applyFont="1" applyBorder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6" fillId="0" borderId="11" xfId="45" applyFont="1" applyBorder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5" fillId="0" borderId="0" xfId="45" applyNumberFormat="1" applyFont="1" applyAlignment="1">
      <alignment horizontal="center"/>
      <protection/>
    </xf>
    <xf numFmtId="5" fontId="5" fillId="0" borderId="0" xfId="45" applyNumberFormat="1" applyFont="1">
      <alignment/>
      <protection/>
    </xf>
    <xf numFmtId="37" fontId="5" fillId="0" borderId="0" xfId="45" applyNumberFormat="1" applyFont="1">
      <alignment/>
      <protection/>
    </xf>
    <xf numFmtId="0" fontId="5" fillId="0" borderId="0" xfId="45" applyNumberFormat="1" applyFont="1" applyBorder="1" applyAlignment="1">
      <alignment horizontal="center"/>
      <protection/>
    </xf>
    <xf numFmtId="37" fontId="5" fillId="0" borderId="0" xfId="45" applyNumberFormat="1" applyFont="1" applyBorder="1">
      <alignment/>
      <protection/>
    </xf>
    <xf numFmtId="0" fontId="5" fillId="0" borderId="0" xfId="45" applyFont="1" applyBorder="1">
      <alignment/>
      <protection/>
    </xf>
    <xf numFmtId="10" fontId="5" fillId="0" borderId="0" xfId="47" applyNumberFormat="1" applyFont="1" applyAlignment="1">
      <alignment/>
    </xf>
    <xf numFmtId="0" fontId="5" fillId="0" borderId="0" xfId="34" applyNumberFormat="1" applyFont="1" applyFill="1" applyAlignment="1">
      <alignment horizontal="left"/>
      <protection/>
    </xf>
    <xf numFmtId="0" fontId="5" fillId="0" borderId="0" xfId="34" applyFont="1" applyFill="1">
      <alignment/>
      <protection/>
    </xf>
    <xf numFmtId="3" fontId="5" fillId="0" borderId="0" xfId="34" applyNumberFormat="1" applyFont="1" applyFill="1">
      <alignment/>
      <protection/>
    </xf>
    <xf numFmtId="3" fontId="5" fillId="0" borderId="0" xfId="34" applyNumberFormat="1" applyFont="1" applyFill="1">
      <alignment/>
      <protection/>
    </xf>
    <xf numFmtId="0" fontId="6" fillId="0" borderId="0" xfId="34" applyFont="1" applyFill="1" applyAlignment="1">
      <alignment horizontal="center"/>
      <protection/>
    </xf>
    <xf numFmtId="3" fontId="6" fillId="0" borderId="0" xfId="34" applyNumberFormat="1" applyFont="1" applyFill="1" applyAlignment="1">
      <alignment horizontal="center"/>
      <protection/>
    </xf>
    <xf numFmtId="0" fontId="6" fillId="0" borderId="1" xfId="34" applyNumberFormat="1" applyFont="1" applyFill="1" applyBorder="1" applyAlignment="1">
      <alignment horizontal="center"/>
      <protection/>
    </xf>
    <xf numFmtId="0" fontId="6" fillId="0" borderId="2" xfId="34" applyFont="1" applyFill="1" applyBorder="1" applyAlignment="1">
      <alignment horizontal="center"/>
      <protection/>
    </xf>
    <xf numFmtId="0" fontId="6" fillId="0" borderId="3" xfId="34" applyFont="1" applyFill="1" applyBorder="1" applyAlignment="1">
      <alignment horizontal="center"/>
      <protection/>
    </xf>
    <xf numFmtId="0" fontId="5" fillId="0" borderId="4" xfId="34" applyFont="1" applyFill="1" applyBorder="1">
      <alignment/>
      <protection/>
    </xf>
    <xf numFmtId="3" fontId="6" fillId="0" borderId="1" xfId="34" applyNumberFormat="1" applyFont="1" applyFill="1" applyBorder="1" applyAlignment="1">
      <alignment horizontal="center"/>
      <protection/>
    </xf>
    <xf numFmtId="3" fontId="6" fillId="0" borderId="1" xfId="34" applyNumberFormat="1" applyFont="1" applyFill="1" applyBorder="1" applyAlignment="1">
      <alignment horizontal="center"/>
      <protection/>
    </xf>
    <xf numFmtId="0" fontId="6" fillId="0" borderId="5" xfId="34" applyNumberFormat="1" applyFont="1" applyFill="1" applyBorder="1" applyAlignment="1">
      <alignment horizontal="center"/>
      <protection/>
    </xf>
    <xf numFmtId="0" fontId="6" fillId="0" borderId="6" xfId="34" applyFont="1" applyFill="1" applyBorder="1" applyAlignment="1">
      <alignment horizontal="center"/>
      <protection/>
    </xf>
    <xf numFmtId="0" fontId="6" fillId="0" borderId="0" xfId="34" applyFont="1" applyFill="1" applyBorder="1" applyAlignment="1">
      <alignment horizontal="center"/>
      <protection/>
    </xf>
    <xf numFmtId="0" fontId="5" fillId="0" borderId="7" xfId="34" applyFont="1" applyFill="1" applyBorder="1">
      <alignment/>
      <protection/>
    </xf>
    <xf numFmtId="3" fontId="6" fillId="0" borderId="5" xfId="34" applyNumberFormat="1" applyFont="1" applyFill="1" applyBorder="1" applyAlignment="1">
      <alignment horizontal="center"/>
      <protection/>
    </xf>
    <xf numFmtId="3" fontId="6" fillId="0" borderId="5" xfId="34" applyNumberFormat="1" applyFont="1" applyFill="1" applyBorder="1" applyAlignment="1">
      <alignment horizontal="center"/>
      <protection/>
    </xf>
    <xf numFmtId="0" fontId="6" fillId="0" borderId="8" xfId="34" applyNumberFormat="1" applyFont="1" applyFill="1" applyBorder="1" applyAlignment="1">
      <alignment horizontal="center"/>
      <protection/>
    </xf>
    <xf numFmtId="0" fontId="6" fillId="0" borderId="9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center"/>
      <protection/>
    </xf>
    <xf numFmtId="0" fontId="6" fillId="0" borderId="11" xfId="34" applyFont="1" applyFill="1" applyBorder="1" applyAlignment="1">
      <alignment horizontal="center"/>
      <protection/>
    </xf>
    <xf numFmtId="3" fontId="6" fillId="0" borderId="8" xfId="34" applyNumberFormat="1" applyFont="1" applyFill="1" applyBorder="1" applyAlignment="1">
      <alignment horizontal="center"/>
      <protection/>
    </xf>
    <xf numFmtId="3" fontId="6" fillId="0" borderId="8" xfId="34" applyNumberFormat="1" applyFont="1" applyFill="1" applyBorder="1" applyAlignment="1">
      <alignment horizontal="center"/>
      <protection/>
    </xf>
    <xf numFmtId="0" fontId="7" fillId="0" borderId="0" xfId="34" applyNumberFormat="1" applyFont="1" applyFill="1" applyAlignment="1">
      <alignment horizontal="center"/>
      <protection/>
    </xf>
    <xf numFmtId="0" fontId="7" fillId="0" borderId="0" xfId="34" applyFont="1" applyFill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3" fontId="7" fillId="0" borderId="0" xfId="34" applyNumberFormat="1" applyFont="1" applyFill="1" applyAlignment="1">
      <alignment horizontal="center"/>
      <protection/>
    </xf>
    <xf numFmtId="3" fontId="5" fillId="0" borderId="0" xfId="34" applyNumberFormat="1" applyFont="1" applyFill="1" applyAlignment="1">
      <alignment horizontal="center"/>
      <protection/>
    </xf>
    <xf numFmtId="3" fontId="5" fillId="0" borderId="0" xfId="34" applyNumberFormat="1" applyFont="1" applyFill="1" applyBorder="1" applyAlignment="1">
      <alignment horizontal="center"/>
      <protection/>
    </xf>
    <xf numFmtId="0" fontId="5" fillId="0" borderId="0" xfId="34" applyNumberFormat="1" applyFont="1" applyFill="1" applyAlignment="1">
      <alignment horizontal="center"/>
      <protection/>
    </xf>
    <xf numFmtId="3" fontId="5" fillId="0" borderId="0" xfId="34" applyNumberFormat="1" applyFont="1" applyFill="1" applyBorder="1">
      <alignment/>
      <protection/>
    </xf>
    <xf numFmtId="5" fontId="5" fillId="0" borderId="0" xfId="34" applyNumberFormat="1" applyFont="1" applyFill="1">
      <alignment/>
      <protection/>
    </xf>
    <xf numFmtId="37" fontId="5" fillId="0" borderId="0" xfId="34" applyNumberFormat="1" applyFont="1" applyFill="1">
      <alignment/>
      <protection/>
    </xf>
    <xf numFmtId="0" fontId="5" fillId="0" borderId="0" xfId="34" applyNumberFormat="1" applyFont="1" applyFill="1" applyBorder="1" applyAlignment="1">
      <alignment horizontal="center"/>
      <protection/>
    </xf>
    <xf numFmtId="37" fontId="5" fillId="0" borderId="0" xfId="34" applyNumberFormat="1" applyFont="1" applyFill="1" applyBorder="1">
      <alignment/>
      <protection/>
    </xf>
    <xf numFmtId="0" fontId="5" fillId="0" borderId="0" xfId="34" applyFont="1" applyFill="1" applyBorder="1">
      <alignment/>
      <protection/>
    </xf>
    <xf numFmtId="10" fontId="5" fillId="0" borderId="0" xfId="47" applyNumberFormat="1" applyFont="1" applyFill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/>
    </xf>
    <xf numFmtId="166" fontId="5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166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5" fontId="5" fillId="0" borderId="12" xfId="0" applyNumberFormat="1" applyFont="1" applyBorder="1" applyAlignment="1">
      <alignment/>
    </xf>
    <xf numFmtId="10" fontId="5" fillId="0" borderId="0" xfId="47" applyNumberFormat="1" applyFont="1" applyAlignment="1">
      <alignment/>
    </xf>
    <xf numFmtId="169" fontId="5" fillId="0" borderId="0" xfId="34" applyNumberFormat="1" applyFont="1" applyFill="1">
      <alignment/>
      <protection/>
    </xf>
    <xf numFmtId="169" fontId="5" fillId="0" borderId="10" xfId="34" applyNumberFormat="1" applyFont="1" applyFill="1" applyBorder="1">
      <alignment/>
      <protection/>
    </xf>
    <xf numFmtId="169" fontId="5" fillId="0" borderId="3" xfId="34" applyNumberFormat="1" applyFont="1" applyFill="1" applyBorder="1">
      <alignment/>
      <protection/>
    </xf>
    <xf numFmtId="169" fontId="5" fillId="0" borderId="0" xfId="34" applyNumberFormat="1" applyFont="1" applyFill="1" applyBorder="1">
      <alignment/>
      <protection/>
    </xf>
    <xf numFmtId="169" fontId="5" fillId="0" borderId="10" xfId="34" applyNumberFormat="1" applyFont="1" applyFill="1" applyBorder="1">
      <alignment/>
      <protection/>
    </xf>
    <xf numFmtId="169" fontId="5" fillId="0" borderId="0" xfId="34" applyNumberFormat="1" applyFont="1" applyFill="1">
      <alignment/>
      <protection/>
    </xf>
    <xf numFmtId="169" fontId="5" fillId="0" borderId="0" xfId="34" applyNumberFormat="1" applyFont="1" applyFill="1" applyBorder="1">
      <alignment/>
      <protection/>
    </xf>
    <xf numFmtId="169" fontId="5" fillId="0" borderId="3" xfId="34" applyNumberFormat="1" applyFont="1" applyFill="1" applyBorder="1">
      <alignment/>
      <protection/>
    </xf>
    <xf numFmtId="174" fontId="5" fillId="0" borderId="0" xfId="34" applyNumberFormat="1" applyFont="1" applyFill="1">
      <alignment/>
      <protection/>
    </xf>
    <xf numFmtId="174" fontId="5" fillId="0" borderId="12" xfId="34" applyNumberFormat="1" applyFont="1" applyFill="1" applyBorder="1">
      <alignment/>
      <protection/>
    </xf>
    <xf numFmtId="174" fontId="5" fillId="0" borderId="12" xfId="34" applyNumberFormat="1" applyFont="1" applyFill="1" applyBorder="1">
      <alignment/>
      <protection/>
    </xf>
    <xf numFmtId="174" fontId="5" fillId="0" borderId="0" xfId="34" applyNumberFormat="1" applyFont="1" applyFill="1">
      <alignment/>
      <protection/>
    </xf>
    <xf numFmtId="0" fontId="5" fillId="0" borderId="0" xfId="23" applyFont="1" applyAlignment="1">
      <alignment horizontal="centerContinuous"/>
      <protection/>
    </xf>
    <xf numFmtId="166" fontId="5" fillId="0" borderId="0" xfId="23" applyNumberFormat="1" applyFont="1" applyAlignment="1">
      <alignment horizontal="right"/>
      <protection/>
    </xf>
    <xf numFmtId="167" fontId="5" fillId="0" borderId="0" xfId="23" applyNumberFormat="1" applyFont="1" applyAlignment="1">
      <alignment horizontal="right"/>
      <protection/>
    </xf>
    <xf numFmtId="0" fontId="5" fillId="0" borderId="0" xfId="23" applyFont="1">
      <alignment/>
      <protection/>
    </xf>
    <xf numFmtId="167" fontId="5" fillId="0" borderId="0" xfId="23" applyNumberFormat="1" applyFont="1" applyAlignment="1">
      <alignment horizontal="center"/>
      <protection/>
    </xf>
    <xf numFmtId="166" fontId="5" fillId="0" borderId="10" xfId="23" applyNumberFormat="1" applyFont="1" applyBorder="1" applyAlignment="1">
      <alignment horizontal="right"/>
      <protection/>
    </xf>
    <xf numFmtId="167" fontId="6" fillId="0" borderId="10" xfId="23" applyNumberFormat="1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5" fillId="0" borderId="0" xfId="23" applyFont="1" applyBorder="1" applyAlignment="1">
      <alignment horizontal="center"/>
      <protection/>
    </xf>
    <xf numFmtId="0" fontId="5" fillId="0" borderId="10" xfId="23" applyFont="1" applyBorder="1" applyAlignment="1">
      <alignment horizontal="centerContinuous"/>
      <protection/>
    </xf>
    <xf numFmtId="166" fontId="5" fillId="0" borderId="10" xfId="23" applyNumberFormat="1" applyFont="1" applyBorder="1" applyAlignment="1">
      <alignment horizontal="center"/>
      <protection/>
    </xf>
    <xf numFmtId="167" fontId="5" fillId="0" borderId="10" xfId="23" applyNumberFormat="1" applyFont="1" applyBorder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166" fontId="5" fillId="0" borderId="0" xfId="23" applyNumberFormat="1" applyFont="1" applyAlignment="1">
      <alignment horizontal="center"/>
      <protection/>
    </xf>
    <xf numFmtId="5" fontId="5" fillId="0" borderId="0" xfId="23" applyNumberFormat="1" applyFont="1">
      <alignment/>
      <protection/>
    </xf>
    <xf numFmtId="165" fontId="5" fillId="0" borderId="0" xfId="23" applyNumberFormat="1" applyFont="1">
      <alignment/>
      <protection/>
    </xf>
    <xf numFmtId="37" fontId="5" fillId="0" borderId="0" xfId="23" applyNumberFormat="1" applyFont="1">
      <alignment/>
      <protection/>
    </xf>
    <xf numFmtId="37" fontId="5" fillId="0" borderId="10" xfId="23" applyNumberFormat="1" applyFont="1" applyBorder="1">
      <alignment/>
      <protection/>
    </xf>
    <xf numFmtId="3" fontId="5" fillId="0" borderId="0" xfId="23" applyNumberFormat="1" applyFont="1" applyAlignment="1">
      <alignment horizontal="left"/>
      <protection/>
    </xf>
    <xf numFmtId="168" fontId="5" fillId="0" borderId="0" xfId="23" applyNumberFormat="1" applyFont="1">
      <alignment/>
      <protection/>
    </xf>
    <xf numFmtId="166" fontId="5" fillId="0" borderId="0" xfId="23" applyNumberFormat="1" applyFont="1">
      <alignment/>
      <protection/>
    </xf>
    <xf numFmtId="167" fontId="5" fillId="0" borderId="0" xfId="23" applyNumberFormat="1" applyFont="1">
      <alignment/>
      <protection/>
    </xf>
    <xf numFmtId="165" fontId="5" fillId="0" borderId="0" xfId="23" applyNumberFormat="1" applyFont="1" applyAlignment="1">
      <alignment horizontal="left"/>
      <protection/>
    </xf>
    <xf numFmtId="5" fontId="5" fillId="0" borderId="12" xfId="23" applyNumberFormat="1" applyFont="1" applyBorder="1">
      <alignment/>
      <protection/>
    </xf>
    <xf numFmtId="0" fontId="5" fillId="0" borderId="10" xfId="23" applyFont="1" applyBorder="1" applyAlignment="1">
      <alignment horizontal="center"/>
      <protection/>
    </xf>
    <xf numFmtId="0" fontId="5" fillId="0" borderId="0" xfId="23" applyFont="1" applyAlignment="1">
      <alignment horizontal="right"/>
      <protection/>
    </xf>
    <xf numFmtId="176" fontId="5" fillId="0" borderId="0" xfId="23" applyNumberFormat="1" applyFont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166" fontId="5" fillId="0" borderId="0" xfId="20" applyNumberFormat="1" applyFont="1" applyAlignment="1">
      <alignment horizontal="right"/>
      <protection/>
    </xf>
    <xf numFmtId="167" fontId="5" fillId="0" borderId="0" xfId="20" applyNumberFormat="1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6" fontId="5" fillId="0" borderId="10" xfId="20" applyNumberFormat="1" applyFont="1" applyBorder="1" applyAlignment="1">
      <alignment horizontal="right"/>
      <protection/>
    </xf>
    <xf numFmtId="167" fontId="6" fillId="0" borderId="10" xfId="20" applyNumberFormat="1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Continuous"/>
      <protection/>
    </xf>
    <xf numFmtId="166" fontId="5" fillId="0" borderId="10" xfId="20" applyNumberFormat="1" applyFont="1" applyBorder="1" applyAlignment="1">
      <alignment horizontal="center"/>
      <protection/>
    </xf>
    <xf numFmtId="167" fontId="5" fillId="0" borderId="10" xfId="20" applyNumberFormat="1" applyFont="1" applyBorder="1" applyAlignment="1">
      <alignment horizontal="center"/>
      <protection/>
    </xf>
    <xf numFmtId="166" fontId="5" fillId="0" borderId="0" xfId="20" applyNumberFormat="1" applyFont="1" applyAlignment="1">
      <alignment horizontal="center"/>
      <protection/>
    </xf>
    <xf numFmtId="5" fontId="5" fillId="0" borderId="0" xfId="20" applyNumberFormat="1" applyFont="1">
      <alignment/>
      <protection/>
    </xf>
    <xf numFmtId="37" fontId="5" fillId="0" borderId="0" xfId="20" applyNumberFormat="1" applyFont="1">
      <alignment/>
      <protection/>
    </xf>
    <xf numFmtId="37" fontId="5" fillId="0" borderId="10" xfId="20" applyNumberFormat="1" applyFont="1" applyBorder="1">
      <alignment/>
      <protection/>
    </xf>
    <xf numFmtId="3" fontId="5" fillId="0" borderId="0" xfId="20" applyNumberFormat="1" applyFont="1" applyAlignment="1">
      <alignment horizontal="left"/>
      <protection/>
    </xf>
    <xf numFmtId="168" fontId="5" fillId="0" borderId="0" xfId="20" applyNumberFormat="1" applyFont="1">
      <alignment/>
      <protection/>
    </xf>
    <xf numFmtId="166" fontId="5" fillId="0" borderId="0" xfId="20" applyNumberFormat="1" applyFont="1">
      <alignment/>
      <protection/>
    </xf>
    <xf numFmtId="167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left"/>
      <protection/>
    </xf>
    <xf numFmtId="5" fontId="5" fillId="0" borderId="12" xfId="20" applyNumberFormat="1" applyFont="1" applyBorder="1">
      <alignment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 applyBorder="1">
      <alignment/>
      <protection/>
    </xf>
    <xf numFmtId="166" fontId="5" fillId="0" borderId="0" xfId="20" applyNumberFormat="1" applyFont="1" applyBorder="1">
      <alignment/>
      <protection/>
    </xf>
    <xf numFmtId="167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right"/>
      <protection/>
    </xf>
    <xf numFmtId="176" fontId="5" fillId="0" borderId="0" xfId="20" applyNumberFormat="1" applyFont="1" applyBorder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166" fontId="14" fillId="0" borderId="0" xfId="42" applyNumberFormat="1" applyFont="1" applyAlignment="1">
      <alignment horizontal="right"/>
      <protection/>
    </xf>
    <xf numFmtId="167" fontId="14" fillId="0" borderId="0" xfId="42" applyNumberFormat="1" applyFont="1" applyAlignment="1">
      <alignment horizontal="right"/>
      <protection/>
    </xf>
    <xf numFmtId="3" fontId="14" fillId="0" borderId="0" xfId="42" applyNumberFormat="1" applyFont="1" applyAlignment="1">
      <alignment horizontal="centerContinuous"/>
      <protection/>
    </xf>
    <xf numFmtId="3" fontId="15" fillId="0" borderId="10" xfId="42" applyNumberFormat="1" applyFont="1" applyBorder="1" applyAlignment="1">
      <alignment horizontal="centerContinuous"/>
      <protection/>
    </xf>
    <xf numFmtId="3" fontId="14" fillId="0" borderId="10" xfId="42" applyNumberFormat="1" applyFont="1" applyBorder="1" applyAlignment="1">
      <alignment horizontal="centerContinuous"/>
      <protection/>
    </xf>
    <xf numFmtId="0" fontId="14" fillId="0" borderId="0" xfId="42" applyFont="1" applyAlignment="1">
      <alignment horizontal="center"/>
      <protection/>
    </xf>
    <xf numFmtId="167" fontId="14" fillId="0" borderId="0" xfId="42" applyNumberFormat="1" applyFont="1" applyAlignment="1">
      <alignment horizontal="center"/>
      <protection/>
    </xf>
    <xf numFmtId="0" fontId="14" fillId="0" borderId="0" xfId="42" applyFont="1" applyBorder="1" applyAlignment="1">
      <alignment horizontal="center"/>
      <protection/>
    </xf>
    <xf numFmtId="0" fontId="14" fillId="0" borderId="10" xfId="42" applyFont="1" applyBorder="1" applyAlignment="1">
      <alignment horizontal="centerContinuous"/>
      <protection/>
    </xf>
    <xf numFmtId="166" fontId="14" fillId="0" borderId="10" xfId="42" applyNumberFormat="1" applyFont="1" applyBorder="1" applyAlignment="1">
      <alignment horizontal="center"/>
      <protection/>
    </xf>
    <xf numFmtId="167" fontId="14" fillId="0" borderId="10" xfId="42" applyNumberFormat="1" applyFont="1" applyBorder="1" applyAlignment="1">
      <alignment horizontal="center"/>
      <protection/>
    </xf>
    <xf numFmtId="0" fontId="16" fillId="0" borderId="0" xfId="42" applyFont="1" applyAlignment="1">
      <alignment horizontal="center"/>
      <protection/>
    </xf>
    <xf numFmtId="166" fontId="14" fillId="0" borderId="0" xfId="42" applyNumberFormat="1" applyFont="1" applyAlignment="1">
      <alignment horizontal="center"/>
      <protection/>
    </xf>
    <xf numFmtId="5" fontId="14" fillId="0" borderId="0" xfId="42" applyNumberFormat="1" applyFont="1">
      <alignment/>
      <protection/>
    </xf>
    <xf numFmtId="165" fontId="14" fillId="0" borderId="0" xfId="42" applyNumberFormat="1" applyFont="1">
      <alignment/>
      <protection/>
    </xf>
    <xf numFmtId="37" fontId="14" fillId="0" borderId="0" xfId="42" applyNumberFormat="1" applyFont="1">
      <alignment/>
      <protection/>
    </xf>
    <xf numFmtId="37" fontId="14" fillId="0" borderId="10" xfId="42" applyNumberFormat="1" applyFont="1" applyBorder="1">
      <alignment/>
      <protection/>
    </xf>
    <xf numFmtId="3" fontId="14" fillId="0" borderId="0" xfId="42" applyNumberFormat="1" applyFont="1" applyAlignment="1">
      <alignment horizontal="left"/>
      <protection/>
    </xf>
    <xf numFmtId="168" fontId="14" fillId="0" borderId="0" xfId="42" applyNumberFormat="1" applyFont="1">
      <alignment/>
      <protection/>
    </xf>
    <xf numFmtId="166" fontId="14" fillId="0" borderId="0" xfId="42" applyNumberFormat="1" applyFont="1">
      <alignment/>
      <protection/>
    </xf>
    <xf numFmtId="167" fontId="14" fillId="0" borderId="0" xfId="42" applyNumberFormat="1" applyFont="1">
      <alignment/>
      <protection/>
    </xf>
    <xf numFmtId="165" fontId="14" fillId="0" borderId="0" xfId="42" applyNumberFormat="1" applyFont="1" applyAlignment="1">
      <alignment horizontal="left"/>
      <protection/>
    </xf>
    <xf numFmtId="5" fontId="14" fillId="0" borderId="12" xfId="42" applyNumberFormat="1" applyFont="1" applyBorder="1">
      <alignment/>
      <protection/>
    </xf>
    <xf numFmtId="0" fontId="14" fillId="0" borderId="10" xfId="42" applyFont="1" applyBorder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176" fontId="14" fillId="0" borderId="0" xfId="42" applyNumberFormat="1" applyFont="1">
      <alignment/>
      <protection/>
    </xf>
    <xf numFmtId="0" fontId="4" fillId="0" borderId="0" xfId="45" applyFont="1">
      <alignment/>
      <protection/>
    </xf>
    <xf numFmtId="0" fontId="6" fillId="0" borderId="0" xfId="34" applyNumberFormat="1" applyFont="1" applyFill="1" applyAlignment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9" fillId="0" borderId="0" xfId="45" applyFont="1">
      <alignment/>
      <protection/>
    </xf>
    <xf numFmtId="37" fontId="5" fillId="0" borderId="0" xfId="0" applyNumberFormat="1" applyFont="1" applyAlignment="1">
      <alignment/>
    </xf>
    <xf numFmtId="5" fontId="17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26" applyFont="1">
      <alignment/>
      <protection/>
    </xf>
    <xf numFmtId="0" fontId="18" fillId="0" borderId="0" xfId="0" applyFont="1" applyAlignment="1">
      <alignment/>
    </xf>
    <xf numFmtId="0" fontId="14" fillId="0" borderId="0" xfId="26" applyFont="1" applyAlignment="1">
      <alignment horizontal="right"/>
      <protection/>
    </xf>
    <xf numFmtId="0" fontId="14" fillId="0" borderId="0" xfId="0" applyFont="1" applyAlignment="1">
      <alignment/>
    </xf>
    <xf numFmtId="0" fontId="19" fillId="0" borderId="0" xfId="24" applyFont="1" applyAlignment="1">
      <alignment horizontal="left"/>
      <protection/>
    </xf>
    <xf numFmtId="0" fontId="19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13" xfId="0" applyNumberFormat="1" applyFont="1" applyBorder="1" applyAlignment="1">
      <alignment horizontal="centerContinuous"/>
    </xf>
    <xf numFmtId="14" fontId="6" fillId="0" borderId="14" xfId="0" applyNumberFormat="1" applyFont="1" applyBorder="1" applyAlignment="1">
      <alignment horizontal="centerContinuous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28" applyFont="1" applyAlignment="1">
      <alignment horizontal="centerContinuous"/>
      <protection/>
    </xf>
    <xf numFmtId="0" fontId="5" fillId="0" borderId="0" xfId="28" applyFont="1">
      <alignment/>
      <protection/>
    </xf>
    <xf numFmtId="166" fontId="5" fillId="0" borderId="0" xfId="28" applyNumberFormat="1" applyFont="1" applyAlignment="1">
      <alignment horizontal="right"/>
      <protection/>
    </xf>
    <xf numFmtId="167" fontId="5" fillId="0" borderId="0" xfId="28" applyNumberFormat="1" applyFont="1" applyAlignment="1">
      <alignment horizontal="right"/>
      <protection/>
    </xf>
    <xf numFmtId="166" fontId="5" fillId="0" borderId="0" xfId="28" applyNumberFormat="1" applyFont="1" applyAlignment="1">
      <alignment horizontal="centerContinuous"/>
      <protection/>
    </xf>
    <xf numFmtId="167" fontId="5" fillId="0" borderId="0" xfId="28" applyNumberFormat="1" applyFont="1" applyAlignment="1">
      <alignment horizontal="centerContinuous"/>
      <protection/>
    </xf>
    <xf numFmtId="167" fontId="5" fillId="0" borderId="0" xfId="28" applyNumberFormat="1" applyFont="1" applyAlignment="1">
      <alignment horizontal="center"/>
      <protection/>
    </xf>
    <xf numFmtId="166" fontId="5" fillId="0" borderId="10" xfId="28" applyNumberFormat="1" applyFont="1" applyBorder="1" applyAlignment="1">
      <alignment horizontal="right"/>
      <protection/>
    </xf>
    <xf numFmtId="167" fontId="6" fillId="0" borderId="10" xfId="28" applyNumberFormat="1" applyFont="1" applyBorder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5" fillId="0" borderId="0" xfId="28" applyFont="1" applyBorder="1" applyAlignment="1">
      <alignment horizontal="center"/>
      <protection/>
    </xf>
    <xf numFmtId="0" fontId="5" fillId="0" borderId="10" xfId="28" applyFont="1" applyBorder="1" applyAlignment="1">
      <alignment horizontal="centerContinuous"/>
      <protection/>
    </xf>
    <xf numFmtId="166" fontId="5" fillId="0" borderId="10" xfId="28" applyNumberFormat="1" applyFont="1" applyBorder="1" applyAlignment="1">
      <alignment horizontal="center"/>
      <protection/>
    </xf>
    <xf numFmtId="167" fontId="5" fillId="0" borderId="10" xfId="28" applyNumberFormat="1" applyFont="1" applyBorder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166" fontId="5" fillId="0" borderId="0" xfId="28" applyNumberFormat="1" applyFont="1" applyAlignment="1">
      <alignment horizontal="center"/>
      <protection/>
    </xf>
    <xf numFmtId="5" fontId="5" fillId="0" borderId="0" xfId="28" applyNumberFormat="1" applyFont="1">
      <alignment/>
      <protection/>
    </xf>
    <xf numFmtId="165" fontId="5" fillId="0" borderId="0" xfId="28" applyNumberFormat="1" applyFont="1">
      <alignment/>
      <protection/>
    </xf>
    <xf numFmtId="37" fontId="5" fillId="0" borderId="0" xfId="28" applyNumberFormat="1" applyFont="1">
      <alignment/>
      <protection/>
    </xf>
    <xf numFmtId="37" fontId="5" fillId="0" borderId="10" xfId="28" applyNumberFormat="1" applyFont="1" applyBorder="1">
      <alignment/>
      <protection/>
    </xf>
    <xf numFmtId="3" fontId="5" fillId="0" borderId="0" xfId="28" applyNumberFormat="1" applyFont="1" applyAlignment="1">
      <alignment horizontal="left"/>
      <protection/>
    </xf>
    <xf numFmtId="166" fontId="5" fillId="0" borderId="0" xfId="28" applyNumberFormat="1" applyFont="1">
      <alignment/>
      <protection/>
    </xf>
    <xf numFmtId="167" fontId="5" fillId="0" borderId="0" xfId="28" applyNumberFormat="1" applyFont="1">
      <alignment/>
      <protection/>
    </xf>
    <xf numFmtId="165" fontId="5" fillId="0" borderId="0" xfId="28" applyNumberFormat="1" applyFont="1" applyAlignment="1">
      <alignment horizontal="left"/>
      <protection/>
    </xf>
    <xf numFmtId="5" fontId="5" fillId="0" borderId="12" xfId="28" applyNumberFormat="1" applyFont="1" applyBorder="1">
      <alignment/>
      <protection/>
    </xf>
    <xf numFmtId="0" fontId="5" fillId="0" borderId="0" xfId="28" applyFont="1" applyBorder="1" applyAlignment="1">
      <alignment horizontal="centerContinuous"/>
      <protection/>
    </xf>
    <xf numFmtId="0" fontId="5" fillId="0" borderId="0" xfId="28" applyFont="1" applyBorder="1">
      <alignment/>
      <protection/>
    </xf>
    <xf numFmtId="166" fontId="5" fillId="0" borderId="0" xfId="28" applyNumberFormat="1" applyFont="1" applyBorder="1">
      <alignment/>
      <protection/>
    </xf>
    <xf numFmtId="167" fontId="5" fillId="0" borderId="0" xfId="28" applyNumberFormat="1" applyFont="1" applyBorder="1">
      <alignment/>
      <protection/>
    </xf>
    <xf numFmtId="167" fontId="5" fillId="0" borderId="0" xfId="28" applyNumberFormat="1" applyFont="1" applyBorder="1" applyAlignment="1">
      <alignment horizontal="center"/>
      <protection/>
    </xf>
    <xf numFmtId="5" fontId="5" fillId="0" borderId="0" xfId="28" applyNumberFormat="1" applyFont="1" applyBorder="1">
      <alignment/>
      <protection/>
    </xf>
    <xf numFmtId="37" fontId="5" fillId="0" borderId="0" xfId="28" applyNumberFormat="1" applyFont="1" applyBorder="1">
      <alignment/>
      <protection/>
    </xf>
    <xf numFmtId="0" fontId="5" fillId="0" borderId="0" xfId="28" applyFont="1" applyBorder="1" applyAlignment="1">
      <alignment horizontal="right"/>
      <protection/>
    </xf>
    <xf numFmtId="176" fontId="5" fillId="0" borderId="0" xfId="28" applyNumberFormat="1" applyFont="1" applyBorder="1">
      <alignment/>
      <protection/>
    </xf>
    <xf numFmtId="0" fontId="5" fillId="0" borderId="0" xfId="27" applyFont="1" applyAlignment="1">
      <alignment horizontal="centerContinuous"/>
      <protection/>
    </xf>
    <xf numFmtId="0" fontId="5" fillId="0" borderId="0" xfId="27" applyFont="1">
      <alignment/>
      <protection/>
    </xf>
    <xf numFmtId="166" fontId="5" fillId="0" borderId="0" xfId="27" applyNumberFormat="1" applyFont="1" applyAlignment="1">
      <alignment horizontal="right"/>
      <protection/>
    </xf>
    <xf numFmtId="167" fontId="5" fillId="0" borderId="0" xfId="27" applyNumberFormat="1" applyFont="1" applyAlignment="1">
      <alignment horizontal="right"/>
      <protection/>
    </xf>
    <xf numFmtId="166" fontId="5" fillId="0" borderId="0" xfId="27" applyNumberFormat="1" applyFont="1" applyAlignment="1">
      <alignment horizontal="centerContinuous"/>
      <protection/>
    </xf>
    <xf numFmtId="167" fontId="5" fillId="0" borderId="0" xfId="27" applyNumberFormat="1" applyFont="1" applyAlignment="1">
      <alignment horizontal="centerContinuous"/>
      <protection/>
    </xf>
    <xf numFmtId="167" fontId="5" fillId="0" borderId="0" xfId="27" applyNumberFormat="1" applyFont="1" applyAlignment="1">
      <alignment horizontal="center"/>
      <protection/>
    </xf>
    <xf numFmtId="166" fontId="5" fillId="0" borderId="10" xfId="27" applyNumberFormat="1" applyFont="1" applyBorder="1" applyAlignment="1">
      <alignment horizontal="right"/>
      <protection/>
    </xf>
    <xf numFmtId="167" fontId="6" fillId="0" borderId="10" xfId="27" applyNumberFormat="1" applyFont="1" applyBorder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Border="1" applyAlignment="1">
      <alignment horizontal="center"/>
      <protection/>
    </xf>
    <xf numFmtId="0" fontId="5" fillId="0" borderId="10" xfId="27" applyFont="1" applyBorder="1" applyAlignment="1">
      <alignment horizontal="centerContinuous"/>
      <protection/>
    </xf>
    <xf numFmtId="166" fontId="5" fillId="0" borderId="10" xfId="27" applyNumberFormat="1" applyFont="1" applyBorder="1" applyAlignment="1">
      <alignment horizontal="center"/>
      <protection/>
    </xf>
    <xf numFmtId="167" fontId="5" fillId="0" borderId="10" xfId="27" applyNumberFormat="1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166" fontId="5" fillId="0" borderId="0" xfId="27" applyNumberFormat="1" applyFont="1" applyAlignment="1">
      <alignment horizontal="center"/>
      <protection/>
    </xf>
    <xf numFmtId="5" fontId="5" fillId="0" borderId="0" xfId="27" applyNumberFormat="1" applyFont="1">
      <alignment/>
      <protection/>
    </xf>
    <xf numFmtId="165" fontId="5" fillId="0" borderId="0" xfId="27" applyNumberFormat="1" applyFont="1">
      <alignment/>
      <protection/>
    </xf>
    <xf numFmtId="37" fontId="5" fillId="0" borderId="0" xfId="27" applyNumberFormat="1" applyFont="1">
      <alignment/>
      <protection/>
    </xf>
    <xf numFmtId="37" fontId="5" fillId="0" borderId="10" xfId="27" applyNumberFormat="1" applyFont="1" applyBorder="1">
      <alignment/>
      <protection/>
    </xf>
    <xf numFmtId="3" fontId="5" fillId="0" borderId="0" xfId="27" applyNumberFormat="1" applyFont="1" applyAlignment="1">
      <alignment horizontal="left"/>
      <protection/>
    </xf>
    <xf numFmtId="166" fontId="5" fillId="0" borderId="0" xfId="27" applyNumberFormat="1" applyFont="1">
      <alignment/>
      <protection/>
    </xf>
    <xf numFmtId="167" fontId="5" fillId="0" borderId="0" xfId="27" applyNumberFormat="1" applyFont="1">
      <alignment/>
      <protection/>
    </xf>
    <xf numFmtId="165" fontId="5" fillId="0" borderId="0" xfId="27" applyNumberFormat="1" applyFont="1" applyAlignment="1">
      <alignment horizontal="left"/>
      <protection/>
    </xf>
    <xf numFmtId="5" fontId="5" fillId="0" borderId="12" xfId="27" applyNumberFormat="1" applyFont="1" applyBorder="1">
      <alignment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Border="1">
      <alignment/>
      <protection/>
    </xf>
    <xf numFmtId="166" fontId="5" fillId="0" borderId="0" xfId="27" applyNumberFormat="1" applyFont="1" applyBorder="1">
      <alignment/>
      <protection/>
    </xf>
    <xf numFmtId="167" fontId="5" fillId="0" borderId="0" xfId="27" applyNumberFormat="1" applyFont="1" applyBorder="1">
      <alignment/>
      <protection/>
    </xf>
    <xf numFmtId="167" fontId="5" fillId="0" borderId="0" xfId="27" applyNumberFormat="1" applyFont="1" applyBorder="1" applyAlignment="1">
      <alignment horizontal="center"/>
      <protection/>
    </xf>
    <xf numFmtId="5" fontId="5" fillId="0" borderId="0" xfId="27" applyNumberFormat="1" applyFont="1" applyBorder="1">
      <alignment/>
      <protection/>
    </xf>
    <xf numFmtId="37" fontId="5" fillId="0" borderId="0" xfId="27" applyNumberFormat="1" applyFont="1" applyBorder="1">
      <alignment/>
      <protection/>
    </xf>
    <xf numFmtId="0" fontId="5" fillId="0" borderId="0" xfId="27" applyFont="1" applyBorder="1" applyAlignment="1">
      <alignment horizontal="right"/>
      <protection/>
    </xf>
    <xf numFmtId="176" fontId="5" fillId="0" borderId="0" xfId="27" applyNumberFormat="1" applyFont="1" applyBorder="1">
      <alignment/>
      <protection/>
    </xf>
    <xf numFmtId="0" fontId="5" fillId="0" borderId="0" xfId="32" applyFont="1" applyAlignment="1">
      <alignment horizontal="centerContinuous"/>
      <protection/>
    </xf>
    <xf numFmtId="0" fontId="5" fillId="0" borderId="0" xfId="32" applyFont="1">
      <alignment/>
      <protection/>
    </xf>
    <xf numFmtId="166" fontId="5" fillId="0" borderId="0" xfId="32" applyNumberFormat="1" applyFont="1" applyAlignment="1">
      <alignment horizontal="right"/>
      <protection/>
    </xf>
    <xf numFmtId="167" fontId="5" fillId="0" borderId="0" xfId="32" applyNumberFormat="1" applyFont="1" applyAlignment="1">
      <alignment horizontal="right"/>
      <protection/>
    </xf>
    <xf numFmtId="167" fontId="5" fillId="0" borderId="0" xfId="32" applyNumberFormat="1" applyFont="1" applyAlignment="1">
      <alignment horizontal="center"/>
      <protection/>
    </xf>
    <xf numFmtId="166" fontId="5" fillId="0" borderId="10" xfId="32" applyNumberFormat="1" applyFont="1" applyBorder="1" applyAlignment="1">
      <alignment horizontal="right"/>
      <protection/>
    </xf>
    <xf numFmtId="167" fontId="6" fillId="0" borderId="10" xfId="32" applyNumberFormat="1" applyFont="1" applyBorder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0" fontId="5" fillId="0" borderId="0" xfId="32" applyFont="1" applyBorder="1" applyAlignment="1">
      <alignment horizontal="center"/>
      <protection/>
    </xf>
    <xf numFmtId="0" fontId="5" fillId="0" borderId="10" xfId="32" applyFont="1" applyBorder="1" applyAlignment="1">
      <alignment horizontal="centerContinuous"/>
      <protection/>
    </xf>
    <xf numFmtId="166" fontId="5" fillId="0" borderId="10" xfId="32" applyNumberFormat="1" applyFont="1" applyBorder="1" applyAlignment="1">
      <alignment horizontal="center"/>
      <protection/>
    </xf>
    <xf numFmtId="167" fontId="5" fillId="0" borderId="10" xfId="32" applyNumberFormat="1" applyFont="1" applyBorder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166" fontId="5" fillId="0" borderId="0" xfId="32" applyNumberFormat="1" applyFont="1" applyAlignment="1">
      <alignment horizontal="center"/>
      <protection/>
    </xf>
    <xf numFmtId="5" fontId="5" fillId="0" borderId="0" xfId="32" applyNumberFormat="1" applyFont="1">
      <alignment/>
      <protection/>
    </xf>
    <xf numFmtId="165" fontId="5" fillId="0" borderId="0" xfId="32" applyNumberFormat="1" applyFont="1">
      <alignment/>
      <protection/>
    </xf>
    <xf numFmtId="37" fontId="5" fillId="0" borderId="0" xfId="32" applyNumberFormat="1" applyFont="1">
      <alignment/>
      <protection/>
    </xf>
    <xf numFmtId="37" fontId="5" fillId="0" borderId="10" xfId="32" applyNumberFormat="1" applyFont="1" applyBorder="1">
      <alignment/>
      <protection/>
    </xf>
    <xf numFmtId="3" fontId="5" fillId="0" borderId="0" xfId="32" applyNumberFormat="1" applyFont="1" applyAlignment="1">
      <alignment horizontal="left"/>
      <protection/>
    </xf>
    <xf numFmtId="168" fontId="5" fillId="0" borderId="0" xfId="32" applyNumberFormat="1" applyFont="1">
      <alignment/>
      <protection/>
    </xf>
    <xf numFmtId="166" fontId="5" fillId="0" borderId="0" xfId="32" applyNumberFormat="1" applyFont="1">
      <alignment/>
      <protection/>
    </xf>
    <xf numFmtId="167" fontId="5" fillId="0" borderId="0" xfId="32" applyNumberFormat="1" applyFont="1">
      <alignment/>
      <protection/>
    </xf>
    <xf numFmtId="165" fontId="5" fillId="0" borderId="0" xfId="32" applyNumberFormat="1" applyFont="1" applyAlignment="1">
      <alignment horizontal="left"/>
      <protection/>
    </xf>
    <xf numFmtId="5" fontId="5" fillId="0" borderId="12" xfId="32" applyNumberFormat="1" applyFont="1" applyBorder="1">
      <alignment/>
      <protection/>
    </xf>
    <xf numFmtId="0" fontId="5" fillId="0" borderId="10" xfId="32" applyFont="1" applyBorder="1" applyAlignment="1">
      <alignment horizontal="center"/>
      <protection/>
    </xf>
    <xf numFmtId="0" fontId="5" fillId="0" borderId="0" xfId="32" applyFont="1" applyAlignment="1">
      <alignment horizontal="right"/>
      <protection/>
    </xf>
    <xf numFmtId="176" fontId="5" fillId="0" borderId="0" xfId="32" applyNumberFormat="1" applyFont="1">
      <alignment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>
      <alignment/>
      <protection/>
    </xf>
    <xf numFmtId="166" fontId="5" fillId="0" borderId="0" xfId="29" applyNumberFormat="1" applyFont="1" applyAlignment="1">
      <alignment horizontal="right"/>
      <protection/>
    </xf>
    <xf numFmtId="167" fontId="5" fillId="0" borderId="0" xfId="29" applyNumberFormat="1" applyFont="1" applyAlignment="1">
      <alignment horizontal="right"/>
      <protection/>
    </xf>
    <xf numFmtId="167" fontId="5" fillId="0" borderId="0" xfId="29" applyNumberFormat="1" applyFont="1" applyAlignment="1">
      <alignment horizontal="center"/>
      <protection/>
    </xf>
    <xf numFmtId="166" fontId="5" fillId="0" borderId="10" xfId="29" applyNumberFormat="1" applyFont="1" applyBorder="1" applyAlignment="1">
      <alignment horizontal="right"/>
      <protection/>
    </xf>
    <xf numFmtId="167" fontId="6" fillId="0" borderId="10" xfId="29" applyNumberFormat="1" applyFont="1" applyBorder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5" fillId="0" borderId="0" xfId="29" applyFont="1" applyBorder="1" applyAlignment="1">
      <alignment horizontal="center"/>
      <protection/>
    </xf>
    <xf numFmtId="0" fontId="5" fillId="0" borderId="10" xfId="29" applyFont="1" applyBorder="1" applyAlignment="1">
      <alignment horizontal="centerContinuous"/>
      <protection/>
    </xf>
    <xf numFmtId="166" fontId="5" fillId="0" borderId="10" xfId="29" applyNumberFormat="1" applyFont="1" applyBorder="1" applyAlignment="1">
      <alignment horizontal="center"/>
      <protection/>
    </xf>
    <xf numFmtId="167" fontId="5" fillId="0" borderId="10" xfId="29" applyNumberFormat="1" applyFont="1" applyBorder="1" applyAlignment="1">
      <alignment horizontal="center"/>
      <protection/>
    </xf>
    <xf numFmtId="0" fontId="8" fillId="0" borderId="0" xfId="29" applyFont="1" applyAlignment="1">
      <alignment horizontal="center"/>
      <protection/>
    </xf>
    <xf numFmtId="166" fontId="5" fillId="0" borderId="0" xfId="29" applyNumberFormat="1" applyFont="1" applyAlignment="1">
      <alignment horizontal="center"/>
      <protection/>
    </xf>
    <xf numFmtId="5" fontId="5" fillId="0" borderId="0" xfId="29" applyNumberFormat="1" applyFont="1">
      <alignment/>
      <protection/>
    </xf>
    <xf numFmtId="165" fontId="5" fillId="0" borderId="0" xfId="29" applyNumberFormat="1" applyFont="1">
      <alignment/>
      <protection/>
    </xf>
    <xf numFmtId="37" fontId="5" fillId="0" borderId="0" xfId="29" applyNumberFormat="1" applyFont="1">
      <alignment/>
      <protection/>
    </xf>
    <xf numFmtId="37" fontId="5" fillId="0" borderId="10" xfId="29" applyNumberFormat="1" applyFont="1" applyBorder="1">
      <alignment/>
      <protection/>
    </xf>
    <xf numFmtId="3" fontId="5" fillId="0" borderId="0" xfId="29" applyNumberFormat="1" applyFont="1" applyAlignment="1">
      <alignment horizontal="left"/>
      <protection/>
    </xf>
    <xf numFmtId="168" fontId="5" fillId="0" borderId="0" xfId="29" applyNumberFormat="1" applyFont="1">
      <alignment/>
      <protection/>
    </xf>
    <xf numFmtId="166" fontId="5" fillId="0" borderId="0" xfId="29" applyNumberFormat="1" applyFont="1">
      <alignment/>
      <protection/>
    </xf>
    <xf numFmtId="167" fontId="5" fillId="0" borderId="0" xfId="29" applyNumberFormat="1" applyFont="1">
      <alignment/>
      <protection/>
    </xf>
    <xf numFmtId="165" fontId="5" fillId="0" borderId="0" xfId="29" applyNumberFormat="1" applyFont="1" applyAlignment="1">
      <alignment horizontal="left"/>
      <protection/>
    </xf>
    <xf numFmtId="5" fontId="5" fillId="0" borderId="12" xfId="29" applyNumberFormat="1" applyFont="1" applyBorder="1">
      <alignment/>
      <protection/>
    </xf>
    <xf numFmtId="166" fontId="5" fillId="0" borderId="10" xfId="29" applyNumberFormat="1" applyFont="1" applyBorder="1">
      <alignment/>
      <protection/>
    </xf>
    <xf numFmtId="0" fontId="5" fillId="0" borderId="10" xfId="29" applyFont="1" applyBorder="1">
      <alignment/>
      <protection/>
    </xf>
    <xf numFmtId="0" fontId="5" fillId="0" borderId="10" xfId="29" applyFont="1" applyBorder="1" applyAlignment="1">
      <alignment horizontal="center"/>
      <protection/>
    </xf>
    <xf numFmtId="0" fontId="5" fillId="0" borderId="0" xfId="29" applyFont="1" applyAlignment="1">
      <alignment horizontal="right"/>
      <protection/>
    </xf>
    <xf numFmtId="176" fontId="5" fillId="0" borderId="0" xfId="29" applyNumberFormat="1" applyFont="1">
      <alignment/>
      <protection/>
    </xf>
    <xf numFmtId="0" fontId="5" fillId="0" borderId="0" xfId="31" applyFont="1" applyAlignment="1">
      <alignment horizontal="centerContinuous"/>
      <protection/>
    </xf>
    <xf numFmtId="0" fontId="5" fillId="0" borderId="0" xfId="31" applyFont="1">
      <alignment/>
      <protection/>
    </xf>
    <xf numFmtId="166" fontId="5" fillId="0" borderId="0" xfId="31" applyNumberFormat="1" applyFont="1" applyAlignment="1">
      <alignment horizontal="right"/>
      <protection/>
    </xf>
    <xf numFmtId="167" fontId="5" fillId="0" borderId="0" xfId="31" applyNumberFormat="1" applyFont="1" applyAlignment="1">
      <alignment horizontal="right"/>
      <protection/>
    </xf>
    <xf numFmtId="167" fontId="5" fillId="0" borderId="0" xfId="31" applyNumberFormat="1" applyFont="1" applyAlignment="1">
      <alignment horizontal="center"/>
      <protection/>
    </xf>
    <xf numFmtId="166" fontId="5" fillId="0" borderId="10" xfId="31" applyNumberFormat="1" applyFont="1" applyBorder="1" applyAlignment="1">
      <alignment horizontal="right"/>
      <protection/>
    </xf>
    <xf numFmtId="167" fontId="6" fillId="0" borderId="10" xfId="31" applyNumberFormat="1" applyFont="1" applyBorder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5" fillId="0" borderId="0" xfId="31" applyFont="1" applyBorder="1" applyAlignment="1">
      <alignment horizontal="center"/>
      <protection/>
    </xf>
    <xf numFmtId="0" fontId="5" fillId="0" borderId="10" xfId="31" applyFont="1" applyBorder="1" applyAlignment="1">
      <alignment horizontal="centerContinuous"/>
      <protection/>
    </xf>
    <xf numFmtId="166" fontId="5" fillId="0" borderId="10" xfId="31" applyNumberFormat="1" applyFont="1" applyBorder="1" applyAlignment="1">
      <alignment horizontal="center"/>
      <protection/>
    </xf>
    <xf numFmtId="167" fontId="5" fillId="0" borderId="10" xfId="31" applyNumberFormat="1" applyFont="1" applyBorder="1" applyAlignment="1">
      <alignment horizontal="center"/>
      <protection/>
    </xf>
    <xf numFmtId="0" fontId="8" fillId="0" borderId="0" xfId="31" applyFont="1" applyAlignment="1">
      <alignment horizontal="center"/>
      <protection/>
    </xf>
    <xf numFmtId="166" fontId="5" fillId="0" borderId="0" xfId="31" applyNumberFormat="1" applyFont="1" applyAlignment="1">
      <alignment horizontal="center"/>
      <protection/>
    </xf>
    <xf numFmtId="5" fontId="5" fillId="0" borderId="0" xfId="31" applyNumberFormat="1" applyFont="1">
      <alignment/>
      <protection/>
    </xf>
    <xf numFmtId="165" fontId="5" fillId="0" borderId="0" xfId="31" applyNumberFormat="1" applyFont="1">
      <alignment/>
      <protection/>
    </xf>
    <xf numFmtId="37" fontId="5" fillId="0" borderId="0" xfId="31" applyNumberFormat="1" applyFont="1">
      <alignment/>
      <protection/>
    </xf>
    <xf numFmtId="37" fontId="5" fillId="0" borderId="10" xfId="31" applyNumberFormat="1" applyFont="1" applyBorder="1">
      <alignment/>
      <protection/>
    </xf>
    <xf numFmtId="3" fontId="5" fillId="0" borderId="0" xfId="31" applyNumberFormat="1" applyFont="1" applyAlignment="1">
      <alignment horizontal="left"/>
      <protection/>
    </xf>
    <xf numFmtId="166" fontId="5" fillId="0" borderId="0" xfId="31" applyNumberFormat="1" applyFont="1">
      <alignment/>
      <protection/>
    </xf>
    <xf numFmtId="167" fontId="5" fillId="0" borderId="0" xfId="31" applyNumberFormat="1" applyFont="1">
      <alignment/>
      <protection/>
    </xf>
    <xf numFmtId="165" fontId="5" fillId="0" borderId="0" xfId="31" applyNumberFormat="1" applyFont="1" applyAlignment="1">
      <alignment horizontal="left"/>
      <protection/>
    </xf>
    <xf numFmtId="5" fontId="5" fillId="0" borderId="12" xfId="31" applyNumberFormat="1" applyFont="1" applyBorder="1">
      <alignment/>
      <protection/>
    </xf>
    <xf numFmtId="0" fontId="5" fillId="0" borderId="0" xfId="46" applyFont="1">
      <alignment/>
      <protection/>
    </xf>
    <xf numFmtId="166" fontId="5" fillId="0" borderId="0" xfId="46" applyNumberFormat="1" applyFont="1" applyAlignment="1">
      <alignment horizontal="right"/>
      <protection/>
    </xf>
    <xf numFmtId="167" fontId="5" fillId="0" borderId="0" xfId="46" applyNumberFormat="1" applyFont="1" applyAlignment="1">
      <alignment horizontal="right"/>
      <protection/>
    </xf>
    <xf numFmtId="0" fontId="5" fillId="0" borderId="0" xfId="46" applyFont="1" applyAlignment="1">
      <alignment horizontal="centerContinuous"/>
      <protection/>
    </xf>
    <xf numFmtId="167" fontId="5" fillId="0" borderId="0" xfId="46" applyNumberFormat="1" applyFont="1" applyAlignment="1">
      <alignment horizontal="center"/>
      <protection/>
    </xf>
    <xf numFmtId="166" fontId="5" fillId="0" borderId="10" xfId="46" applyNumberFormat="1" applyFont="1" applyBorder="1" applyAlignment="1">
      <alignment horizontal="right"/>
      <protection/>
    </xf>
    <xf numFmtId="167" fontId="6" fillId="0" borderId="10" xfId="46" applyNumberFormat="1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10" xfId="46" applyFont="1" applyBorder="1" applyAlignment="1">
      <alignment horizontal="centerContinuous"/>
      <protection/>
    </xf>
    <xf numFmtId="166" fontId="5" fillId="0" borderId="10" xfId="46" applyNumberFormat="1" applyFont="1" applyBorder="1" applyAlignment="1">
      <alignment horizontal="center"/>
      <protection/>
    </xf>
    <xf numFmtId="167" fontId="5" fillId="0" borderId="10" xfId="46" applyNumberFormat="1" applyFont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166" fontId="5" fillId="0" borderId="0" xfId="46" applyNumberFormat="1" applyFont="1" applyAlignment="1">
      <alignment horizontal="center"/>
      <protection/>
    </xf>
    <xf numFmtId="5" fontId="5" fillId="0" borderId="0" xfId="46" applyNumberFormat="1" applyFont="1">
      <alignment/>
      <protection/>
    </xf>
    <xf numFmtId="165" fontId="5" fillId="0" borderId="0" xfId="46" applyNumberFormat="1" applyFont="1">
      <alignment/>
      <protection/>
    </xf>
    <xf numFmtId="37" fontId="5" fillId="0" borderId="0" xfId="46" applyNumberFormat="1" applyFont="1">
      <alignment/>
      <protection/>
    </xf>
    <xf numFmtId="37" fontId="5" fillId="0" borderId="10" xfId="46" applyNumberFormat="1" applyFont="1" applyBorder="1">
      <alignment/>
      <protection/>
    </xf>
    <xf numFmtId="3" fontId="5" fillId="0" borderId="0" xfId="46" applyNumberFormat="1" applyFont="1" applyAlignment="1">
      <alignment horizontal="left"/>
      <protection/>
    </xf>
    <xf numFmtId="166" fontId="5" fillId="0" borderId="0" xfId="46" applyNumberFormat="1" applyFont="1">
      <alignment/>
      <protection/>
    </xf>
    <xf numFmtId="167" fontId="5" fillId="0" borderId="0" xfId="46" applyNumberFormat="1" applyFont="1">
      <alignment/>
      <protection/>
    </xf>
    <xf numFmtId="165" fontId="5" fillId="0" borderId="0" xfId="46" applyNumberFormat="1" applyFont="1" applyAlignment="1">
      <alignment horizontal="left"/>
      <protection/>
    </xf>
    <xf numFmtId="5" fontId="5" fillId="0" borderId="12" xfId="46" applyNumberFormat="1" applyFont="1" applyBorder="1">
      <alignment/>
      <protection/>
    </xf>
    <xf numFmtId="166" fontId="5" fillId="0" borderId="10" xfId="46" applyNumberFormat="1" applyFont="1" applyBorder="1">
      <alignment/>
      <protection/>
    </xf>
    <xf numFmtId="0" fontId="5" fillId="0" borderId="10" xfId="46" applyFont="1" applyBorder="1">
      <alignment/>
      <protection/>
    </xf>
    <xf numFmtId="0" fontId="5" fillId="0" borderId="10" xfId="46" applyFont="1" applyBorder="1" applyAlignment="1">
      <alignment horizontal="center"/>
      <protection/>
    </xf>
    <xf numFmtId="0" fontId="5" fillId="0" borderId="0" xfId="46" applyFont="1" applyAlignment="1">
      <alignment horizontal="right"/>
      <protection/>
    </xf>
    <xf numFmtId="176" fontId="5" fillId="0" borderId="0" xfId="46" applyNumberFormat="1" applyFont="1">
      <alignment/>
      <protection/>
    </xf>
    <xf numFmtId="0" fontId="5" fillId="0" borderId="0" xfId="37" applyFont="1" applyAlignment="1">
      <alignment horizontal="centerContinuous"/>
      <protection/>
    </xf>
    <xf numFmtId="0" fontId="5" fillId="0" borderId="0" xfId="37" applyFont="1">
      <alignment/>
      <protection/>
    </xf>
    <xf numFmtId="166" fontId="5" fillId="0" borderId="0" xfId="37" applyNumberFormat="1" applyFont="1" applyAlignment="1">
      <alignment horizontal="right"/>
      <protection/>
    </xf>
    <xf numFmtId="167" fontId="5" fillId="0" borderId="0" xfId="37" applyNumberFormat="1" applyFont="1" applyAlignment="1">
      <alignment horizontal="right"/>
      <protection/>
    </xf>
    <xf numFmtId="167" fontId="5" fillId="0" borderId="0" xfId="37" applyNumberFormat="1" applyFont="1" applyAlignment="1">
      <alignment horizontal="center"/>
      <protection/>
    </xf>
    <xf numFmtId="166" fontId="5" fillId="0" borderId="10" xfId="37" applyNumberFormat="1" applyFont="1" applyBorder="1" applyAlignment="1">
      <alignment horizontal="right"/>
      <protection/>
    </xf>
    <xf numFmtId="167" fontId="6" fillId="0" borderId="10" xfId="37" applyNumberFormat="1" applyFont="1" applyBorder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5" fillId="0" borderId="0" xfId="37" applyFont="1" applyBorder="1" applyAlignment="1">
      <alignment horizontal="center"/>
      <protection/>
    </xf>
    <xf numFmtId="0" fontId="5" fillId="0" borderId="10" xfId="37" applyFont="1" applyBorder="1" applyAlignment="1">
      <alignment horizontal="centerContinuous"/>
      <protection/>
    </xf>
    <xf numFmtId="166" fontId="5" fillId="0" borderId="10" xfId="37" applyNumberFormat="1" applyFont="1" applyBorder="1" applyAlignment="1">
      <alignment horizontal="center"/>
      <protection/>
    </xf>
    <xf numFmtId="167" fontId="5" fillId="0" borderId="10" xfId="37" applyNumberFormat="1" applyFont="1" applyBorder="1" applyAlignment="1">
      <alignment horizontal="center"/>
      <protection/>
    </xf>
    <xf numFmtId="0" fontId="8" fillId="0" borderId="0" xfId="37" applyFont="1" applyAlignment="1">
      <alignment horizontal="center"/>
      <protection/>
    </xf>
    <xf numFmtId="166" fontId="5" fillId="0" borderId="0" xfId="37" applyNumberFormat="1" applyFont="1" applyAlignment="1">
      <alignment horizontal="center"/>
      <protection/>
    </xf>
    <xf numFmtId="5" fontId="5" fillId="0" borderId="0" xfId="37" applyNumberFormat="1" applyFont="1">
      <alignment/>
      <protection/>
    </xf>
    <xf numFmtId="165" fontId="5" fillId="0" borderId="0" xfId="37" applyNumberFormat="1" applyFont="1">
      <alignment/>
      <protection/>
    </xf>
    <xf numFmtId="37" fontId="5" fillId="0" borderId="0" xfId="37" applyNumberFormat="1" applyFont="1">
      <alignment/>
      <protection/>
    </xf>
    <xf numFmtId="37" fontId="5" fillId="0" borderId="10" xfId="37" applyNumberFormat="1" applyFont="1" applyBorder="1">
      <alignment/>
      <protection/>
    </xf>
    <xf numFmtId="3" fontId="5" fillId="0" borderId="0" xfId="37" applyNumberFormat="1" applyFont="1" applyAlignment="1">
      <alignment horizontal="left"/>
      <protection/>
    </xf>
    <xf numFmtId="168" fontId="5" fillId="0" borderId="0" xfId="37" applyNumberFormat="1" applyFont="1">
      <alignment/>
      <protection/>
    </xf>
    <xf numFmtId="166" fontId="5" fillId="0" borderId="0" xfId="37" applyNumberFormat="1" applyFont="1">
      <alignment/>
      <protection/>
    </xf>
    <xf numFmtId="167" fontId="5" fillId="0" borderId="0" xfId="37" applyNumberFormat="1" applyFont="1">
      <alignment/>
      <protection/>
    </xf>
    <xf numFmtId="165" fontId="5" fillId="0" borderId="0" xfId="37" applyNumberFormat="1" applyFont="1" applyAlignment="1">
      <alignment horizontal="left"/>
      <protection/>
    </xf>
    <xf numFmtId="5" fontId="5" fillId="0" borderId="12" xfId="37" applyNumberFormat="1" applyFont="1" applyBorder="1">
      <alignment/>
      <protection/>
    </xf>
    <xf numFmtId="5" fontId="5" fillId="0" borderId="0" xfId="37" applyNumberFormat="1" applyFont="1" applyBorder="1">
      <alignment/>
      <protection/>
    </xf>
    <xf numFmtId="166" fontId="5" fillId="0" borderId="10" xfId="37" applyNumberFormat="1" applyFont="1" applyBorder="1">
      <alignment/>
      <protection/>
    </xf>
    <xf numFmtId="0" fontId="5" fillId="0" borderId="10" xfId="37" applyFont="1" applyBorder="1">
      <alignment/>
      <protection/>
    </xf>
    <xf numFmtId="0" fontId="5" fillId="0" borderId="10" xfId="37" applyFont="1" applyBorder="1" applyAlignment="1">
      <alignment horizontal="center"/>
      <protection/>
    </xf>
    <xf numFmtId="0" fontId="5" fillId="0" borderId="0" xfId="37" applyFont="1" applyAlignment="1">
      <alignment horizontal="right"/>
      <protection/>
    </xf>
    <xf numFmtId="176" fontId="5" fillId="0" borderId="0" xfId="37" applyNumberFormat="1" applyFont="1">
      <alignment/>
      <protection/>
    </xf>
    <xf numFmtId="0" fontId="5" fillId="0" borderId="0" xfId="22" applyFont="1" applyAlignment="1">
      <alignment horizontal="centerContinuous"/>
      <protection/>
    </xf>
    <xf numFmtId="0" fontId="5" fillId="0" borderId="0" xfId="22" applyFont="1">
      <alignment/>
      <protection/>
    </xf>
    <xf numFmtId="166" fontId="5" fillId="0" borderId="0" xfId="22" applyNumberFormat="1" applyFont="1" applyAlignment="1">
      <alignment horizontal="right"/>
      <protection/>
    </xf>
    <xf numFmtId="167" fontId="5" fillId="0" borderId="0" xfId="22" applyNumberFormat="1" applyFont="1" applyAlignment="1">
      <alignment horizontal="right"/>
      <protection/>
    </xf>
    <xf numFmtId="167" fontId="5" fillId="0" borderId="0" xfId="22" applyNumberFormat="1" applyFont="1" applyAlignment="1">
      <alignment horizontal="center"/>
      <protection/>
    </xf>
    <xf numFmtId="166" fontId="5" fillId="0" borderId="10" xfId="22" applyNumberFormat="1" applyFont="1" applyBorder="1" applyAlignment="1">
      <alignment horizontal="right"/>
      <protection/>
    </xf>
    <xf numFmtId="167" fontId="6" fillId="0" borderId="10" xfId="22" applyNumberFormat="1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Continuous"/>
      <protection/>
    </xf>
    <xf numFmtId="166" fontId="5" fillId="0" borderId="10" xfId="22" applyNumberFormat="1" applyFont="1" applyBorder="1" applyAlignment="1">
      <alignment horizontal="center"/>
      <protection/>
    </xf>
    <xf numFmtId="167" fontId="5" fillId="0" borderId="10" xfId="22" applyNumberFormat="1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66" fontId="5" fillId="0" borderId="0" xfId="22" applyNumberFormat="1" applyFont="1" applyAlignment="1">
      <alignment horizontal="center"/>
      <protection/>
    </xf>
    <xf numFmtId="5" fontId="5" fillId="0" borderId="0" xfId="22" applyNumberFormat="1" applyFont="1">
      <alignment/>
      <protection/>
    </xf>
    <xf numFmtId="165" fontId="5" fillId="0" borderId="0" xfId="22" applyNumberFormat="1" applyFont="1">
      <alignment/>
      <protection/>
    </xf>
    <xf numFmtId="37" fontId="5" fillId="0" borderId="0" xfId="22" applyNumberFormat="1" applyFont="1">
      <alignment/>
      <protection/>
    </xf>
    <xf numFmtId="37" fontId="5" fillId="0" borderId="10" xfId="22" applyNumberFormat="1" applyFont="1" applyBorder="1">
      <alignment/>
      <protection/>
    </xf>
    <xf numFmtId="37" fontId="20" fillId="0" borderId="10" xfId="22" applyNumberFormat="1" applyFont="1" applyBorder="1">
      <alignment/>
      <protection/>
    </xf>
    <xf numFmtId="3" fontId="5" fillId="0" borderId="0" xfId="22" applyNumberFormat="1" applyFont="1" applyAlignment="1">
      <alignment horizontal="left"/>
      <protection/>
    </xf>
    <xf numFmtId="168" fontId="5" fillId="0" borderId="0" xfId="22" applyNumberFormat="1" applyFont="1">
      <alignment/>
      <protection/>
    </xf>
    <xf numFmtId="166" fontId="5" fillId="0" borderId="0" xfId="22" applyNumberFormat="1" applyFont="1">
      <alignment/>
      <protection/>
    </xf>
    <xf numFmtId="167" fontId="5" fillId="0" borderId="0" xfId="22" applyNumberFormat="1" applyFont="1">
      <alignment/>
      <protection/>
    </xf>
    <xf numFmtId="165" fontId="5" fillId="0" borderId="0" xfId="22" applyNumberFormat="1" applyFont="1" applyAlignment="1">
      <alignment horizontal="left"/>
      <protection/>
    </xf>
    <xf numFmtId="5" fontId="5" fillId="0" borderId="12" xfId="22" applyNumberFormat="1" applyFont="1" applyBorder="1">
      <alignment/>
      <protection/>
    </xf>
    <xf numFmtId="166" fontId="5" fillId="0" borderId="10" xfId="22" applyNumberFormat="1" applyFont="1" applyBorder="1">
      <alignment/>
      <protection/>
    </xf>
    <xf numFmtId="0" fontId="5" fillId="0" borderId="10" xfId="22" applyFont="1" applyBorder="1">
      <alignment/>
      <protection/>
    </xf>
    <xf numFmtId="0" fontId="5" fillId="0" borderId="10" xfId="22" applyFont="1" applyBorder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176" fontId="5" fillId="0" borderId="0" xfId="22" applyNumberFormat="1" applyFont="1">
      <alignment/>
      <protection/>
    </xf>
    <xf numFmtId="0" fontId="5" fillId="0" borderId="0" xfId="38" applyFont="1" applyAlignment="1">
      <alignment horizontal="centerContinuous"/>
      <protection/>
    </xf>
    <xf numFmtId="0" fontId="5" fillId="0" borderId="0" xfId="38" applyFont="1">
      <alignment/>
      <protection/>
    </xf>
    <xf numFmtId="166" fontId="5" fillId="0" borderId="0" xfId="38" applyNumberFormat="1" applyFont="1" applyAlignment="1">
      <alignment horizontal="right"/>
      <protection/>
    </xf>
    <xf numFmtId="167" fontId="5" fillId="0" borderId="0" xfId="38" applyNumberFormat="1" applyFont="1" applyAlignment="1">
      <alignment horizontal="right"/>
      <protection/>
    </xf>
    <xf numFmtId="167" fontId="5" fillId="0" borderId="0" xfId="38" applyNumberFormat="1" applyFont="1" applyAlignment="1">
      <alignment horizontal="center"/>
      <protection/>
    </xf>
    <xf numFmtId="166" fontId="5" fillId="0" borderId="10" xfId="38" applyNumberFormat="1" applyFont="1" applyBorder="1" applyAlignment="1">
      <alignment horizontal="right"/>
      <protection/>
    </xf>
    <xf numFmtId="167" fontId="6" fillId="0" borderId="10" xfId="38" applyNumberFormat="1" applyFont="1" applyBorder="1" applyAlignment="1">
      <alignment horizontal="center"/>
      <protection/>
    </xf>
    <xf numFmtId="0" fontId="5" fillId="0" borderId="0" xfId="38" applyFont="1" applyAlignment="1">
      <alignment horizontal="center"/>
      <protection/>
    </xf>
    <xf numFmtId="0" fontId="5" fillId="0" borderId="0" xfId="38" applyFont="1" applyBorder="1" applyAlignment="1">
      <alignment horizontal="center"/>
      <protection/>
    </xf>
    <xf numFmtId="0" fontId="5" fillId="0" borderId="10" xfId="38" applyFont="1" applyBorder="1" applyAlignment="1">
      <alignment horizontal="centerContinuous"/>
      <protection/>
    </xf>
    <xf numFmtId="166" fontId="5" fillId="0" borderId="10" xfId="38" applyNumberFormat="1" applyFont="1" applyBorder="1" applyAlignment="1">
      <alignment horizontal="center"/>
      <protection/>
    </xf>
    <xf numFmtId="167" fontId="5" fillId="0" borderId="10" xfId="38" applyNumberFormat="1" applyFont="1" applyBorder="1" applyAlignment="1">
      <alignment horizontal="center"/>
      <protection/>
    </xf>
    <xf numFmtId="0" fontId="8" fillId="0" borderId="0" xfId="38" applyFont="1" applyAlignment="1">
      <alignment horizontal="center"/>
      <protection/>
    </xf>
    <xf numFmtId="166" fontId="5" fillId="0" borderId="0" xfId="38" applyNumberFormat="1" applyFont="1" applyAlignment="1">
      <alignment horizontal="center"/>
      <protection/>
    </xf>
    <xf numFmtId="5" fontId="5" fillId="0" borderId="0" xfId="38" applyNumberFormat="1" applyFont="1">
      <alignment/>
      <protection/>
    </xf>
    <xf numFmtId="165" fontId="5" fillId="0" borderId="0" xfId="38" applyNumberFormat="1" applyFont="1">
      <alignment/>
      <protection/>
    </xf>
    <xf numFmtId="37" fontId="5" fillId="0" borderId="0" xfId="38" applyNumberFormat="1" applyFont="1">
      <alignment/>
      <protection/>
    </xf>
    <xf numFmtId="37" fontId="5" fillId="0" borderId="10" xfId="38" applyNumberFormat="1" applyFont="1" applyBorder="1">
      <alignment/>
      <protection/>
    </xf>
    <xf numFmtId="37" fontId="20" fillId="0" borderId="10" xfId="38" applyNumberFormat="1" applyFont="1" applyBorder="1">
      <alignment/>
      <protection/>
    </xf>
    <xf numFmtId="3" fontId="5" fillId="0" borderId="0" xfId="38" applyNumberFormat="1" applyFont="1" applyAlignment="1">
      <alignment horizontal="left"/>
      <protection/>
    </xf>
    <xf numFmtId="37" fontId="17" fillId="0" borderId="0" xfId="38" applyNumberFormat="1" applyFont="1">
      <alignment/>
      <protection/>
    </xf>
    <xf numFmtId="166" fontId="5" fillId="0" borderId="0" xfId="38" applyNumberFormat="1" applyFont="1">
      <alignment/>
      <protection/>
    </xf>
    <xf numFmtId="167" fontId="5" fillId="0" borderId="0" xfId="38" applyNumberFormat="1" applyFont="1">
      <alignment/>
      <protection/>
    </xf>
    <xf numFmtId="165" fontId="5" fillId="0" borderId="0" xfId="38" applyNumberFormat="1" applyFont="1" applyAlignment="1">
      <alignment horizontal="left"/>
      <protection/>
    </xf>
    <xf numFmtId="5" fontId="5" fillId="0" borderId="12" xfId="38" applyNumberFormat="1" applyFont="1" applyBorder="1">
      <alignment/>
      <protection/>
    </xf>
    <xf numFmtId="166" fontId="5" fillId="0" borderId="10" xfId="38" applyNumberFormat="1" applyFont="1" applyBorder="1">
      <alignment/>
      <protection/>
    </xf>
    <xf numFmtId="0" fontId="5" fillId="0" borderId="10" xfId="38" applyFont="1" applyBorder="1">
      <alignment/>
      <protection/>
    </xf>
    <xf numFmtId="0" fontId="5" fillId="0" borderId="10" xfId="38" applyFont="1" applyBorder="1" applyAlignment="1">
      <alignment horizontal="center"/>
      <protection/>
    </xf>
    <xf numFmtId="0" fontId="5" fillId="0" borderId="0" xfId="38" applyFont="1" applyAlignment="1">
      <alignment horizontal="right"/>
      <protection/>
    </xf>
    <xf numFmtId="176" fontId="5" fillId="0" borderId="0" xfId="38" applyNumberFormat="1" applyFont="1" applyBorder="1">
      <alignment/>
      <protection/>
    </xf>
    <xf numFmtId="0" fontId="5" fillId="0" borderId="0" xfId="43" applyFont="1" applyAlignment="1">
      <alignment horizontal="centerContinuous"/>
      <protection/>
    </xf>
    <xf numFmtId="0" fontId="5" fillId="0" borderId="0" xfId="43" applyFont="1">
      <alignment/>
      <protection/>
    </xf>
    <xf numFmtId="166" fontId="5" fillId="0" borderId="0" xfId="43" applyNumberFormat="1" applyFont="1" applyAlignment="1">
      <alignment horizontal="right"/>
      <protection/>
    </xf>
    <xf numFmtId="167" fontId="5" fillId="0" borderId="0" xfId="43" applyNumberFormat="1" applyFont="1" applyAlignment="1">
      <alignment horizontal="right"/>
      <protection/>
    </xf>
    <xf numFmtId="167" fontId="5" fillId="0" borderId="0" xfId="43" applyNumberFormat="1" applyFont="1" applyAlignment="1">
      <alignment horizontal="center"/>
      <protection/>
    </xf>
    <xf numFmtId="166" fontId="5" fillId="0" borderId="10" xfId="43" applyNumberFormat="1" applyFont="1" applyBorder="1" applyAlignment="1">
      <alignment horizontal="right"/>
      <protection/>
    </xf>
    <xf numFmtId="167" fontId="6" fillId="0" borderId="10" xfId="43" applyNumberFormat="1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5" fillId="0" borderId="10" xfId="43" applyFont="1" applyBorder="1" applyAlignment="1">
      <alignment horizontal="centerContinuous"/>
      <protection/>
    </xf>
    <xf numFmtId="166" fontId="5" fillId="0" borderId="10" xfId="43" applyNumberFormat="1" applyFont="1" applyBorder="1" applyAlignment="1">
      <alignment horizontal="center"/>
      <protection/>
    </xf>
    <xf numFmtId="167" fontId="5" fillId="0" borderId="10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166" fontId="5" fillId="0" borderId="0" xfId="43" applyNumberFormat="1" applyFont="1" applyAlignment="1">
      <alignment horizontal="center"/>
      <protection/>
    </xf>
    <xf numFmtId="5" fontId="5" fillId="0" borderId="0" xfId="43" applyNumberFormat="1" applyFont="1">
      <alignment/>
      <protection/>
    </xf>
    <xf numFmtId="165" fontId="5" fillId="0" borderId="0" xfId="43" applyNumberFormat="1" applyFont="1">
      <alignment/>
      <protection/>
    </xf>
    <xf numFmtId="37" fontId="5" fillId="0" borderId="0" xfId="43" applyNumberFormat="1" applyFont="1">
      <alignment/>
      <protection/>
    </xf>
    <xf numFmtId="37" fontId="5" fillId="0" borderId="10" xfId="43" applyNumberFormat="1" applyFont="1" applyBorder="1">
      <alignment/>
      <protection/>
    </xf>
    <xf numFmtId="37" fontId="20" fillId="0" borderId="10" xfId="43" applyNumberFormat="1" applyFont="1" applyBorder="1">
      <alignment/>
      <protection/>
    </xf>
    <xf numFmtId="3" fontId="5" fillId="0" borderId="0" xfId="43" applyNumberFormat="1" applyFont="1" applyAlignment="1">
      <alignment horizontal="left"/>
      <protection/>
    </xf>
    <xf numFmtId="168" fontId="5" fillId="0" borderId="0" xfId="43" applyNumberFormat="1" applyFont="1">
      <alignment/>
      <protection/>
    </xf>
    <xf numFmtId="166" fontId="5" fillId="0" borderId="0" xfId="43" applyNumberFormat="1" applyFont="1">
      <alignment/>
      <protection/>
    </xf>
    <xf numFmtId="167" fontId="5" fillId="0" borderId="0" xfId="43" applyNumberFormat="1" applyFont="1">
      <alignment/>
      <protection/>
    </xf>
    <xf numFmtId="165" fontId="5" fillId="0" borderId="0" xfId="43" applyNumberFormat="1" applyFont="1" applyAlignment="1">
      <alignment horizontal="left"/>
      <protection/>
    </xf>
    <xf numFmtId="5" fontId="5" fillId="0" borderId="12" xfId="43" applyNumberFormat="1" applyFont="1" applyBorder="1">
      <alignment/>
      <protection/>
    </xf>
    <xf numFmtId="166" fontId="5" fillId="0" borderId="10" xfId="43" applyNumberFormat="1" applyFont="1" applyBorder="1">
      <alignment/>
      <protection/>
    </xf>
    <xf numFmtId="0" fontId="5" fillId="0" borderId="10" xfId="43" applyFont="1" applyBorder="1">
      <alignment/>
      <protection/>
    </xf>
    <xf numFmtId="0" fontId="5" fillId="0" borderId="10" xfId="43" applyFont="1" applyBorder="1" applyAlignment="1">
      <alignment horizontal="center"/>
      <protection/>
    </xf>
    <xf numFmtId="0" fontId="5" fillId="0" borderId="0" xfId="43" applyFont="1" applyAlignment="1">
      <alignment horizontal="right"/>
      <protection/>
    </xf>
    <xf numFmtId="176" fontId="5" fillId="0" borderId="0" xfId="43" applyNumberFormat="1" applyFont="1">
      <alignment/>
      <protection/>
    </xf>
    <xf numFmtId="0" fontId="5" fillId="0" borderId="0" xfId="39" applyFont="1" applyAlignment="1">
      <alignment horizontal="centerContinuous"/>
      <protection/>
    </xf>
    <xf numFmtId="0" fontId="5" fillId="0" borderId="0" xfId="39" applyFont="1">
      <alignment/>
      <protection/>
    </xf>
    <xf numFmtId="166" fontId="5" fillId="0" borderId="0" xfId="39" applyNumberFormat="1" applyFont="1" applyAlignment="1">
      <alignment horizontal="right"/>
      <protection/>
    </xf>
    <xf numFmtId="167" fontId="5" fillId="0" borderId="0" xfId="39" applyNumberFormat="1" applyFont="1" applyAlignment="1">
      <alignment horizontal="right"/>
      <protection/>
    </xf>
    <xf numFmtId="167" fontId="5" fillId="0" borderId="0" xfId="39" applyNumberFormat="1" applyFont="1" applyAlignment="1">
      <alignment horizontal="center"/>
      <protection/>
    </xf>
    <xf numFmtId="166" fontId="5" fillId="0" borderId="10" xfId="39" applyNumberFormat="1" applyFont="1" applyBorder="1" applyAlignment="1">
      <alignment horizontal="right"/>
      <protection/>
    </xf>
    <xf numFmtId="167" fontId="6" fillId="0" borderId="10" xfId="39" applyNumberFormat="1" applyFont="1" applyBorder="1" applyAlignment="1">
      <alignment horizontal="center"/>
      <protection/>
    </xf>
    <xf numFmtId="0" fontId="5" fillId="0" borderId="0" xfId="39" applyFont="1" applyAlignment="1">
      <alignment horizontal="center"/>
      <protection/>
    </xf>
    <xf numFmtId="0" fontId="5" fillId="0" borderId="0" xfId="39" applyFont="1" applyBorder="1" applyAlignment="1">
      <alignment horizontal="center"/>
      <protection/>
    </xf>
    <xf numFmtId="0" fontId="5" fillId="0" borderId="10" xfId="39" applyFont="1" applyBorder="1" applyAlignment="1">
      <alignment horizontal="centerContinuous"/>
      <protection/>
    </xf>
    <xf numFmtId="166" fontId="5" fillId="0" borderId="10" xfId="39" applyNumberFormat="1" applyFont="1" applyBorder="1" applyAlignment="1">
      <alignment horizontal="center"/>
      <protection/>
    </xf>
    <xf numFmtId="167" fontId="5" fillId="0" borderId="10" xfId="39" applyNumberFormat="1" applyFont="1" applyBorder="1" applyAlignment="1">
      <alignment horizontal="center"/>
      <protection/>
    </xf>
    <xf numFmtId="0" fontId="8" fillId="0" borderId="0" xfId="39" applyFont="1" applyAlignment="1">
      <alignment horizontal="center"/>
      <protection/>
    </xf>
    <xf numFmtId="166" fontId="5" fillId="0" borderId="0" xfId="39" applyNumberFormat="1" applyFont="1" applyAlignment="1">
      <alignment horizontal="center"/>
      <protection/>
    </xf>
    <xf numFmtId="5" fontId="5" fillId="0" borderId="0" xfId="39" applyNumberFormat="1" applyFont="1">
      <alignment/>
      <protection/>
    </xf>
    <xf numFmtId="165" fontId="5" fillId="0" borderId="0" xfId="39" applyNumberFormat="1" applyFont="1">
      <alignment/>
      <protection/>
    </xf>
    <xf numFmtId="37" fontId="5" fillId="0" borderId="0" xfId="39" applyNumberFormat="1" applyFont="1">
      <alignment/>
      <protection/>
    </xf>
    <xf numFmtId="37" fontId="5" fillId="0" borderId="10" xfId="39" applyNumberFormat="1" applyFont="1" applyBorder="1">
      <alignment/>
      <protection/>
    </xf>
    <xf numFmtId="37" fontId="20" fillId="0" borderId="10" xfId="39" applyNumberFormat="1" applyFont="1" applyBorder="1">
      <alignment/>
      <protection/>
    </xf>
    <xf numFmtId="3" fontId="5" fillId="0" borderId="0" xfId="39" applyNumberFormat="1" applyFont="1" applyAlignment="1">
      <alignment horizontal="left"/>
      <protection/>
    </xf>
    <xf numFmtId="168" fontId="5" fillId="0" borderId="0" xfId="39" applyNumberFormat="1" applyFont="1">
      <alignment/>
      <protection/>
    </xf>
    <xf numFmtId="166" fontId="5" fillId="0" borderId="0" xfId="39" applyNumberFormat="1" applyFont="1">
      <alignment/>
      <protection/>
    </xf>
    <xf numFmtId="167" fontId="5" fillId="0" borderId="0" xfId="39" applyNumberFormat="1" applyFont="1">
      <alignment/>
      <protection/>
    </xf>
    <xf numFmtId="165" fontId="5" fillId="0" borderId="0" xfId="39" applyNumberFormat="1" applyFont="1" applyAlignment="1">
      <alignment horizontal="left"/>
      <protection/>
    </xf>
    <xf numFmtId="5" fontId="5" fillId="0" borderId="12" xfId="39" applyNumberFormat="1" applyFont="1" applyBorder="1">
      <alignment/>
      <protection/>
    </xf>
    <xf numFmtId="166" fontId="5" fillId="0" borderId="10" xfId="39" applyNumberFormat="1" applyFont="1" applyBorder="1">
      <alignment/>
      <protection/>
    </xf>
    <xf numFmtId="0" fontId="5" fillId="0" borderId="10" xfId="39" applyFont="1" applyBorder="1">
      <alignment/>
      <protection/>
    </xf>
    <xf numFmtId="0" fontId="5" fillId="0" borderId="10" xfId="39" applyFont="1" applyBorder="1" applyAlignment="1">
      <alignment horizontal="center"/>
      <protection/>
    </xf>
    <xf numFmtId="0" fontId="5" fillId="0" borderId="0" xfId="39" applyFont="1" applyAlignment="1">
      <alignment horizontal="right"/>
      <protection/>
    </xf>
    <xf numFmtId="176" fontId="5" fillId="0" borderId="0" xfId="39" applyNumberFormat="1" applyFont="1">
      <alignment/>
      <protection/>
    </xf>
    <xf numFmtId="5" fontId="20" fillId="0" borderId="12" xfId="39" applyNumberFormat="1" applyFont="1" applyBorder="1">
      <alignment/>
      <protection/>
    </xf>
    <xf numFmtId="0" fontId="5" fillId="0" borderId="0" xfId="36" applyFont="1" applyAlignment="1">
      <alignment horizontal="centerContinuous"/>
      <protection/>
    </xf>
    <xf numFmtId="0" fontId="5" fillId="0" borderId="0" xfId="36" applyFont="1">
      <alignment/>
      <protection/>
    </xf>
    <xf numFmtId="166" fontId="5" fillId="0" borderId="0" xfId="36" applyNumberFormat="1" applyFont="1" applyAlignment="1">
      <alignment horizontal="right"/>
      <protection/>
    </xf>
    <xf numFmtId="167" fontId="5" fillId="0" borderId="0" xfId="36" applyNumberFormat="1" applyFont="1" applyAlignment="1">
      <alignment horizontal="right"/>
      <protection/>
    </xf>
    <xf numFmtId="0" fontId="11" fillId="0" borderId="0" xfId="36" applyFont="1">
      <alignment/>
      <protection/>
    </xf>
    <xf numFmtId="167" fontId="5" fillId="0" borderId="0" xfId="36" applyNumberFormat="1" applyFont="1" applyAlignment="1">
      <alignment horizontal="center"/>
      <protection/>
    </xf>
    <xf numFmtId="166" fontId="5" fillId="0" borderId="10" xfId="36" applyNumberFormat="1" applyFont="1" applyBorder="1" applyAlignment="1">
      <alignment horizontal="right"/>
      <protection/>
    </xf>
    <xf numFmtId="167" fontId="6" fillId="0" borderId="10" xfId="36" applyNumberFormat="1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5" fillId="0" borderId="0" xfId="36" applyFont="1" applyBorder="1" applyAlignment="1">
      <alignment horizontal="center"/>
      <protection/>
    </xf>
    <xf numFmtId="0" fontId="5" fillId="0" borderId="10" xfId="36" applyFont="1" applyBorder="1" applyAlignment="1">
      <alignment horizontal="centerContinuous"/>
      <protection/>
    </xf>
    <xf numFmtId="166" fontId="5" fillId="0" borderId="10" xfId="36" applyNumberFormat="1" applyFont="1" applyBorder="1" applyAlignment="1">
      <alignment horizontal="center"/>
      <protection/>
    </xf>
    <xf numFmtId="167" fontId="5" fillId="0" borderId="10" xfId="36" applyNumberFormat="1" applyFont="1" applyBorder="1" applyAlignment="1">
      <alignment horizontal="center"/>
      <protection/>
    </xf>
    <xf numFmtId="0" fontId="8" fillId="0" borderId="0" xfId="36" applyFont="1" applyAlignment="1">
      <alignment horizontal="center"/>
      <protection/>
    </xf>
    <xf numFmtId="166" fontId="5" fillId="0" borderId="0" xfId="36" applyNumberFormat="1" applyFont="1" applyAlignment="1">
      <alignment horizontal="center"/>
      <protection/>
    </xf>
    <xf numFmtId="5" fontId="5" fillId="0" borderId="0" xfId="36" applyNumberFormat="1" applyFont="1">
      <alignment/>
      <protection/>
    </xf>
    <xf numFmtId="165" fontId="5" fillId="0" borderId="0" xfId="36" applyNumberFormat="1" applyFont="1">
      <alignment/>
      <protection/>
    </xf>
    <xf numFmtId="37" fontId="5" fillId="0" borderId="0" xfId="36" applyNumberFormat="1" applyFont="1">
      <alignment/>
      <protection/>
    </xf>
    <xf numFmtId="37" fontId="5" fillId="0" borderId="10" xfId="36" applyNumberFormat="1" applyFont="1" applyBorder="1">
      <alignment/>
      <protection/>
    </xf>
    <xf numFmtId="3" fontId="5" fillId="0" borderId="0" xfId="36" applyNumberFormat="1" applyFont="1" applyAlignment="1">
      <alignment horizontal="left"/>
      <protection/>
    </xf>
    <xf numFmtId="166" fontId="5" fillId="0" borderId="0" xfId="36" applyNumberFormat="1" applyFont="1">
      <alignment/>
      <protection/>
    </xf>
    <xf numFmtId="167" fontId="5" fillId="0" borderId="0" xfId="36" applyNumberFormat="1" applyFont="1">
      <alignment/>
      <protection/>
    </xf>
    <xf numFmtId="165" fontId="5" fillId="0" borderId="0" xfId="36" applyNumberFormat="1" applyFont="1" applyAlignment="1">
      <alignment horizontal="left"/>
      <protection/>
    </xf>
    <xf numFmtId="5" fontId="5" fillId="0" borderId="12" xfId="36" applyNumberFormat="1" applyFont="1" applyBorder="1">
      <alignment/>
      <protection/>
    </xf>
    <xf numFmtId="5" fontId="5" fillId="0" borderId="0" xfId="36" applyNumberFormat="1" applyFont="1" applyBorder="1">
      <alignment/>
      <protection/>
    </xf>
    <xf numFmtId="166" fontId="5" fillId="0" borderId="10" xfId="36" applyNumberFormat="1" applyFont="1" applyBorder="1">
      <alignment/>
      <protection/>
    </xf>
    <xf numFmtId="0" fontId="5" fillId="0" borderId="10" xfId="36" applyFont="1" applyBorder="1">
      <alignment/>
      <protection/>
    </xf>
    <xf numFmtId="0" fontId="5" fillId="0" borderId="10" xfId="36" applyFont="1" applyBorder="1" applyAlignment="1">
      <alignment horizontal="center"/>
      <protection/>
    </xf>
    <xf numFmtId="0" fontId="5" fillId="0" borderId="0" xfId="36" applyFont="1" applyAlignment="1">
      <alignment horizontal="right"/>
      <protection/>
    </xf>
    <xf numFmtId="176" fontId="5" fillId="0" borderId="0" xfId="36" applyNumberFormat="1" applyFont="1" applyBorder="1">
      <alignment/>
      <protection/>
    </xf>
    <xf numFmtId="0" fontId="5" fillId="0" borderId="0" xfId="30" applyFont="1" applyAlignment="1">
      <alignment horizontal="centerContinuous"/>
      <protection/>
    </xf>
    <xf numFmtId="0" fontId="5" fillId="0" borderId="0" xfId="30" applyFont="1">
      <alignment/>
      <protection/>
    </xf>
    <xf numFmtId="166" fontId="5" fillId="0" borderId="0" xfId="30" applyNumberFormat="1" applyFont="1" applyAlignment="1">
      <alignment horizontal="right"/>
      <protection/>
    </xf>
    <xf numFmtId="167" fontId="5" fillId="0" borderId="0" xfId="30" applyNumberFormat="1" applyFont="1" applyAlignment="1">
      <alignment horizontal="right"/>
      <protection/>
    </xf>
    <xf numFmtId="167" fontId="5" fillId="0" borderId="0" xfId="30" applyNumberFormat="1" applyFont="1" applyAlignment="1">
      <alignment horizontal="center"/>
      <protection/>
    </xf>
    <xf numFmtId="166" fontId="5" fillId="0" borderId="10" xfId="30" applyNumberFormat="1" applyFont="1" applyBorder="1" applyAlignment="1">
      <alignment horizontal="right"/>
      <protection/>
    </xf>
    <xf numFmtId="167" fontId="6" fillId="0" borderId="10" xfId="30" applyNumberFormat="1" applyFont="1" applyBorder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0" fontId="5" fillId="0" borderId="0" xfId="30" applyFont="1" applyBorder="1" applyAlignment="1">
      <alignment horizontal="center"/>
      <protection/>
    </xf>
    <xf numFmtId="0" fontId="5" fillId="0" borderId="10" xfId="30" applyFont="1" applyBorder="1" applyAlignment="1">
      <alignment horizontal="centerContinuous"/>
      <protection/>
    </xf>
    <xf numFmtId="166" fontId="5" fillId="0" borderId="10" xfId="30" applyNumberFormat="1" applyFont="1" applyBorder="1" applyAlignment="1">
      <alignment horizontal="center"/>
      <protection/>
    </xf>
    <xf numFmtId="167" fontId="5" fillId="0" borderId="10" xfId="30" applyNumberFormat="1" applyFont="1" applyBorder="1" applyAlignment="1">
      <alignment horizontal="center"/>
      <protection/>
    </xf>
    <xf numFmtId="0" fontId="8" fillId="0" borderId="0" xfId="30" applyFont="1" applyAlignment="1">
      <alignment horizontal="center"/>
      <protection/>
    </xf>
    <xf numFmtId="166" fontId="5" fillId="0" borderId="0" xfId="30" applyNumberFormat="1" applyFont="1" applyAlignment="1">
      <alignment horizontal="center"/>
      <protection/>
    </xf>
    <xf numFmtId="5" fontId="5" fillId="0" borderId="0" xfId="30" applyNumberFormat="1" applyFont="1">
      <alignment/>
      <protection/>
    </xf>
    <xf numFmtId="165" fontId="5" fillId="0" borderId="0" xfId="30" applyNumberFormat="1" applyFont="1">
      <alignment/>
      <protection/>
    </xf>
    <xf numFmtId="37" fontId="5" fillId="0" borderId="0" xfId="30" applyNumberFormat="1" applyFont="1">
      <alignment/>
      <protection/>
    </xf>
    <xf numFmtId="37" fontId="5" fillId="0" borderId="10" xfId="30" applyNumberFormat="1" applyFont="1" applyBorder="1">
      <alignment/>
      <protection/>
    </xf>
    <xf numFmtId="3" fontId="5" fillId="0" borderId="0" xfId="30" applyNumberFormat="1" applyFont="1" applyAlignment="1">
      <alignment horizontal="left"/>
      <protection/>
    </xf>
    <xf numFmtId="166" fontId="5" fillId="0" borderId="0" xfId="30" applyNumberFormat="1" applyFont="1">
      <alignment/>
      <protection/>
    </xf>
    <xf numFmtId="167" fontId="5" fillId="0" borderId="0" xfId="30" applyNumberFormat="1" applyFont="1">
      <alignment/>
      <protection/>
    </xf>
    <xf numFmtId="165" fontId="5" fillId="0" borderId="0" xfId="30" applyNumberFormat="1" applyFont="1" applyAlignment="1">
      <alignment horizontal="left"/>
      <protection/>
    </xf>
    <xf numFmtId="5" fontId="5" fillId="0" borderId="12" xfId="30" applyNumberFormat="1" applyFont="1" applyBorder="1">
      <alignment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0" xfId="30" applyFont="1" applyBorder="1">
      <alignment/>
      <protection/>
    </xf>
    <xf numFmtId="166" fontId="5" fillId="0" borderId="0" xfId="30" applyNumberFormat="1" applyFont="1" applyBorder="1">
      <alignment/>
      <protection/>
    </xf>
    <xf numFmtId="167" fontId="5" fillId="0" borderId="0" xfId="30" applyNumberFormat="1" applyFont="1" applyBorder="1">
      <alignment/>
      <protection/>
    </xf>
    <xf numFmtId="167" fontId="5" fillId="0" borderId="0" xfId="30" applyNumberFormat="1" applyFont="1" applyBorder="1" applyAlignment="1">
      <alignment horizontal="center"/>
      <protection/>
    </xf>
    <xf numFmtId="5" fontId="5" fillId="0" borderId="0" xfId="30" applyNumberFormat="1" applyFont="1" applyBorder="1">
      <alignment/>
      <protection/>
    </xf>
    <xf numFmtId="37" fontId="5" fillId="0" borderId="0" xfId="30" applyNumberFormat="1" applyFont="1" applyBorder="1">
      <alignment/>
      <protection/>
    </xf>
    <xf numFmtId="0" fontId="5" fillId="0" borderId="0" xfId="30" applyFont="1" applyBorder="1" applyAlignment="1">
      <alignment horizontal="right"/>
      <protection/>
    </xf>
    <xf numFmtId="176" fontId="5" fillId="0" borderId="0" xfId="30" applyNumberFormat="1" applyFont="1" applyBorder="1">
      <alignment/>
      <protection/>
    </xf>
    <xf numFmtId="0" fontId="5" fillId="0" borderId="0" xfId="26" applyFont="1" applyAlignment="1">
      <alignment horizontal="centerContinuous"/>
      <protection/>
    </xf>
    <xf numFmtId="0" fontId="5" fillId="0" borderId="0" xfId="26" applyFont="1">
      <alignment/>
      <protection/>
    </xf>
    <xf numFmtId="166" fontId="5" fillId="0" borderId="0" xfId="26" applyNumberFormat="1" applyFont="1" applyAlignment="1">
      <alignment horizontal="right"/>
      <protection/>
    </xf>
    <xf numFmtId="167" fontId="5" fillId="0" borderId="0" xfId="26" applyNumberFormat="1" applyFont="1" applyAlignment="1">
      <alignment horizontal="right"/>
      <protection/>
    </xf>
    <xf numFmtId="167" fontId="5" fillId="0" borderId="0" xfId="26" applyNumberFormat="1" applyFont="1" applyAlignment="1">
      <alignment horizontal="center"/>
      <protection/>
    </xf>
    <xf numFmtId="166" fontId="5" fillId="0" borderId="10" xfId="26" applyNumberFormat="1" applyFont="1" applyBorder="1" applyAlignment="1">
      <alignment horizontal="right"/>
      <protection/>
    </xf>
    <xf numFmtId="167" fontId="6" fillId="0" borderId="10" xfId="26" applyNumberFormat="1" applyFont="1" applyBorder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5" fillId="0" borderId="10" xfId="26" applyFont="1" applyBorder="1" applyAlignment="1">
      <alignment horizontal="centerContinuous"/>
      <protection/>
    </xf>
    <xf numFmtId="166" fontId="5" fillId="0" borderId="10" xfId="26" applyNumberFormat="1" applyFont="1" applyBorder="1" applyAlignment="1">
      <alignment horizontal="center"/>
      <protection/>
    </xf>
    <xf numFmtId="167" fontId="5" fillId="0" borderId="10" xfId="26" applyNumberFormat="1" applyFont="1" applyBorder="1" applyAlignment="1">
      <alignment horizontal="center"/>
      <protection/>
    </xf>
    <xf numFmtId="0" fontId="8" fillId="0" borderId="0" xfId="26" applyFont="1" applyAlignment="1">
      <alignment horizontal="center"/>
      <protection/>
    </xf>
    <xf numFmtId="166" fontId="5" fillId="0" borderId="0" xfId="26" applyNumberFormat="1" applyFont="1" applyAlignment="1">
      <alignment horizontal="center"/>
      <protection/>
    </xf>
    <xf numFmtId="5" fontId="5" fillId="0" borderId="0" xfId="26" applyNumberFormat="1" applyFont="1">
      <alignment/>
      <protection/>
    </xf>
    <xf numFmtId="165" fontId="5" fillId="0" borderId="0" xfId="26" applyNumberFormat="1" applyFont="1">
      <alignment/>
      <protection/>
    </xf>
    <xf numFmtId="37" fontId="5" fillId="0" borderId="0" xfId="26" applyNumberFormat="1" applyFont="1">
      <alignment/>
      <protection/>
    </xf>
    <xf numFmtId="37" fontId="5" fillId="0" borderId="10" xfId="26" applyNumberFormat="1" applyFont="1" applyBorder="1">
      <alignment/>
      <protection/>
    </xf>
    <xf numFmtId="3" fontId="5" fillId="0" borderId="0" xfId="26" applyNumberFormat="1" applyFont="1" applyAlignment="1">
      <alignment horizontal="left"/>
      <protection/>
    </xf>
    <xf numFmtId="166" fontId="5" fillId="0" borderId="0" xfId="26" applyNumberFormat="1" applyFont="1">
      <alignment/>
      <protection/>
    </xf>
    <xf numFmtId="167" fontId="5" fillId="0" borderId="0" xfId="26" applyNumberFormat="1" applyFont="1">
      <alignment/>
      <protection/>
    </xf>
    <xf numFmtId="165" fontId="5" fillId="0" borderId="0" xfId="26" applyNumberFormat="1" applyFont="1" applyAlignment="1">
      <alignment horizontal="left"/>
      <protection/>
    </xf>
    <xf numFmtId="5" fontId="5" fillId="0" borderId="12" xfId="26" applyNumberFormat="1" applyFont="1" applyBorder="1">
      <alignment/>
      <protection/>
    </xf>
    <xf numFmtId="166" fontId="5" fillId="0" borderId="10" xfId="26" applyNumberFormat="1" applyFont="1" applyBorder="1">
      <alignment/>
      <protection/>
    </xf>
    <xf numFmtId="0" fontId="5" fillId="0" borderId="10" xfId="26" applyFont="1" applyBorder="1">
      <alignment/>
      <protection/>
    </xf>
    <xf numFmtId="0" fontId="5" fillId="0" borderId="10" xfId="26" applyFont="1" applyBorder="1" applyAlignment="1">
      <alignment horizontal="center"/>
      <protection/>
    </xf>
    <xf numFmtId="0" fontId="5" fillId="0" borderId="0" xfId="26" applyFont="1" applyAlignment="1">
      <alignment horizontal="right"/>
      <protection/>
    </xf>
    <xf numFmtId="176" fontId="5" fillId="0" borderId="0" xfId="26" applyNumberFormat="1" applyFont="1">
      <alignment/>
      <protection/>
    </xf>
    <xf numFmtId="0" fontId="5" fillId="0" borderId="0" xfId="42" applyFont="1" applyAlignment="1">
      <alignment horizontal="centerContinuous"/>
      <protection/>
    </xf>
    <xf numFmtId="0" fontId="5" fillId="0" borderId="0" xfId="42" applyFont="1">
      <alignment/>
      <protection/>
    </xf>
    <xf numFmtId="166" fontId="5" fillId="0" borderId="0" xfId="42" applyNumberFormat="1" applyFont="1" applyAlignment="1">
      <alignment horizontal="right"/>
      <protection/>
    </xf>
    <xf numFmtId="167" fontId="5" fillId="0" borderId="0" xfId="42" applyNumberFormat="1" applyFont="1" applyAlignment="1">
      <alignment horizontal="right"/>
      <protection/>
    </xf>
    <xf numFmtId="3" fontId="5" fillId="0" borderId="0" xfId="42" applyNumberFormat="1" applyFont="1" applyAlignment="1">
      <alignment horizontal="center"/>
      <protection/>
    </xf>
    <xf numFmtId="3" fontId="6" fillId="0" borderId="10" xfId="42" applyNumberFormat="1" applyFont="1" applyBorder="1" applyAlignment="1">
      <alignment horizontal="center"/>
      <protection/>
    </xf>
    <xf numFmtId="3" fontId="5" fillId="0" borderId="10" xfId="42" applyNumberFormat="1" applyFont="1" applyBorder="1" applyAlignment="1">
      <alignment horizontal="center"/>
      <protection/>
    </xf>
    <xf numFmtId="0" fontId="5" fillId="0" borderId="0" xfId="42" applyFont="1" applyAlignment="1">
      <alignment horizontal="center"/>
      <protection/>
    </xf>
    <xf numFmtId="167" fontId="5" fillId="0" borderId="0" xfId="42" applyNumberFormat="1" applyFont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  <xf numFmtId="0" fontId="5" fillId="0" borderId="10" xfId="42" applyFont="1" applyBorder="1" applyAlignment="1">
      <alignment horizontal="centerContinuous"/>
      <protection/>
    </xf>
    <xf numFmtId="166" fontId="5" fillId="0" borderId="10" xfId="42" applyNumberFormat="1" applyFont="1" applyBorder="1" applyAlignment="1">
      <alignment horizontal="center"/>
      <protection/>
    </xf>
    <xf numFmtId="167" fontId="5" fillId="0" borderId="10" xfId="42" applyNumberFormat="1" applyFont="1" applyBorder="1" applyAlignment="1">
      <alignment horizontal="center"/>
      <protection/>
    </xf>
    <xf numFmtId="0" fontId="8" fillId="0" borderId="0" xfId="42" applyFont="1" applyAlignment="1">
      <alignment horizontal="center"/>
      <protection/>
    </xf>
    <xf numFmtId="166" fontId="5" fillId="0" borderId="0" xfId="42" applyNumberFormat="1" applyFont="1" applyAlignment="1">
      <alignment horizontal="center"/>
      <protection/>
    </xf>
    <xf numFmtId="37" fontId="5" fillId="0" borderId="0" xfId="42" applyNumberFormat="1" applyFont="1">
      <alignment/>
      <protection/>
    </xf>
    <xf numFmtId="5" fontId="5" fillId="0" borderId="0" xfId="42" applyNumberFormat="1" applyFont="1">
      <alignment/>
      <protection/>
    </xf>
    <xf numFmtId="165" fontId="5" fillId="0" borderId="0" xfId="42" applyNumberFormat="1" applyFont="1">
      <alignment/>
      <protection/>
    </xf>
    <xf numFmtId="37" fontId="5" fillId="0" borderId="10" xfId="42" applyNumberFormat="1" applyFont="1" applyBorder="1">
      <alignment/>
      <protection/>
    </xf>
    <xf numFmtId="37" fontId="21" fillId="0" borderId="10" xfId="42" applyNumberFormat="1" applyFont="1" applyBorder="1">
      <alignment/>
      <protection/>
    </xf>
    <xf numFmtId="37" fontId="5" fillId="0" borderId="0" xfId="42" applyNumberFormat="1" applyFont="1" applyBorder="1">
      <alignment/>
      <protection/>
    </xf>
    <xf numFmtId="3" fontId="5" fillId="0" borderId="0" xfId="42" applyNumberFormat="1" applyFont="1" applyAlignment="1">
      <alignment horizontal="left"/>
      <protection/>
    </xf>
    <xf numFmtId="168" fontId="5" fillId="0" borderId="0" xfId="42" applyNumberFormat="1" applyFont="1">
      <alignment/>
      <protection/>
    </xf>
    <xf numFmtId="166" fontId="5" fillId="0" borderId="0" xfId="42" applyNumberFormat="1" applyFont="1">
      <alignment/>
      <protection/>
    </xf>
    <xf numFmtId="167" fontId="5" fillId="0" borderId="0" xfId="42" applyNumberFormat="1" applyFont="1">
      <alignment/>
      <protection/>
    </xf>
    <xf numFmtId="165" fontId="5" fillId="0" borderId="0" xfId="42" applyNumberFormat="1" applyFont="1" applyAlignment="1">
      <alignment horizontal="left"/>
      <protection/>
    </xf>
    <xf numFmtId="5" fontId="5" fillId="0" borderId="12" xfId="42" applyNumberFormat="1" applyFont="1" applyBorder="1">
      <alignment/>
      <protection/>
    </xf>
    <xf numFmtId="5" fontId="21" fillId="0" borderId="12" xfId="26" applyNumberFormat="1" applyFont="1" applyBorder="1">
      <alignment/>
      <protection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166" fontId="5" fillId="0" borderId="1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12" xfId="0" applyNumberFormat="1" applyFont="1" applyBorder="1" applyAlignment="1">
      <alignment/>
    </xf>
    <xf numFmtId="0" fontId="5" fillId="0" borderId="0" xfId="24" applyFont="1" applyAlignment="1">
      <alignment horizontal="centerContinuous"/>
      <protection/>
    </xf>
    <xf numFmtId="0" fontId="5" fillId="0" borderId="0" xfId="24" applyFont="1">
      <alignment/>
      <protection/>
    </xf>
    <xf numFmtId="166" fontId="5" fillId="0" borderId="0" xfId="24" applyNumberFormat="1" applyFont="1" applyAlignment="1">
      <alignment horizontal="right"/>
      <protection/>
    </xf>
    <xf numFmtId="167" fontId="5" fillId="0" borderId="0" xfId="24" applyNumberFormat="1" applyFont="1" applyAlignment="1">
      <alignment horizontal="right"/>
      <protection/>
    </xf>
    <xf numFmtId="167" fontId="5" fillId="0" borderId="0" xfId="24" applyNumberFormat="1" applyFont="1" applyAlignment="1">
      <alignment horizontal="center"/>
      <protection/>
    </xf>
    <xf numFmtId="166" fontId="5" fillId="0" borderId="10" xfId="24" applyNumberFormat="1" applyFont="1" applyBorder="1" applyAlignment="1">
      <alignment horizontal="right"/>
      <protection/>
    </xf>
    <xf numFmtId="167" fontId="6" fillId="0" borderId="10" xfId="24" applyNumberFormat="1" applyFont="1" applyBorder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5" fillId="0" borderId="0" xfId="24" applyFont="1" applyBorder="1" applyAlignment="1">
      <alignment horizontal="center"/>
      <protection/>
    </xf>
    <xf numFmtId="0" fontId="5" fillId="0" borderId="10" xfId="24" applyFont="1" applyBorder="1" applyAlignment="1">
      <alignment horizontal="centerContinuous"/>
      <protection/>
    </xf>
    <xf numFmtId="166" fontId="5" fillId="0" borderId="10" xfId="24" applyNumberFormat="1" applyFont="1" applyBorder="1" applyAlignment="1">
      <alignment horizontal="center"/>
      <protection/>
    </xf>
    <xf numFmtId="167" fontId="5" fillId="0" borderId="10" xfId="24" applyNumberFormat="1" applyFont="1" applyBorder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166" fontId="5" fillId="0" borderId="0" xfId="24" applyNumberFormat="1" applyFont="1" applyAlignment="1">
      <alignment horizontal="center"/>
      <protection/>
    </xf>
    <xf numFmtId="5" fontId="5" fillId="0" borderId="0" xfId="24" applyNumberFormat="1" applyFont="1">
      <alignment/>
      <protection/>
    </xf>
    <xf numFmtId="165" fontId="5" fillId="0" borderId="0" xfId="24" applyNumberFormat="1" applyFont="1">
      <alignment/>
      <protection/>
    </xf>
    <xf numFmtId="37" fontId="5" fillId="0" borderId="0" xfId="24" applyNumberFormat="1" applyFont="1">
      <alignment/>
      <protection/>
    </xf>
    <xf numFmtId="37" fontId="5" fillId="0" borderId="10" xfId="24" applyNumberFormat="1" applyFont="1" applyBorder="1">
      <alignment/>
      <protection/>
    </xf>
    <xf numFmtId="3" fontId="5" fillId="0" borderId="0" xfId="24" applyNumberFormat="1" applyFont="1" applyAlignment="1">
      <alignment horizontal="left"/>
      <protection/>
    </xf>
    <xf numFmtId="168" fontId="5" fillId="0" borderId="0" xfId="24" applyNumberFormat="1" applyFont="1">
      <alignment/>
      <protection/>
    </xf>
    <xf numFmtId="166" fontId="5" fillId="0" borderId="0" xfId="24" applyNumberFormat="1" applyFont="1">
      <alignment/>
      <protection/>
    </xf>
    <xf numFmtId="167" fontId="5" fillId="0" borderId="0" xfId="24" applyNumberFormat="1" applyFont="1">
      <alignment/>
      <protection/>
    </xf>
    <xf numFmtId="165" fontId="5" fillId="0" borderId="0" xfId="24" applyNumberFormat="1" applyFont="1" applyAlignment="1">
      <alignment horizontal="left"/>
      <protection/>
    </xf>
    <xf numFmtId="5" fontId="5" fillId="0" borderId="12" xfId="24" applyNumberFormat="1" applyFont="1" applyBorder="1">
      <alignment/>
      <protection/>
    </xf>
    <xf numFmtId="0" fontId="5" fillId="0" borderId="0" xfId="24" applyFont="1" applyBorder="1" applyAlignment="1">
      <alignment horizontal="centerContinuous"/>
      <protection/>
    </xf>
    <xf numFmtId="0" fontId="5" fillId="0" borderId="0" xfId="24" applyFont="1" applyBorder="1">
      <alignment/>
      <protection/>
    </xf>
    <xf numFmtId="0" fontId="5" fillId="0" borderId="0" xfId="24" applyFont="1" applyBorder="1" applyAlignment="1">
      <alignment horizontal="right"/>
      <protection/>
    </xf>
    <xf numFmtId="176" fontId="5" fillId="0" borderId="0" xfId="24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5" fontId="11" fillId="0" borderId="0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6" fontId="11" fillId="0" borderId="0" xfId="18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5" fontId="23" fillId="0" borderId="0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5" fontId="11" fillId="0" borderId="16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37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37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198" fontId="5" fillId="0" borderId="0" xfId="0" applyNumberFormat="1" applyFont="1" applyAlignment="1">
      <alignment/>
    </xf>
    <xf numFmtId="198" fontId="5" fillId="0" borderId="3" xfId="0" applyNumberFormat="1" applyFont="1" applyBorder="1" applyAlignment="1">
      <alignment/>
    </xf>
    <xf numFmtId="0" fontId="27" fillId="0" borderId="0" xfId="40" applyFont="1">
      <alignment/>
      <protection/>
    </xf>
    <xf numFmtId="0" fontId="29" fillId="0" borderId="0" xfId="40" applyFont="1">
      <alignment/>
      <protection/>
    </xf>
    <xf numFmtId="0" fontId="29" fillId="0" borderId="0" xfId="40" applyFont="1" applyAlignment="1">
      <alignment horizontal="right"/>
      <protection/>
    </xf>
    <xf numFmtId="3" fontId="11" fillId="0" borderId="0" xfId="40" applyNumberFormat="1" applyFont="1" applyAlignment="1">
      <alignment horizontal="centerContinuous"/>
      <protection/>
    </xf>
    <xf numFmtId="0" fontId="11" fillId="0" borderId="0" xfId="40" applyFont="1" applyAlignment="1">
      <alignment horizontal="centerContinuous"/>
      <protection/>
    </xf>
    <xf numFmtId="3" fontId="11" fillId="0" borderId="0" xfId="40" applyNumberFormat="1" applyFont="1">
      <alignment/>
      <protection/>
    </xf>
    <xf numFmtId="3" fontId="11" fillId="0" borderId="0" xfId="40" applyNumberFormat="1" applyFont="1" applyBorder="1" applyAlignment="1">
      <alignment horizontal="centerContinuous"/>
      <protection/>
    </xf>
    <xf numFmtId="0" fontId="11" fillId="0" borderId="0" xfId="40" applyFont="1" applyBorder="1" applyAlignment="1">
      <alignment horizontal="centerContinuous"/>
      <protection/>
    </xf>
    <xf numFmtId="0" fontId="11" fillId="0" borderId="0" xfId="40" applyFont="1">
      <alignment/>
      <protection/>
    </xf>
    <xf numFmtId="3" fontId="11" fillId="0" borderId="0" xfId="40" applyNumberFormat="1" applyFont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3" fontId="11" fillId="0" borderId="10" xfId="40" applyNumberFormat="1" applyFont="1" applyBorder="1">
      <alignment/>
      <protection/>
    </xf>
    <xf numFmtId="3" fontId="11" fillId="0" borderId="10" xfId="40" applyNumberFormat="1" applyFont="1" applyBorder="1" applyAlignment="1">
      <alignment horizontal="center"/>
      <protection/>
    </xf>
    <xf numFmtId="165" fontId="11" fillId="0" borderId="0" xfId="40" applyNumberFormat="1" applyFont="1">
      <alignment/>
      <protection/>
    </xf>
    <xf numFmtId="165" fontId="11" fillId="0" borderId="3" xfId="40" applyNumberFormat="1" applyFont="1" applyBorder="1">
      <alignment/>
      <protection/>
    </xf>
    <xf numFmtId="10" fontId="11" fillId="0" borderId="0" xfId="40" applyNumberFormat="1" applyFont="1">
      <alignment/>
      <protection/>
    </xf>
    <xf numFmtId="199" fontId="11" fillId="0" borderId="0" xfId="40" applyNumberFormat="1" applyFont="1">
      <alignment/>
      <protection/>
    </xf>
    <xf numFmtId="200" fontId="11" fillId="0" borderId="10" xfId="40" applyNumberFormat="1" applyFont="1" applyBorder="1">
      <alignment/>
      <protection/>
    </xf>
    <xf numFmtId="0" fontId="11" fillId="0" borderId="17" xfId="40" applyFont="1" applyBorder="1">
      <alignment/>
      <protection/>
    </xf>
    <xf numFmtId="165" fontId="11" fillId="0" borderId="0" xfId="40" applyNumberFormat="1" applyFont="1" applyAlignment="1">
      <alignment horizontal="center"/>
      <protection/>
    </xf>
    <xf numFmtId="3" fontId="11" fillId="0" borderId="0" xfId="40" applyNumberFormat="1" applyFont="1" applyBorder="1">
      <alignment/>
      <protection/>
    </xf>
    <xf numFmtId="10" fontId="11" fillId="0" borderId="3" xfId="40" applyNumberFormat="1" applyFont="1" applyBorder="1">
      <alignment/>
      <protection/>
    </xf>
    <xf numFmtId="177" fontId="11" fillId="0" borderId="0" xfId="47" applyNumberFormat="1" applyFont="1" applyAlignment="1">
      <alignment/>
    </xf>
    <xf numFmtId="177" fontId="11" fillId="0" borderId="0" xfId="40" applyNumberFormat="1" applyFont="1">
      <alignment/>
      <protection/>
    </xf>
    <xf numFmtId="177" fontId="11" fillId="0" borderId="3" xfId="40" applyNumberFormat="1" applyFont="1" applyBorder="1">
      <alignment/>
      <protection/>
    </xf>
    <xf numFmtId="3" fontId="13" fillId="0" borderId="0" xfId="40" applyNumberFormat="1" applyFont="1" applyBorder="1" applyAlignment="1">
      <alignment horizontal="centerContinuous"/>
      <protection/>
    </xf>
    <xf numFmtId="3" fontId="37" fillId="0" borderId="0" xfId="40" applyNumberFormat="1" applyFont="1" applyFill="1" applyBorder="1">
      <alignment/>
      <protection/>
    </xf>
    <xf numFmtId="10" fontId="11" fillId="0" borderId="10" xfId="40" applyNumberFormat="1" applyFont="1" applyBorder="1">
      <alignment/>
      <protection/>
    </xf>
    <xf numFmtId="10" fontId="11" fillId="0" borderId="0" xfId="40" applyNumberFormat="1" applyFont="1" applyBorder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Border="1" applyAlignment="1">
      <alignment/>
    </xf>
    <xf numFmtId="37" fontId="36" fillId="0" borderId="0" xfId="0" applyNumberFormat="1" applyFont="1" applyBorder="1" applyAlignment="1">
      <alignment/>
    </xf>
    <xf numFmtId="37" fontId="5" fillId="0" borderId="0" xfId="22" applyNumberFormat="1" applyFont="1" applyBorder="1">
      <alignment/>
      <protection/>
    </xf>
    <xf numFmtId="0" fontId="27" fillId="0" borderId="0" xfId="41" applyFont="1" applyAlignment="1">
      <alignment horizontal="centerContinuous"/>
      <protection/>
    </xf>
    <xf numFmtId="0" fontId="27" fillId="0" borderId="0" xfId="41" applyFont="1">
      <alignment/>
      <protection/>
    </xf>
    <xf numFmtId="0" fontId="27" fillId="0" borderId="0" xfId="41" applyFont="1" applyBorder="1" applyAlignment="1">
      <alignment horizontal="centerContinuous"/>
      <protection/>
    </xf>
    <xf numFmtId="0" fontId="28" fillId="0" borderId="0" xfId="41" applyFont="1" applyAlignment="1">
      <alignment horizontal="centerContinuous"/>
      <protection/>
    </xf>
    <xf numFmtId="0" fontId="28" fillId="0" borderId="0" xfId="41" applyFont="1" applyBorder="1" applyAlignment="1">
      <alignment horizontal="centerContinuous"/>
      <protection/>
    </xf>
    <xf numFmtId="0" fontId="29" fillId="0" borderId="0" xfId="41" applyFont="1">
      <alignment/>
      <protection/>
    </xf>
    <xf numFmtId="0" fontId="29" fillId="0" borderId="0" xfId="41" applyFont="1" applyAlignment="1">
      <alignment horizontal="center"/>
      <protection/>
    </xf>
    <xf numFmtId="0" fontId="29" fillId="0" borderId="0" xfId="41" applyFont="1" applyBorder="1">
      <alignment/>
      <protection/>
    </xf>
    <xf numFmtId="0" fontId="29" fillId="0" borderId="0" xfId="41" applyFont="1" applyAlignment="1">
      <alignment horizontal="right"/>
      <protection/>
    </xf>
    <xf numFmtId="0" fontId="29" fillId="0" borderId="0" xfId="41" applyFont="1" applyBorder="1" applyAlignment="1">
      <alignment horizontal="center"/>
      <protection/>
    </xf>
    <xf numFmtId="0" fontId="30" fillId="0" borderId="0" xfId="41" applyFont="1">
      <alignment/>
      <protection/>
    </xf>
    <xf numFmtId="0" fontId="29" fillId="0" borderId="3" xfId="41" applyFont="1" applyBorder="1" applyAlignment="1">
      <alignment horizontal="center"/>
      <protection/>
    </xf>
    <xf numFmtId="0" fontId="29" fillId="0" borderId="3" xfId="41" applyFont="1" applyBorder="1">
      <alignment/>
      <protection/>
    </xf>
    <xf numFmtId="0" fontId="29" fillId="0" borderId="3" xfId="41" applyFont="1" applyBorder="1" applyAlignment="1">
      <alignment horizontal="right"/>
      <protection/>
    </xf>
    <xf numFmtId="0" fontId="29" fillId="0" borderId="2" xfId="41" applyFont="1" applyBorder="1">
      <alignment/>
      <protection/>
    </xf>
    <xf numFmtId="0" fontId="29" fillId="0" borderId="4" xfId="41" applyFont="1" applyBorder="1">
      <alignment/>
      <protection/>
    </xf>
    <xf numFmtId="3" fontId="31" fillId="0" borderId="0" xfId="41" applyNumberFormat="1" applyFont="1">
      <alignment/>
      <protection/>
    </xf>
    <xf numFmtId="3" fontId="29" fillId="0" borderId="0" xfId="41" applyNumberFormat="1" applyFont="1">
      <alignment/>
      <protection/>
    </xf>
    <xf numFmtId="3" fontId="29" fillId="0" borderId="6" xfId="41" applyNumberFormat="1" applyFont="1" applyBorder="1">
      <alignment/>
      <protection/>
    </xf>
    <xf numFmtId="3" fontId="29" fillId="0" borderId="0" xfId="41" applyNumberFormat="1" applyFont="1" applyBorder="1">
      <alignment/>
      <protection/>
    </xf>
    <xf numFmtId="3" fontId="29" fillId="0" borderId="7" xfId="41" applyNumberFormat="1" applyFont="1" applyBorder="1">
      <alignment/>
      <protection/>
    </xf>
    <xf numFmtId="3" fontId="29" fillId="0" borderId="9" xfId="41" applyNumberFormat="1" applyFont="1" applyBorder="1">
      <alignment/>
      <protection/>
    </xf>
    <xf numFmtId="0" fontId="29" fillId="0" borderId="10" xfId="41" applyFont="1" applyBorder="1">
      <alignment/>
      <protection/>
    </xf>
    <xf numFmtId="0" fontId="29" fillId="0" borderId="11" xfId="41" applyFont="1" applyBorder="1">
      <alignment/>
      <protection/>
    </xf>
    <xf numFmtId="0" fontId="32" fillId="0" borderId="0" xfId="41" applyFont="1" applyBorder="1">
      <alignment/>
      <protection/>
    </xf>
    <xf numFmtId="3" fontId="33" fillId="0" borderId="0" xfId="41" applyNumberFormat="1" applyFont="1">
      <alignment/>
      <protection/>
    </xf>
    <xf numFmtId="177" fontId="29" fillId="0" borderId="0" xfId="41" applyNumberFormat="1" applyFont="1">
      <alignment/>
      <protection/>
    </xf>
    <xf numFmtId="3" fontId="34" fillId="0" borderId="0" xfId="41" applyNumberFormat="1" applyFont="1">
      <alignment/>
      <protection/>
    </xf>
    <xf numFmtId="0" fontId="29" fillId="0" borderId="0" xfId="41" applyFont="1" applyAlignment="1">
      <alignment horizontal="left"/>
      <protection/>
    </xf>
    <xf numFmtId="177" fontId="31" fillId="0" borderId="0" xfId="41" applyNumberFormat="1" applyFont="1" applyFill="1" applyBorder="1">
      <alignment/>
      <protection/>
    </xf>
    <xf numFmtId="3" fontId="31" fillId="0" borderId="0" xfId="17" applyNumberFormat="1" applyFont="1" applyBorder="1" applyAlignment="1">
      <alignment/>
    </xf>
    <xf numFmtId="177" fontId="31" fillId="0" borderId="0" xfId="41" applyNumberFormat="1" applyFont="1">
      <alignment/>
      <protection/>
    </xf>
    <xf numFmtId="3" fontId="29" fillId="0" borderId="3" xfId="41" applyNumberFormat="1" applyFont="1" applyBorder="1">
      <alignment/>
      <protection/>
    </xf>
    <xf numFmtId="3" fontId="11" fillId="0" borderId="0" xfId="41" applyNumberFormat="1" applyFont="1">
      <alignment/>
      <protection/>
    </xf>
    <xf numFmtId="0" fontId="11" fillId="0" borderId="0" xfId="41" applyFont="1">
      <alignment/>
      <protection/>
    </xf>
    <xf numFmtId="10" fontId="11" fillId="0" borderId="0" xfId="41" applyNumberFormat="1" applyFont="1">
      <alignment/>
      <protection/>
    </xf>
    <xf numFmtId="3" fontId="40" fillId="0" borderId="0" xfId="45" applyNumberFormat="1" applyFont="1">
      <alignment/>
      <protection/>
    </xf>
    <xf numFmtId="3" fontId="41" fillId="0" borderId="0" xfId="45" applyNumberFormat="1" applyFont="1" applyAlignment="1">
      <alignment horizontal="center"/>
      <protection/>
    </xf>
    <xf numFmtId="3" fontId="41" fillId="0" borderId="1" xfId="45" applyNumberFormat="1" applyFont="1" applyBorder="1" applyAlignment="1">
      <alignment horizontal="center"/>
      <protection/>
    </xf>
    <xf numFmtId="3" fontId="41" fillId="0" borderId="1" xfId="45" applyNumberFormat="1" applyFont="1" applyFill="1" applyBorder="1" applyAlignment="1">
      <alignment horizontal="center"/>
      <protection/>
    </xf>
    <xf numFmtId="3" fontId="41" fillId="0" borderId="5" xfId="45" applyNumberFormat="1" applyFont="1" applyBorder="1" applyAlignment="1">
      <alignment horizontal="center"/>
      <protection/>
    </xf>
    <xf numFmtId="3" fontId="41" fillId="0" borderId="5" xfId="45" applyNumberFormat="1" applyFont="1" applyFill="1" applyBorder="1" applyAlignment="1">
      <alignment horizontal="center"/>
      <protection/>
    </xf>
    <xf numFmtId="3" fontId="41" fillId="0" borderId="8" xfId="45" applyNumberFormat="1" applyFont="1" applyBorder="1" applyAlignment="1">
      <alignment horizontal="center"/>
      <protection/>
    </xf>
    <xf numFmtId="3" fontId="41" fillId="0" borderId="8" xfId="45" applyNumberFormat="1" applyFont="1" applyFill="1" applyBorder="1" applyAlignment="1">
      <alignment horizontal="center"/>
      <protection/>
    </xf>
    <xf numFmtId="3" fontId="40" fillId="0" borderId="0" xfId="45" applyNumberFormat="1" applyFont="1" applyAlignment="1">
      <alignment horizontal="center"/>
      <protection/>
    </xf>
    <xf numFmtId="174" fontId="40" fillId="0" borderId="0" xfId="45" applyNumberFormat="1" applyFont="1">
      <alignment/>
      <protection/>
    </xf>
    <xf numFmtId="174" fontId="40" fillId="0" borderId="0" xfId="34" applyNumberFormat="1" applyFont="1" applyFill="1">
      <alignment/>
      <protection/>
    </xf>
    <xf numFmtId="37" fontId="40" fillId="0" borderId="0" xfId="45" applyNumberFormat="1" applyFont="1">
      <alignment/>
      <protection/>
    </xf>
    <xf numFmtId="169" fontId="40" fillId="0" borderId="0" xfId="34" applyNumberFormat="1" applyFont="1" applyFill="1">
      <alignment/>
      <protection/>
    </xf>
    <xf numFmtId="37" fontId="40" fillId="0" borderId="10" xfId="45" applyNumberFormat="1" applyFont="1" applyBorder="1">
      <alignment/>
      <protection/>
    </xf>
    <xf numFmtId="169" fontId="40" fillId="0" borderId="10" xfId="34" applyNumberFormat="1" applyFont="1" applyFill="1" applyBorder="1">
      <alignment/>
      <protection/>
    </xf>
    <xf numFmtId="169" fontId="40" fillId="0" borderId="0" xfId="34" applyNumberFormat="1" applyFont="1" applyFill="1" applyBorder="1">
      <alignment/>
      <protection/>
    </xf>
    <xf numFmtId="5" fontId="40" fillId="0" borderId="12" xfId="45" applyNumberFormat="1" applyFont="1" applyBorder="1">
      <alignment/>
      <protection/>
    </xf>
    <xf numFmtId="37" fontId="40" fillId="0" borderId="3" xfId="45" applyNumberFormat="1" applyFont="1" applyBorder="1">
      <alignment/>
      <protection/>
    </xf>
    <xf numFmtId="37" fontId="40" fillId="0" borderId="0" xfId="45" applyNumberFormat="1" applyFont="1" applyBorder="1">
      <alignment/>
      <protection/>
    </xf>
    <xf numFmtId="0" fontId="40" fillId="0" borderId="0" xfId="45" applyFont="1">
      <alignment/>
      <protection/>
    </xf>
    <xf numFmtId="10" fontId="40" fillId="0" borderId="0" xfId="47" applyNumberFormat="1" applyFont="1" applyAlignment="1">
      <alignment/>
    </xf>
    <xf numFmtId="3" fontId="40" fillId="0" borderId="0" xfId="45" applyNumberFormat="1" applyFont="1" applyFill="1" applyBorder="1" applyAlignment="1">
      <alignment horizontal="center"/>
      <protection/>
    </xf>
    <xf numFmtId="37" fontId="20" fillId="0" borderId="10" xfId="46" applyNumberFormat="1" applyFont="1" applyBorder="1">
      <alignment/>
      <protection/>
    </xf>
    <xf numFmtId="0" fontId="42" fillId="0" borderId="0" xfId="41" applyFont="1" applyAlignment="1">
      <alignment horizontal="centerContinuous"/>
      <protection/>
    </xf>
    <xf numFmtId="0" fontId="43" fillId="0" borderId="0" xfId="41" applyFont="1" applyAlignment="1">
      <alignment horizontal="centerContinuous"/>
      <protection/>
    </xf>
    <xf numFmtId="0" fontId="44" fillId="0" borderId="0" xfId="41" applyFont="1">
      <alignment/>
      <protection/>
    </xf>
    <xf numFmtId="0" fontId="44" fillId="0" borderId="0" xfId="41" applyFont="1" applyAlignment="1">
      <alignment horizontal="right"/>
      <protection/>
    </xf>
    <xf numFmtId="0" fontId="44" fillId="0" borderId="3" xfId="41" applyFont="1" applyBorder="1">
      <alignment/>
      <protection/>
    </xf>
    <xf numFmtId="3" fontId="44" fillId="0" borderId="0" xfId="41" applyNumberFormat="1" applyFont="1">
      <alignment/>
      <protection/>
    </xf>
    <xf numFmtId="0" fontId="44" fillId="0" borderId="17" xfId="41" applyFont="1" applyBorder="1">
      <alignment/>
      <protection/>
    </xf>
    <xf numFmtId="3" fontId="5" fillId="0" borderId="0" xfId="45" applyNumberFormat="1" applyFont="1">
      <alignment/>
      <protection/>
    </xf>
    <xf numFmtId="3" fontId="6" fillId="0" borderId="0" xfId="45" applyNumberFormat="1" applyFont="1" applyAlignment="1">
      <alignment horizontal="center"/>
      <protection/>
    </xf>
    <xf numFmtId="3" fontId="6" fillId="0" borderId="1" xfId="45" applyNumberFormat="1" applyFont="1" applyBorder="1" applyAlignment="1">
      <alignment horizontal="center"/>
      <protection/>
    </xf>
    <xf numFmtId="3" fontId="6" fillId="0" borderId="5" xfId="45" applyNumberFormat="1" applyFont="1" applyBorder="1" applyAlignment="1">
      <alignment horizontal="center"/>
      <protection/>
    </xf>
    <xf numFmtId="3" fontId="6" fillId="0" borderId="8" xfId="45" applyNumberFormat="1" applyFont="1" applyBorder="1" applyAlignment="1">
      <alignment horizontal="center"/>
      <protection/>
    </xf>
    <xf numFmtId="3" fontId="5" fillId="0" borderId="0" xfId="45" applyNumberFormat="1" applyFont="1" applyAlignment="1">
      <alignment horizontal="center"/>
      <protection/>
    </xf>
    <xf numFmtId="37" fontId="5" fillId="0" borderId="10" xfId="45" applyNumberFormat="1" applyFont="1" applyBorder="1">
      <alignment/>
      <protection/>
    </xf>
    <xf numFmtId="5" fontId="5" fillId="0" borderId="12" xfId="45" applyNumberFormat="1" applyFont="1" applyBorder="1">
      <alignment/>
      <protection/>
    </xf>
    <xf numFmtId="37" fontId="5" fillId="0" borderId="3" xfId="45" applyNumberFormat="1" applyFont="1" applyBorder="1">
      <alignment/>
      <protection/>
    </xf>
    <xf numFmtId="165" fontId="35" fillId="0" borderId="0" xfId="40" applyNumberFormat="1" applyFont="1" applyFill="1" applyBorder="1">
      <alignment/>
      <protection/>
    </xf>
    <xf numFmtId="3" fontId="35" fillId="0" borderId="0" xfId="40" applyNumberFormat="1" applyFont="1" applyFill="1" applyBorder="1">
      <alignment/>
      <protection/>
    </xf>
    <xf numFmtId="0" fontId="27" fillId="0" borderId="0" xfId="41" applyFont="1" applyAlignment="1">
      <alignment horizontal="centerContinuous"/>
      <protection/>
    </xf>
    <xf numFmtId="0" fontId="28" fillId="0" borderId="0" xfId="41" applyFont="1" applyAlignment="1">
      <alignment horizontal="centerContinuous"/>
      <protection/>
    </xf>
    <xf numFmtId="0" fontId="29" fillId="0" borderId="17" xfId="41" applyFont="1" applyBorder="1">
      <alignment/>
      <protection/>
    </xf>
    <xf numFmtId="3" fontId="11" fillId="0" borderId="0" xfId="41" applyNumberFormat="1" applyFont="1" applyAlignment="1">
      <alignment horizontal="center"/>
      <protection/>
    </xf>
    <xf numFmtId="3" fontId="11" fillId="0" borderId="0" xfId="41" applyNumberFormat="1" applyFont="1" applyAlignment="1">
      <alignment horizontal="left"/>
      <protection/>
    </xf>
    <xf numFmtId="3" fontId="11" fillId="0" borderId="0" xfId="40" applyNumberFormat="1" applyFont="1" applyAlignment="1">
      <alignment horizontal="left"/>
      <protection/>
    </xf>
    <xf numFmtId="174" fontId="5" fillId="0" borderId="0" xfId="45" applyNumberFormat="1" applyFont="1">
      <alignment/>
      <protection/>
    </xf>
    <xf numFmtId="37" fontId="20" fillId="0" borderId="10" xfId="37" applyNumberFormat="1" applyFont="1" applyBorder="1">
      <alignment/>
      <protection/>
    </xf>
    <xf numFmtId="0" fontId="39" fillId="0" borderId="0" xfId="0" applyFont="1" applyAlignment="1">
      <alignment horizontal="center"/>
    </xf>
    <xf numFmtId="3" fontId="5" fillId="0" borderId="0" xfId="21" applyNumberFormat="1" applyFont="1" applyAlignment="1">
      <alignment horizontal="center"/>
      <protection/>
    </xf>
    <xf numFmtId="3" fontId="12" fillId="0" borderId="0" xfId="40" applyNumberFormat="1" applyFont="1" applyAlignment="1">
      <alignment horizontal="centerContinuous"/>
      <protection/>
    </xf>
    <xf numFmtId="0" fontId="12" fillId="0" borderId="0" xfId="40" applyFont="1" applyAlignment="1">
      <alignment horizontal="centerContinuous"/>
      <protection/>
    </xf>
    <xf numFmtId="0" fontId="12" fillId="0" borderId="0" xfId="40" applyFont="1">
      <alignment/>
      <protection/>
    </xf>
    <xf numFmtId="3" fontId="12" fillId="0" borderId="0" xfId="40" applyNumberFormat="1" applyFont="1">
      <alignment/>
      <protection/>
    </xf>
    <xf numFmtId="3" fontId="45" fillId="0" borderId="0" xfId="41" applyNumberFormat="1" applyFont="1" applyBorder="1" applyAlignment="1">
      <alignment horizontal="centerContinuous"/>
      <protection/>
    </xf>
    <xf numFmtId="37" fontId="46" fillId="0" borderId="0" xfId="25" applyNumberFormat="1" applyFont="1" applyProtection="1">
      <alignment/>
      <protection locked="0"/>
    </xf>
    <xf numFmtId="165" fontId="5" fillId="0" borderId="0" xfId="35" applyNumberFormat="1" applyFont="1">
      <alignment/>
      <protection/>
    </xf>
    <xf numFmtId="3" fontId="47" fillId="0" borderId="0" xfId="25" applyNumberFormat="1" applyFont="1">
      <alignment/>
      <protection/>
    </xf>
    <xf numFmtId="10" fontId="3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37" fontId="5" fillId="0" borderId="0" xfId="44" applyNumberFormat="1" applyFont="1">
      <alignment/>
      <protection/>
    </xf>
    <xf numFmtId="0" fontId="12" fillId="0" borderId="13" xfId="0" applyFont="1" applyBorder="1" applyAlignment="1">
      <alignment/>
    </xf>
    <xf numFmtId="37" fontId="6" fillId="0" borderId="15" xfId="44" applyNumberFormat="1" applyFont="1" applyBorder="1" applyAlignment="1">
      <alignment horizontal="center"/>
      <protection/>
    </xf>
    <xf numFmtId="37" fontId="6" fillId="0" borderId="14" xfId="44" applyNumberFormat="1" applyFont="1" applyBorder="1">
      <alignment/>
      <protection/>
    </xf>
    <xf numFmtId="37" fontId="5" fillId="0" borderId="0" xfId="33" applyNumberFormat="1" applyFont="1">
      <alignment/>
      <protection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44" applyNumberFormat="1" applyFont="1" applyBorder="1">
      <alignment/>
      <protection/>
    </xf>
    <xf numFmtId="5" fontId="40" fillId="0" borderId="0" xfId="0" applyNumberFormat="1" applyFont="1" applyBorder="1" applyAlignment="1">
      <alignment/>
    </xf>
    <xf numFmtId="177" fontId="5" fillId="0" borderId="10" xfId="47" applyNumberFormat="1" applyFont="1" applyBorder="1" applyAlignment="1">
      <alignment/>
    </xf>
    <xf numFmtId="219" fontId="5" fillId="0" borderId="0" xfId="15" applyNumberFormat="1" applyFont="1" applyBorder="1" applyAlignment="1">
      <alignment/>
    </xf>
    <xf numFmtId="177" fontId="5" fillId="0" borderId="0" xfId="47" applyNumberFormat="1" applyFont="1" applyAlignment="1">
      <alignment/>
    </xf>
    <xf numFmtId="5" fontId="5" fillId="0" borderId="1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10" fontId="5" fillId="0" borderId="16" xfId="47" applyNumberFormat="1" applyFont="1" applyBorder="1" applyAlignment="1">
      <alignment/>
    </xf>
    <xf numFmtId="5" fontId="5" fillId="0" borderId="18" xfId="0" applyNumberFormat="1" applyFont="1" applyBorder="1" applyAlignment="1">
      <alignment/>
    </xf>
    <xf numFmtId="177" fontId="5" fillId="0" borderId="0" xfId="47" applyNumberFormat="1" applyFont="1" applyBorder="1" applyAlignment="1">
      <alignment/>
    </xf>
    <xf numFmtId="0" fontId="48" fillId="0" borderId="0" xfId="0" applyFont="1" applyAlignment="1">
      <alignment/>
    </xf>
    <xf numFmtId="3" fontId="41" fillId="0" borderId="1" xfId="44" applyNumberFormat="1" applyFont="1" applyBorder="1" applyAlignment="1">
      <alignment horizontal="center"/>
      <protection/>
    </xf>
    <xf numFmtId="3" fontId="41" fillId="0" borderId="5" xfId="44" applyNumberFormat="1" applyFont="1" applyBorder="1" applyAlignment="1">
      <alignment horizontal="center"/>
      <protection/>
    </xf>
    <xf numFmtId="3" fontId="41" fillId="0" borderId="8" xfId="44" applyNumberFormat="1" applyFont="1" applyBorder="1" applyAlignment="1">
      <alignment horizontal="center"/>
      <protection/>
    </xf>
    <xf numFmtId="3" fontId="40" fillId="0" borderId="0" xfId="44" applyNumberFormat="1" applyFont="1" applyAlignment="1">
      <alignment horizontal="center"/>
      <protection/>
    </xf>
    <xf numFmtId="174" fontId="40" fillId="0" borderId="10" xfId="34" applyNumberFormat="1" applyFont="1" applyFill="1" applyBorder="1">
      <alignment/>
      <protection/>
    </xf>
    <xf numFmtId="3" fontId="6" fillId="0" borderId="4" xfId="45" applyNumberFormat="1" applyFont="1" applyBorder="1" applyAlignment="1">
      <alignment horizontal="center"/>
      <protection/>
    </xf>
    <xf numFmtId="3" fontId="6" fillId="0" borderId="7" xfId="45" applyNumberFormat="1" applyFont="1" applyBorder="1" applyAlignment="1">
      <alignment horizontal="center"/>
      <protection/>
    </xf>
    <xf numFmtId="3" fontId="6" fillId="0" borderId="11" xfId="45" applyNumberFormat="1" applyFont="1" applyBorder="1" applyAlignment="1">
      <alignment horizontal="center"/>
      <protection/>
    </xf>
    <xf numFmtId="37" fontId="11" fillId="0" borderId="0" xfId="41" applyNumberFormat="1" applyFont="1" applyAlignment="1">
      <alignment horizontal="right"/>
      <protection/>
    </xf>
    <xf numFmtId="37" fontId="11" fillId="0" borderId="10" xfId="40" applyNumberFormat="1" applyFont="1" applyBorder="1">
      <alignment/>
      <protection/>
    </xf>
    <xf numFmtId="37" fontId="11" fillId="0" borderId="0" xfId="40" applyNumberFormat="1" applyFont="1">
      <alignment/>
      <protection/>
    </xf>
    <xf numFmtId="37" fontId="11" fillId="0" borderId="0" xfId="40" applyNumberFormat="1" applyFont="1" applyFill="1" applyBorder="1">
      <alignment/>
      <protection/>
    </xf>
    <xf numFmtId="5" fontId="11" fillId="0" borderId="0" xfId="41" applyNumberFormat="1" applyFont="1" applyAlignment="1">
      <alignment horizontal="right"/>
      <protection/>
    </xf>
    <xf numFmtId="5" fontId="11" fillId="0" borderId="3" xfId="40" applyNumberFormat="1" applyFont="1" applyBorder="1">
      <alignment/>
      <protection/>
    </xf>
    <xf numFmtId="5" fontId="11" fillId="0" borderId="0" xfId="40" applyNumberFormat="1" applyFont="1">
      <alignment/>
      <protection/>
    </xf>
    <xf numFmtId="5" fontId="35" fillId="0" borderId="0" xfId="40" applyNumberFormat="1" applyFont="1">
      <alignment/>
      <protection/>
    </xf>
    <xf numFmtId="5" fontId="11" fillId="0" borderId="0" xfId="40" applyNumberFormat="1" applyFont="1" applyFill="1" applyBorder="1">
      <alignment/>
      <protection/>
    </xf>
    <xf numFmtId="3" fontId="41" fillId="0" borderId="4" xfId="45" applyNumberFormat="1" applyFont="1" applyBorder="1" applyAlignment="1">
      <alignment horizontal="center"/>
      <protection/>
    </xf>
    <xf numFmtId="3" fontId="41" fillId="0" borderId="7" xfId="44" applyNumberFormat="1" applyFont="1" applyBorder="1" applyAlignment="1">
      <alignment horizontal="center"/>
      <protection/>
    </xf>
    <xf numFmtId="3" fontId="41" fillId="0" borderId="11" xfId="44" applyNumberFormat="1" applyFont="1" applyBorder="1" applyAlignment="1">
      <alignment horizontal="center"/>
      <protection/>
    </xf>
    <xf numFmtId="3" fontId="25" fillId="0" borderId="0" xfId="40" applyNumberFormat="1" applyFont="1">
      <alignment/>
      <protection/>
    </xf>
    <xf numFmtId="176" fontId="50" fillId="0" borderId="0" xfId="26" applyNumberFormat="1" applyFont="1">
      <alignment/>
      <protection/>
    </xf>
    <xf numFmtId="3" fontId="40" fillId="0" borderId="1" xfId="45" applyNumberFormat="1" applyFont="1" applyFill="1" applyBorder="1" applyAlignment="1">
      <alignment horizontal="center"/>
      <protection/>
    </xf>
    <xf numFmtId="3" fontId="40" fillId="0" borderId="5" xfId="45" applyNumberFormat="1" applyFont="1" applyFill="1" applyBorder="1" applyAlignment="1">
      <alignment horizontal="center"/>
      <protection/>
    </xf>
    <xf numFmtId="3" fontId="40" fillId="0" borderId="0" xfId="45" applyNumberFormat="1" applyFont="1" applyFill="1" applyBorder="1">
      <alignment/>
      <protection/>
    </xf>
    <xf numFmtId="10" fontId="36" fillId="0" borderId="10" xfId="41" applyNumberFormat="1" applyFont="1" applyBorder="1">
      <alignment/>
      <protection/>
    </xf>
    <xf numFmtId="10" fontId="12" fillId="0" borderId="0" xfId="0" applyNumberFormat="1" applyFont="1" applyBorder="1" applyAlignment="1">
      <alignment horizontal="center"/>
    </xf>
    <xf numFmtId="5" fontId="11" fillId="0" borderId="3" xfId="0" applyNumberFormat="1" applyFont="1" applyBorder="1" applyAlignment="1">
      <alignment/>
    </xf>
    <xf numFmtId="0" fontId="5" fillId="0" borderId="0" xfId="44" applyNumberFormat="1" applyFont="1" applyAlignment="1">
      <alignment horizontal="left"/>
      <protection/>
    </xf>
    <xf numFmtId="0" fontId="5" fillId="0" borderId="0" xfId="44" applyFont="1">
      <alignment/>
      <protection/>
    </xf>
    <xf numFmtId="0" fontId="5" fillId="0" borderId="0" xfId="44" applyNumberFormat="1" applyFont="1" applyAlignment="1">
      <alignment horizontal="center"/>
      <protection/>
    </xf>
    <xf numFmtId="0" fontId="6" fillId="0" borderId="0" xfId="44" applyNumberFormat="1" applyFont="1" applyAlignment="1">
      <alignment horizontal="center"/>
      <protection/>
    </xf>
    <xf numFmtId="0" fontId="6" fillId="0" borderId="0" xfId="44" applyFont="1" applyAlignment="1">
      <alignment horizontal="center"/>
      <protection/>
    </xf>
    <xf numFmtId="3" fontId="6" fillId="0" borderId="13" xfId="0" applyNumberFormat="1" applyFont="1" applyBorder="1" applyAlignment="1">
      <alignment horizontal="centerContinuous"/>
    </xf>
    <xf numFmtId="3" fontId="6" fillId="0" borderId="15" xfId="0" applyNumberFormat="1" applyFont="1" applyBorder="1" applyAlignment="1">
      <alignment horizontal="centerContinuous"/>
    </xf>
    <xf numFmtId="3" fontId="6" fillId="0" borderId="14" xfId="0" applyNumberFormat="1" applyFont="1" applyBorder="1" applyAlignment="1">
      <alignment horizontal="centerContinuous"/>
    </xf>
    <xf numFmtId="0" fontId="6" fillId="0" borderId="1" xfId="44" applyNumberFormat="1" applyFont="1" applyBorder="1" applyAlignment="1">
      <alignment horizontal="center"/>
      <protection/>
    </xf>
    <xf numFmtId="0" fontId="6" fillId="0" borderId="2" xfId="44" applyNumberFormat="1" applyFont="1" applyBorder="1" applyAlignment="1">
      <alignment horizontal="center"/>
      <protection/>
    </xf>
    <xf numFmtId="0" fontId="6" fillId="0" borderId="2" xfId="44" applyFont="1" applyBorder="1" applyAlignment="1">
      <alignment horizontal="center"/>
      <protection/>
    </xf>
    <xf numFmtId="0" fontId="6" fillId="0" borderId="3" xfId="44" applyFont="1" applyBorder="1" applyAlignment="1">
      <alignment horizontal="center"/>
      <protection/>
    </xf>
    <xf numFmtId="0" fontId="6" fillId="0" borderId="4" xfId="44" applyFont="1" applyBorder="1" applyAlignment="1">
      <alignment horizontal="center"/>
      <protection/>
    </xf>
    <xf numFmtId="0" fontId="6" fillId="0" borderId="5" xfId="44" applyNumberFormat="1" applyFont="1" applyBorder="1" applyAlignment="1">
      <alignment horizontal="center"/>
      <protection/>
    </xf>
    <xf numFmtId="0" fontId="6" fillId="0" borderId="6" xfId="44" applyNumberFormat="1" applyFont="1" applyBorder="1" applyAlignment="1">
      <alignment horizontal="center"/>
      <protection/>
    </xf>
    <xf numFmtId="0" fontId="6" fillId="0" borderId="6" xfId="44" applyFont="1" applyBorder="1" applyAlignment="1">
      <alignment horizontal="center"/>
      <protection/>
    </xf>
    <xf numFmtId="0" fontId="6" fillId="0" borderId="0" xfId="44" applyFont="1" applyBorder="1" applyAlignment="1">
      <alignment horizontal="center"/>
      <protection/>
    </xf>
    <xf numFmtId="0" fontId="6" fillId="0" borderId="7" xfId="44" applyFont="1" applyBorder="1" applyAlignment="1">
      <alignment horizontal="center"/>
      <protection/>
    </xf>
    <xf numFmtId="0" fontId="6" fillId="0" borderId="8" xfId="44" applyNumberFormat="1" applyFont="1" applyBorder="1" applyAlignment="1">
      <alignment horizontal="center"/>
      <protection/>
    </xf>
    <xf numFmtId="0" fontId="6" fillId="0" borderId="9" xfId="44" applyNumberFormat="1" applyFont="1" applyBorder="1" applyAlignment="1">
      <alignment horizontal="center"/>
      <protection/>
    </xf>
    <xf numFmtId="0" fontId="6" fillId="0" borderId="9" xfId="44" applyFont="1" applyBorder="1" applyAlignment="1">
      <alignment horizontal="center"/>
      <protection/>
    </xf>
    <xf numFmtId="0" fontId="6" fillId="0" borderId="10" xfId="44" applyFont="1" applyBorder="1" applyAlignment="1">
      <alignment horizontal="center"/>
      <protection/>
    </xf>
    <xf numFmtId="0" fontId="6" fillId="0" borderId="11" xfId="44" applyFont="1" applyBorder="1" applyAlignment="1">
      <alignment horizontal="center"/>
      <protection/>
    </xf>
    <xf numFmtId="0" fontId="7" fillId="0" borderId="0" xfId="44" applyNumberFormat="1" applyFont="1" applyAlignment="1">
      <alignment horizontal="center"/>
      <protection/>
    </xf>
    <xf numFmtId="0" fontId="7" fillId="0" borderId="0" xfId="44" applyFont="1" applyAlignment="1">
      <alignment horizontal="center"/>
      <protection/>
    </xf>
    <xf numFmtId="10" fontId="5" fillId="0" borderId="0" xfId="45" applyNumberFormat="1" applyFont="1">
      <alignment/>
      <protection/>
    </xf>
    <xf numFmtId="37" fontId="5" fillId="0" borderId="0" xfId="44" applyNumberFormat="1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176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 horizontal="right"/>
    </xf>
    <xf numFmtId="176" fontId="11" fillId="0" borderId="0" xfId="0" applyNumberFormat="1" applyFont="1" applyAlignment="1">
      <alignment/>
    </xf>
    <xf numFmtId="176" fontId="52" fillId="0" borderId="0" xfId="0" applyNumberFormat="1" applyFont="1" applyAlignment="1">
      <alignment/>
    </xf>
    <xf numFmtId="176" fontId="11" fillId="0" borderId="15" xfId="0" applyNumberFormat="1" applyFont="1" applyBorder="1" applyAlignment="1">
      <alignment/>
    </xf>
    <xf numFmtId="10" fontId="52" fillId="0" borderId="0" xfId="0" applyNumberFormat="1" applyFont="1" applyAlignment="1">
      <alignment/>
    </xf>
    <xf numFmtId="5" fontId="11" fillId="0" borderId="0" xfId="15" applyNumberFormat="1" applyFont="1" applyAlignment="1">
      <alignment/>
    </xf>
    <xf numFmtId="219" fontId="11" fillId="0" borderId="0" xfId="15" applyNumberFormat="1" applyFont="1" applyAlignment="1">
      <alignment/>
    </xf>
    <xf numFmtId="219" fontId="11" fillId="0" borderId="15" xfId="15" applyNumberFormat="1" applyFont="1" applyBorder="1" applyAlignment="1">
      <alignment/>
    </xf>
    <xf numFmtId="219" fontId="11" fillId="0" borderId="0" xfId="15" applyNumberFormat="1" applyFont="1" applyBorder="1" applyAlignment="1">
      <alignment/>
    </xf>
    <xf numFmtId="219" fontId="11" fillId="0" borderId="10" xfId="15" applyNumberFormat="1" applyFont="1" applyBorder="1" applyAlignment="1">
      <alignment/>
    </xf>
    <xf numFmtId="165" fontId="11" fillId="0" borderId="12" xfId="15" applyNumberFormat="1" applyFont="1" applyBorder="1" applyAlignment="1">
      <alignment/>
    </xf>
    <xf numFmtId="176" fontId="12" fillId="0" borderId="0" xfId="0" applyNumberFormat="1" applyFont="1" applyAlignment="1">
      <alignment horizontal="center"/>
    </xf>
    <xf numFmtId="176" fontId="51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/>
    </xf>
    <xf numFmtId="176" fontId="11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5" fillId="0" borderId="0" xfId="45" applyNumberFormat="1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4">
    <cellStyle name="Normal" xfId="0"/>
    <cellStyle name="Comma" xfId="15"/>
    <cellStyle name="Comma [0]" xfId="16"/>
    <cellStyle name="Comma_RestateDebtInt1200case" xfId="17"/>
    <cellStyle name="Currency" xfId="18"/>
    <cellStyle name="Currency [0]" xfId="19"/>
    <cellStyle name="Normal_AR Exp Summ-Gas" xfId="20"/>
    <cellStyle name="Normal_B&amp;OElSum" xfId="21"/>
    <cellStyle name="Normal_B&amp;OGasSum" xfId="22"/>
    <cellStyle name="Normal_Bld Gain Summ-Gas" xfId="23"/>
    <cellStyle name="Normal_Bldg Lease A-S" xfId="24"/>
    <cellStyle name="Normal_Debt Int AS Elec" xfId="25"/>
    <cellStyle name="Normal_Debt Int AS Gas" xfId="26"/>
    <cellStyle name="Normal_DFIT-IdGas_SUM" xfId="27"/>
    <cellStyle name="Normal_DFIT-WaGas_SUM" xfId="28"/>
    <cellStyle name="Normal_DSMAS-Gas" xfId="29"/>
    <cellStyle name="Normal_FIT AS Gas" xfId="30"/>
    <cellStyle name="Normal_Gas" xfId="31"/>
    <cellStyle name="Normal_GasInvSum" xfId="32"/>
    <cellStyle name="Normal_IDElec6_97" xfId="33"/>
    <cellStyle name="Normal_IDGas6_97" xfId="34"/>
    <cellStyle name="Normal_InjDamSum-Elec" xfId="35"/>
    <cellStyle name="Normal_InjDamSum-Gas" xfId="36"/>
    <cellStyle name="Normal_PurGas-Summ" xfId="37"/>
    <cellStyle name="Normal_R&amp;P AS GAS" xfId="38"/>
    <cellStyle name="Normal_Reg Exp Summ-gas" xfId="39"/>
    <cellStyle name="Normal_RestateDebtInt1200" xfId="40"/>
    <cellStyle name="Normal_RestateDebtInt1200case" xfId="41"/>
    <cellStyle name="Normal_Sub Space Summ-Gas" xfId="42"/>
    <cellStyle name="Normal_UncollectSumm-Gas" xfId="43"/>
    <cellStyle name="Normal_WAElec6_97" xfId="44"/>
    <cellStyle name="Normal_WAGas6_97" xfId="45"/>
    <cellStyle name="Normal_WeatherASGas" xfId="46"/>
    <cellStyle name="Percent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1"/>
  <sheetViews>
    <sheetView showGridLines="0" tabSelected="1" zoomScale="75" zoomScaleNormal="75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D1" sqref="AD1:AD16384"/>
    </sheetView>
  </sheetViews>
  <sheetFormatPr defaultColWidth="9.140625" defaultRowHeight="12.75"/>
  <cols>
    <col min="1" max="1" width="5.7109375" style="18" customWidth="1"/>
    <col min="2" max="4" width="1.7109375" style="2" customWidth="1"/>
    <col min="5" max="5" width="28.7109375" style="2" customWidth="1"/>
    <col min="6" max="7" width="11.7109375" style="829" customWidth="1"/>
    <col min="8" max="8" width="13.421875" style="829" customWidth="1"/>
    <col min="9" max="9" width="11.7109375" style="829" customWidth="1"/>
    <col min="10" max="10" width="14.00390625" style="829" customWidth="1"/>
    <col min="11" max="11" width="11.7109375" style="829" customWidth="1"/>
    <col min="12" max="12" width="11.7109375" style="859" customWidth="1"/>
    <col min="13" max="13" width="17.7109375" style="829" bestFit="1" customWidth="1"/>
    <col min="14" max="15" width="11.7109375" style="829" customWidth="1"/>
    <col min="16" max="16" width="14.28125" style="829" bestFit="1" customWidth="1"/>
    <col min="17" max="18" width="11.7109375" style="829" customWidth="1"/>
    <col min="19" max="19" width="12.00390625" style="829" customWidth="1"/>
    <col min="20" max="21" width="11.7109375" style="829" customWidth="1"/>
    <col min="22" max="22" width="13.8515625" style="829" customWidth="1"/>
    <col min="23" max="23" width="16.00390625" style="829" customWidth="1"/>
    <col min="24" max="24" width="13.421875" style="829" customWidth="1"/>
    <col min="25" max="26" width="12.8515625" style="829" customWidth="1"/>
    <col min="27" max="27" width="11.7109375" style="829" customWidth="1"/>
    <col min="28" max="28" width="13.421875" style="829" hidden="1" customWidth="1"/>
    <col min="29" max="29" width="11.7109375" style="859" customWidth="1"/>
    <col min="30" max="33" width="11.7109375" style="829" customWidth="1"/>
    <col min="34" max="34" width="13.57421875" style="829" customWidth="1"/>
    <col min="35" max="35" width="11.7109375" style="829" customWidth="1"/>
    <col min="36" max="36" width="12.421875" style="829" customWidth="1"/>
    <col min="37" max="37" width="12.8515625" style="829" hidden="1" customWidth="1"/>
    <col min="38" max="38" width="11.7109375" style="859" customWidth="1"/>
    <col min="39" max="39" width="11.7109375" style="184" customWidth="1"/>
    <col min="40" max="16384" width="10.7109375" style="2" customWidth="1"/>
  </cols>
  <sheetData>
    <row r="1" ht="12.75">
      <c r="A1" s="1" t="str">
        <f>Inputs!$D$6</f>
        <v>AVISTA UTILITIES</v>
      </c>
    </row>
    <row r="2" ht="12.75">
      <c r="A2" s="1" t="s">
        <v>0</v>
      </c>
    </row>
    <row r="3" ht="12.75">
      <c r="A3" s="1" t="s">
        <v>1</v>
      </c>
    </row>
    <row r="4" ht="12.75">
      <c r="A4" s="1" t="str">
        <f>Inputs!$D$2</f>
        <v>TWELVE MONTHS ENDED DECEMBER 31, 2004</v>
      </c>
    </row>
    <row r="5" ht="12.75">
      <c r="A5" s="1" t="s">
        <v>2</v>
      </c>
    </row>
    <row r="6" spans="1:39" s="4" customFormat="1" ht="12.75">
      <c r="A6" s="3"/>
      <c r="F6" s="830"/>
      <c r="G6" s="830"/>
      <c r="H6" s="830"/>
      <c r="I6" s="830"/>
      <c r="J6" s="830"/>
      <c r="K6" s="830"/>
      <c r="L6" s="860"/>
      <c r="M6" s="830"/>
      <c r="N6" s="830"/>
      <c r="O6" s="830"/>
      <c r="P6" s="830"/>
      <c r="Q6" s="830"/>
      <c r="R6" s="830"/>
      <c r="S6" s="837"/>
      <c r="T6" s="830"/>
      <c r="U6" s="830"/>
      <c r="V6" s="830"/>
      <c r="W6" s="830"/>
      <c r="X6" s="837"/>
      <c r="Y6" s="830"/>
      <c r="Z6" s="830"/>
      <c r="AA6" s="830"/>
      <c r="AB6" s="837"/>
      <c r="AC6" s="860"/>
      <c r="AD6" s="830"/>
      <c r="AE6" s="830"/>
      <c r="AF6" s="830"/>
      <c r="AG6" s="830"/>
      <c r="AH6" s="830"/>
      <c r="AI6" s="830"/>
      <c r="AJ6" s="830"/>
      <c r="AK6" s="830"/>
      <c r="AL6" s="860"/>
      <c r="AM6" s="187"/>
    </row>
    <row r="7" spans="1:39" s="4" customFormat="1" ht="12" customHeight="1">
      <c r="A7" s="5"/>
      <c r="B7" s="6"/>
      <c r="C7" s="7"/>
      <c r="D7" s="7"/>
      <c r="E7" s="8"/>
      <c r="F7" s="831" t="s">
        <v>3</v>
      </c>
      <c r="G7" s="831" t="s">
        <v>4</v>
      </c>
      <c r="H7" s="831" t="s">
        <v>203</v>
      </c>
      <c r="I7" s="832"/>
      <c r="J7" s="831" t="s">
        <v>206</v>
      </c>
      <c r="K7" s="831"/>
      <c r="L7" s="861"/>
      <c r="M7" s="831" t="s">
        <v>24</v>
      </c>
      <c r="N7" s="831" t="s">
        <v>5</v>
      </c>
      <c r="O7" s="831"/>
      <c r="P7" s="831"/>
      <c r="Q7" s="831" t="s">
        <v>6</v>
      </c>
      <c r="R7" s="831" t="s">
        <v>7</v>
      </c>
      <c r="S7" s="932"/>
      <c r="T7" s="832" t="s">
        <v>294</v>
      </c>
      <c r="U7" s="831" t="s">
        <v>5</v>
      </c>
      <c r="V7" s="832" t="s">
        <v>9</v>
      </c>
      <c r="W7" s="831" t="s">
        <v>8</v>
      </c>
      <c r="X7" s="831" t="s">
        <v>10</v>
      </c>
      <c r="Y7" s="831"/>
      <c r="Z7" s="831" t="s">
        <v>344</v>
      </c>
      <c r="AA7" s="832" t="s">
        <v>8</v>
      </c>
      <c r="AB7" s="831"/>
      <c r="AC7" s="861"/>
      <c r="AD7" s="832"/>
      <c r="AE7" s="832"/>
      <c r="AF7" s="910" t="s">
        <v>28</v>
      </c>
      <c r="AG7" s="910" t="s">
        <v>28</v>
      </c>
      <c r="AH7" s="831" t="s">
        <v>311</v>
      </c>
      <c r="AI7" s="831" t="s">
        <v>311</v>
      </c>
      <c r="AJ7" s="831" t="s">
        <v>355</v>
      </c>
      <c r="AK7" s="927"/>
      <c r="AL7" s="915"/>
      <c r="AM7" s="184"/>
    </row>
    <row r="8" spans="1:39" s="4" customFormat="1" ht="12.75">
      <c r="A8" s="9" t="s">
        <v>11</v>
      </c>
      <c r="B8" s="10"/>
      <c r="C8" s="11"/>
      <c r="D8" s="11"/>
      <c r="E8" s="12"/>
      <c r="F8" s="833" t="s">
        <v>12</v>
      </c>
      <c r="G8" s="833" t="s">
        <v>13</v>
      </c>
      <c r="H8" s="833" t="s">
        <v>14</v>
      </c>
      <c r="I8" s="834" t="s">
        <v>15</v>
      </c>
      <c r="J8" s="833" t="s">
        <v>16</v>
      </c>
      <c r="K8" s="833" t="s">
        <v>17</v>
      </c>
      <c r="L8" s="862" t="s">
        <v>18</v>
      </c>
      <c r="M8" s="833" t="s">
        <v>207</v>
      </c>
      <c r="N8" s="833" t="s">
        <v>19</v>
      </c>
      <c r="O8" s="833" t="s">
        <v>20</v>
      </c>
      <c r="P8" s="833" t="s">
        <v>204</v>
      </c>
      <c r="Q8" s="833" t="s">
        <v>21</v>
      </c>
      <c r="R8" s="833" t="s">
        <v>22</v>
      </c>
      <c r="S8" s="933"/>
      <c r="T8" s="834" t="s">
        <v>295</v>
      </c>
      <c r="U8" s="833" t="s">
        <v>25</v>
      </c>
      <c r="V8" s="834" t="s">
        <v>26</v>
      </c>
      <c r="W8" s="833" t="s">
        <v>205</v>
      </c>
      <c r="X8" s="833" t="s">
        <v>21</v>
      </c>
      <c r="Y8" s="911" t="s">
        <v>83</v>
      </c>
      <c r="Z8" s="911" t="s">
        <v>353</v>
      </c>
      <c r="AA8" s="834" t="s">
        <v>23</v>
      </c>
      <c r="AB8" s="833"/>
      <c r="AC8" s="862" t="s">
        <v>27</v>
      </c>
      <c r="AD8" s="834" t="s">
        <v>293</v>
      </c>
      <c r="AE8" s="834" t="s">
        <v>28</v>
      </c>
      <c r="AF8" s="911" t="s">
        <v>304</v>
      </c>
      <c r="AG8" s="911" t="s">
        <v>304</v>
      </c>
      <c r="AH8" s="833" t="s">
        <v>15</v>
      </c>
      <c r="AI8" s="833" t="s">
        <v>360</v>
      </c>
      <c r="AJ8" s="833" t="s">
        <v>356</v>
      </c>
      <c r="AK8" s="928"/>
      <c r="AL8" s="916" t="s">
        <v>28</v>
      </c>
      <c r="AM8" s="184"/>
    </row>
    <row r="9" spans="1:39" s="4" customFormat="1" ht="12.75">
      <c r="A9" s="13" t="s">
        <v>29</v>
      </c>
      <c r="B9" s="14"/>
      <c r="C9" s="15"/>
      <c r="D9" s="15"/>
      <c r="E9" s="16" t="s">
        <v>30</v>
      </c>
      <c r="F9" s="835" t="s">
        <v>31</v>
      </c>
      <c r="G9" s="835" t="s">
        <v>32</v>
      </c>
      <c r="H9" s="835" t="s">
        <v>33</v>
      </c>
      <c r="I9" s="836" t="s">
        <v>34</v>
      </c>
      <c r="J9" s="835" t="s">
        <v>35</v>
      </c>
      <c r="K9" s="835" t="s">
        <v>36</v>
      </c>
      <c r="L9" s="863" t="s">
        <v>37</v>
      </c>
      <c r="M9" s="835" t="s">
        <v>208</v>
      </c>
      <c r="N9" s="835" t="s">
        <v>39</v>
      </c>
      <c r="O9" s="835" t="s">
        <v>40</v>
      </c>
      <c r="P9" s="835" t="s">
        <v>21</v>
      </c>
      <c r="Q9" s="835" t="s">
        <v>38</v>
      </c>
      <c r="R9" s="835" t="s">
        <v>41</v>
      </c>
      <c r="S9" s="836" t="s">
        <v>13</v>
      </c>
      <c r="T9" s="836"/>
      <c r="U9" s="835" t="s">
        <v>43</v>
      </c>
      <c r="V9" s="836" t="s">
        <v>44</v>
      </c>
      <c r="W9" s="835" t="s">
        <v>39</v>
      </c>
      <c r="X9" s="835" t="s">
        <v>38</v>
      </c>
      <c r="Y9" s="912" t="s">
        <v>38</v>
      </c>
      <c r="Z9" s="912" t="s">
        <v>38</v>
      </c>
      <c r="AA9" s="836" t="s">
        <v>42</v>
      </c>
      <c r="AB9" s="835"/>
      <c r="AC9" s="863" t="s">
        <v>45</v>
      </c>
      <c r="AD9" s="836" t="s">
        <v>28</v>
      </c>
      <c r="AE9" s="836" t="s">
        <v>300</v>
      </c>
      <c r="AF9" s="912" t="s">
        <v>305</v>
      </c>
      <c r="AG9" s="912" t="s">
        <v>306</v>
      </c>
      <c r="AH9" s="835" t="s">
        <v>361</v>
      </c>
      <c r="AI9" s="835" t="s">
        <v>38</v>
      </c>
      <c r="AJ9" s="835" t="s">
        <v>28</v>
      </c>
      <c r="AK9" s="929"/>
      <c r="AL9" s="917" t="s">
        <v>45</v>
      </c>
      <c r="AM9" s="184"/>
    </row>
    <row r="10" spans="1:39" s="17" customFormat="1" ht="12.75">
      <c r="A10" s="18"/>
      <c r="E10" s="17" t="s">
        <v>46</v>
      </c>
      <c r="F10" s="837" t="s">
        <v>47</v>
      </c>
      <c r="G10" s="837" t="s">
        <v>48</v>
      </c>
      <c r="H10" s="837" t="s">
        <v>49</v>
      </c>
      <c r="I10" s="837" t="s">
        <v>50</v>
      </c>
      <c r="J10" s="837" t="s">
        <v>51</v>
      </c>
      <c r="K10" s="837" t="s">
        <v>52</v>
      </c>
      <c r="L10" s="864" t="s">
        <v>53</v>
      </c>
      <c r="M10" s="837" t="s">
        <v>54</v>
      </c>
      <c r="N10" s="837" t="s">
        <v>120</v>
      </c>
      <c r="O10" s="837" t="s">
        <v>55</v>
      </c>
      <c r="P10" s="837" t="s">
        <v>56</v>
      </c>
      <c r="Q10" s="837" t="s">
        <v>121</v>
      </c>
      <c r="R10" s="837" t="s">
        <v>57</v>
      </c>
      <c r="S10" s="837" t="s">
        <v>58</v>
      </c>
      <c r="T10" s="850" t="s">
        <v>59</v>
      </c>
      <c r="U10" s="837" t="s">
        <v>60</v>
      </c>
      <c r="V10" s="837" t="s">
        <v>61</v>
      </c>
      <c r="W10" s="837" t="s">
        <v>62</v>
      </c>
      <c r="X10" s="837" t="s">
        <v>63</v>
      </c>
      <c r="Y10" s="913" t="s">
        <v>64</v>
      </c>
      <c r="Z10" s="913" t="s">
        <v>65</v>
      </c>
      <c r="AA10" s="850" t="s">
        <v>66</v>
      </c>
      <c r="AB10" s="837"/>
      <c r="AC10" s="864" t="s">
        <v>53</v>
      </c>
      <c r="AD10" s="850" t="s">
        <v>67</v>
      </c>
      <c r="AE10" s="850" t="s">
        <v>68</v>
      </c>
      <c r="AF10" s="850" t="s">
        <v>302</v>
      </c>
      <c r="AG10" s="850" t="s">
        <v>303</v>
      </c>
      <c r="AH10" s="837" t="s">
        <v>310</v>
      </c>
      <c r="AI10" s="837" t="s">
        <v>351</v>
      </c>
      <c r="AJ10" s="837" t="s">
        <v>354</v>
      </c>
      <c r="AK10" s="913"/>
      <c r="AL10" s="864" t="s">
        <v>53</v>
      </c>
      <c r="AM10" s="184"/>
    </row>
    <row r="11" ht="12.75">
      <c r="S11" s="934"/>
    </row>
    <row r="12" spans="2:19" ht="12.75">
      <c r="B12" s="2" t="s">
        <v>69</v>
      </c>
      <c r="S12" s="934"/>
    </row>
    <row r="13" spans="1:39" s="19" customFormat="1" ht="12.75">
      <c r="A13" s="18">
        <v>1</v>
      </c>
      <c r="C13" s="19" t="s">
        <v>70</v>
      </c>
      <c r="F13" s="838">
        <f>ResultSumGas!$F8</f>
        <v>145940</v>
      </c>
      <c r="G13" s="839">
        <f>DFITWaGas!$F8</f>
        <v>0</v>
      </c>
      <c r="H13" s="839">
        <f>BldGain!$F8</f>
        <v>0</v>
      </c>
      <c r="I13" s="839">
        <f>GasInv!$F8</f>
        <v>0</v>
      </c>
      <c r="J13" s="839">
        <f>WznDSM!$F8</f>
        <v>0</v>
      </c>
      <c r="K13" s="839">
        <f>CustAdv!$F8</f>
        <v>0</v>
      </c>
      <c r="L13" s="876">
        <f>SUM(F13:K13)</f>
        <v>145940</v>
      </c>
      <c r="M13" s="839">
        <f>RevenueNorm!$F8</f>
        <v>17505</v>
      </c>
      <c r="N13" s="839">
        <f>BandO!$F8</f>
        <v>-4180</v>
      </c>
      <c r="O13" s="839">
        <f>PropTax!$F8</f>
        <v>0</v>
      </c>
      <c r="P13" s="839">
        <f>UncollExp!$F8</f>
        <v>0</v>
      </c>
      <c r="Q13" s="839">
        <f>RegExp!$F8</f>
        <v>0</v>
      </c>
      <c r="R13" s="839">
        <f>InjDam!$F8</f>
        <v>0</v>
      </c>
      <c r="S13" s="839">
        <f>FIT!$F8</f>
        <v>0</v>
      </c>
      <c r="T13" s="839">
        <f>PayClear!$F8</f>
        <v>0</v>
      </c>
      <c r="U13" s="839">
        <f>ElimAR!$F8</f>
        <v>0</v>
      </c>
      <c r="V13" s="839">
        <f>SubSpace!$F8</f>
        <v>0</v>
      </c>
      <c r="W13" s="839">
        <f>XFranchTax!$F8</f>
        <v>0</v>
      </c>
      <c r="X13" s="839">
        <f>BldgLease!$F8</f>
        <v>0</v>
      </c>
      <c r="Y13" s="839">
        <f>Depr!$F8</f>
        <v>0</v>
      </c>
      <c r="Z13" s="839">
        <f>Incent!$F8</f>
        <v>0</v>
      </c>
      <c r="AA13" s="839">
        <f>DebtInt!$F8</f>
        <v>0</v>
      </c>
      <c r="AB13" s="839"/>
      <c r="AC13" s="876">
        <f>SUM(L13:AB13)</f>
        <v>159265</v>
      </c>
      <c r="AD13" s="839">
        <f>PFPension!$F8</f>
        <v>0</v>
      </c>
      <c r="AE13" s="839">
        <f>'PF Ins'!F8</f>
        <v>0</v>
      </c>
      <c r="AF13" s="839">
        <f>PFLabor!$F8</f>
        <v>0</v>
      </c>
      <c r="AG13" s="839">
        <f>PFExec!$F8</f>
        <v>0</v>
      </c>
      <c r="AH13" s="839">
        <f>PFGasProc!$F8</f>
        <v>0</v>
      </c>
      <c r="AI13" s="839">
        <f>PFAlloc!$F8</f>
        <v>0</v>
      </c>
      <c r="AJ13" s="839">
        <f>PFHamilton!$F8</f>
        <v>0</v>
      </c>
      <c r="AK13" s="839"/>
      <c r="AL13" s="876">
        <f>SUM(AC13:AK13)</f>
        <v>159265</v>
      </c>
      <c r="AM13" s="184"/>
    </row>
    <row r="14" spans="1:38" ht="12.75">
      <c r="A14" s="18">
        <v>2</v>
      </c>
      <c r="C14" s="20" t="s">
        <v>71</v>
      </c>
      <c r="D14" s="20"/>
      <c r="E14" s="20"/>
      <c r="F14" s="840">
        <f>ResultSumGas!$F9</f>
        <v>3643</v>
      </c>
      <c r="G14" s="841">
        <f>DFITWaGas!$F9</f>
        <v>0</v>
      </c>
      <c r="H14" s="841">
        <f>BldGain!$F9</f>
        <v>0</v>
      </c>
      <c r="I14" s="841">
        <f>GasInv!$F9</f>
        <v>0</v>
      </c>
      <c r="J14" s="841">
        <f>WznDSM!$F9</f>
        <v>0</v>
      </c>
      <c r="K14" s="841">
        <f>CustAdv!$F9</f>
        <v>0</v>
      </c>
      <c r="L14" s="20">
        <f>SUM(F14:K14)</f>
        <v>3643</v>
      </c>
      <c r="M14" s="841">
        <f>RevenueNorm!$F9</f>
        <v>-728</v>
      </c>
      <c r="N14" s="841">
        <f>BandO!$F9</f>
        <v>-73</v>
      </c>
      <c r="O14" s="841">
        <f>PropTax!$F9</f>
        <v>0</v>
      </c>
      <c r="P14" s="841">
        <f>UncollExp!$F9</f>
        <v>0</v>
      </c>
      <c r="Q14" s="841">
        <f>RegExp!$F9</f>
        <v>0</v>
      </c>
      <c r="R14" s="841">
        <f>InjDam!$F9</f>
        <v>0</v>
      </c>
      <c r="S14" s="841">
        <f>FIT!$F9</f>
        <v>0</v>
      </c>
      <c r="T14" s="841">
        <f>PayClear!$F9</f>
        <v>0</v>
      </c>
      <c r="U14" s="841">
        <f>ElimAR!$F9</f>
        <v>0</v>
      </c>
      <c r="V14" s="841">
        <f>SubSpace!$F9</f>
        <v>0</v>
      </c>
      <c r="W14" s="841">
        <f>XFranchTax!$F9</f>
        <v>0</v>
      </c>
      <c r="X14" s="841">
        <f>BldgLease!$F9</f>
        <v>0</v>
      </c>
      <c r="Y14" s="841">
        <f>Depr!$F9</f>
        <v>0</v>
      </c>
      <c r="Z14" s="841">
        <f>Incent!$F9</f>
        <v>0</v>
      </c>
      <c r="AA14" s="841">
        <f>DebtInt!$F9</f>
        <v>0</v>
      </c>
      <c r="AB14" s="841"/>
      <c r="AC14" s="20">
        <f>SUM(L14:AB14)</f>
        <v>2842</v>
      </c>
      <c r="AD14" s="841">
        <f>PFPension!$F9</f>
        <v>0</v>
      </c>
      <c r="AE14" s="839">
        <f>'PF Ins'!F9</f>
        <v>0</v>
      </c>
      <c r="AF14" s="841">
        <f>PFLabor!$F9</f>
        <v>0</v>
      </c>
      <c r="AG14" s="841">
        <f>PFExec!$F9</f>
        <v>0</v>
      </c>
      <c r="AH14" s="841">
        <f>PFGasProc!$F9</f>
        <v>0</v>
      </c>
      <c r="AI14" s="841">
        <f>PFAlloc!$F9</f>
        <v>0</v>
      </c>
      <c r="AJ14" s="841">
        <f>PFHamilton!$F9</f>
        <v>0</v>
      </c>
      <c r="AK14" s="841"/>
      <c r="AL14" s="20">
        <f>SUM(AC14:AK14)</f>
        <v>2842</v>
      </c>
    </row>
    <row r="15" spans="1:38" ht="12.75">
      <c r="A15" s="18">
        <v>3</v>
      </c>
      <c r="C15" s="20" t="s">
        <v>72</v>
      </c>
      <c r="D15" s="20"/>
      <c r="E15" s="20"/>
      <c r="F15" s="842">
        <f>ResultSumGas!$F10</f>
        <v>2168</v>
      </c>
      <c r="G15" s="843">
        <f>DFITWaGas!$F10</f>
        <v>0</v>
      </c>
      <c r="H15" s="843">
        <f>BldGain!$F10</f>
        <v>0</v>
      </c>
      <c r="I15" s="843">
        <f>GasInv!$F10</f>
        <v>0</v>
      </c>
      <c r="J15" s="843">
        <f>WznDSM!$F10</f>
        <v>0</v>
      </c>
      <c r="K15" s="843">
        <f>CustAdv!$F10</f>
        <v>0</v>
      </c>
      <c r="L15" s="865">
        <f>SUM(F15:K15)</f>
        <v>2168</v>
      </c>
      <c r="M15" s="843">
        <f>RevenueNorm!$F10</f>
        <v>0</v>
      </c>
      <c r="N15" s="843">
        <f>BandO!$F10</f>
        <v>0</v>
      </c>
      <c r="O15" s="843">
        <f>PropTax!$F10</f>
        <v>0</v>
      </c>
      <c r="P15" s="843">
        <f>UncollExp!$F10</f>
        <v>0</v>
      </c>
      <c r="Q15" s="843">
        <f>RegExp!$F10</f>
        <v>0</v>
      </c>
      <c r="R15" s="843">
        <f>InjDam!$F10</f>
        <v>0</v>
      </c>
      <c r="S15" s="843">
        <f>FIT!$F10</f>
        <v>0</v>
      </c>
      <c r="T15" s="843">
        <f>PayClear!$F10</f>
        <v>0</v>
      </c>
      <c r="U15" s="843">
        <f>ElimAR!$F10</f>
        <v>0</v>
      </c>
      <c r="V15" s="843">
        <f>SubSpace!$F10</f>
        <v>0</v>
      </c>
      <c r="W15" s="843">
        <f>XFranchTax!$F10</f>
        <v>0</v>
      </c>
      <c r="X15" s="843">
        <f>BldgLease!$F10</f>
        <v>0</v>
      </c>
      <c r="Y15" s="843">
        <f>Depr!$F10</f>
        <v>0</v>
      </c>
      <c r="Z15" s="843">
        <f>Incent!$F10</f>
        <v>0</v>
      </c>
      <c r="AA15" s="843">
        <f>DebtInt!$F10</f>
        <v>0</v>
      </c>
      <c r="AB15" s="843"/>
      <c r="AC15" s="865">
        <f>SUM(L15:AB15)</f>
        <v>2168</v>
      </c>
      <c r="AD15" s="843">
        <f>PFPension!$F10</f>
        <v>0</v>
      </c>
      <c r="AE15" s="914">
        <f>'PF Ins'!F10</f>
        <v>0</v>
      </c>
      <c r="AF15" s="843">
        <f>PFLabor!$F10</f>
        <v>0</v>
      </c>
      <c r="AG15" s="843">
        <f>PFExec!$F10</f>
        <v>0</v>
      </c>
      <c r="AH15" s="843">
        <f>PFGasProc!$F10</f>
        <v>0</v>
      </c>
      <c r="AI15" s="843">
        <f>PFAlloc!$F10</f>
        <v>0</v>
      </c>
      <c r="AJ15" s="843">
        <f>PFHamilton!$F10</f>
        <v>0</v>
      </c>
      <c r="AK15" s="843"/>
      <c r="AL15" s="865">
        <f>SUM(AC15:AK15)</f>
        <v>2168</v>
      </c>
    </row>
    <row r="16" spans="1:38" ht="12.75">
      <c r="A16" s="18">
        <v>4</v>
      </c>
      <c r="B16" s="2" t="s">
        <v>73</v>
      </c>
      <c r="C16" s="20"/>
      <c r="D16" s="20"/>
      <c r="E16" s="20"/>
      <c r="F16" s="840">
        <f aca="true" t="shared" si="0" ref="F16:T16">SUM(F13:F15)</f>
        <v>151751</v>
      </c>
      <c r="G16" s="840">
        <f t="shared" si="0"/>
        <v>0</v>
      </c>
      <c r="H16" s="840">
        <f t="shared" si="0"/>
        <v>0</v>
      </c>
      <c r="I16" s="840">
        <f t="shared" si="0"/>
        <v>0</v>
      </c>
      <c r="J16" s="840">
        <f t="shared" si="0"/>
        <v>0</v>
      </c>
      <c r="K16" s="840">
        <f t="shared" si="0"/>
        <v>0</v>
      </c>
      <c r="L16" s="20">
        <f t="shared" si="0"/>
        <v>151751</v>
      </c>
      <c r="M16" s="840">
        <f t="shared" si="0"/>
        <v>16777</v>
      </c>
      <c r="N16" s="840">
        <f t="shared" si="0"/>
        <v>-4253</v>
      </c>
      <c r="O16" s="840">
        <f t="shared" si="0"/>
        <v>0</v>
      </c>
      <c r="P16" s="840">
        <f t="shared" si="0"/>
        <v>0</v>
      </c>
      <c r="Q16" s="840">
        <f t="shared" si="0"/>
        <v>0</v>
      </c>
      <c r="R16" s="840">
        <f t="shared" si="0"/>
        <v>0</v>
      </c>
      <c r="S16" s="840">
        <f t="shared" si="0"/>
        <v>0</v>
      </c>
      <c r="T16" s="840">
        <f t="shared" si="0"/>
        <v>0</v>
      </c>
      <c r="U16" s="840">
        <f aca="true" t="shared" si="1" ref="U16:AA16">SUM(U13:U15)</f>
        <v>0</v>
      </c>
      <c r="V16" s="840">
        <f t="shared" si="1"/>
        <v>0</v>
      </c>
      <c r="W16" s="840">
        <f t="shared" si="1"/>
        <v>0</v>
      </c>
      <c r="X16" s="840">
        <f t="shared" si="1"/>
        <v>0</v>
      </c>
      <c r="Y16" s="840">
        <f t="shared" si="1"/>
        <v>0</v>
      </c>
      <c r="Z16" s="840">
        <f t="shared" si="1"/>
        <v>0</v>
      </c>
      <c r="AA16" s="840">
        <f t="shared" si="1"/>
        <v>0</v>
      </c>
      <c r="AB16" s="840"/>
      <c r="AC16" s="20">
        <f aca="true" t="shared" si="2" ref="AC16:AJ16">SUM(AC13:AC15)</f>
        <v>164275</v>
      </c>
      <c r="AD16" s="840">
        <f t="shared" si="2"/>
        <v>0</v>
      </c>
      <c r="AE16" s="840">
        <f t="shared" si="2"/>
        <v>0</v>
      </c>
      <c r="AF16" s="840">
        <f t="shared" si="2"/>
        <v>0</v>
      </c>
      <c r="AG16" s="840">
        <f t="shared" si="2"/>
        <v>0</v>
      </c>
      <c r="AH16" s="840">
        <f t="shared" si="2"/>
        <v>0</v>
      </c>
      <c r="AI16" s="840">
        <f t="shared" si="2"/>
        <v>0</v>
      </c>
      <c r="AJ16" s="840">
        <f t="shared" si="2"/>
        <v>0</v>
      </c>
      <c r="AK16" s="840"/>
      <c r="AL16" s="20">
        <f>SUM(AL13:AL15)</f>
        <v>164275</v>
      </c>
    </row>
    <row r="17" spans="3:38" ht="12.75">
      <c r="C17" s="20"/>
      <c r="D17" s="20"/>
      <c r="E17" s="20"/>
      <c r="F17" s="840"/>
      <c r="G17" s="841"/>
      <c r="H17" s="841"/>
      <c r="I17" s="841"/>
      <c r="J17" s="841"/>
      <c r="K17" s="841"/>
      <c r="L17" s="20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20"/>
      <c r="AD17" s="841"/>
      <c r="AE17" s="841"/>
      <c r="AF17" s="841"/>
      <c r="AG17" s="841"/>
      <c r="AH17" s="841"/>
      <c r="AI17" s="841"/>
      <c r="AJ17" s="841"/>
      <c r="AK17" s="841"/>
      <c r="AL17" s="20"/>
    </row>
    <row r="18" spans="2:38" ht="12.75">
      <c r="B18" s="2" t="s">
        <v>74</v>
      </c>
      <c r="C18" s="20"/>
      <c r="D18" s="20"/>
      <c r="E18" s="20"/>
      <c r="F18" s="840"/>
      <c r="G18" s="841"/>
      <c r="H18" s="841"/>
      <c r="I18" s="841"/>
      <c r="J18" s="841"/>
      <c r="K18" s="841"/>
      <c r="L18" s="20"/>
      <c r="M18" s="841"/>
      <c r="N18" s="841"/>
      <c r="O18" s="841"/>
      <c r="P18" s="841"/>
      <c r="Q18" s="841"/>
      <c r="R18" s="841"/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20"/>
      <c r="AD18" s="841"/>
      <c r="AE18" s="841"/>
      <c r="AF18" s="841"/>
      <c r="AG18" s="841"/>
      <c r="AH18" s="841"/>
      <c r="AI18" s="841"/>
      <c r="AJ18" s="841"/>
      <c r="AK18" s="841"/>
      <c r="AL18" s="20"/>
    </row>
    <row r="19" spans="1:38" ht="12.75">
      <c r="A19" s="18">
        <v>5</v>
      </c>
      <c r="C19" s="20" t="s">
        <v>75</v>
      </c>
      <c r="D19" s="20"/>
      <c r="E19" s="20"/>
      <c r="F19" s="840">
        <f>ResultSumGas!$F14</f>
        <v>0</v>
      </c>
      <c r="G19" s="841">
        <f>DFITWaGas!$F14</f>
        <v>0</v>
      </c>
      <c r="H19" s="841">
        <f>BldGain!$F14</f>
        <v>0</v>
      </c>
      <c r="I19" s="841">
        <f>GasInv!$F14</f>
        <v>0</v>
      </c>
      <c r="J19" s="841">
        <f>WznDSM!$F14</f>
        <v>0</v>
      </c>
      <c r="K19" s="841">
        <f>CustAdv!$F14</f>
        <v>0</v>
      </c>
      <c r="L19" s="20">
        <f>SUM(F19:K19)</f>
        <v>0</v>
      </c>
      <c r="M19" s="841">
        <f>RevenueNorm!$F14</f>
        <v>0</v>
      </c>
      <c r="N19" s="841">
        <f>BandO!$F14</f>
        <v>0</v>
      </c>
      <c r="O19" s="841">
        <f>PropTax!$F14</f>
        <v>0</v>
      </c>
      <c r="P19" s="841">
        <f>UncollExp!$F14</f>
        <v>0</v>
      </c>
      <c r="Q19" s="841">
        <f>RegExp!$F14</f>
        <v>0</v>
      </c>
      <c r="R19" s="841">
        <f>InjDam!$F14</f>
        <v>0</v>
      </c>
      <c r="S19" s="841">
        <f>FIT!$F14</f>
        <v>0</v>
      </c>
      <c r="T19" s="841">
        <f>PayClear!$F14</f>
        <v>0</v>
      </c>
      <c r="U19" s="841">
        <f>ElimAR!$F14</f>
        <v>0</v>
      </c>
      <c r="V19" s="841">
        <f>SubSpace!$F14</f>
        <v>0</v>
      </c>
      <c r="W19" s="841">
        <f>XFranchTax!$F14</f>
        <v>0</v>
      </c>
      <c r="X19" s="841">
        <f>BldgLease!$F14</f>
        <v>0</v>
      </c>
      <c r="Y19" s="841">
        <f>Depr!$F14</f>
        <v>0</v>
      </c>
      <c r="Z19" s="841">
        <f>Incent!$F14</f>
        <v>0</v>
      </c>
      <c r="AA19" s="841">
        <f>DebtInt!$F14</f>
        <v>0</v>
      </c>
      <c r="AB19" s="841"/>
      <c r="AC19" s="20">
        <f>SUM(L19:AB19)</f>
        <v>0</v>
      </c>
      <c r="AD19" s="841">
        <f>PFPension!$F14</f>
        <v>0</v>
      </c>
      <c r="AE19" s="839">
        <f>'PF Ins'!F14</f>
        <v>0</v>
      </c>
      <c r="AF19" s="841">
        <f>PFLabor!$F14</f>
        <v>0</v>
      </c>
      <c r="AG19" s="841">
        <f>PFExec!$F14</f>
        <v>0</v>
      </c>
      <c r="AH19" s="841">
        <f>PFGasProc!$F14</f>
        <v>0</v>
      </c>
      <c r="AI19" s="841">
        <f>PFAlloc!$F14</f>
        <v>0</v>
      </c>
      <c r="AJ19" s="841">
        <f>PFHamilton!$F14</f>
        <v>0</v>
      </c>
      <c r="AK19" s="841"/>
      <c r="AL19" s="20">
        <f>SUM(AC19:AK19)</f>
        <v>0</v>
      </c>
    </row>
    <row r="20" spans="3:38" ht="12.75">
      <c r="C20" s="20" t="s">
        <v>76</v>
      </c>
      <c r="D20" s="20"/>
      <c r="E20" s="20"/>
      <c r="F20" s="840"/>
      <c r="G20" s="841"/>
      <c r="H20" s="841"/>
      <c r="I20" s="841"/>
      <c r="J20" s="841"/>
      <c r="K20" s="841"/>
      <c r="L20" s="20"/>
      <c r="M20" s="841"/>
      <c r="N20" s="841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20"/>
      <c r="AD20" s="841"/>
      <c r="AE20" s="841"/>
      <c r="AF20" s="841"/>
      <c r="AG20" s="841"/>
      <c r="AH20" s="841"/>
      <c r="AI20" s="841"/>
      <c r="AJ20" s="841"/>
      <c r="AK20" s="841"/>
      <c r="AL20" s="20"/>
    </row>
    <row r="21" spans="1:38" ht="12.75">
      <c r="A21" s="18">
        <v>6</v>
      </c>
      <c r="C21" s="20"/>
      <c r="D21" s="20" t="s">
        <v>77</v>
      </c>
      <c r="E21" s="20"/>
      <c r="F21" s="840">
        <f>ResultSumGas!$F16</f>
        <v>100951</v>
      </c>
      <c r="G21" s="841">
        <f>DFITWaGas!$F16</f>
        <v>0</v>
      </c>
      <c r="H21" s="841">
        <f>BldGain!$F16</f>
        <v>0</v>
      </c>
      <c r="I21" s="841">
        <f>GasInv!$F16</f>
        <v>0</v>
      </c>
      <c r="J21" s="841">
        <f>WznDSM!$F16</f>
        <v>0</v>
      </c>
      <c r="K21" s="841">
        <f>CustAdv!$F16</f>
        <v>0</v>
      </c>
      <c r="L21" s="20">
        <f>SUM(F21:K21)</f>
        <v>100951</v>
      </c>
      <c r="M21" s="841">
        <f>RevenueNorm!$F16</f>
        <v>13420</v>
      </c>
      <c r="N21" s="841">
        <f>BandO!$F16</f>
        <v>0</v>
      </c>
      <c r="O21" s="841">
        <f>PropTax!$F16</f>
        <v>0</v>
      </c>
      <c r="P21" s="841">
        <f>UncollExp!$F16</f>
        <v>0</v>
      </c>
      <c r="Q21" s="841">
        <f>RegExp!$F16</f>
        <v>0</v>
      </c>
      <c r="R21" s="841">
        <f>InjDam!$F16</f>
        <v>0</v>
      </c>
      <c r="S21" s="841">
        <f>FIT!$F16</f>
        <v>0</v>
      </c>
      <c r="T21" s="841">
        <f>PayClear!$F16</f>
        <v>0</v>
      </c>
      <c r="U21" s="841">
        <f>ElimAR!$F16</f>
        <v>0</v>
      </c>
      <c r="V21" s="841">
        <f>SubSpace!$F16</f>
        <v>0</v>
      </c>
      <c r="W21" s="841">
        <f>XFranchTax!$F16</f>
        <v>0</v>
      </c>
      <c r="X21" s="841">
        <f>BldgLease!$F16</f>
        <v>0</v>
      </c>
      <c r="Y21" s="841">
        <f>Depr!$F16</f>
        <v>0</v>
      </c>
      <c r="Z21" s="841">
        <f>Incent!$F16</f>
        <v>0</v>
      </c>
      <c r="AA21" s="841">
        <f>DebtInt!$F16</f>
        <v>0</v>
      </c>
      <c r="AB21" s="841"/>
      <c r="AC21" s="20">
        <f>SUM(L21:AB21)</f>
        <v>114371</v>
      </c>
      <c r="AD21" s="841">
        <f>PFPension!$F16</f>
        <v>0</v>
      </c>
      <c r="AE21" s="839">
        <f>'PF Ins'!F16</f>
        <v>0</v>
      </c>
      <c r="AF21" s="841">
        <f>PFLabor!$F16</f>
        <v>0</v>
      </c>
      <c r="AG21" s="841">
        <f>PFExec!$F16</f>
        <v>0</v>
      </c>
      <c r="AH21" s="841">
        <f>PFGasProc!$F16</f>
        <v>0</v>
      </c>
      <c r="AI21" s="841">
        <f>PFAlloc!$F16</f>
        <v>0</v>
      </c>
      <c r="AJ21" s="841">
        <f>PFHamilton!$F16</f>
        <v>0</v>
      </c>
      <c r="AK21" s="841"/>
      <c r="AL21" s="20">
        <f>SUM(AC21:AK21)</f>
        <v>114371</v>
      </c>
    </row>
    <row r="22" spans="1:38" ht="12.75">
      <c r="A22" s="18">
        <v>7</v>
      </c>
      <c r="C22" s="20"/>
      <c r="D22" s="20" t="s">
        <v>78</v>
      </c>
      <c r="E22" s="20"/>
      <c r="F22" s="840">
        <f>ResultSumGas!$F17</f>
        <v>329</v>
      </c>
      <c r="G22" s="841">
        <f>DFITWaGas!$F17</f>
        <v>0</v>
      </c>
      <c r="H22" s="841">
        <f>BldGain!$F17</f>
        <v>0</v>
      </c>
      <c r="I22" s="841">
        <f>GasInv!$F17</f>
        <v>0</v>
      </c>
      <c r="J22" s="841">
        <f>WznDSM!$F17</f>
        <v>0</v>
      </c>
      <c r="K22" s="841">
        <f>CustAdv!$F17</f>
        <v>0</v>
      </c>
      <c r="L22" s="20">
        <f>SUM(F22:K22)</f>
        <v>329</v>
      </c>
      <c r="M22" s="841">
        <f>RevenueNorm!$F17</f>
        <v>48</v>
      </c>
      <c r="N22" s="841">
        <f>BandO!$F17</f>
        <v>0</v>
      </c>
      <c r="O22" s="841">
        <f>PropTax!$F17</f>
        <v>0</v>
      </c>
      <c r="P22" s="841">
        <f>UncollExp!$F17</f>
        <v>0</v>
      </c>
      <c r="Q22" s="841">
        <f>RegExp!$F17</f>
        <v>0</v>
      </c>
      <c r="R22" s="841">
        <f>InjDam!$F17</f>
        <v>0</v>
      </c>
      <c r="S22" s="841">
        <f>FIT!$F17</f>
        <v>0</v>
      </c>
      <c r="T22" s="841">
        <f>PayClear!$F17</f>
        <v>-8</v>
      </c>
      <c r="U22" s="841">
        <f>ElimAR!$F17</f>
        <v>0</v>
      </c>
      <c r="V22" s="841">
        <f>SubSpace!$F17</f>
        <v>0</v>
      </c>
      <c r="W22" s="841">
        <f>XFranchTax!$F17</f>
        <v>0</v>
      </c>
      <c r="X22" s="841">
        <f>BldgLease!$F17</f>
        <v>0</v>
      </c>
      <c r="Y22" s="841">
        <f>Depr!$F17</f>
        <v>0</v>
      </c>
      <c r="Z22" s="841">
        <f>Incent!$F17</f>
        <v>0</v>
      </c>
      <c r="AA22" s="841">
        <f>DebtInt!$F17</f>
        <v>0</v>
      </c>
      <c r="AB22" s="841"/>
      <c r="AC22" s="20">
        <f>SUM(L22:AB22)</f>
        <v>369</v>
      </c>
      <c r="AD22" s="841">
        <f>PFPension!$F17</f>
        <v>-4</v>
      </c>
      <c r="AE22" s="839">
        <f>'PF Ins'!F17</f>
        <v>0</v>
      </c>
      <c r="AF22" s="841">
        <f>PFLabor!$F17</f>
        <v>12</v>
      </c>
      <c r="AG22" s="841">
        <f>PFExec!$F17</f>
        <v>0</v>
      </c>
      <c r="AH22" s="841">
        <f>PFGasProc!$F17</f>
        <v>173</v>
      </c>
      <c r="AI22" s="841">
        <f>PFAlloc!$F17</f>
        <v>0</v>
      </c>
      <c r="AJ22" s="841">
        <f>PFHamilton!$F17</f>
        <v>0</v>
      </c>
      <c r="AK22" s="841"/>
      <c r="AL22" s="20">
        <f>SUM(AC22:AK22)</f>
        <v>550</v>
      </c>
    </row>
    <row r="23" spans="1:38" ht="12.75">
      <c r="A23" s="18">
        <v>8</v>
      </c>
      <c r="C23" s="20"/>
      <c r="D23" s="20" t="s">
        <v>79</v>
      </c>
      <c r="E23" s="20"/>
      <c r="F23" s="842">
        <f>ResultSumGas!$F18</f>
        <v>0</v>
      </c>
      <c r="G23" s="843">
        <f>DFITWaGas!$F18</f>
        <v>0</v>
      </c>
      <c r="H23" s="843">
        <f>BldGain!$F18</f>
        <v>0</v>
      </c>
      <c r="I23" s="843">
        <f>GasInv!$F18</f>
        <v>0</v>
      </c>
      <c r="J23" s="843">
        <f>WznDSM!$F18</f>
        <v>0</v>
      </c>
      <c r="K23" s="843">
        <f>CustAdv!$F18</f>
        <v>0</v>
      </c>
      <c r="L23" s="865">
        <f>SUM(F23:K23)</f>
        <v>0</v>
      </c>
      <c r="M23" s="843">
        <f>RevenueNorm!$F18</f>
        <v>0</v>
      </c>
      <c r="N23" s="843">
        <f>BandO!$F18</f>
        <v>0</v>
      </c>
      <c r="O23" s="843">
        <f>PropTax!$F18</f>
        <v>0</v>
      </c>
      <c r="P23" s="843">
        <f>UncollExp!$F18</f>
        <v>0</v>
      </c>
      <c r="Q23" s="843">
        <f>RegExp!$F18</f>
        <v>0</v>
      </c>
      <c r="R23" s="843">
        <f>InjDam!$F18</f>
        <v>0</v>
      </c>
      <c r="S23" s="843">
        <f>FIT!$F18</f>
        <v>0</v>
      </c>
      <c r="T23" s="843">
        <f>PayClear!$F18</f>
        <v>0</v>
      </c>
      <c r="U23" s="843">
        <f>ElimAR!$F18</f>
        <v>0</v>
      </c>
      <c r="V23" s="843">
        <f>SubSpace!$F18</f>
        <v>0</v>
      </c>
      <c r="W23" s="843">
        <f>XFranchTax!$F18</f>
        <v>0</v>
      </c>
      <c r="X23" s="843">
        <f>BldgLease!$F18</f>
        <v>0</v>
      </c>
      <c r="Y23" s="843">
        <f>Depr!$F18</f>
        <v>0</v>
      </c>
      <c r="Z23" s="843">
        <f>Incent!$F18</f>
        <v>0</v>
      </c>
      <c r="AA23" s="843">
        <f>DebtInt!$F18</f>
        <v>0</v>
      </c>
      <c r="AB23" s="843"/>
      <c r="AC23" s="865">
        <f>SUM(L23:AB23)</f>
        <v>0</v>
      </c>
      <c r="AD23" s="843">
        <f>PFPension!$F18</f>
        <v>0</v>
      </c>
      <c r="AE23" s="914">
        <f>'PF Ins'!F18</f>
        <v>0</v>
      </c>
      <c r="AF23" s="843">
        <f>PFLabor!$F18</f>
        <v>0</v>
      </c>
      <c r="AG23" s="843">
        <f>PFExec!$F18</f>
        <v>0</v>
      </c>
      <c r="AH23" s="843">
        <f>PFGasProc!$F18</f>
        <v>0</v>
      </c>
      <c r="AI23" s="843">
        <f>PFAlloc!$F18</f>
        <v>0</v>
      </c>
      <c r="AJ23" s="843">
        <f>PFHamilton!$F18</f>
        <v>0</v>
      </c>
      <c r="AK23" s="843"/>
      <c r="AL23" s="865">
        <f>SUM(AC23:AK23)</f>
        <v>0</v>
      </c>
    </row>
    <row r="24" spans="1:38" ht="12.75">
      <c r="A24" s="18">
        <v>9</v>
      </c>
      <c r="C24" s="20"/>
      <c r="D24" s="20"/>
      <c r="E24" s="20" t="s">
        <v>80</v>
      </c>
      <c r="F24" s="840">
        <f aca="true" t="shared" si="3" ref="F24:T24">SUM(F20:F23)</f>
        <v>101280</v>
      </c>
      <c r="G24" s="840">
        <f t="shared" si="3"/>
        <v>0</v>
      </c>
      <c r="H24" s="840">
        <f t="shared" si="3"/>
        <v>0</v>
      </c>
      <c r="I24" s="840">
        <f t="shared" si="3"/>
        <v>0</v>
      </c>
      <c r="J24" s="840">
        <f t="shared" si="3"/>
        <v>0</v>
      </c>
      <c r="K24" s="840">
        <f t="shared" si="3"/>
        <v>0</v>
      </c>
      <c r="L24" s="20">
        <f t="shared" si="3"/>
        <v>101280</v>
      </c>
      <c r="M24" s="840">
        <f t="shared" si="3"/>
        <v>13468</v>
      </c>
      <c r="N24" s="840">
        <f t="shared" si="3"/>
        <v>0</v>
      </c>
      <c r="O24" s="840">
        <f t="shared" si="3"/>
        <v>0</v>
      </c>
      <c r="P24" s="840">
        <f t="shared" si="3"/>
        <v>0</v>
      </c>
      <c r="Q24" s="840">
        <f t="shared" si="3"/>
        <v>0</v>
      </c>
      <c r="R24" s="840">
        <f t="shared" si="3"/>
        <v>0</v>
      </c>
      <c r="S24" s="840">
        <f t="shared" si="3"/>
        <v>0</v>
      </c>
      <c r="T24" s="840">
        <f t="shared" si="3"/>
        <v>-8</v>
      </c>
      <c r="U24" s="840">
        <f aca="true" t="shared" si="4" ref="U24:AA24">SUM(U20:U23)</f>
        <v>0</v>
      </c>
      <c r="V24" s="840">
        <f t="shared" si="4"/>
        <v>0</v>
      </c>
      <c r="W24" s="840">
        <f t="shared" si="4"/>
        <v>0</v>
      </c>
      <c r="X24" s="840">
        <f t="shared" si="4"/>
        <v>0</v>
      </c>
      <c r="Y24" s="840">
        <f t="shared" si="4"/>
        <v>0</v>
      </c>
      <c r="Z24" s="840">
        <f t="shared" si="4"/>
        <v>0</v>
      </c>
      <c r="AA24" s="840">
        <f t="shared" si="4"/>
        <v>0</v>
      </c>
      <c r="AB24" s="840"/>
      <c r="AC24" s="20">
        <f aca="true" t="shared" si="5" ref="AC24:AJ24">SUM(AC20:AC23)</f>
        <v>114740</v>
      </c>
      <c r="AD24" s="840">
        <f t="shared" si="5"/>
        <v>-4</v>
      </c>
      <c r="AE24" s="840">
        <f t="shared" si="5"/>
        <v>0</v>
      </c>
      <c r="AF24" s="840">
        <f t="shared" si="5"/>
        <v>12</v>
      </c>
      <c r="AG24" s="840">
        <f t="shared" si="5"/>
        <v>0</v>
      </c>
      <c r="AH24" s="840">
        <f t="shared" si="5"/>
        <v>173</v>
      </c>
      <c r="AI24" s="840">
        <f t="shared" si="5"/>
        <v>0</v>
      </c>
      <c r="AJ24" s="840">
        <f t="shared" si="5"/>
        <v>0</v>
      </c>
      <c r="AK24" s="840"/>
      <c r="AL24" s="20">
        <f>SUM(AL20:AL23)</f>
        <v>114921</v>
      </c>
    </row>
    <row r="25" spans="3:38" ht="12.75">
      <c r="C25" s="20" t="s">
        <v>81</v>
      </c>
      <c r="D25" s="20"/>
      <c r="E25" s="20"/>
      <c r="F25" s="840"/>
      <c r="G25" s="841"/>
      <c r="H25" s="841"/>
      <c r="I25" s="841"/>
      <c r="J25" s="841"/>
      <c r="K25" s="841"/>
      <c r="L25" s="20"/>
      <c r="M25" s="841"/>
      <c r="N25" s="841"/>
      <c r="O25" s="841"/>
      <c r="P25" s="841"/>
      <c r="Q25" s="841"/>
      <c r="R25" s="841"/>
      <c r="S25" s="841"/>
      <c r="T25" s="841"/>
      <c r="U25" s="841"/>
      <c r="V25" s="841"/>
      <c r="W25" s="841"/>
      <c r="X25" s="841"/>
      <c r="Y25" s="841"/>
      <c r="Z25" s="841"/>
      <c r="AA25" s="841"/>
      <c r="AB25" s="841"/>
      <c r="AC25" s="20"/>
      <c r="AD25" s="841"/>
      <c r="AE25" s="841"/>
      <c r="AF25" s="841"/>
      <c r="AG25" s="841"/>
      <c r="AH25" s="841"/>
      <c r="AI25" s="841"/>
      <c r="AJ25" s="841"/>
      <c r="AK25" s="841"/>
      <c r="AL25" s="20"/>
    </row>
    <row r="26" spans="1:38" ht="12.75">
      <c r="A26" s="18">
        <v>10</v>
      </c>
      <c r="C26" s="20"/>
      <c r="D26" s="20" t="s">
        <v>82</v>
      </c>
      <c r="E26" s="20"/>
      <c r="F26" s="840">
        <f>ResultSumGas!$F21</f>
        <v>381</v>
      </c>
      <c r="G26" s="841">
        <f>DFITWaGas!$F21</f>
        <v>0</v>
      </c>
      <c r="H26" s="841">
        <f>BldGain!$F21</f>
        <v>0</v>
      </c>
      <c r="I26" s="841">
        <f>GasInv!$F21</f>
        <v>0</v>
      </c>
      <c r="J26" s="841">
        <f>WznDSM!$F21</f>
        <v>0</v>
      </c>
      <c r="K26" s="841">
        <f>CustAdv!$F21</f>
        <v>0</v>
      </c>
      <c r="L26" s="20">
        <f>SUM(F26:K26)</f>
        <v>381</v>
      </c>
      <c r="M26" s="841">
        <f>RevenueNorm!$F21</f>
        <v>0</v>
      </c>
      <c r="N26" s="841">
        <f>BandO!$F21</f>
        <v>0</v>
      </c>
      <c r="O26" s="841">
        <f>PropTax!$F21</f>
        <v>0</v>
      </c>
      <c r="P26" s="841">
        <f>UncollExp!$F21</f>
        <v>0</v>
      </c>
      <c r="Q26" s="841">
        <f>RegExp!$F21</f>
        <v>0</v>
      </c>
      <c r="R26" s="841">
        <f>InjDam!$F21</f>
        <v>0</v>
      </c>
      <c r="S26" s="841">
        <f>FIT!$F21</f>
        <v>0</v>
      </c>
      <c r="T26" s="841">
        <f>PayClear!$F21</f>
        <v>0</v>
      </c>
      <c r="U26" s="841">
        <f>ElimAR!$F21</f>
        <v>0</v>
      </c>
      <c r="V26" s="841">
        <f>SubSpace!$F21</f>
        <v>0</v>
      </c>
      <c r="W26" s="841">
        <f>XFranchTax!$F21</f>
        <v>0</v>
      </c>
      <c r="X26" s="841">
        <f>BldgLease!$F21</f>
        <v>0</v>
      </c>
      <c r="Y26" s="841">
        <f>Depr!$F21</f>
        <v>0</v>
      </c>
      <c r="Z26" s="841">
        <f>Incent!$F21</f>
        <v>0</v>
      </c>
      <c r="AA26" s="841">
        <f>DebtInt!$F21</f>
        <v>0</v>
      </c>
      <c r="AB26" s="841"/>
      <c r="AC26" s="20">
        <f>SUM(L26:AB26)</f>
        <v>381</v>
      </c>
      <c r="AD26" s="841">
        <f>PFPension!$F21</f>
        <v>0</v>
      </c>
      <c r="AE26" s="839">
        <f>'PF Ins'!F21</f>
        <v>0</v>
      </c>
      <c r="AF26" s="841">
        <f>PFLabor!$F21</f>
        <v>1</v>
      </c>
      <c r="AG26" s="841">
        <f>PFExec!$F21</f>
        <v>0</v>
      </c>
      <c r="AH26" s="841">
        <f>PFGasProc!$F21</f>
        <v>0</v>
      </c>
      <c r="AI26" s="841">
        <f>PFAlloc!$F21</f>
        <v>0</v>
      </c>
      <c r="AJ26" s="841">
        <f>PFHamilton!$F21</f>
        <v>0</v>
      </c>
      <c r="AK26" s="841"/>
      <c r="AL26" s="20">
        <f>SUM(AC26:AK26)</f>
        <v>382</v>
      </c>
    </row>
    <row r="27" spans="1:38" ht="12.75">
      <c r="A27" s="18">
        <v>11</v>
      </c>
      <c r="C27" s="20"/>
      <c r="D27" s="20" t="s">
        <v>83</v>
      </c>
      <c r="E27" s="20"/>
      <c r="F27" s="840">
        <f>ResultSumGas!$F22</f>
        <v>313</v>
      </c>
      <c r="G27" s="841">
        <f>DFITWaGas!$F22</f>
        <v>0</v>
      </c>
      <c r="H27" s="841">
        <f>BldGain!$F22</f>
        <v>0</v>
      </c>
      <c r="I27" s="841">
        <f>GasInv!$F22</f>
        <v>0</v>
      </c>
      <c r="J27" s="841">
        <f>WznDSM!$F22</f>
        <v>0</v>
      </c>
      <c r="K27" s="841">
        <f>CustAdv!$F22</f>
        <v>0</v>
      </c>
      <c r="L27" s="20">
        <f>SUM(F27:K27)</f>
        <v>313</v>
      </c>
      <c r="M27" s="841">
        <f>RevenueNorm!$F22</f>
        <v>0</v>
      </c>
      <c r="N27" s="841">
        <f>BandO!$F22</f>
        <v>0</v>
      </c>
      <c r="O27" s="841">
        <f>PropTax!$F22</f>
        <v>0</v>
      </c>
      <c r="P27" s="841">
        <f>UncollExp!$F22</f>
        <v>0</v>
      </c>
      <c r="Q27" s="841">
        <f>RegExp!$F22</f>
        <v>0</v>
      </c>
      <c r="R27" s="841">
        <f>InjDam!$F22</f>
        <v>0</v>
      </c>
      <c r="S27" s="841">
        <f>FIT!$F22</f>
        <v>0</v>
      </c>
      <c r="T27" s="841">
        <f>PayClear!$F22</f>
        <v>0</v>
      </c>
      <c r="U27" s="841">
        <f>ElimAR!$F22</f>
        <v>0</v>
      </c>
      <c r="V27" s="841">
        <f>SubSpace!$F22</f>
        <v>0</v>
      </c>
      <c r="W27" s="841">
        <f>XFranchTax!$F22</f>
        <v>0</v>
      </c>
      <c r="X27" s="841">
        <f>BldgLease!$F22</f>
        <v>0</v>
      </c>
      <c r="Y27" s="841">
        <f>Depr!$F22</f>
        <v>-4</v>
      </c>
      <c r="Z27" s="841">
        <f>Incent!$F22</f>
        <v>0</v>
      </c>
      <c r="AA27" s="841">
        <f>DebtInt!$F22</f>
        <v>0</v>
      </c>
      <c r="AB27" s="841"/>
      <c r="AC27" s="20">
        <f>SUM(L27:AB27)</f>
        <v>309</v>
      </c>
      <c r="AD27" s="841">
        <f>PFPension!$F22</f>
        <v>0</v>
      </c>
      <c r="AE27" s="839">
        <f>'PF Ins'!F22</f>
        <v>0</v>
      </c>
      <c r="AF27" s="841">
        <f>PFLabor!$F22</f>
        <v>0</v>
      </c>
      <c r="AG27" s="841">
        <f>PFExec!$F22</f>
        <v>0</v>
      </c>
      <c r="AH27" s="841">
        <f>PFGasProc!$F22</f>
        <v>0</v>
      </c>
      <c r="AI27" s="841">
        <f>PFAlloc!$F22</f>
        <v>0</v>
      </c>
      <c r="AJ27" s="841">
        <f>PFHamilton!$F22</f>
        <v>0</v>
      </c>
      <c r="AK27" s="841"/>
      <c r="AL27" s="20">
        <f>SUM(AC27:AK27)</f>
        <v>309</v>
      </c>
    </row>
    <row r="28" spans="1:38" ht="12.75">
      <c r="A28" s="18">
        <v>12</v>
      </c>
      <c r="C28" s="20"/>
      <c r="D28" s="20" t="s">
        <v>39</v>
      </c>
      <c r="E28" s="20"/>
      <c r="F28" s="842">
        <f>ResultSumGas!$F23</f>
        <v>124</v>
      </c>
      <c r="G28" s="843">
        <f>DFITWaGas!$F23</f>
        <v>0</v>
      </c>
      <c r="H28" s="843">
        <f>BldGain!$F23</f>
        <v>0</v>
      </c>
      <c r="I28" s="843">
        <f>GasInv!$F23</f>
        <v>0</v>
      </c>
      <c r="J28" s="843">
        <f>WznDSM!$F23</f>
        <v>0</v>
      </c>
      <c r="K28" s="843">
        <f>CustAdv!$F23</f>
        <v>0</v>
      </c>
      <c r="L28" s="865">
        <f>SUM(F28:K28)</f>
        <v>124</v>
      </c>
      <c r="M28" s="843">
        <f>RevenueNorm!$F23</f>
        <v>0</v>
      </c>
      <c r="N28" s="843">
        <f>BandO!$F23</f>
        <v>0</v>
      </c>
      <c r="O28" s="843">
        <f>PropTax!$F23</f>
        <v>-4</v>
      </c>
      <c r="P28" s="843">
        <f>UncollExp!$F23</f>
        <v>0</v>
      </c>
      <c r="Q28" s="843">
        <f>RegExp!$F23</f>
        <v>0</v>
      </c>
      <c r="R28" s="843">
        <f>InjDam!$F23</f>
        <v>0</v>
      </c>
      <c r="S28" s="843">
        <f>FIT!$F23</f>
        <v>0</v>
      </c>
      <c r="T28" s="843">
        <f>PayClear!$F23</f>
        <v>0</v>
      </c>
      <c r="U28" s="843">
        <f>ElimAR!$F23</f>
        <v>0</v>
      </c>
      <c r="V28" s="843">
        <f>SubSpace!$F23</f>
        <v>0</v>
      </c>
      <c r="W28" s="843">
        <f>XFranchTax!$F23</f>
        <v>0</v>
      </c>
      <c r="X28" s="843">
        <f>BldgLease!$F23</f>
        <v>0</v>
      </c>
      <c r="Y28" s="843">
        <f>Depr!$F23</f>
        <v>0</v>
      </c>
      <c r="Z28" s="843">
        <f>Incent!$F23</f>
        <v>0</v>
      </c>
      <c r="AA28" s="843">
        <f>DebtInt!$F23</f>
        <v>0</v>
      </c>
      <c r="AB28" s="843"/>
      <c r="AC28" s="865">
        <f>SUM(L28:AB28)</f>
        <v>120</v>
      </c>
      <c r="AD28" s="843">
        <f>PFPension!$F23</f>
        <v>0</v>
      </c>
      <c r="AE28" s="914">
        <f>'PF Ins'!F23</f>
        <v>0</v>
      </c>
      <c r="AF28" s="843">
        <f>PFLabor!$F23</f>
        <v>0</v>
      </c>
      <c r="AG28" s="843">
        <f>PFExec!$F23</f>
        <v>0</v>
      </c>
      <c r="AH28" s="843">
        <f>PFGasProc!$F23</f>
        <v>0</v>
      </c>
      <c r="AI28" s="843">
        <f>PFAlloc!$F23</f>
        <v>0</v>
      </c>
      <c r="AJ28" s="843">
        <f>PFHamilton!$F23</f>
        <v>0</v>
      </c>
      <c r="AK28" s="843"/>
      <c r="AL28" s="865">
        <f>SUM(AC28:AK28)</f>
        <v>120</v>
      </c>
    </row>
    <row r="29" spans="1:38" ht="12.75">
      <c r="A29" s="18">
        <v>13</v>
      </c>
      <c r="C29" s="20"/>
      <c r="D29" s="20"/>
      <c r="E29" s="20" t="s">
        <v>84</v>
      </c>
      <c r="F29" s="840">
        <f aca="true" t="shared" si="6" ref="F29:T29">SUM(F26:F28)</f>
        <v>818</v>
      </c>
      <c r="G29" s="840">
        <f t="shared" si="6"/>
        <v>0</v>
      </c>
      <c r="H29" s="840">
        <f t="shared" si="6"/>
        <v>0</v>
      </c>
      <c r="I29" s="840">
        <f t="shared" si="6"/>
        <v>0</v>
      </c>
      <c r="J29" s="840">
        <f t="shared" si="6"/>
        <v>0</v>
      </c>
      <c r="K29" s="840">
        <f t="shared" si="6"/>
        <v>0</v>
      </c>
      <c r="L29" s="20">
        <f t="shared" si="6"/>
        <v>818</v>
      </c>
      <c r="M29" s="840">
        <f t="shared" si="6"/>
        <v>0</v>
      </c>
      <c r="N29" s="840">
        <f t="shared" si="6"/>
        <v>0</v>
      </c>
      <c r="O29" s="840">
        <f t="shared" si="6"/>
        <v>-4</v>
      </c>
      <c r="P29" s="840">
        <f t="shared" si="6"/>
        <v>0</v>
      </c>
      <c r="Q29" s="840">
        <f t="shared" si="6"/>
        <v>0</v>
      </c>
      <c r="R29" s="840">
        <f t="shared" si="6"/>
        <v>0</v>
      </c>
      <c r="S29" s="840">
        <f t="shared" si="6"/>
        <v>0</v>
      </c>
      <c r="T29" s="840">
        <f t="shared" si="6"/>
        <v>0</v>
      </c>
      <c r="U29" s="840">
        <f aca="true" t="shared" si="7" ref="U29:AA29">SUM(U26:U28)</f>
        <v>0</v>
      </c>
      <c r="V29" s="840">
        <f t="shared" si="7"/>
        <v>0</v>
      </c>
      <c r="W29" s="840">
        <f t="shared" si="7"/>
        <v>0</v>
      </c>
      <c r="X29" s="840">
        <f t="shared" si="7"/>
        <v>0</v>
      </c>
      <c r="Y29" s="840">
        <f t="shared" si="7"/>
        <v>-4</v>
      </c>
      <c r="Z29" s="840">
        <f t="shared" si="7"/>
        <v>0</v>
      </c>
      <c r="AA29" s="840">
        <f t="shared" si="7"/>
        <v>0</v>
      </c>
      <c r="AB29" s="840"/>
      <c r="AC29" s="20">
        <f aca="true" t="shared" si="8" ref="AC29:AJ29">SUM(AC26:AC28)</f>
        <v>810</v>
      </c>
      <c r="AD29" s="840">
        <f t="shared" si="8"/>
        <v>0</v>
      </c>
      <c r="AE29" s="840">
        <f t="shared" si="8"/>
        <v>0</v>
      </c>
      <c r="AF29" s="840">
        <f t="shared" si="8"/>
        <v>1</v>
      </c>
      <c r="AG29" s="840">
        <f t="shared" si="8"/>
        <v>0</v>
      </c>
      <c r="AH29" s="840">
        <f t="shared" si="8"/>
        <v>0</v>
      </c>
      <c r="AI29" s="840">
        <f t="shared" si="8"/>
        <v>0</v>
      </c>
      <c r="AJ29" s="840">
        <f t="shared" si="8"/>
        <v>0</v>
      </c>
      <c r="AK29" s="840"/>
      <c r="AL29" s="20">
        <f>SUM(AL26:AL28)</f>
        <v>811</v>
      </c>
    </row>
    <row r="30" spans="3:38" ht="12.75">
      <c r="C30" s="20" t="s">
        <v>85</v>
      </c>
      <c r="D30" s="20"/>
      <c r="E30" s="20"/>
      <c r="F30" s="840"/>
      <c r="G30" s="841"/>
      <c r="H30" s="841"/>
      <c r="I30" s="841"/>
      <c r="J30" s="841"/>
      <c r="K30" s="841"/>
      <c r="L30" s="20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1"/>
      <c r="Z30" s="841"/>
      <c r="AA30" s="841"/>
      <c r="AB30" s="841"/>
      <c r="AC30" s="20"/>
      <c r="AD30" s="841"/>
      <c r="AE30" s="841"/>
      <c r="AF30" s="841"/>
      <c r="AG30" s="841"/>
      <c r="AH30" s="841"/>
      <c r="AI30" s="841"/>
      <c r="AJ30" s="841"/>
      <c r="AK30" s="841"/>
      <c r="AL30" s="20"/>
    </row>
    <row r="31" spans="1:38" ht="12.75">
      <c r="A31" s="18">
        <v>14</v>
      </c>
      <c r="C31" s="20"/>
      <c r="D31" s="20" t="s">
        <v>82</v>
      </c>
      <c r="E31" s="20"/>
      <c r="F31" s="840">
        <f>ResultSumGas!$F26</f>
        <v>6116</v>
      </c>
      <c r="G31" s="841">
        <f>DFITWaGas!$F26</f>
        <v>0</v>
      </c>
      <c r="H31" s="841">
        <f>BldGain!$F26</f>
        <v>0</v>
      </c>
      <c r="I31" s="841">
        <f>GasInv!$F26</f>
        <v>0</v>
      </c>
      <c r="J31" s="841">
        <f>WznDSM!$F26</f>
        <v>0</v>
      </c>
      <c r="K31" s="841">
        <f>CustAdv!$F26</f>
        <v>0</v>
      </c>
      <c r="L31" s="20">
        <f>SUM(F31:K31)</f>
        <v>6116</v>
      </c>
      <c r="M31" s="841">
        <f>RevenueNorm!$F26</f>
        <v>0</v>
      </c>
      <c r="N31" s="841">
        <f>BandO!$F26</f>
        <v>0</v>
      </c>
      <c r="O31" s="841">
        <f>PropTax!$F26</f>
        <v>0</v>
      </c>
      <c r="P31" s="841">
        <f>UncollExp!$F26</f>
        <v>0</v>
      </c>
      <c r="Q31" s="841">
        <f>RegExp!$F26</f>
        <v>0</v>
      </c>
      <c r="R31" s="841">
        <f>InjDam!$F26</f>
        <v>0</v>
      </c>
      <c r="S31" s="841">
        <f>FIT!$F26</f>
        <v>0</v>
      </c>
      <c r="T31" s="841">
        <f>PayClear!$F26</f>
        <v>-158</v>
      </c>
      <c r="U31" s="841">
        <f>ElimAR!$F26</f>
        <v>0</v>
      </c>
      <c r="V31" s="841">
        <f>SubSpace!$F26</f>
        <v>0</v>
      </c>
      <c r="W31" s="841">
        <f>XFranchTax!$F26</f>
        <v>0</v>
      </c>
      <c r="X31" s="841">
        <f>BldgLease!$F26</f>
        <v>0</v>
      </c>
      <c r="Y31" s="841">
        <f>Depr!$F26</f>
        <v>0</v>
      </c>
      <c r="Z31" s="841">
        <f>Incent!$F26</f>
        <v>0</v>
      </c>
      <c r="AA31" s="841">
        <f>DebtInt!$F26</f>
        <v>0</v>
      </c>
      <c r="AB31" s="841"/>
      <c r="AC31" s="20">
        <f>SUM(L31:AB31)</f>
        <v>5958</v>
      </c>
      <c r="AD31" s="841">
        <f>PFPension!$F26</f>
        <v>-79</v>
      </c>
      <c r="AE31" s="839">
        <f>'PF Ins'!F26</f>
        <v>0</v>
      </c>
      <c r="AF31" s="841">
        <f>PFLabor!$F26</f>
        <v>296</v>
      </c>
      <c r="AG31" s="841">
        <f>PFExec!$F26</f>
        <v>0</v>
      </c>
      <c r="AH31" s="841">
        <f>PFGasProc!$F26</f>
        <v>0</v>
      </c>
      <c r="AI31" s="841">
        <f>PFAlloc!$F26</f>
        <v>0</v>
      </c>
      <c r="AJ31" s="841">
        <f>PFHamilton!$F26</f>
        <v>0</v>
      </c>
      <c r="AK31" s="841"/>
      <c r="AL31" s="20">
        <f>SUM(AC31:AK31)</f>
        <v>6175</v>
      </c>
    </row>
    <row r="32" spans="1:38" ht="12.75">
      <c r="A32" s="18">
        <v>15</v>
      </c>
      <c r="C32" s="20"/>
      <c r="D32" s="20" t="s">
        <v>83</v>
      </c>
      <c r="E32" s="20"/>
      <c r="F32" s="840">
        <f>ResultSumGas!$F27</f>
        <v>4894</v>
      </c>
      <c r="G32" s="841">
        <f>DFITWaGas!$F27</f>
        <v>0</v>
      </c>
      <c r="H32" s="841">
        <f>BldGain!$F27</f>
        <v>0</v>
      </c>
      <c r="I32" s="841">
        <f>GasInv!$F27</f>
        <v>0</v>
      </c>
      <c r="J32" s="841">
        <f>WznDSM!$F27</f>
        <v>0</v>
      </c>
      <c r="K32" s="841">
        <f>CustAdv!$F27</f>
        <v>0</v>
      </c>
      <c r="L32" s="20">
        <f>SUM(F32:K32)</f>
        <v>4894</v>
      </c>
      <c r="M32" s="841">
        <f>RevenueNorm!$F27</f>
        <v>0</v>
      </c>
      <c r="N32" s="841">
        <f>BandO!$F27</f>
        <v>0</v>
      </c>
      <c r="O32" s="841">
        <f>PropTax!$F27</f>
        <v>0</v>
      </c>
      <c r="P32" s="841">
        <f>UncollExp!$F27</f>
        <v>0</v>
      </c>
      <c r="Q32" s="841">
        <f>RegExp!$F27</f>
        <v>0</v>
      </c>
      <c r="R32" s="841">
        <f>InjDam!$F27</f>
        <v>0</v>
      </c>
      <c r="S32" s="841">
        <f>FIT!$F27</f>
        <v>0</v>
      </c>
      <c r="T32" s="841">
        <f>PayClear!$F27</f>
        <v>0</v>
      </c>
      <c r="U32" s="841">
        <f>ElimAR!$F27</f>
        <v>0</v>
      </c>
      <c r="V32" s="841">
        <f>SubSpace!$F27</f>
        <v>0</v>
      </c>
      <c r="W32" s="841">
        <f>XFranchTax!$F27</f>
        <v>0</v>
      </c>
      <c r="X32" s="841">
        <f>BldgLease!$F27</f>
        <v>0</v>
      </c>
      <c r="Y32" s="841">
        <f>Depr!$F27</f>
        <v>8</v>
      </c>
      <c r="Z32" s="841">
        <f>Incent!$F27</f>
        <v>0</v>
      </c>
      <c r="AA32" s="841">
        <f>DebtInt!$F27</f>
        <v>0</v>
      </c>
      <c r="AB32" s="841"/>
      <c r="AC32" s="20">
        <f>SUM(L32:AB32)</f>
        <v>4902</v>
      </c>
      <c r="AD32" s="841">
        <f>PFPension!$F27</f>
        <v>0</v>
      </c>
      <c r="AE32" s="839">
        <f>'PF Ins'!F27</f>
        <v>0</v>
      </c>
      <c r="AF32" s="841">
        <f>PFLabor!$F27</f>
        <v>0</v>
      </c>
      <c r="AG32" s="841">
        <f>PFExec!$F27</f>
        <v>0</v>
      </c>
      <c r="AH32" s="841">
        <f>PFGasProc!$F27</f>
        <v>0</v>
      </c>
      <c r="AI32" s="841">
        <f>PFAlloc!$F27</f>
        <v>0</v>
      </c>
      <c r="AJ32" s="841">
        <f>PFHamilton!$F27</f>
        <v>0</v>
      </c>
      <c r="AK32" s="841"/>
      <c r="AL32" s="20">
        <f>SUM(AC32:AK32)</f>
        <v>4902</v>
      </c>
    </row>
    <row r="33" spans="1:38" ht="12.75">
      <c r="A33" s="18">
        <v>16</v>
      </c>
      <c r="C33" s="20"/>
      <c r="D33" s="20" t="s">
        <v>39</v>
      </c>
      <c r="E33" s="20"/>
      <c r="F33" s="842">
        <f>ResultSumGas!$F28</f>
        <v>12657</v>
      </c>
      <c r="G33" s="843">
        <f>DFITWaGas!$F28</f>
        <v>0</v>
      </c>
      <c r="H33" s="843">
        <f>BldGain!$F28</f>
        <v>0</v>
      </c>
      <c r="I33" s="843">
        <f>GasInv!$F28</f>
        <v>0</v>
      </c>
      <c r="J33" s="843">
        <f>WznDSM!$F28</f>
        <v>0</v>
      </c>
      <c r="K33" s="843">
        <f>CustAdv!$F28</f>
        <v>0</v>
      </c>
      <c r="L33" s="865">
        <f>SUM(F33:K33)</f>
        <v>12657</v>
      </c>
      <c r="M33" s="843">
        <f>RevenueNorm!$F28</f>
        <v>644</v>
      </c>
      <c r="N33" s="843">
        <f>BandO!$F28</f>
        <v>-5200</v>
      </c>
      <c r="O33" s="843">
        <f>PropTax!$F28</f>
        <v>-57</v>
      </c>
      <c r="P33" s="843">
        <f>UncollExp!$F28</f>
        <v>0</v>
      </c>
      <c r="Q33" s="843">
        <f>RegExp!$F28</f>
        <v>0</v>
      </c>
      <c r="R33" s="843">
        <f>InjDam!$F28</f>
        <v>0</v>
      </c>
      <c r="S33" s="843">
        <f>FIT!$F28</f>
        <v>0</v>
      </c>
      <c r="T33" s="843">
        <f>PayClear!$F28</f>
        <v>0</v>
      </c>
      <c r="U33" s="843">
        <f>ElimAR!$F28</f>
        <v>0</v>
      </c>
      <c r="V33" s="843">
        <f>SubSpace!$F28</f>
        <v>0</v>
      </c>
      <c r="W33" s="843">
        <f>XFranchTax!$F28</f>
        <v>169</v>
      </c>
      <c r="X33" s="843">
        <f>BldgLease!$F28</f>
        <v>0</v>
      </c>
      <c r="Y33" s="843">
        <f>Depr!$F28</f>
        <v>0</v>
      </c>
      <c r="Z33" s="843">
        <f>Incent!$F28</f>
        <v>0</v>
      </c>
      <c r="AA33" s="843">
        <f>DebtInt!$F28</f>
        <v>0</v>
      </c>
      <c r="AB33" s="843"/>
      <c r="AC33" s="865">
        <f>SUM(L33:AB33)</f>
        <v>8213</v>
      </c>
      <c r="AD33" s="843">
        <f>PFPension!$F28</f>
        <v>0</v>
      </c>
      <c r="AE33" s="914">
        <f>'PF Ins'!F28</f>
        <v>0</v>
      </c>
      <c r="AF33" s="843">
        <f>PFLabor!$F28</f>
        <v>0</v>
      </c>
      <c r="AG33" s="843">
        <f>PFExec!$F28</f>
        <v>0</v>
      </c>
      <c r="AH33" s="843">
        <f>PFGasProc!$F28</f>
        <v>0</v>
      </c>
      <c r="AI33" s="843">
        <f>PFAlloc!$F28</f>
        <v>0</v>
      </c>
      <c r="AJ33" s="843">
        <f>PFHamilton!$F28</f>
        <v>0</v>
      </c>
      <c r="AK33" s="843"/>
      <c r="AL33" s="865">
        <f>SUM(AC33:AK33)</f>
        <v>8213</v>
      </c>
    </row>
    <row r="34" spans="1:38" ht="12.75" customHeight="1">
      <c r="A34" s="18">
        <v>17</v>
      </c>
      <c r="C34" s="20"/>
      <c r="D34" s="20"/>
      <c r="E34" s="20" t="s">
        <v>86</v>
      </c>
      <c r="F34" s="840">
        <f aca="true" t="shared" si="9" ref="F34:S34">SUM(F31:F33)</f>
        <v>23667</v>
      </c>
      <c r="G34" s="840">
        <f t="shared" si="9"/>
        <v>0</v>
      </c>
      <c r="H34" s="840">
        <f t="shared" si="9"/>
        <v>0</v>
      </c>
      <c r="I34" s="840">
        <f t="shared" si="9"/>
        <v>0</v>
      </c>
      <c r="J34" s="840">
        <f t="shared" si="9"/>
        <v>0</v>
      </c>
      <c r="K34" s="840">
        <f t="shared" si="9"/>
        <v>0</v>
      </c>
      <c r="L34" s="20">
        <f t="shared" si="9"/>
        <v>23667</v>
      </c>
      <c r="M34" s="840">
        <f t="shared" si="9"/>
        <v>644</v>
      </c>
      <c r="N34" s="840">
        <f t="shared" si="9"/>
        <v>-5200</v>
      </c>
      <c r="O34" s="840">
        <f t="shared" si="9"/>
        <v>-57</v>
      </c>
      <c r="P34" s="840">
        <f t="shared" si="9"/>
        <v>0</v>
      </c>
      <c r="Q34" s="840">
        <f t="shared" si="9"/>
        <v>0</v>
      </c>
      <c r="R34" s="840">
        <f t="shared" si="9"/>
        <v>0</v>
      </c>
      <c r="S34" s="840">
        <f t="shared" si="9"/>
        <v>0</v>
      </c>
      <c r="T34" s="840">
        <f aca="true" t="shared" si="10" ref="T34:AA34">SUM(T31:T33)</f>
        <v>-158</v>
      </c>
      <c r="U34" s="840">
        <f t="shared" si="10"/>
        <v>0</v>
      </c>
      <c r="V34" s="840">
        <f t="shared" si="10"/>
        <v>0</v>
      </c>
      <c r="W34" s="840">
        <f t="shared" si="10"/>
        <v>169</v>
      </c>
      <c r="X34" s="840">
        <f t="shared" si="10"/>
        <v>0</v>
      </c>
      <c r="Y34" s="840">
        <f t="shared" si="10"/>
        <v>8</v>
      </c>
      <c r="Z34" s="840">
        <f t="shared" si="10"/>
        <v>0</v>
      </c>
      <c r="AA34" s="840">
        <f t="shared" si="10"/>
        <v>0</v>
      </c>
      <c r="AB34" s="840"/>
      <c r="AC34" s="20">
        <f aca="true" t="shared" si="11" ref="AC34:AL34">SUM(AC31:AC33)</f>
        <v>19073</v>
      </c>
      <c r="AD34" s="840">
        <f t="shared" si="11"/>
        <v>-79</v>
      </c>
      <c r="AE34" s="840">
        <f t="shared" si="11"/>
        <v>0</v>
      </c>
      <c r="AF34" s="840">
        <f t="shared" si="11"/>
        <v>296</v>
      </c>
      <c r="AG34" s="840">
        <f t="shared" si="11"/>
        <v>0</v>
      </c>
      <c r="AH34" s="840">
        <f t="shared" si="11"/>
        <v>0</v>
      </c>
      <c r="AI34" s="840">
        <f t="shared" si="11"/>
        <v>0</v>
      </c>
      <c r="AJ34" s="840">
        <f t="shared" si="11"/>
        <v>0</v>
      </c>
      <c r="AK34" s="840"/>
      <c r="AL34" s="20">
        <f t="shared" si="11"/>
        <v>19290</v>
      </c>
    </row>
    <row r="35" spans="3:38" ht="12.75" customHeight="1">
      <c r="C35" s="20"/>
      <c r="D35" s="20"/>
      <c r="E35" s="20"/>
      <c r="F35" s="840"/>
      <c r="G35" s="840"/>
      <c r="H35" s="840"/>
      <c r="I35" s="840"/>
      <c r="J35" s="840"/>
      <c r="K35" s="840"/>
      <c r="L35" s="20"/>
      <c r="M35" s="840"/>
      <c r="N35" s="840"/>
      <c r="O35" s="840"/>
      <c r="P35" s="840"/>
      <c r="Q35" s="840"/>
      <c r="R35" s="840"/>
      <c r="S35" s="840"/>
      <c r="T35" s="840"/>
      <c r="U35" s="840"/>
      <c r="V35" s="840"/>
      <c r="W35" s="840"/>
      <c r="X35" s="840"/>
      <c r="Y35" s="840"/>
      <c r="Z35" s="840"/>
      <c r="AA35" s="840"/>
      <c r="AB35" s="840"/>
      <c r="AC35" s="20"/>
      <c r="AD35" s="840"/>
      <c r="AE35" s="840"/>
      <c r="AF35" s="840"/>
      <c r="AG35" s="840"/>
      <c r="AH35" s="840"/>
      <c r="AI35" s="840"/>
      <c r="AJ35" s="840"/>
      <c r="AK35" s="840"/>
      <c r="AL35" s="20"/>
    </row>
    <row r="36" spans="1:38" ht="12.75" customHeight="1">
      <c r="A36" s="18">
        <v>18</v>
      </c>
      <c r="B36" s="2" t="s">
        <v>87</v>
      </c>
      <c r="C36" s="20"/>
      <c r="D36" s="20"/>
      <c r="E36" s="20"/>
      <c r="F36" s="840">
        <f>ResultSumGas!$F31</f>
        <v>4726</v>
      </c>
      <c r="G36" s="844">
        <f>DFITWaGas!$F31</f>
        <v>0</v>
      </c>
      <c r="H36" s="844">
        <f>BldGain!$F31</f>
        <v>0</v>
      </c>
      <c r="I36" s="840">
        <f>GasInv!$F31</f>
        <v>0</v>
      </c>
      <c r="J36" s="840">
        <f>WznDSM!$F31</f>
        <v>0</v>
      </c>
      <c r="K36" s="844">
        <f>CustAdv!$F31</f>
        <v>0</v>
      </c>
      <c r="L36" s="20">
        <f>SUM(F36:K36)</f>
        <v>4726</v>
      </c>
      <c r="M36" s="840">
        <f>RevenueNorm!$F31</f>
        <v>53</v>
      </c>
      <c r="N36" s="840">
        <f>BandO!$F31</f>
        <v>0</v>
      </c>
      <c r="O36" s="840">
        <f>PropTax!$F31</f>
        <v>0</v>
      </c>
      <c r="P36" s="840">
        <f>UncollExp!$F31</f>
        <v>-230</v>
      </c>
      <c r="Q36" s="840">
        <f>RegExp!$F31</f>
        <v>0</v>
      </c>
      <c r="R36" s="844">
        <f>InjDam!$F31</f>
        <v>0</v>
      </c>
      <c r="S36" s="844">
        <f>FIT!$F31</f>
        <v>0</v>
      </c>
      <c r="T36" s="844">
        <f>PayClear!$F31</f>
        <v>-86</v>
      </c>
      <c r="U36" s="840">
        <f>ElimAR!$F31</f>
        <v>-126</v>
      </c>
      <c r="V36" s="840">
        <f>SubSpace!$F31</f>
        <v>0</v>
      </c>
      <c r="W36" s="840">
        <f>XFranchTax!$F31</f>
        <v>0</v>
      </c>
      <c r="X36" s="840">
        <f>BldgLease!$F31</f>
        <v>0</v>
      </c>
      <c r="Y36" s="844">
        <f>Depr!$F31</f>
        <v>0</v>
      </c>
      <c r="Z36" s="844">
        <f>Incent!$F31</f>
        <v>0</v>
      </c>
      <c r="AA36" s="844">
        <f>DebtInt!$F31</f>
        <v>0</v>
      </c>
      <c r="AB36" s="840"/>
      <c r="AC36" s="20">
        <f>SUM(L36:AB36)</f>
        <v>4337</v>
      </c>
      <c r="AD36" s="844">
        <f>PFPension!$F31</f>
        <v>-43</v>
      </c>
      <c r="AE36" s="839">
        <f>'PF Ins'!F31</f>
        <v>0</v>
      </c>
      <c r="AF36" s="844">
        <f>PFLabor!$F31</f>
        <v>156</v>
      </c>
      <c r="AG36" s="844">
        <f>PFExec!$F31</f>
        <v>0</v>
      </c>
      <c r="AH36" s="844">
        <f>PFGasProc!$F31</f>
        <v>0</v>
      </c>
      <c r="AI36" s="844">
        <f>PFAlloc!$F31</f>
        <v>0</v>
      </c>
      <c r="AJ36" s="844">
        <f>PFHamilton!$F31</f>
        <v>0</v>
      </c>
      <c r="AK36" s="844"/>
      <c r="AL36" s="20">
        <f>SUM(AC36:AK36)</f>
        <v>4450</v>
      </c>
    </row>
    <row r="37" spans="1:38" ht="12.75">
      <c r="A37" s="18">
        <v>19</v>
      </c>
      <c r="B37" s="2" t="s">
        <v>88</v>
      </c>
      <c r="C37" s="20"/>
      <c r="D37" s="20"/>
      <c r="E37" s="20"/>
      <c r="F37" s="840">
        <f>ResultSumGas!$F32</f>
        <v>4199</v>
      </c>
      <c r="G37" s="841">
        <f>DFITWaGas!$F32</f>
        <v>0</v>
      </c>
      <c r="H37" s="841">
        <f>BldGain!$F32</f>
        <v>0</v>
      </c>
      <c r="I37" s="841">
        <f>GasInv!$F32</f>
        <v>0</v>
      </c>
      <c r="J37" s="841">
        <f>WznDSM!$F32</f>
        <v>-97</v>
      </c>
      <c r="K37" s="841">
        <f>CustAdv!$F32</f>
        <v>0</v>
      </c>
      <c r="L37" s="20">
        <f>SUM(F37:K37)</f>
        <v>4102</v>
      </c>
      <c r="M37" s="841">
        <f>RevenueNorm!$F32</f>
        <v>-3202</v>
      </c>
      <c r="N37" s="841">
        <f>BandO!$F32</f>
        <v>0</v>
      </c>
      <c r="O37" s="841">
        <f>PropTax!$F32</f>
        <v>0</v>
      </c>
      <c r="P37" s="841">
        <f>UncollExp!$F32</f>
        <v>0</v>
      </c>
      <c r="Q37" s="841">
        <f>RegExp!$F32</f>
        <v>0</v>
      </c>
      <c r="R37" s="841">
        <f>InjDam!$F32</f>
        <v>0</v>
      </c>
      <c r="S37" s="841">
        <f>FIT!$F32</f>
        <v>0</v>
      </c>
      <c r="T37" s="841">
        <f>PayClear!$F32</f>
        <v>-1</v>
      </c>
      <c r="U37" s="841">
        <f>ElimAR!$F32</f>
        <v>0</v>
      </c>
      <c r="V37" s="841">
        <f>SubSpace!$F32</f>
        <v>0</v>
      </c>
      <c r="W37" s="841">
        <f>XFranchTax!$F32</f>
        <v>-419</v>
      </c>
      <c r="X37" s="841">
        <f>BldgLease!$F32</f>
        <v>0</v>
      </c>
      <c r="Y37" s="841">
        <f>Depr!$F32</f>
        <v>0</v>
      </c>
      <c r="Z37" s="841">
        <f>Incent!$F32</f>
        <v>0</v>
      </c>
      <c r="AA37" s="841">
        <f>DebtInt!$F32</f>
        <v>0</v>
      </c>
      <c r="AB37" s="841"/>
      <c r="AC37" s="20">
        <f>SUM(L37:AB37)</f>
        <v>480</v>
      </c>
      <c r="AD37" s="841">
        <f>PFPension!$F32</f>
        <v>-1</v>
      </c>
      <c r="AE37" s="839">
        <f>'PF Ins'!F32</f>
        <v>0</v>
      </c>
      <c r="AF37" s="841">
        <f>PFLabor!$F32</f>
        <v>2</v>
      </c>
      <c r="AG37" s="841">
        <f>PFExec!$F32</f>
        <v>0</v>
      </c>
      <c r="AH37" s="841">
        <f>PFGasProc!$F32</f>
        <v>0</v>
      </c>
      <c r="AI37" s="841">
        <f>PFAlloc!$F32</f>
        <v>0</v>
      </c>
      <c r="AJ37" s="841">
        <f>PFHamilton!$F32</f>
        <v>0</v>
      </c>
      <c r="AK37" s="841"/>
      <c r="AL37" s="20">
        <f>SUM(AC37:AK37)</f>
        <v>481</v>
      </c>
    </row>
    <row r="38" spans="1:38" ht="12.75">
      <c r="A38" s="18">
        <v>20</v>
      </c>
      <c r="B38" s="2" t="s">
        <v>89</v>
      </c>
      <c r="C38" s="20"/>
      <c r="D38" s="20"/>
      <c r="E38" s="20"/>
      <c r="F38" s="840">
        <f>ResultSumGas!$F33</f>
        <v>438</v>
      </c>
      <c r="G38" s="841">
        <f>DFITWaGas!$F33</f>
        <v>0</v>
      </c>
      <c r="H38" s="841">
        <f>BldGain!$F33</f>
        <v>0</v>
      </c>
      <c r="I38" s="841">
        <f>GasInv!$F33</f>
        <v>0</v>
      </c>
      <c r="J38" s="841">
        <f>WznDSM!$F33</f>
        <v>0</v>
      </c>
      <c r="K38" s="841">
        <f>CustAdv!$F33</f>
        <v>0</v>
      </c>
      <c r="L38" s="20">
        <f>SUM(F38:K38)</f>
        <v>438</v>
      </c>
      <c r="M38" s="841">
        <f>RevenueNorm!$F33</f>
        <v>0</v>
      </c>
      <c r="N38" s="841">
        <f>BandO!$F33</f>
        <v>0</v>
      </c>
      <c r="O38" s="841">
        <f>PropTax!$F33</f>
        <v>0</v>
      </c>
      <c r="P38" s="841">
        <f>UncollExp!$F33</f>
        <v>0</v>
      </c>
      <c r="Q38" s="841">
        <f>RegExp!$F33</f>
        <v>0</v>
      </c>
      <c r="R38" s="841">
        <f>InjDam!$F33</f>
        <v>0</v>
      </c>
      <c r="S38" s="841">
        <f>FIT!$F33</f>
        <v>0</v>
      </c>
      <c r="T38" s="841">
        <f>PayClear!$F33</f>
        <v>-11</v>
      </c>
      <c r="U38" s="841">
        <f>ElimAR!$F33</f>
        <v>0</v>
      </c>
      <c r="V38" s="841">
        <f>SubSpace!$F33</f>
        <v>0</v>
      </c>
      <c r="W38" s="841">
        <f>XFranchTax!$F33</f>
        <v>0</v>
      </c>
      <c r="X38" s="841">
        <f>BldgLease!$F33</f>
        <v>0</v>
      </c>
      <c r="Y38" s="841">
        <f>Depr!$F33</f>
        <v>0</v>
      </c>
      <c r="Z38" s="841">
        <f>Incent!$F33</f>
        <v>0</v>
      </c>
      <c r="AA38" s="841">
        <f>DebtInt!$F33</f>
        <v>0</v>
      </c>
      <c r="AB38" s="841"/>
      <c r="AC38" s="20">
        <f>SUM(L38:AB38)</f>
        <v>427</v>
      </c>
      <c r="AD38" s="841">
        <f>PFPension!$F33</f>
        <v>-5</v>
      </c>
      <c r="AE38" s="839">
        <f>'PF Ins'!F33</f>
        <v>0</v>
      </c>
      <c r="AF38" s="841">
        <f>PFLabor!$F33</f>
        <v>19</v>
      </c>
      <c r="AG38" s="841">
        <f>PFExec!$F33</f>
        <v>0</v>
      </c>
      <c r="AH38" s="841">
        <f>PFGasProc!$F33</f>
        <v>0</v>
      </c>
      <c r="AI38" s="841">
        <f>PFAlloc!$F33</f>
        <v>0</v>
      </c>
      <c r="AJ38" s="841">
        <f>PFHamilton!$F33</f>
        <v>0</v>
      </c>
      <c r="AK38" s="841"/>
      <c r="AL38" s="20">
        <f>SUM(AC38:AK38)</f>
        <v>441</v>
      </c>
    </row>
    <row r="39" spans="2:38" ht="12.75">
      <c r="B39" s="2" t="s">
        <v>90</v>
      </c>
      <c r="C39" s="20"/>
      <c r="D39" s="20"/>
      <c r="E39" s="20"/>
      <c r="F39" s="840"/>
      <c r="G39" s="841"/>
      <c r="H39" s="841"/>
      <c r="I39" s="841"/>
      <c r="J39" s="841"/>
      <c r="K39" s="841"/>
      <c r="L39" s="20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20"/>
      <c r="AD39" s="841"/>
      <c r="AE39" s="841"/>
      <c r="AF39" s="841"/>
      <c r="AG39" s="841"/>
      <c r="AH39" s="841"/>
      <c r="AI39" s="841"/>
      <c r="AJ39" s="841"/>
      <c r="AK39" s="841"/>
      <c r="AL39" s="20"/>
    </row>
    <row r="40" spans="1:38" ht="12.75">
      <c r="A40" s="18">
        <v>21</v>
      </c>
      <c r="C40" s="20" t="s">
        <v>82</v>
      </c>
      <c r="D40" s="20"/>
      <c r="E40" s="20"/>
      <c r="F40" s="840">
        <f>ResultSumGas!$F35</f>
        <v>9044</v>
      </c>
      <c r="G40" s="841">
        <f>DFITWaGas!$F35</f>
        <v>0</v>
      </c>
      <c r="H40" s="841">
        <f>BldGain!$F35</f>
        <v>0</v>
      </c>
      <c r="I40" s="841">
        <f>GasInv!$F35</f>
        <v>0</v>
      </c>
      <c r="J40" s="841">
        <f>WznDSM!$F35</f>
        <v>0</v>
      </c>
      <c r="K40" s="841">
        <f>CustAdv!$F35</f>
        <v>0</v>
      </c>
      <c r="L40" s="20">
        <f>SUM(F40:K40)</f>
        <v>9044</v>
      </c>
      <c r="M40" s="841">
        <f>RevenueNorm!$F35</f>
        <v>32</v>
      </c>
      <c r="N40" s="841">
        <f>BandO!$F35</f>
        <v>902</v>
      </c>
      <c r="O40" s="841">
        <f>PropTax!$F35</f>
        <v>0</v>
      </c>
      <c r="P40" s="841">
        <f>UncollExp!$F35</f>
        <v>0</v>
      </c>
      <c r="Q40" s="841">
        <f>RegExp!$F35</f>
        <v>26</v>
      </c>
      <c r="R40" s="841">
        <f>InjDam!$F35</f>
        <v>-8</v>
      </c>
      <c r="S40" s="841">
        <f>FIT!$F35</f>
        <v>0</v>
      </c>
      <c r="T40" s="841">
        <f>PayClear!$F35</f>
        <v>-220</v>
      </c>
      <c r="U40" s="841">
        <f>ElimAR!$F35</f>
        <v>0</v>
      </c>
      <c r="V40" s="841">
        <f>SubSpace!$F35</f>
        <v>-7</v>
      </c>
      <c r="W40" s="841">
        <f>XFranchTax!$F35</f>
        <v>-902</v>
      </c>
      <c r="X40" s="841">
        <f>BldgLease!$F35</f>
        <v>30</v>
      </c>
      <c r="Y40" s="841">
        <f>Depr!$F35</f>
        <v>0</v>
      </c>
      <c r="Z40" s="841">
        <f>Incent!$F35</f>
        <v>14</v>
      </c>
      <c r="AA40" s="841">
        <f>DebtInt!$F35</f>
        <v>0</v>
      </c>
      <c r="AB40" s="841"/>
      <c r="AC40" s="20">
        <f>SUM(L40:AB40)</f>
        <v>8911</v>
      </c>
      <c r="AD40" s="841">
        <f>PFPension!$F35</f>
        <v>-45</v>
      </c>
      <c r="AE40" s="839">
        <f>'PF Ins'!F35</f>
        <v>-112</v>
      </c>
      <c r="AF40" s="841">
        <f>PFLabor!$F35</f>
        <v>141</v>
      </c>
      <c r="AG40" s="841">
        <f>PFExec!$F35</f>
        <v>18</v>
      </c>
      <c r="AH40" s="841">
        <f>PFGasProc!$F35</f>
        <v>20</v>
      </c>
      <c r="AI40" s="841">
        <f>PFAlloc!$F35</f>
        <v>153</v>
      </c>
      <c r="AJ40" s="841">
        <f>PFHamilton!$F35</f>
        <v>0</v>
      </c>
      <c r="AK40" s="841"/>
      <c r="AL40" s="20">
        <f>SUM(AC40:AK40)</f>
        <v>9086</v>
      </c>
    </row>
    <row r="41" spans="1:38" ht="12.75">
      <c r="A41" s="18">
        <v>22</v>
      </c>
      <c r="C41" s="20" t="s">
        <v>83</v>
      </c>
      <c r="D41" s="20"/>
      <c r="E41" s="20"/>
      <c r="F41" s="840">
        <f>ResultSumGas!$F36</f>
        <v>871</v>
      </c>
      <c r="G41" s="841">
        <f>DFITWaGas!$F36</f>
        <v>0</v>
      </c>
      <c r="H41" s="841">
        <f>BldGain!$F36</f>
        <v>0</v>
      </c>
      <c r="I41" s="841">
        <f>GasInv!$F36</f>
        <v>0</v>
      </c>
      <c r="J41" s="841">
        <f>WznDSM!$F36</f>
        <v>0</v>
      </c>
      <c r="K41" s="841">
        <f>CustAdv!$F36</f>
        <v>0</v>
      </c>
      <c r="L41" s="20">
        <f>SUM(F41:K41)</f>
        <v>871</v>
      </c>
      <c r="M41" s="841">
        <f>RevenueNorm!$F36</f>
        <v>0</v>
      </c>
      <c r="N41" s="841">
        <f>BandO!$F36</f>
        <v>0</v>
      </c>
      <c r="O41" s="841">
        <f>PropTax!$F36</f>
        <v>0</v>
      </c>
      <c r="P41" s="841">
        <f>UncollExp!$F36</f>
        <v>0</v>
      </c>
      <c r="Q41" s="841">
        <f>RegExp!$F36</f>
        <v>0</v>
      </c>
      <c r="R41" s="841">
        <f>InjDam!$F36</f>
        <v>0</v>
      </c>
      <c r="S41" s="841">
        <f>FIT!$F36</f>
        <v>0</v>
      </c>
      <c r="T41" s="841">
        <f>PayClear!$F36</f>
        <v>0</v>
      </c>
      <c r="U41" s="841">
        <f>ElimAR!$F36</f>
        <v>0</v>
      </c>
      <c r="V41" s="841">
        <f>SubSpace!$F36</f>
        <v>0</v>
      </c>
      <c r="W41" s="841">
        <f>XFranchTax!$F36</f>
        <v>0</v>
      </c>
      <c r="X41" s="841">
        <f>BldgLease!$F36</f>
        <v>0</v>
      </c>
      <c r="Y41" s="841">
        <f>Depr!$F36</f>
        <v>478</v>
      </c>
      <c r="Z41" s="841">
        <f>Incent!$F36</f>
        <v>0</v>
      </c>
      <c r="AA41" s="841">
        <f>DebtInt!$F36</f>
        <v>0</v>
      </c>
      <c r="AB41" s="841"/>
      <c r="AC41" s="20">
        <f>SUM(L41:AB41)</f>
        <v>1349</v>
      </c>
      <c r="AD41" s="841">
        <f>PFPension!$F36</f>
        <v>0</v>
      </c>
      <c r="AE41" s="839">
        <f>'PF Ins'!F36</f>
        <v>0</v>
      </c>
      <c r="AF41" s="841">
        <f>PFLabor!$F36</f>
        <v>0</v>
      </c>
      <c r="AG41" s="841">
        <f>PFExec!$F36</f>
        <v>0</v>
      </c>
      <c r="AH41" s="841">
        <f>PFGasProc!$F36</f>
        <v>0</v>
      </c>
      <c r="AI41" s="841">
        <f>PFAlloc!$F36</f>
        <v>6</v>
      </c>
      <c r="AJ41" s="841">
        <f>PFHamilton!$F36</f>
        <v>-169</v>
      </c>
      <c r="AK41" s="841"/>
      <c r="AL41" s="20">
        <f>SUM(AC41:AK41)</f>
        <v>1186</v>
      </c>
    </row>
    <row r="42" spans="1:38" ht="12.75">
      <c r="A42" s="18">
        <v>23</v>
      </c>
      <c r="C42" s="20" t="s">
        <v>39</v>
      </c>
      <c r="D42" s="20"/>
      <c r="E42" s="20"/>
      <c r="F42" s="842">
        <f>ResultSumGas!$F37</f>
        <v>24</v>
      </c>
      <c r="G42" s="843">
        <f>DFITWaGas!$F37</f>
        <v>0</v>
      </c>
      <c r="H42" s="843">
        <f>BldGain!$F37</f>
        <v>0</v>
      </c>
      <c r="I42" s="843">
        <f>GasInv!$F37</f>
        <v>0</v>
      </c>
      <c r="J42" s="843">
        <f>WznDSM!$F37</f>
        <v>0</v>
      </c>
      <c r="K42" s="843">
        <f>CustAdv!$F37</f>
        <v>0</v>
      </c>
      <c r="L42" s="865">
        <f>SUM(F42:K42)</f>
        <v>24</v>
      </c>
      <c r="M42" s="843">
        <f>RevenueNorm!$F37</f>
        <v>0</v>
      </c>
      <c r="N42" s="843">
        <f>BandO!$F37</f>
        <v>0</v>
      </c>
      <c r="O42" s="843">
        <f>PropTax!$F37</f>
        <v>0</v>
      </c>
      <c r="P42" s="843">
        <f>UncollExp!$F37</f>
        <v>0</v>
      </c>
      <c r="Q42" s="843">
        <f>RegExp!$F37</f>
        <v>0</v>
      </c>
      <c r="R42" s="843">
        <f>InjDam!$F37</f>
        <v>0</v>
      </c>
      <c r="S42" s="843">
        <f>FIT!$F37</f>
        <v>0</v>
      </c>
      <c r="T42" s="843">
        <f>PayClear!$F37</f>
        <v>0</v>
      </c>
      <c r="U42" s="843">
        <f>ElimAR!$F37</f>
        <v>0</v>
      </c>
      <c r="V42" s="843">
        <f>SubSpace!$F37</f>
        <v>0</v>
      </c>
      <c r="W42" s="843">
        <f>XFranchTax!$F37</f>
        <v>0</v>
      </c>
      <c r="X42" s="843">
        <f>BldgLease!$F37</f>
        <v>0</v>
      </c>
      <c r="Y42" s="843">
        <f>Depr!$F37</f>
        <v>0</v>
      </c>
      <c r="Z42" s="843">
        <f>Incent!$F37</f>
        <v>0</v>
      </c>
      <c r="AA42" s="843">
        <f>DebtInt!$F37</f>
        <v>0</v>
      </c>
      <c r="AB42" s="843"/>
      <c r="AC42" s="865">
        <f>SUM(L42:AB42)</f>
        <v>24</v>
      </c>
      <c r="AD42" s="843">
        <f>PFPension!$F37</f>
        <v>0</v>
      </c>
      <c r="AE42" s="914">
        <f>'PF Ins'!F37</f>
        <v>0</v>
      </c>
      <c r="AF42" s="843">
        <f>PFLabor!$F37</f>
        <v>0</v>
      </c>
      <c r="AG42" s="843">
        <f>PFExec!$F37</f>
        <v>0</v>
      </c>
      <c r="AH42" s="843">
        <f>PFGasProc!$F37</f>
        <v>0</v>
      </c>
      <c r="AI42" s="843">
        <f>PFAlloc!$F37</f>
        <v>0</v>
      </c>
      <c r="AJ42" s="843">
        <f>PFHamilton!$F37</f>
        <v>0</v>
      </c>
      <c r="AK42" s="843"/>
      <c r="AL42" s="865">
        <f>SUM(AC42:AK42)</f>
        <v>24</v>
      </c>
    </row>
    <row r="43" spans="1:38" ht="12.75">
      <c r="A43" s="18">
        <v>24</v>
      </c>
      <c r="C43" s="20"/>
      <c r="D43" s="20"/>
      <c r="E43" s="20" t="s">
        <v>91</v>
      </c>
      <c r="F43" s="842">
        <f aca="true" t="shared" si="12" ref="F43:T43">SUM(F40:F42)</f>
        <v>9939</v>
      </c>
      <c r="G43" s="842">
        <f t="shared" si="12"/>
        <v>0</v>
      </c>
      <c r="H43" s="842">
        <f t="shared" si="12"/>
        <v>0</v>
      </c>
      <c r="I43" s="842">
        <f t="shared" si="12"/>
        <v>0</v>
      </c>
      <c r="J43" s="842">
        <f t="shared" si="12"/>
        <v>0</v>
      </c>
      <c r="K43" s="842">
        <f t="shared" si="12"/>
        <v>0</v>
      </c>
      <c r="L43" s="865">
        <f t="shared" si="12"/>
        <v>9939</v>
      </c>
      <c r="M43" s="842">
        <f t="shared" si="12"/>
        <v>32</v>
      </c>
      <c r="N43" s="842">
        <f t="shared" si="12"/>
        <v>902</v>
      </c>
      <c r="O43" s="842">
        <f t="shared" si="12"/>
        <v>0</v>
      </c>
      <c r="P43" s="842">
        <f t="shared" si="12"/>
        <v>0</v>
      </c>
      <c r="Q43" s="842">
        <f t="shared" si="12"/>
        <v>26</v>
      </c>
      <c r="R43" s="842">
        <f t="shared" si="12"/>
        <v>-8</v>
      </c>
      <c r="S43" s="842">
        <f t="shared" si="12"/>
        <v>0</v>
      </c>
      <c r="T43" s="842">
        <f t="shared" si="12"/>
        <v>-220</v>
      </c>
      <c r="U43" s="842">
        <f aca="true" t="shared" si="13" ref="U43:AA43">SUM(U40:U42)</f>
        <v>0</v>
      </c>
      <c r="V43" s="842">
        <f t="shared" si="13"/>
        <v>-7</v>
      </c>
      <c r="W43" s="842">
        <f t="shared" si="13"/>
        <v>-902</v>
      </c>
      <c r="X43" s="842">
        <f t="shared" si="13"/>
        <v>30</v>
      </c>
      <c r="Y43" s="842">
        <f t="shared" si="13"/>
        <v>478</v>
      </c>
      <c r="Z43" s="842">
        <f t="shared" si="13"/>
        <v>14</v>
      </c>
      <c r="AA43" s="842">
        <f t="shared" si="13"/>
        <v>0</v>
      </c>
      <c r="AB43" s="842"/>
      <c r="AC43" s="865">
        <f aca="true" t="shared" si="14" ref="AC43:AJ43">SUM(AC40:AC42)</f>
        <v>10284</v>
      </c>
      <c r="AD43" s="842">
        <f t="shared" si="14"/>
        <v>-45</v>
      </c>
      <c r="AE43" s="842">
        <f t="shared" si="14"/>
        <v>-112</v>
      </c>
      <c r="AF43" s="842">
        <f t="shared" si="14"/>
        <v>141</v>
      </c>
      <c r="AG43" s="842">
        <f t="shared" si="14"/>
        <v>18</v>
      </c>
      <c r="AH43" s="842">
        <f t="shared" si="14"/>
        <v>20</v>
      </c>
      <c r="AI43" s="842">
        <f t="shared" si="14"/>
        <v>159</v>
      </c>
      <c r="AJ43" s="842">
        <f t="shared" si="14"/>
        <v>-169</v>
      </c>
      <c r="AK43" s="842"/>
      <c r="AL43" s="865">
        <f>SUM(AL40:AL42)</f>
        <v>10296</v>
      </c>
    </row>
    <row r="44" spans="1:38" ht="12.75">
      <c r="A44" s="18">
        <v>25</v>
      </c>
      <c r="B44" s="2" t="s">
        <v>92</v>
      </c>
      <c r="C44" s="20"/>
      <c r="D44" s="20"/>
      <c r="E44" s="20"/>
      <c r="F44" s="842">
        <f aca="true" t="shared" si="15" ref="F44:T44">F19+F24+F29+F34+F36+F37+F38+F43</f>
        <v>145067</v>
      </c>
      <c r="G44" s="842">
        <f t="shared" si="15"/>
        <v>0</v>
      </c>
      <c r="H44" s="842">
        <f t="shared" si="15"/>
        <v>0</v>
      </c>
      <c r="I44" s="842">
        <f t="shared" si="15"/>
        <v>0</v>
      </c>
      <c r="J44" s="842">
        <f t="shared" si="15"/>
        <v>-97</v>
      </c>
      <c r="K44" s="842">
        <f t="shared" si="15"/>
        <v>0</v>
      </c>
      <c r="L44" s="865">
        <f t="shared" si="15"/>
        <v>144970</v>
      </c>
      <c r="M44" s="842">
        <f t="shared" si="15"/>
        <v>10995</v>
      </c>
      <c r="N44" s="842">
        <f t="shared" si="15"/>
        <v>-4298</v>
      </c>
      <c r="O44" s="842">
        <f t="shared" si="15"/>
        <v>-61</v>
      </c>
      <c r="P44" s="842">
        <f t="shared" si="15"/>
        <v>-230</v>
      </c>
      <c r="Q44" s="842">
        <f t="shared" si="15"/>
        <v>26</v>
      </c>
      <c r="R44" s="842">
        <f t="shared" si="15"/>
        <v>-8</v>
      </c>
      <c r="S44" s="842">
        <f t="shared" si="15"/>
        <v>0</v>
      </c>
      <c r="T44" s="842">
        <f t="shared" si="15"/>
        <v>-484</v>
      </c>
      <c r="U44" s="842">
        <f aca="true" t="shared" si="16" ref="U44:AA44">U19+U24+U29+U34+U36+U37+U38+U43</f>
        <v>-126</v>
      </c>
      <c r="V44" s="842">
        <f t="shared" si="16"/>
        <v>-7</v>
      </c>
      <c r="W44" s="842">
        <f t="shared" si="16"/>
        <v>-1152</v>
      </c>
      <c r="X44" s="842">
        <f t="shared" si="16"/>
        <v>30</v>
      </c>
      <c r="Y44" s="842">
        <f t="shared" si="16"/>
        <v>482</v>
      </c>
      <c r="Z44" s="842">
        <f t="shared" si="16"/>
        <v>14</v>
      </c>
      <c r="AA44" s="842">
        <f t="shared" si="16"/>
        <v>0</v>
      </c>
      <c r="AB44" s="842"/>
      <c r="AC44" s="865">
        <f aca="true" t="shared" si="17" ref="AC44:AJ44">AC19+AC24+AC29+AC34+AC36+AC37+AC38+AC43</f>
        <v>150151</v>
      </c>
      <c r="AD44" s="842">
        <f t="shared" si="17"/>
        <v>-177</v>
      </c>
      <c r="AE44" s="842">
        <f t="shared" si="17"/>
        <v>-112</v>
      </c>
      <c r="AF44" s="842">
        <f t="shared" si="17"/>
        <v>627</v>
      </c>
      <c r="AG44" s="842">
        <f t="shared" si="17"/>
        <v>18</v>
      </c>
      <c r="AH44" s="842">
        <f t="shared" si="17"/>
        <v>193</v>
      </c>
      <c r="AI44" s="842">
        <f t="shared" si="17"/>
        <v>159</v>
      </c>
      <c r="AJ44" s="842">
        <f t="shared" si="17"/>
        <v>-169</v>
      </c>
      <c r="AK44" s="842"/>
      <c r="AL44" s="865">
        <f>AL19+AL24+AL29+AL34+AL36+AL37+AL38+AL43</f>
        <v>150690</v>
      </c>
    </row>
    <row r="45" spans="3:38" ht="12.75">
      <c r="C45" s="20"/>
      <c r="D45" s="20"/>
      <c r="E45" s="20"/>
      <c r="F45" s="840"/>
      <c r="G45" s="840"/>
      <c r="H45" s="840"/>
      <c r="I45" s="840"/>
      <c r="J45" s="840"/>
      <c r="K45" s="840"/>
      <c r="L45" s="2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840"/>
      <c r="AA45" s="840"/>
      <c r="AB45" s="840"/>
      <c r="AC45" s="20"/>
      <c r="AD45" s="840"/>
      <c r="AE45" s="840"/>
      <c r="AF45" s="840"/>
      <c r="AG45" s="840"/>
      <c r="AH45" s="840"/>
      <c r="AI45" s="840"/>
      <c r="AJ45" s="840"/>
      <c r="AK45" s="840"/>
      <c r="AL45" s="20"/>
    </row>
    <row r="46" spans="1:38" ht="12.75" customHeight="1">
      <c r="A46" s="18">
        <v>26</v>
      </c>
      <c r="B46" s="2" t="s">
        <v>93</v>
      </c>
      <c r="C46" s="20"/>
      <c r="D46" s="20"/>
      <c r="E46" s="20"/>
      <c r="F46" s="840">
        <f aca="true" t="shared" si="18" ref="F46:X46">F16-F44</f>
        <v>6684</v>
      </c>
      <c r="G46" s="840">
        <f t="shared" si="18"/>
        <v>0</v>
      </c>
      <c r="H46" s="840">
        <f t="shared" si="18"/>
        <v>0</v>
      </c>
      <c r="I46" s="840">
        <f t="shared" si="18"/>
        <v>0</v>
      </c>
      <c r="J46" s="840">
        <f t="shared" si="18"/>
        <v>97</v>
      </c>
      <c r="K46" s="840">
        <f t="shared" si="18"/>
        <v>0</v>
      </c>
      <c r="L46" s="20">
        <f t="shared" si="18"/>
        <v>6781</v>
      </c>
      <c r="M46" s="840">
        <f t="shared" si="18"/>
        <v>5782</v>
      </c>
      <c r="N46" s="840">
        <f t="shared" si="18"/>
        <v>45</v>
      </c>
      <c r="O46" s="840">
        <f t="shared" si="18"/>
        <v>61</v>
      </c>
      <c r="P46" s="840">
        <f t="shared" si="18"/>
        <v>230</v>
      </c>
      <c r="Q46" s="840">
        <f t="shared" si="18"/>
        <v>-26</v>
      </c>
      <c r="R46" s="840">
        <f t="shared" si="18"/>
        <v>8</v>
      </c>
      <c r="S46" s="840">
        <f t="shared" si="18"/>
        <v>0</v>
      </c>
      <c r="T46" s="840">
        <f t="shared" si="18"/>
        <v>484</v>
      </c>
      <c r="U46" s="840">
        <f t="shared" si="18"/>
        <v>126</v>
      </c>
      <c r="V46" s="840">
        <f t="shared" si="18"/>
        <v>7</v>
      </c>
      <c r="W46" s="840">
        <f t="shared" si="18"/>
        <v>1152</v>
      </c>
      <c r="X46" s="840">
        <f t="shared" si="18"/>
        <v>-30</v>
      </c>
      <c r="Y46" s="840">
        <f>Y16-Y44</f>
        <v>-482</v>
      </c>
      <c r="Z46" s="840">
        <f>Z16-Z44</f>
        <v>-14</v>
      </c>
      <c r="AA46" s="840">
        <f>AA16-AA44</f>
        <v>0</v>
      </c>
      <c r="AB46" s="840"/>
      <c r="AC46" s="20">
        <f aca="true" t="shared" si="19" ref="AC46:AL46">AC16-AC44</f>
        <v>14124</v>
      </c>
      <c r="AD46" s="840">
        <f t="shared" si="19"/>
        <v>177</v>
      </c>
      <c r="AE46" s="840">
        <f t="shared" si="19"/>
        <v>112</v>
      </c>
      <c r="AF46" s="840">
        <f t="shared" si="19"/>
        <v>-627</v>
      </c>
      <c r="AG46" s="840">
        <f t="shared" si="19"/>
        <v>-18</v>
      </c>
      <c r="AH46" s="840">
        <f>AH16-AH44</f>
        <v>-193</v>
      </c>
      <c r="AI46" s="840">
        <f>AI16-AI44</f>
        <v>-159</v>
      </c>
      <c r="AJ46" s="840">
        <f>AJ16-AJ44</f>
        <v>169</v>
      </c>
      <c r="AK46" s="840"/>
      <c r="AL46" s="20">
        <f t="shared" si="19"/>
        <v>13585</v>
      </c>
    </row>
    <row r="47" spans="2:38" ht="12.75" customHeight="1">
      <c r="B47" s="2" t="s">
        <v>94</v>
      </c>
      <c r="C47" s="20"/>
      <c r="D47" s="20"/>
      <c r="E47" s="20"/>
      <c r="F47" s="840"/>
      <c r="G47" s="841">
        <f>DFITWaGas!$F43</f>
        <v>0</v>
      </c>
      <c r="H47" s="841">
        <f>BldGain!$F43</f>
        <v>0</v>
      </c>
      <c r="I47" s="841">
        <f>GasInv!$F43</f>
        <v>0</v>
      </c>
      <c r="J47" s="841">
        <f>WznDSM!$F43</f>
        <v>0</v>
      </c>
      <c r="K47" s="841">
        <f>CustAdv!$F43</f>
        <v>0</v>
      </c>
      <c r="L47" s="20"/>
      <c r="M47" s="841"/>
      <c r="N47" s="841"/>
      <c r="O47" s="841"/>
      <c r="P47" s="841"/>
      <c r="Q47" s="841"/>
      <c r="R47" s="841">
        <f>InjDam!$F43</f>
        <v>0</v>
      </c>
      <c r="S47" s="841">
        <f>FIT!$F43</f>
        <v>0</v>
      </c>
      <c r="T47" s="841">
        <f>PayClear!$F43</f>
        <v>0</v>
      </c>
      <c r="U47" s="841"/>
      <c r="V47" s="841"/>
      <c r="W47" s="841"/>
      <c r="X47" s="841"/>
      <c r="Y47" s="841">
        <f>Depr!$F43</f>
        <v>0</v>
      </c>
      <c r="Z47" s="841">
        <f>Incent!$F43</f>
        <v>0</v>
      </c>
      <c r="AA47" s="841">
        <f>DebtInt!$F43</f>
        <v>0</v>
      </c>
      <c r="AB47" s="841"/>
      <c r="AC47" s="20"/>
      <c r="AD47" s="841">
        <f>PFPension!$F43</f>
        <v>0</v>
      </c>
      <c r="AE47" s="839">
        <f>'PF Ins'!F43</f>
        <v>0</v>
      </c>
      <c r="AF47" s="841">
        <f>PFLabor!$F43</f>
        <v>0</v>
      </c>
      <c r="AG47" s="841">
        <f>PFExec!$F43</f>
        <v>0</v>
      </c>
      <c r="AH47" s="841">
        <f>PFGasProc!$F43</f>
        <v>0</v>
      </c>
      <c r="AI47" s="841">
        <f>PFAlloc!$F43</f>
        <v>0</v>
      </c>
      <c r="AJ47" s="841">
        <f>PFHamilton!$F43</f>
        <v>0</v>
      </c>
      <c r="AK47" s="841"/>
      <c r="AL47" s="20"/>
    </row>
    <row r="48" spans="1:38" ht="12.75">
      <c r="A48" s="18">
        <v>27</v>
      </c>
      <c r="C48" s="20" t="s">
        <v>95</v>
      </c>
      <c r="D48" s="20"/>
      <c r="E48" s="20"/>
      <c r="F48" s="840">
        <f>ResultSumGas!$F44</f>
        <v>-3884</v>
      </c>
      <c r="G48" s="841">
        <f>DFITWaGas!$F44</f>
        <v>0</v>
      </c>
      <c r="H48" s="841">
        <f>BldGain!$F44</f>
        <v>0</v>
      </c>
      <c r="I48" s="841">
        <f>GasInv!$F44</f>
        <v>0</v>
      </c>
      <c r="J48" s="841">
        <f>WznDSM!$F44</f>
        <v>34</v>
      </c>
      <c r="K48" s="841">
        <f>CustAdv!$F44</f>
        <v>0</v>
      </c>
      <c r="L48" s="20">
        <f>SUM(F48:K48)</f>
        <v>-3850</v>
      </c>
      <c r="M48" s="841">
        <f>RevenueNorm!$F44</f>
        <v>2024</v>
      </c>
      <c r="N48" s="841">
        <f>BandO!$F44</f>
        <v>16</v>
      </c>
      <c r="O48" s="841">
        <f>PropTax!$F44</f>
        <v>21</v>
      </c>
      <c r="P48" s="841">
        <f>UncollExp!$F44</f>
        <v>81</v>
      </c>
      <c r="Q48" s="841">
        <f>RegExp!$F44</f>
        <v>-9</v>
      </c>
      <c r="R48" s="841">
        <f>InjDam!$F44</f>
        <v>3</v>
      </c>
      <c r="S48" s="841">
        <f>FIT!$F44</f>
        <v>1289</v>
      </c>
      <c r="T48" s="841">
        <f>PayClear!$F44</f>
        <v>169</v>
      </c>
      <c r="U48" s="841">
        <f>ElimAR!$F44</f>
        <v>44</v>
      </c>
      <c r="V48" s="841">
        <f>SubSpace!$F44</f>
        <v>2</v>
      </c>
      <c r="W48" s="841">
        <f>XFranchTax!$F44</f>
        <v>403</v>
      </c>
      <c r="X48" s="841">
        <f>BldgLease!$F44</f>
        <v>-11</v>
      </c>
      <c r="Y48" s="841">
        <f>Depr!$F44</f>
        <v>-169</v>
      </c>
      <c r="Z48" s="841">
        <f>Incent!$F44</f>
        <v>-5</v>
      </c>
      <c r="AA48" s="841">
        <f>DebtInt!$F44</f>
        <v>646.9087164710695</v>
      </c>
      <c r="AB48" s="841"/>
      <c r="AC48" s="20">
        <f>SUM(L48:AB48)</f>
        <v>654.9087164710695</v>
      </c>
      <c r="AD48" s="841">
        <f>PFPension!$F44</f>
        <v>62</v>
      </c>
      <c r="AE48" s="839">
        <f>'PF Ins'!F44</f>
        <v>39</v>
      </c>
      <c r="AF48" s="841">
        <f>PFLabor!$F44</f>
        <v>-219</v>
      </c>
      <c r="AG48" s="841">
        <f>PFExec!$F44</f>
        <v>-6</v>
      </c>
      <c r="AH48" s="841">
        <f>PFGasProc!$F44</f>
        <v>-68</v>
      </c>
      <c r="AI48" s="841">
        <f>PFAlloc!$F44</f>
        <v>-56</v>
      </c>
      <c r="AJ48" s="841">
        <f>PFHamilton!$F44</f>
        <v>59</v>
      </c>
      <c r="AK48" s="841"/>
      <c r="AL48" s="20">
        <f>SUM(AC48:AK48)</f>
        <v>465.9087164710695</v>
      </c>
    </row>
    <row r="49" spans="1:38" ht="12.75">
      <c r="A49" s="18">
        <v>28</v>
      </c>
      <c r="C49" s="20" t="s">
        <v>96</v>
      </c>
      <c r="D49" s="20"/>
      <c r="E49" s="20"/>
      <c r="F49" s="840">
        <f>ResultSumGas!$F45</f>
        <v>3728</v>
      </c>
      <c r="G49" s="841">
        <f>DFITWaGas!$F45</f>
        <v>0</v>
      </c>
      <c r="H49" s="841">
        <f>BldGain!$F45</f>
        <v>0</v>
      </c>
      <c r="I49" s="841">
        <f>GasInv!$F45</f>
        <v>0</v>
      </c>
      <c r="J49" s="841">
        <f>WznDSM!$F45</f>
        <v>0</v>
      </c>
      <c r="K49" s="841">
        <f>CustAdv!$F45</f>
        <v>0</v>
      </c>
      <c r="L49" s="20">
        <f>SUM(F49:K49)</f>
        <v>3728</v>
      </c>
      <c r="M49" s="841">
        <f>RevenueNorm!$F45</f>
        <v>0</v>
      </c>
      <c r="N49" s="841">
        <f>BandO!$F45</f>
        <v>0</v>
      </c>
      <c r="O49" s="841">
        <f>PropTax!$F45</f>
        <v>0</v>
      </c>
      <c r="P49" s="841">
        <f>UncollExp!$F45</f>
        <v>0</v>
      </c>
      <c r="Q49" s="841">
        <f>RegExp!$F45</f>
        <v>0</v>
      </c>
      <c r="R49" s="841">
        <f>InjDam!$F45</f>
        <v>0</v>
      </c>
      <c r="S49" s="841">
        <f>FIT!$F45</f>
        <v>-1388</v>
      </c>
      <c r="T49" s="841">
        <f>PayClear!$F45</f>
        <v>0</v>
      </c>
      <c r="U49" s="841">
        <f>ElimAR!$F45</f>
        <v>0</v>
      </c>
      <c r="V49" s="841">
        <f>SubSpace!$F45</f>
        <v>0</v>
      </c>
      <c r="W49" s="841">
        <f>XFranchTax!$F45</f>
        <v>0</v>
      </c>
      <c r="X49" s="841">
        <f>BldgLease!$F45</f>
        <v>0</v>
      </c>
      <c r="Y49" s="841">
        <f>Depr!$F45</f>
        <v>0</v>
      </c>
      <c r="Z49" s="841">
        <f>Incent!$F45</f>
        <v>0</v>
      </c>
      <c r="AA49" s="841">
        <f>DebtInt!$F45</f>
        <v>0</v>
      </c>
      <c r="AB49" s="841"/>
      <c r="AC49" s="20">
        <f>SUM(L49:AB49)</f>
        <v>2340</v>
      </c>
      <c r="AD49" s="841">
        <f>PFPension!$F45</f>
        <v>0</v>
      </c>
      <c r="AE49" s="839">
        <f>'PF Ins'!F45</f>
        <v>0</v>
      </c>
      <c r="AF49" s="841">
        <f>PFLabor!$F45</f>
        <v>0</v>
      </c>
      <c r="AG49" s="841">
        <f>PFExec!$F45</f>
        <v>0</v>
      </c>
      <c r="AH49" s="841">
        <f>PFGasProc!$F45</f>
        <v>0</v>
      </c>
      <c r="AI49" s="841">
        <f>PFAlloc!$F45</f>
        <v>0</v>
      </c>
      <c r="AJ49" s="841">
        <f>PFHamilton!$F45</f>
        <v>0</v>
      </c>
      <c r="AK49" s="841"/>
      <c r="AL49" s="20">
        <f>SUM(AC49:AK49)</f>
        <v>2340</v>
      </c>
    </row>
    <row r="50" spans="1:38" ht="12.75">
      <c r="A50" s="18">
        <v>29</v>
      </c>
      <c r="C50" s="20" t="s">
        <v>97</v>
      </c>
      <c r="D50" s="20"/>
      <c r="E50" s="20"/>
      <c r="F50" s="842">
        <f>ResultSumGas!$F46</f>
        <v>-31</v>
      </c>
      <c r="G50" s="843">
        <f>DFITWaGas!$F46</f>
        <v>0</v>
      </c>
      <c r="H50" s="843">
        <f>BldGain!$F46</f>
        <v>0</v>
      </c>
      <c r="I50" s="843">
        <f>GasInv!$F46</f>
        <v>0</v>
      </c>
      <c r="J50" s="843">
        <f>WznDSM!$F46</f>
        <v>0</v>
      </c>
      <c r="K50" s="843">
        <f>CustAdv!$F46</f>
        <v>0</v>
      </c>
      <c r="L50" s="865">
        <f>SUM(F50:K50)</f>
        <v>-31</v>
      </c>
      <c r="M50" s="843">
        <f>RevenueNorm!$F46</f>
        <v>0</v>
      </c>
      <c r="N50" s="843">
        <f>BandO!$F46</f>
        <v>0</v>
      </c>
      <c r="O50" s="843">
        <f>PropTax!$F46</f>
        <v>0</v>
      </c>
      <c r="P50" s="843">
        <f>UncollExp!$F46</f>
        <v>0</v>
      </c>
      <c r="Q50" s="843">
        <f>RegExp!$F46</f>
        <v>0</v>
      </c>
      <c r="R50" s="843">
        <f>InjDam!$F46</f>
        <v>0</v>
      </c>
      <c r="S50" s="843">
        <f>FIT!$F46</f>
        <v>0</v>
      </c>
      <c r="T50" s="843">
        <f>PayClear!$F46</f>
        <v>0</v>
      </c>
      <c r="U50" s="843">
        <f>ElimAR!$F46</f>
        <v>0</v>
      </c>
      <c r="V50" s="843">
        <f>SubSpace!$F46</f>
        <v>0</v>
      </c>
      <c r="W50" s="843">
        <f>XFranchTax!$F46</f>
        <v>0</v>
      </c>
      <c r="X50" s="843">
        <f>BldgLease!$F46</f>
        <v>0</v>
      </c>
      <c r="Y50" s="843">
        <f>Depr!$F46</f>
        <v>0</v>
      </c>
      <c r="Z50" s="843">
        <f>Incent!$F46</f>
        <v>0</v>
      </c>
      <c r="AA50" s="843">
        <f>DebtInt!$F46</f>
        <v>0</v>
      </c>
      <c r="AB50" s="843"/>
      <c r="AC50" s="865">
        <f>SUM(L50:AB50)</f>
        <v>-31</v>
      </c>
      <c r="AD50" s="843">
        <f>PFPension!$F46</f>
        <v>0</v>
      </c>
      <c r="AE50" s="914">
        <f>'PF Ins'!F46</f>
        <v>0</v>
      </c>
      <c r="AF50" s="843">
        <f>PFLabor!$F46</f>
        <v>0</v>
      </c>
      <c r="AG50" s="843">
        <f>PFExec!$F46</f>
        <v>0</v>
      </c>
      <c r="AH50" s="843">
        <f>PFGasProc!$F46</f>
        <v>0</v>
      </c>
      <c r="AI50" s="843">
        <f>PFAlloc!$F46</f>
        <v>0</v>
      </c>
      <c r="AJ50" s="843">
        <f>PFHamilton!$F46</f>
        <v>0</v>
      </c>
      <c r="AK50" s="843"/>
      <c r="AL50" s="865">
        <f>SUM(AC50:AK50)</f>
        <v>-31</v>
      </c>
    </row>
    <row r="52" spans="1:39" s="19" customFormat="1" ht="13.5" thickBot="1">
      <c r="A52" s="18">
        <v>30</v>
      </c>
      <c r="B52" s="19" t="s">
        <v>98</v>
      </c>
      <c r="F52" s="845">
        <f aca="true" t="shared" si="20" ref="F52:S52">F46-SUM(F48:F50)</f>
        <v>6871</v>
      </c>
      <c r="G52" s="845">
        <f t="shared" si="20"/>
        <v>0</v>
      </c>
      <c r="H52" s="845">
        <f t="shared" si="20"/>
        <v>0</v>
      </c>
      <c r="I52" s="845">
        <f t="shared" si="20"/>
        <v>0</v>
      </c>
      <c r="J52" s="845">
        <f t="shared" si="20"/>
        <v>63</v>
      </c>
      <c r="K52" s="845">
        <f t="shared" si="20"/>
        <v>0</v>
      </c>
      <c r="L52" s="866">
        <f t="shared" si="20"/>
        <v>6934</v>
      </c>
      <c r="M52" s="845">
        <f t="shared" si="20"/>
        <v>3758</v>
      </c>
      <c r="N52" s="845">
        <f t="shared" si="20"/>
        <v>29</v>
      </c>
      <c r="O52" s="845">
        <f t="shared" si="20"/>
        <v>40</v>
      </c>
      <c r="P52" s="845">
        <f t="shared" si="20"/>
        <v>149</v>
      </c>
      <c r="Q52" s="845">
        <f t="shared" si="20"/>
        <v>-17</v>
      </c>
      <c r="R52" s="845">
        <f t="shared" si="20"/>
        <v>5</v>
      </c>
      <c r="S52" s="845">
        <f t="shared" si="20"/>
        <v>99</v>
      </c>
      <c r="T52" s="845">
        <f aca="true" t="shared" si="21" ref="T52:AA52">T46-SUM(T48:T50)</f>
        <v>315</v>
      </c>
      <c r="U52" s="845">
        <f t="shared" si="21"/>
        <v>82</v>
      </c>
      <c r="V52" s="845">
        <f t="shared" si="21"/>
        <v>5</v>
      </c>
      <c r="W52" s="845">
        <f t="shared" si="21"/>
        <v>749</v>
      </c>
      <c r="X52" s="845">
        <f t="shared" si="21"/>
        <v>-19</v>
      </c>
      <c r="Y52" s="845">
        <f t="shared" si="21"/>
        <v>-313</v>
      </c>
      <c r="Z52" s="845">
        <f t="shared" si="21"/>
        <v>-9</v>
      </c>
      <c r="AA52" s="845">
        <f t="shared" si="21"/>
        <v>-646.9087164710695</v>
      </c>
      <c r="AB52" s="845"/>
      <c r="AC52" s="866">
        <f>AC46-SUM(AC48:AC50)+AC51</f>
        <v>11160.091283528931</v>
      </c>
      <c r="AD52" s="845">
        <f aca="true" t="shared" si="22" ref="AD52:AI52">AD46-SUM(AD48:AD50)</f>
        <v>115</v>
      </c>
      <c r="AE52" s="845">
        <f t="shared" si="22"/>
        <v>73</v>
      </c>
      <c r="AF52" s="845">
        <f t="shared" si="22"/>
        <v>-408</v>
      </c>
      <c r="AG52" s="845">
        <f t="shared" si="22"/>
        <v>-12</v>
      </c>
      <c r="AH52" s="845">
        <f t="shared" si="22"/>
        <v>-125</v>
      </c>
      <c r="AI52" s="845">
        <f t="shared" si="22"/>
        <v>-103</v>
      </c>
      <c r="AJ52" s="845">
        <f>AJ46-SUM(AJ48:AJ50)</f>
        <v>110</v>
      </c>
      <c r="AK52" s="845"/>
      <c r="AL52" s="866">
        <f>AL46-SUM(AL48:AL50)+AL51</f>
        <v>10810.091283528931</v>
      </c>
      <c r="AM52" s="184"/>
    </row>
    <row r="53" ht="6.75" customHeight="1" thickTop="1"/>
    <row r="54" ht="6.75" customHeight="1"/>
    <row r="55" spans="2:37" ht="12.75">
      <c r="B55" s="2" t="s">
        <v>99</v>
      </c>
      <c r="G55" s="841"/>
      <c r="H55" s="841"/>
      <c r="I55" s="841"/>
      <c r="J55" s="841"/>
      <c r="K55" s="841"/>
      <c r="M55" s="841"/>
      <c r="N55" s="841"/>
      <c r="O55" s="841"/>
      <c r="P55" s="841"/>
      <c r="Q55" s="841"/>
      <c r="R55" s="841"/>
      <c r="S55" s="841"/>
      <c r="T55" s="841"/>
      <c r="U55" s="841"/>
      <c r="V55" s="841"/>
      <c r="W55" s="841"/>
      <c r="X55" s="841"/>
      <c r="Y55" s="841"/>
      <c r="Z55" s="841"/>
      <c r="AA55" s="841"/>
      <c r="AB55" s="841"/>
      <c r="AD55" s="841"/>
      <c r="AE55" s="841"/>
      <c r="AF55" s="841"/>
      <c r="AG55" s="841"/>
      <c r="AH55" s="841"/>
      <c r="AI55" s="841"/>
      <c r="AJ55" s="841"/>
      <c r="AK55" s="841"/>
    </row>
    <row r="56" spans="1:38" ht="12.75">
      <c r="A56" s="18">
        <v>31</v>
      </c>
      <c r="B56" s="20"/>
      <c r="C56" s="20" t="s">
        <v>81</v>
      </c>
      <c r="D56" s="20"/>
      <c r="E56" s="20"/>
      <c r="F56" s="840">
        <f>ResultSumGas!$F52</f>
        <v>13632</v>
      </c>
      <c r="G56" s="839">
        <f>DFITWaGas!$F52</f>
        <v>0</v>
      </c>
      <c r="H56" s="839">
        <f>BldGain!$F52</f>
        <v>0</v>
      </c>
      <c r="I56" s="839">
        <f>GasInv!$F52</f>
        <v>0</v>
      </c>
      <c r="J56" s="839">
        <f>WznDSM!$F52</f>
        <v>0</v>
      </c>
      <c r="K56" s="839">
        <f>CustAdv!$F52</f>
        <v>0</v>
      </c>
      <c r="L56" s="20">
        <f>SUM(F56:K56)</f>
        <v>13632</v>
      </c>
      <c r="M56" s="839">
        <f>RevenueNorm!$F52</f>
        <v>0</v>
      </c>
      <c r="N56" s="839">
        <f>BandO!$F52</f>
        <v>0</v>
      </c>
      <c r="O56" s="839">
        <f>PropTax!$F52</f>
        <v>0</v>
      </c>
      <c r="P56" s="839">
        <f>UncollExp!$F52</f>
        <v>0</v>
      </c>
      <c r="Q56" s="839">
        <f>RegExp!$F52</f>
        <v>0</v>
      </c>
      <c r="R56" s="839">
        <f>InjDam!$F52</f>
        <v>0</v>
      </c>
      <c r="S56" s="839">
        <f>FIT!$F52</f>
        <v>0</v>
      </c>
      <c r="T56" s="839">
        <f>PayClear!$F52</f>
        <v>0</v>
      </c>
      <c r="U56" s="839">
        <f>ElimAR!$F52</f>
        <v>0</v>
      </c>
      <c r="V56" s="839">
        <f>SubSpace!$F52</f>
        <v>0</v>
      </c>
      <c r="W56" s="839">
        <f>XFranchTax!$F52</f>
        <v>0</v>
      </c>
      <c r="X56" s="839">
        <f>BldgLease!$F52</f>
        <v>0</v>
      </c>
      <c r="Y56" s="839">
        <f>Depr!$F52</f>
        <v>0</v>
      </c>
      <c r="Z56" s="839">
        <f>Incent!$F52</f>
        <v>0</v>
      </c>
      <c r="AA56" s="839">
        <f>DebtInt!$F52</f>
        <v>0</v>
      </c>
      <c r="AB56" s="839"/>
      <c r="AC56" s="20">
        <f>SUM(L56:AB56)</f>
        <v>13632</v>
      </c>
      <c r="AD56" s="839">
        <f>PFPension!$F52</f>
        <v>0</v>
      </c>
      <c r="AE56" s="839">
        <f>'PF Ins'!F52</f>
        <v>0</v>
      </c>
      <c r="AF56" s="839">
        <f>PFLabor!$F52</f>
        <v>0</v>
      </c>
      <c r="AG56" s="839">
        <f>PFExec!$F52</f>
        <v>0</v>
      </c>
      <c r="AH56" s="839">
        <f>PFGasProc!$F52</f>
        <v>0</v>
      </c>
      <c r="AI56" s="839">
        <f>PFAlloc!$F52</f>
        <v>0</v>
      </c>
      <c r="AJ56" s="839">
        <f>PFHamilton!$F52</f>
        <v>0</v>
      </c>
      <c r="AK56" s="839"/>
      <c r="AL56" s="20">
        <f>SUM(AC56:AK56)</f>
        <v>13632</v>
      </c>
    </row>
    <row r="57" spans="1:38" ht="12.75">
      <c r="A57" s="18">
        <v>32</v>
      </c>
      <c r="B57" s="20"/>
      <c r="C57" s="20" t="s">
        <v>100</v>
      </c>
      <c r="D57" s="20"/>
      <c r="E57" s="20"/>
      <c r="F57" s="840">
        <f>ResultSumGas!$F53</f>
        <v>200079</v>
      </c>
      <c r="G57" s="841">
        <f>DFITWaGas!$F53</f>
        <v>0</v>
      </c>
      <c r="H57" s="841">
        <f>BldGain!$F53</f>
        <v>0</v>
      </c>
      <c r="I57" s="841">
        <f>GasInv!$F53</f>
        <v>0</v>
      </c>
      <c r="J57" s="841">
        <f>WznDSM!$F53</f>
        <v>1120</v>
      </c>
      <c r="K57" s="841">
        <f>CustAdv!$F53</f>
        <v>-1</v>
      </c>
      <c r="L57" s="20">
        <f>SUM(F57:K57)</f>
        <v>201198</v>
      </c>
      <c r="M57" s="841">
        <f>RevenueNorm!$F53</f>
        <v>0</v>
      </c>
      <c r="N57" s="841">
        <f>BandO!$F53</f>
        <v>0</v>
      </c>
      <c r="O57" s="841">
        <f>PropTax!$F53</f>
        <v>0</v>
      </c>
      <c r="P57" s="841">
        <f>UncollExp!$F53</f>
        <v>0</v>
      </c>
      <c r="Q57" s="841">
        <f>RegExp!$F53</f>
        <v>0</v>
      </c>
      <c r="R57" s="841">
        <f>InjDam!$F53</f>
        <v>0</v>
      </c>
      <c r="S57" s="841">
        <f>FIT!$F53</f>
        <v>0</v>
      </c>
      <c r="T57" s="841">
        <f>PayClear!$F53</f>
        <v>0</v>
      </c>
      <c r="U57" s="841">
        <f>ElimAR!$F53</f>
        <v>0</v>
      </c>
      <c r="V57" s="841">
        <f>SubSpace!$F53</f>
        <v>0</v>
      </c>
      <c r="W57" s="841">
        <f>XFranchTax!$F53</f>
        <v>0</v>
      </c>
      <c r="X57" s="841">
        <f>BldgLease!$F53</f>
        <v>0</v>
      </c>
      <c r="Y57" s="841">
        <f>Depr!$F53</f>
        <v>0</v>
      </c>
      <c r="Z57" s="841">
        <f>Incent!$F53</f>
        <v>0</v>
      </c>
      <c r="AA57" s="841">
        <f>DebtInt!$F53</f>
        <v>0</v>
      </c>
      <c r="AB57" s="841"/>
      <c r="AC57" s="20">
        <f>SUM(L57:AB57)</f>
        <v>201198</v>
      </c>
      <c r="AD57" s="841">
        <f>PFPension!$F53</f>
        <v>0</v>
      </c>
      <c r="AE57" s="839">
        <f>'PF Ins'!F53</f>
        <v>0</v>
      </c>
      <c r="AF57" s="841">
        <f>PFLabor!$F53</f>
        <v>0</v>
      </c>
      <c r="AG57" s="841">
        <f>PFExec!$F53</f>
        <v>0</v>
      </c>
      <c r="AH57" s="841">
        <f>PFGasProc!$F53</f>
        <v>0</v>
      </c>
      <c r="AI57" s="841">
        <f>PFAlloc!$F53</f>
        <v>0</v>
      </c>
      <c r="AJ57" s="841">
        <f>PFHamilton!$F53</f>
        <v>0</v>
      </c>
      <c r="AK57" s="841"/>
      <c r="AL57" s="20">
        <f>SUM(AC57:AK57)</f>
        <v>201198</v>
      </c>
    </row>
    <row r="58" spans="1:38" ht="12.75">
      <c r="A58" s="18">
        <v>33</v>
      </c>
      <c r="B58" s="20"/>
      <c r="C58" s="20" t="s">
        <v>101</v>
      </c>
      <c r="D58" s="20"/>
      <c r="E58" s="20"/>
      <c r="F58" s="842">
        <f>ResultSumGas!$F54</f>
        <v>16499</v>
      </c>
      <c r="G58" s="843">
        <f>DFITWaGas!$F54</f>
        <v>0</v>
      </c>
      <c r="H58" s="843">
        <f>BldGain!$F54</f>
        <v>0</v>
      </c>
      <c r="I58" s="843">
        <f>GasInv!$F54</f>
        <v>0</v>
      </c>
      <c r="J58" s="843">
        <f>WznDSM!$F54</f>
        <v>0</v>
      </c>
      <c r="K58" s="843">
        <f>CustAdv!$F54</f>
        <v>0</v>
      </c>
      <c r="L58" s="865">
        <f>SUM(F58:K58)</f>
        <v>16499</v>
      </c>
      <c r="M58" s="843">
        <f>RevenueNorm!$F54</f>
        <v>0</v>
      </c>
      <c r="N58" s="843">
        <f>BandO!$F54</f>
        <v>0</v>
      </c>
      <c r="O58" s="843">
        <f>PropTax!$F54</f>
        <v>0</v>
      </c>
      <c r="P58" s="843">
        <f>UncollExp!$F54</f>
        <v>0</v>
      </c>
      <c r="Q58" s="843">
        <f>RegExp!$F54</f>
        <v>0</v>
      </c>
      <c r="R58" s="843">
        <f>InjDam!$F54</f>
        <v>0</v>
      </c>
      <c r="S58" s="843">
        <f>FIT!$F54</f>
        <v>0</v>
      </c>
      <c r="T58" s="843">
        <f>PayClear!$F54</f>
        <v>0</v>
      </c>
      <c r="U58" s="843">
        <f>ElimAR!$F54</f>
        <v>0</v>
      </c>
      <c r="V58" s="843">
        <f>SubSpace!$F54</f>
        <v>0</v>
      </c>
      <c r="W58" s="843">
        <f>XFranchTax!$F54</f>
        <v>0</v>
      </c>
      <c r="X58" s="843">
        <f>BldgLease!$F54</f>
        <v>0</v>
      </c>
      <c r="Y58" s="843">
        <f>Depr!$F54</f>
        <v>0</v>
      </c>
      <c r="Z58" s="843">
        <f>Incent!$F54</f>
        <v>0</v>
      </c>
      <c r="AA58" s="843">
        <f>DebtInt!$F54</f>
        <v>0</v>
      </c>
      <c r="AB58" s="843"/>
      <c r="AC58" s="865">
        <f>SUM(L58:AB58)</f>
        <v>16499</v>
      </c>
      <c r="AD58" s="843">
        <f>PFPension!$F54</f>
        <v>0</v>
      </c>
      <c r="AE58" s="914">
        <f>'PF Ins'!F54</f>
        <v>0</v>
      </c>
      <c r="AF58" s="843">
        <f>PFLabor!$F54</f>
        <v>0</v>
      </c>
      <c r="AG58" s="843">
        <f>PFExec!$F54</f>
        <v>0</v>
      </c>
      <c r="AH58" s="843">
        <f>PFGasProc!$F54</f>
        <v>0</v>
      </c>
      <c r="AI58" s="843">
        <f>PFAlloc!$F54</f>
        <v>0</v>
      </c>
      <c r="AJ58" s="843">
        <f>PFHamilton!$F54</f>
        <v>0</v>
      </c>
      <c r="AK58" s="843"/>
      <c r="AL58" s="865">
        <f>SUM(AC58:AK58)</f>
        <v>16499</v>
      </c>
    </row>
    <row r="59" spans="1:38" ht="18" customHeight="1">
      <c r="A59" s="18">
        <v>34</v>
      </c>
      <c r="B59" s="20"/>
      <c r="C59" s="20"/>
      <c r="D59" s="20"/>
      <c r="E59" s="20" t="s">
        <v>102</v>
      </c>
      <c r="F59" s="840">
        <f aca="true" t="shared" si="23" ref="F59:T59">SUM(F56:F58)</f>
        <v>230210</v>
      </c>
      <c r="G59" s="840">
        <f t="shared" si="23"/>
        <v>0</v>
      </c>
      <c r="H59" s="840">
        <f t="shared" si="23"/>
        <v>0</v>
      </c>
      <c r="I59" s="840">
        <f t="shared" si="23"/>
        <v>0</v>
      </c>
      <c r="J59" s="840">
        <f t="shared" si="23"/>
        <v>1120</v>
      </c>
      <c r="K59" s="840">
        <f t="shared" si="23"/>
        <v>-1</v>
      </c>
      <c r="L59" s="20">
        <f t="shared" si="23"/>
        <v>231329</v>
      </c>
      <c r="M59" s="840">
        <f t="shared" si="23"/>
        <v>0</v>
      </c>
      <c r="N59" s="840">
        <f t="shared" si="23"/>
        <v>0</v>
      </c>
      <c r="O59" s="840">
        <f t="shared" si="23"/>
        <v>0</v>
      </c>
      <c r="P59" s="840">
        <f t="shared" si="23"/>
        <v>0</v>
      </c>
      <c r="Q59" s="840">
        <f t="shared" si="23"/>
        <v>0</v>
      </c>
      <c r="R59" s="840">
        <f t="shared" si="23"/>
        <v>0</v>
      </c>
      <c r="S59" s="840">
        <f t="shared" si="23"/>
        <v>0</v>
      </c>
      <c r="T59" s="840">
        <f t="shared" si="23"/>
        <v>0</v>
      </c>
      <c r="U59" s="840">
        <f aca="true" t="shared" si="24" ref="U59:AA59">SUM(U56:U58)</f>
        <v>0</v>
      </c>
      <c r="V59" s="840">
        <f t="shared" si="24"/>
        <v>0</v>
      </c>
      <c r="W59" s="840">
        <f t="shared" si="24"/>
        <v>0</v>
      </c>
      <c r="X59" s="840">
        <f t="shared" si="24"/>
        <v>0</v>
      </c>
      <c r="Y59" s="840">
        <f t="shared" si="24"/>
        <v>0</v>
      </c>
      <c r="Z59" s="840">
        <f t="shared" si="24"/>
        <v>0</v>
      </c>
      <c r="AA59" s="840">
        <f t="shared" si="24"/>
        <v>0</v>
      </c>
      <c r="AB59" s="840"/>
      <c r="AC59" s="20">
        <f aca="true" t="shared" si="25" ref="AC59:AJ59">SUM(AC56:AC58)</f>
        <v>231329</v>
      </c>
      <c r="AD59" s="840">
        <f t="shared" si="25"/>
        <v>0</v>
      </c>
      <c r="AE59" s="840">
        <f t="shared" si="25"/>
        <v>0</v>
      </c>
      <c r="AF59" s="840">
        <f t="shared" si="25"/>
        <v>0</v>
      </c>
      <c r="AG59" s="840">
        <f t="shared" si="25"/>
        <v>0</v>
      </c>
      <c r="AH59" s="840">
        <f t="shared" si="25"/>
        <v>0</v>
      </c>
      <c r="AI59" s="840">
        <f t="shared" si="25"/>
        <v>0</v>
      </c>
      <c r="AJ59" s="840">
        <f t="shared" si="25"/>
        <v>0</v>
      </c>
      <c r="AK59" s="840"/>
      <c r="AL59" s="20">
        <f>SUM(AL56:AL58)</f>
        <v>231329</v>
      </c>
    </row>
    <row r="60" spans="2:38" ht="12.75">
      <c r="B60" s="20" t="s">
        <v>103</v>
      </c>
      <c r="C60" s="20"/>
      <c r="D60" s="20"/>
      <c r="E60" s="20"/>
      <c r="F60" s="840"/>
      <c r="G60" s="841"/>
      <c r="H60" s="841"/>
      <c r="I60" s="841"/>
      <c r="J60" s="841"/>
      <c r="K60" s="841"/>
      <c r="L60" s="20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41"/>
      <c r="AA60" s="841"/>
      <c r="AB60" s="841"/>
      <c r="AC60" s="20"/>
      <c r="AD60" s="841"/>
      <c r="AE60" s="841"/>
      <c r="AF60" s="841"/>
      <c r="AG60" s="841"/>
      <c r="AH60" s="841"/>
      <c r="AI60" s="841"/>
      <c r="AJ60" s="841"/>
      <c r="AK60" s="841"/>
      <c r="AL60" s="20"/>
    </row>
    <row r="61" spans="1:38" ht="12.75">
      <c r="A61" s="18">
        <v>35</v>
      </c>
      <c r="B61" s="20"/>
      <c r="C61" s="20" t="s">
        <v>81</v>
      </c>
      <c r="D61" s="20"/>
      <c r="E61" s="20"/>
      <c r="F61" s="840">
        <f>ResultSumGas!$F57</f>
        <v>6657</v>
      </c>
      <c r="G61" s="841">
        <f>DFITWaGas!$F57</f>
        <v>0</v>
      </c>
      <c r="H61" s="841">
        <f>BldGain!$F57</f>
        <v>0</v>
      </c>
      <c r="I61" s="841">
        <f>GasInv!$F57</f>
        <v>0</v>
      </c>
      <c r="J61" s="841">
        <f>WznDSM!$F57</f>
        <v>0</v>
      </c>
      <c r="K61" s="841">
        <f>CustAdv!$F57</f>
        <v>0</v>
      </c>
      <c r="L61" s="20">
        <f>SUM(F61:K61)</f>
        <v>6657</v>
      </c>
      <c r="M61" s="841">
        <f>RevenueNorm!$F57</f>
        <v>0</v>
      </c>
      <c r="N61" s="841">
        <f>BandO!$F57</f>
        <v>0</v>
      </c>
      <c r="O61" s="841">
        <f>PropTax!$F57</f>
        <v>0</v>
      </c>
      <c r="P61" s="841">
        <f>UncollExp!$F57</f>
        <v>0</v>
      </c>
      <c r="Q61" s="841">
        <f>RegExp!$F57</f>
        <v>0</v>
      </c>
      <c r="R61" s="841">
        <f>InjDam!$F57</f>
        <v>0</v>
      </c>
      <c r="S61" s="841">
        <f>FIT!$F57</f>
        <v>0</v>
      </c>
      <c r="T61" s="841">
        <f>PayClear!$F57</f>
        <v>0</v>
      </c>
      <c r="U61" s="841">
        <f>ElimAR!$F57</f>
        <v>0</v>
      </c>
      <c r="V61" s="841">
        <f>SubSpace!$F57</f>
        <v>0</v>
      </c>
      <c r="W61" s="841">
        <f>XFranchTax!$F57</f>
        <v>0</v>
      </c>
      <c r="X61" s="841">
        <f>BldgLease!$F57</f>
        <v>0</v>
      </c>
      <c r="Y61" s="841">
        <f>Depr!$F57</f>
        <v>2</v>
      </c>
      <c r="Z61" s="841">
        <f>Incent!$F57</f>
        <v>0</v>
      </c>
      <c r="AA61" s="841">
        <f>DebtInt!$F57</f>
        <v>0</v>
      </c>
      <c r="AB61" s="841"/>
      <c r="AC61" s="20">
        <f>SUM(L61:AB61)</f>
        <v>6659</v>
      </c>
      <c r="AD61" s="841">
        <f>PFPension!$F57</f>
        <v>0</v>
      </c>
      <c r="AE61" s="839">
        <f>'PF Ins'!F57</f>
        <v>0</v>
      </c>
      <c r="AF61" s="841">
        <f>PFLabor!$F57</f>
        <v>0</v>
      </c>
      <c r="AG61" s="841">
        <f>PFExec!$F57</f>
        <v>0</v>
      </c>
      <c r="AH61" s="841">
        <f>PFGasProc!$F57</f>
        <v>0</v>
      </c>
      <c r="AI61" s="841">
        <f>PFAlloc!$F57</f>
        <v>0</v>
      </c>
      <c r="AJ61" s="841">
        <f>PFHamilton!$F57</f>
        <v>0</v>
      </c>
      <c r="AK61" s="841"/>
      <c r="AL61" s="20">
        <f>SUM(AC61:AK61)</f>
        <v>6659</v>
      </c>
    </row>
    <row r="62" spans="1:38" ht="12.75">
      <c r="A62" s="18">
        <v>36</v>
      </c>
      <c r="B62" s="20"/>
      <c r="C62" s="20" t="s">
        <v>100</v>
      </c>
      <c r="D62" s="20"/>
      <c r="E62" s="20"/>
      <c r="F62" s="840">
        <f>ResultSumGas!$F58</f>
        <v>64811</v>
      </c>
      <c r="G62" s="841">
        <f>DFITWaGas!$F58</f>
        <v>0</v>
      </c>
      <c r="H62" s="841">
        <f>BldGain!$F58</f>
        <v>0</v>
      </c>
      <c r="I62" s="841">
        <f>GasInv!$F58</f>
        <v>0</v>
      </c>
      <c r="J62" s="841">
        <f>WznDSM!$F58</f>
        <v>0</v>
      </c>
      <c r="K62" s="841">
        <f>CustAdv!$F58</f>
        <v>0</v>
      </c>
      <c r="L62" s="20">
        <f>SUM(F62:K62)</f>
        <v>64811</v>
      </c>
      <c r="M62" s="841">
        <f>RevenueNorm!$F58</f>
        <v>0</v>
      </c>
      <c r="N62" s="841">
        <f>BandO!$F58</f>
        <v>0</v>
      </c>
      <c r="O62" s="841">
        <f>PropTax!$F58</f>
        <v>0</v>
      </c>
      <c r="P62" s="841">
        <f>UncollExp!$F58</f>
        <v>0</v>
      </c>
      <c r="Q62" s="841">
        <f>RegExp!$F58</f>
        <v>0</v>
      </c>
      <c r="R62" s="841">
        <f>InjDam!$F58</f>
        <v>0</v>
      </c>
      <c r="S62" s="841">
        <f>FIT!$F58</f>
        <v>0</v>
      </c>
      <c r="T62" s="841">
        <f>PayClear!$F58</f>
        <v>0</v>
      </c>
      <c r="U62" s="841">
        <f>ElimAR!$F58</f>
        <v>0</v>
      </c>
      <c r="V62" s="841">
        <f>SubSpace!$F58</f>
        <v>0</v>
      </c>
      <c r="W62" s="841">
        <f>XFranchTax!$F58</f>
        <v>0</v>
      </c>
      <c r="X62" s="841">
        <f>BldgLease!$F58</f>
        <v>0</v>
      </c>
      <c r="Y62" s="841">
        <f>Depr!$F58</f>
        <v>6</v>
      </c>
      <c r="Z62" s="841">
        <f>Incent!$F58</f>
        <v>0</v>
      </c>
      <c r="AA62" s="841">
        <f>DebtInt!$F58</f>
        <v>0</v>
      </c>
      <c r="AB62" s="841"/>
      <c r="AC62" s="20">
        <f>SUM(L62:AB62)</f>
        <v>64817</v>
      </c>
      <c r="AD62" s="841">
        <f>PFPension!$F58</f>
        <v>0</v>
      </c>
      <c r="AE62" s="839">
        <f>'PF Ins'!F58</f>
        <v>0</v>
      </c>
      <c r="AF62" s="841">
        <f>PFLabor!$F58</f>
        <v>0</v>
      </c>
      <c r="AG62" s="841">
        <f>PFExec!$F58</f>
        <v>0</v>
      </c>
      <c r="AH62" s="841">
        <f>PFGasProc!$F58</f>
        <v>0</v>
      </c>
      <c r="AI62" s="841">
        <f>PFAlloc!$F58</f>
        <v>0</v>
      </c>
      <c r="AJ62" s="841">
        <f>PFHamilton!$F58</f>
        <v>0</v>
      </c>
      <c r="AK62" s="841"/>
      <c r="AL62" s="20">
        <f>SUM(AC62:AK62)</f>
        <v>64817</v>
      </c>
    </row>
    <row r="63" spans="1:38" ht="12.75">
      <c r="A63" s="18">
        <v>37</v>
      </c>
      <c r="B63" s="20"/>
      <c r="C63" s="20" t="s">
        <v>101</v>
      </c>
      <c r="D63" s="20"/>
      <c r="E63" s="20"/>
      <c r="F63" s="840">
        <f>ResultSumGas!$F59</f>
        <v>7039</v>
      </c>
      <c r="G63" s="841">
        <f>DFITWaGas!$F59</f>
        <v>0</v>
      </c>
      <c r="H63" s="841">
        <f>BldGain!$F59</f>
        <v>0</v>
      </c>
      <c r="I63" s="841">
        <f>GasInv!$F59</f>
        <v>0</v>
      </c>
      <c r="J63" s="841">
        <f>WznDSM!$F59</f>
        <v>0</v>
      </c>
      <c r="K63" s="841">
        <f>CustAdv!$F59</f>
        <v>0</v>
      </c>
      <c r="L63" s="20">
        <f>SUM(F63:K63)</f>
        <v>7039</v>
      </c>
      <c r="M63" s="841">
        <f>RevenueNorm!$F59</f>
        <v>0</v>
      </c>
      <c r="N63" s="841">
        <f>BandO!$F59</f>
        <v>0</v>
      </c>
      <c r="O63" s="841">
        <f>PropTax!$F59</f>
        <v>0</v>
      </c>
      <c r="P63" s="841">
        <f>UncollExp!$F59</f>
        <v>0</v>
      </c>
      <c r="Q63" s="841">
        <f>RegExp!$F59</f>
        <v>0</v>
      </c>
      <c r="R63" s="841">
        <f>InjDam!$F59</f>
        <v>0</v>
      </c>
      <c r="S63" s="841">
        <f>FIT!$F59</f>
        <v>0</v>
      </c>
      <c r="T63" s="841">
        <f>PayClear!$F59</f>
        <v>0</v>
      </c>
      <c r="U63" s="841">
        <f>ElimAR!$F59</f>
        <v>0</v>
      </c>
      <c r="V63" s="841">
        <f>SubSpace!$F59</f>
        <v>0</v>
      </c>
      <c r="W63" s="841">
        <f>XFranchTax!$F59</f>
        <v>0</v>
      </c>
      <c r="X63" s="841">
        <f>BldgLease!$F59</f>
        <v>0</v>
      </c>
      <c r="Y63" s="841">
        <f>Depr!$F59</f>
        <v>-55</v>
      </c>
      <c r="Z63" s="841">
        <f>Incent!$F59</f>
        <v>0</v>
      </c>
      <c r="AA63" s="841">
        <f>DebtInt!$F59</f>
        <v>0</v>
      </c>
      <c r="AB63" s="841"/>
      <c r="AC63" s="20">
        <f>SUM(L63:AB63)</f>
        <v>6984</v>
      </c>
      <c r="AD63" s="841">
        <f>PFPension!$F59</f>
        <v>0</v>
      </c>
      <c r="AE63" s="839">
        <f>'PF Ins'!F59</f>
        <v>0</v>
      </c>
      <c r="AF63" s="841">
        <f>PFLabor!$F59</f>
        <v>0</v>
      </c>
      <c r="AG63" s="841">
        <f>PFExec!$F59</f>
        <v>0</v>
      </c>
      <c r="AH63" s="841">
        <f>PFGasProc!$F59</f>
        <v>0</v>
      </c>
      <c r="AI63" s="841">
        <f>PFAlloc!$F59</f>
        <v>0</v>
      </c>
      <c r="AJ63" s="841">
        <f>PFHamilton!$F59</f>
        <v>0</v>
      </c>
      <c r="AK63" s="841"/>
      <c r="AL63" s="20">
        <f>SUM(AC63:AK63)</f>
        <v>6984</v>
      </c>
    </row>
    <row r="64" spans="1:38" ht="12.75">
      <c r="A64" s="18">
        <v>38</v>
      </c>
      <c r="B64" s="20"/>
      <c r="C64" s="20"/>
      <c r="D64" s="20"/>
      <c r="E64" s="20" t="s">
        <v>104</v>
      </c>
      <c r="F64" s="846">
        <f aca="true" t="shared" si="26" ref="F64:T64">SUM(F61:F63)</f>
        <v>78507</v>
      </c>
      <c r="G64" s="846">
        <f t="shared" si="26"/>
        <v>0</v>
      </c>
      <c r="H64" s="846">
        <f t="shared" si="26"/>
        <v>0</v>
      </c>
      <c r="I64" s="846">
        <f t="shared" si="26"/>
        <v>0</v>
      </c>
      <c r="J64" s="846">
        <f t="shared" si="26"/>
        <v>0</v>
      </c>
      <c r="K64" s="846">
        <f t="shared" si="26"/>
        <v>0</v>
      </c>
      <c r="L64" s="867">
        <f t="shared" si="26"/>
        <v>78507</v>
      </c>
      <c r="M64" s="846">
        <f t="shared" si="26"/>
        <v>0</v>
      </c>
      <c r="N64" s="846">
        <f t="shared" si="26"/>
        <v>0</v>
      </c>
      <c r="O64" s="846">
        <f t="shared" si="26"/>
        <v>0</v>
      </c>
      <c r="P64" s="846">
        <f t="shared" si="26"/>
        <v>0</v>
      </c>
      <c r="Q64" s="846">
        <f t="shared" si="26"/>
        <v>0</v>
      </c>
      <c r="R64" s="846">
        <f t="shared" si="26"/>
        <v>0</v>
      </c>
      <c r="S64" s="846">
        <f t="shared" si="26"/>
        <v>0</v>
      </c>
      <c r="T64" s="846">
        <f t="shared" si="26"/>
        <v>0</v>
      </c>
      <c r="U64" s="846">
        <f aca="true" t="shared" si="27" ref="U64:AA64">SUM(U61:U63)</f>
        <v>0</v>
      </c>
      <c r="V64" s="846">
        <f t="shared" si="27"/>
        <v>0</v>
      </c>
      <c r="W64" s="846">
        <f t="shared" si="27"/>
        <v>0</v>
      </c>
      <c r="X64" s="846">
        <f t="shared" si="27"/>
        <v>0</v>
      </c>
      <c r="Y64" s="846">
        <f t="shared" si="27"/>
        <v>-47</v>
      </c>
      <c r="Z64" s="846">
        <f t="shared" si="27"/>
        <v>0</v>
      </c>
      <c r="AA64" s="846">
        <f t="shared" si="27"/>
        <v>0</v>
      </c>
      <c r="AB64" s="846"/>
      <c r="AC64" s="867">
        <f aca="true" t="shared" si="28" ref="AC64:AJ64">SUM(AC61:AC63)</f>
        <v>78460</v>
      </c>
      <c r="AD64" s="846">
        <f t="shared" si="28"/>
        <v>0</v>
      </c>
      <c r="AE64" s="846">
        <f t="shared" si="28"/>
        <v>0</v>
      </c>
      <c r="AF64" s="846">
        <f t="shared" si="28"/>
        <v>0</v>
      </c>
      <c r="AG64" s="846">
        <f t="shared" si="28"/>
        <v>0</v>
      </c>
      <c r="AH64" s="846">
        <f t="shared" si="28"/>
        <v>0</v>
      </c>
      <c r="AI64" s="846">
        <f t="shared" si="28"/>
        <v>0</v>
      </c>
      <c r="AJ64" s="846">
        <f t="shared" si="28"/>
        <v>0</v>
      </c>
      <c r="AK64" s="846"/>
      <c r="AL64" s="867">
        <f>SUM(AL61:AL63)</f>
        <v>78460</v>
      </c>
    </row>
    <row r="65" spans="1:39" s="23" customFormat="1" ht="18.75" customHeight="1">
      <c r="A65" s="21">
        <v>39</v>
      </c>
      <c r="B65" s="22" t="s">
        <v>105</v>
      </c>
      <c r="C65" s="22"/>
      <c r="D65" s="22"/>
      <c r="E65" s="22"/>
      <c r="F65" s="847">
        <f>ResultSumGas!$F61</f>
        <v>0</v>
      </c>
      <c r="G65" s="844">
        <f>DFITWaGas!$F61</f>
        <v>-26800</v>
      </c>
      <c r="H65" s="844">
        <f>BldGain!$F61</f>
        <v>85</v>
      </c>
      <c r="I65" s="844">
        <f>GasInv!$F61</f>
        <v>0</v>
      </c>
      <c r="J65" s="844">
        <f>WznDSM!$F61</f>
        <v>0</v>
      </c>
      <c r="K65" s="844">
        <f>CustAdv!$F61</f>
        <v>0</v>
      </c>
      <c r="L65" s="22">
        <f>SUM(F65:K65)</f>
        <v>-26715</v>
      </c>
      <c r="M65" s="844">
        <f>RevenueNorm!$F61</f>
        <v>0</v>
      </c>
      <c r="N65" s="844">
        <f>BandO!$F61</f>
        <v>0</v>
      </c>
      <c r="O65" s="844">
        <f>PropTax!$F61</f>
        <v>0</v>
      </c>
      <c r="P65" s="844">
        <f>UncollExp!$F61</f>
        <v>0</v>
      </c>
      <c r="Q65" s="844">
        <f>RegExp!$F61</f>
        <v>0</v>
      </c>
      <c r="R65" s="844">
        <f>InjDam!$F61</f>
        <v>0</v>
      </c>
      <c r="S65" s="844">
        <f>FIT!$F61</f>
        <v>0</v>
      </c>
      <c r="T65" s="844">
        <f>PayClear!$F61</f>
        <v>0</v>
      </c>
      <c r="U65" s="844">
        <f>ElimAR!$F61</f>
        <v>0</v>
      </c>
      <c r="V65" s="844">
        <f>SubSpace!$F61</f>
        <v>0</v>
      </c>
      <c r="W65" s="844">
        <f>XFranchTax!$F61</f>
        <v>0</v>
      </c>
      <c r="X65" s="844">
        <f>BldgLease!$F61</f>
        <v>0</v>
      </c>
      <c r="Y65" s="844">
        <f>Depr!$F61</f>
        <v>0</v>
      </c>
      <c r="Z65" s="844">
        <f>Incent!$F61</f>
        <v>0</v>
      </c>
      <c r="AA65" s="844">
        <f>DebtInt!$F61</f>
        <v>0</v>
      </c>
      <c r="AB65" s="844"/>
      <c r="AC65" s="22">
        <f>SUM(L65:AB65)</f>
        <v>-26715</v>
      </c>
      <c r="AD65" s="844">
        <f>PFPension!$F61</f>
        <v>0</v>
      </c>
      <c r="AE65" s="839">
        <f>'PF Ins'!F61</f>
        <v>0</v>
      </c>
      <c r="AF65" s="844">
        <f>PFLabor!$F61</f>
        <v>0</v>
      </c>
      <c r="AG65" s="844">
        <f>PFExec!$F61</f>
        <v>0</v>
      </c>
      <c r="AH65" s="844">
        <f>PFGasProc!$F61</f>
        <v>0</v>
      </c>
      <c r="AI65" s="844">
        <f>PFAlloc!$F61</f>
        <v>0</v>
      </c>
      <c r="AJ65" s="844">
        <f>PFHamilton!$F61</f>
        <v>0</v>
      </c>
      <c r="AK65" s="844"/>
      <c r="AL65" s="22">
        <f>SUM(AC65:AK65)</f>
        <v>-26715</v>
      </c>
      <c r="AM65" s="184"/>
    </row>
    <row r="66" spans="1:38" ht="12.75">
      <c r="A66" s="18">
        <v>40</v>
      </c>
      <c r="B66" s="20" t="s">
        <v>106</v>
      </c>
      <c r="C66" s="20"/>
      <c r="D66" s="20"/>
      <c r="E66" s="20"/>
      <c r="F66" s="840">
        <f>ResultSumGas!$F62</f>
        <v>0</v>
      </c>
      <c r="G66" s="841">
        <f>DFITWaGas!$F62</f>
        <v>0</v>
      </c>
      <c r="H66" s="841">
        <f>BldGain!$F62</f>
        <v>0</v>
      </c>
      <c r="I66" s="841">
        <f>GasInv!$F62</f>
        <v>4807</v>
      </c>
      <c r="J66" s="841">
        <f>WznDSM!$F62</f>
        <v>0</v>
      </c>
      <c r="K66" s="841">
        <f>CustAdv!$F62</f>
        <v>0</v>
      </c>
      <c r="L66" s="22">
        <f>SUM(F66:K66)</f>
        <v>4807</v>
      </c>
      <c r="M66" s="841">
        <f>RevenueNorm!$F62</f>
        <v>0</v>
      </c>
      <c r="N66" s="841">
        <f>BandO!$F62</f>
        <v>0</v>
      </c>
      <c r="O66" s="841">
        <f>PropTax!$F62</f>
        <v>0</v>
      </c>
      <c r="P66" s="841">
        <f>UncollExp!$F62</f>
        <v>0</v>
      </c>
      <c r="Q66" s="841">
        <f>RegExp!$F62</f>
        <v>0</v>
      </c>
      <c r="R66" s="841">
        <f>InjDam!$F62</f>
        <v>0</v>
      </c>
      <c r="S66" s="841">
        <f>FIT!$F62</f>
        <v>0</v>
      </c>
      <c r="T66" s="841">
        <f>PayClear!$F62</f>
        <v>0</v>
      </c>
      <c r="U66" s="841">
        <f>ElimAR!$F62</f>
        <v>0</v>
      </c>
      <c r="V66" s="841">
        <f>SubSpace!$F62</f>
        <v>0</v>
      </c>
      <c r="W66" s="841">
        <f>XFranchTax!$F62</f>
        <v>0</v>
      </c>
      <c r="X66" s="841">
        <f>BldgLease!$F62</f>
        <v>0</v>
      </c>
      <c r="Y66" s="841">
        <f>Depr!$F62</f>
        <v>0</v>
      </c>
      <c r="Z66" s="841">
        <f>Incent!$F62</f>
        <v>0</v>
      </c>
      <c r="AA66" s="841">
        <f>DebtInt!$F62</f>
        <v>0</v>
      </c>
      <c r="AB66" s="841"/>
      <c r="AC66" s="22">
        <f>SUM(L66:AB66)</f>
        <v>4807</v>
      </c>
      <c r="AD66" s="841">
        <f>PFPension!$F62</f>
        <v>0</v>
      </c>
      <c r="AE66" s="839">
        <f>'PF Ins'!F62</f>
        <v>0</v>
      </c>
      <c r="AF66" s="841">
        <f>PFLabor!$F62</f>
        <v>0</v>
      </c>
      <c r="AG66" s="841">
        <f>PFExec!$F62</f>
        <v>0</v>
      </c>
      <c r="AH66" s="841">
        <f>PFGasProc!$F62</f>
        <v>0</v>
      </c>
      <c r="AI66" s="841">
        <f>PFAlloc!$F62</f>
        <v>0</v>
      </c>
      <c r="AJ66" s="841">
        <f>PFHamilton!$F62</f>
        <v>0</v>
      </c>
      <c r="AK66" s="841"/>
      <c r="AL66" s="22">
        <f>SUM(AC66:AK66)</f>
        <v>4807</v>
      </c>
    </row>
    <row r="67" spans="1:38" ht="12.75">
      <c r="A67" s="18">
        <v>41</v>
      </c>
      <c r="B67" s="20" t="s">
        <v>107</v>
      </c>
      <c r="C67" s="20"/>
      <c r="D67" s="20"/>
      <c r="E67" s="20"/>
      <c r="F67" s="842">
        <f>ResultSumGas!$F63</f>
        <v>0</v>
      </c>
      <c r="G67" s="843">
        <f>DFITWaGas!$F63</f>
        <v>0</v>
      </c>
      <c r="H67" s="843">
        <f>BldGain!$F63</f>
        <v>-243</v>
      </c>
      <c r="I67" s="843">
        <f>GasInv!$F63</f>
        <v>0</v>
      </c>
      <c r="J67" s="843">
        <f>WznDSM!$F63</f>
        <v>0</v>
      </c>
      <c r="K67" s="843">
        <f>CustAdv!$F63</f>
        <v>0</v>
      </c>
      <c r="L67" s="865">
        <f>SUM(F67:K67)</f>
        <v>-243</v>
      </c>
      <c r="M67" s="843">
        <f>RevenueNorm!$F63</f>
        <v>0</v>
      </c>
      <c r="N67" s="843">
        <f>BandO!$F63</f>
        <v>0</v>
      </c>
      <c r="O67" s="843">
        <f>PropTax!$F63</f>
        <v>0</v>
      </c>
      <c r="P67" s="843">
        <f>UncollExp!$F63</f>
        <v>0</v>
      </c>
      <c r="Q67" s="843">
        <f>RegExp!$F63</f>
        <v>0</v>
      </c>
      <c r="R67" s="843">
        <f>InjDam!$F63</f>
        <v>0</v>
      </c>
      <c r="S67" s="843">
        <f>FIT!$F63</f>
        <v>0</v>
      </c>
      <c r="T67" s="843">
        <f>PayClear!$F63</f>
        <v>0</v>
      </c>
      <c r="U67" s="843">
        <f>ElimAR!$F63</f>
        <v>0</v>
      </c>
      <c r="V67" s="843">
        <f>SubSpace!$F63</f>
        <v>0</v>
      </c>
      <c r="W67" s="843">
        <f>XFranchTax!$F63</f>
        <v>0</v>
      </c>
      <c r="X67" s="843">
        <f>BldgLease!$F63</f>
        <v>0</v>
      </c>
      <c r="Y67" s="843">
        <f>Depr!$F63</f>
        <v>0</v>
      </c>
      <c r="Z67" s="843">
        <f>Incent!$F63</f>
        <v>0</v>
      </c>
      <c r="AA67" s="843">
        <f>DebtInt!$F63</f>
        <v>0</v>
      </c>
      <c r="AB67" s="843"/>
      <c r="AC67" s="865">
        <f>SUM(L67:AB67)</f>
        <v>-243</v>
      </c>
      <c r="AD67" s="843">
        <f>PFPension!$F63</f>
        <v>0</v>
      </c>
      <c r="AE67" s="914">
        <f>'PF Ins'!F63</f>
        <v>0</v>
      </c>
      <c r="AF67" s="843">
        <f>PFLabor!$F63</f>
        <v>0</v>
      </c>
      <c r="AG67" s="843">
        <f>PFExec!$F63</f>
        <v>0</v>
      </c>
      <c r="AH67" s="843">
        <f>PFGasProc!$F63</f>
        <v>0</v>
      </c>
      <c r="AI67" s="843">
        <f>PFAlloc!$F63</f>
        <v>0</v>
      </c>
      <c r="AJ67" s="843">
        <f>PFHamilton!$F63</f>
        <v>0</v>
      </c>
      <c r="AK67" s="843"/>
      <c r="AL67" s="865">
        <f>SUM(AC67:AK67)</f>
        <v>-243</v>
      </c>
    </row>
    <row r="69" spans="1:39" s="19" customFormat="1" ht="13.5" thickBot="1">
      <c r="A69" s="18">
        <v>42</v>
      </c>
      <c r="B69" s="19" t="s">
        <v>108</v>
      </c>
      <c r="F69" s="845">
        <f aca="true" t="shared" si="29" ref="F69:X69">F59-F64+F65+F66+F67</f>
        <v>151703</v>
      </c>
      <c r="G69" s="845">
        <f t="shared" si="29"/>
        <v>-26800</v>
      </c>
      <c r="H69" s="845">
        <f t="shared" si="29"/>
        <v>-158</v>
      </c>
      <c r="I69" s="845">
        <f t="shared" si="29"/>
        <v>4807</v>
      </c>
      <c r="J69" s="845">
        <f t="shared" si="29"/>
        <v>1120</v>
      </c>
      <c r="K69" s="845">
        <f t="shared" si="29"/>
        <v>-1</v>
      </c>
      <c r="L69" s="866">
        <f t="shared" si="29"/>
        <v>130671</v>
      </c>
      <c r="M69" s="845">
        <f t="shared" si="29"/>
        <v>0</v>
      </c>
      <c r="N69" s="845">
        <f t="shared" si="29"/>
        <v>0</v>
      </c>
      <c r="O69" s="845">
        <f t="shared" si="29"/>
        <v>0</v>
      </c>
      <c r="P69" s="845">
        <f t="shared" si="29"/>
        <v>0</v>
      </c>
      <c r="Q69" s="845">
        <f t="shared" si="29"/>
        <v>0</v>
      </c>
      <c r="R69" s="845">
        <f t="shared" si="29"/>
        <v>0</v>
      </c>
      <c r="S69" s="845">
        <f t="shared" si="29"/>
        <v>0</v>
      </c>
      <c r="T69" s="845">
        <f t="shared" si="29"/>
        <v>0</v>
      </c>
      <c r="U69" s="845">
        <f t="shared" si="29"/>
        <v>0</v>
      </c>
      <c r="V69" s="845">
        <f t="shared" si="29"/>
        <v>0</v>
      </c>
      <c r="W69" s="845">
        <f t="shared" si="29"/>
        <v>0</v>
      </c>
      <c r="X69" s="845">
        <f t="shared" si="29"/>
        <v>0</v>
      </c>
      <c r="Y69" s="845">
        <f>Y59-Y64+Y65+Y66+Y67</f>
        <v>47</v>
      </c>
      <c r="Z69" s="845">
        <f>Z59-Z64+Z65+Z66+Z67</f>
        <v>0</v>
      </c>
      <c r="AA69" s="845">
        <f>AA59-AA64+AA65+AA66+AA67</f>
        <v>0</v>
      </c>
      <c r="AB69" s="845"/>
      <c r="AC69" s="866">
        <f aca="true" t="shared" si="30" ref="AC69:AL69">AC59-AC64+AC65+AC66+AC67</f>
        <v>130718</v>
      </c>
      <c r="AD69" s="845">
        <f t="shared" si="30"/>
        <v>0</v>
      </c>
      <c r="AE69" s="845">
        <f t="shared" si="30"/>
        <v>0</v>
      </c>
      <c r="AF69" s="845">
        <f t="shared" si="30"/>
        <v>0</v>
      </c>
      <c r="AG69" s="845">
        <f t="shared" si="30"/>
        <v>0</v>
      </c>
      <c r="AH69" s="845">
        <f>AH59-AH64+AH65+AH66+AH67</f>
        <v>0</v>
      </c>
      <c r="AI69" s="845">
        <f>AI59-AI64+AI65+AI66+AI67</f>
        <v>0</v>
      </c>
      <c r="AJ69" s="845">
        <f>AJ59-AJ64+AJ65+AJ66+AJ67</f>
        <v>0</v>
      </c>
      <c r="AK69" s="845"/>
      <c r="AL69" s="866">
        <f t="shared" si="30"/>
        <v>130718</v>
      </c>
      <c r="AM69" s="184"/>
    </row>
    <row r="70" spans="1:38" ht="18" customHeight="1" thickTop="1">
      <c r="A70" s="18">
        <v>43</v>
      </c>
      <c r="B70" s="2" t="s">
        <v>109</v>
      </c>
      <c r="F70" s="848"/>
      <c r="L70" s="24">
        <f>ROUND(L52/L69,4)</f>
        <v>0.0531</v>
      </c>
      <c r="AC70" s="24">
        <f>ROUND(AC52/AC69,4)</f>
        <v>0.0854</v>
      </c>
      <c r="AL70" s="24">
        <f>ROUND(AL52/AL69,4)</f>
        <v>0.0827</v>
      </c>
    </row>
    <row r="71" ht="12.75">
      <c r="F71" s="849">
        <f>ROUND(F52/F69,4)</f>
        <v>0.0453</v>
      </c>
    </row>
  </sheetData>
  <printOptions/>
  <pageMargins left="0.7" right="0.7" top="0.75" bottom="0.5" header="0.5" footer="0.5"/>
  <pageSetup firstPageNumber="4" useFirstPageNumber="1" horizontalDpi="300" verticalDpi="300" orientation="portrait" scale="75" r:id="rId1"/>
  <headerFooter alignWithMargins="0">
    <oddHeader>&amp;L&amp;"Times,Regular"File: &amp;F&amp;R&amp;"Times,Regular"Exhibit No.____(DMF-3)</oddHeader>
    <oddFooter>&amp;L&amp;"Times,Regular"Docket No. UG-05-_________
Falkner, Avista&amp;R&amp;"Times,Regular"Page &amp;P of 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6">
      <selection activeCell="G53" sqref="G53"/>
    </sheetView>
  </sheetViews>
  <sheetFormatPr defaultColWidth="9.140625" defaultRowHeight="10.5" customHeight="1"/>
  <cols>
    <col min="1" max="1" width="5.57421875" style="357" customWidth="1"/>
    <col min="2" max="2" width="26.140625" style="357" customWidth="1"/>
    <col min="3" max="3" width="12.421875" style="357" customWidth="1"/>
    <col min="4" max="4" width="6.7109375" style="357" customWidth="1"/>
    <col min="5" max="5" width="12.421875" style="375" customWidth="1"/>
    <col min="6" max="6" width="12.421875" style="376" customWidth="1"/>
    <col min="7" max="7" width="12.421875" style="375" customWidth="1"/>
    <col min="8" max="16384" width="12.421875" style="357" customWidth="1"/>
  </cols>
  <sheetData>
    <row r="1" spans="1:7" ht="12">
      <c r="A1" s="356" t="str">
        <f>Inputs!$D$6</f>
        <v>AVISTA UTILITIES</v>
      </c>
      <c r="B1" s="356"/>
      <c r="C1" s="356"/>
      <c r="E1" s="358"/>
      <c r="F1" s="359"/>
      <c r="G1" s="358"/>
    </row>
    <row r="2" spans="1:7" ht="12">
      <c r="A2" s="356" t="s">
        <v>122</v>
      </c>
      <c r="B2" s="356"/>
      <c r="C2" s="356"/>
      <c r="E2" s="358"/>
      <c r="F2" s="360" t="s">
        <v>175</v>
      </c>
      <c r="G2" s="358"/>
    </row>
    <row r="3" spans="1:7" ht="12">
      <c r="A3" s="356" t="str">
        <f>Inputs!$D$2</f>
        <v>TWELVE MONTHS ENDED DECEMBER 31, 2004</v>
      </c>
      <c r="B3" s="356"/>
      <c r="C3" s="356"/>
      <c r="E3" s="358"/>
      <c r="F3" s="360" t="s">
        <v>176</v>
      </c>
      <c r="G3" s="357"/>
    </row>
    <row r="4" spans="1:7" ht="12">
      <c r="A4" s="356" t="s">
        <v>125</v>
      </c>
      <c r="B4" s="356"/>
      <c r="C4" s="356"/>
      <c r="E4" s="361"/>
      <c r="F4" s="362" t="s">
        <v>126</v>
      </c>
      <c r="G4" s="361"/>
    </row>
    <row r="5" spans="1:7" ht="12">
      <c r="A5" s="363" t="s">
        <v>11</v>
      </c>
      <c r="E5" s="358"/>
      <c r="F5" s="360"/>
      <c r="G5" s="358"/>
    </row>
    <row r="6" spans="1:8" ht="12">
      <c r="A6" s="364" t="s">
        <v>29</v>
      </c>
      <c r="B6" s="365" t="s">
        <v>114</v>
      </c>
      <c r="C6" s="365"/>
      <c r="E6" s="366" t="s">
        <v>127</v>
      </c>
      <c r="F6" s="367" t="s">
        <v>128</v>
      </c>
      <c r="G6" s="366" t="s">
        <v>129</v>
      </c>
      <c r="H6" s="368" t="s">
        <v>130</v>
      </c>
    </row>
    <row r="7" spans="1:7" ht="12">
      <c r="A7" s="363"/>
      <c r="B7" s="357" t="s">
        <v>69</v>
      </c>
      <c r="E7" s="369"/>
      <c r="F7" s="360"/>
      <c r="G7" s="369"/>
    </row>
    <row r="8" spans="1:8" ht="12">
      <c r="A8" s="363">
        <v>1</v>
      </c>
      <c r="B8" s="357" t="s">
        <v>131</v>
      </c>
      <c r="E8" s="370">
        <f>F8+G8</f>
        <v>0</v>
      </c>
      <c r="F8" s="370"/>
      <c r="G8" s="370"/>
      <c r="H8" s="371" t="str">
        <f>IF(E8=F8+G8," ","ERROR")</f>
        <v> </v>
      </c>
    </row>
    <row r="9" spans="1:8" ht="12">
      <c r="A9" s="363">
        <v>2</v>
      </c>
      <c r="B9" s="357" t="s">
        <v>132</v>
      </c>
      <c r="E9" s="372"/>
      <c r="F9" s="372"/>
      <c r="G9" s="372"/>
      <c r="H9" s="371" t="str">
        <f>IF(E9=F9+G9," ","ERROR")</f>
        <v> </v>
      </c>
    </row>
    <row r="10" spans="1:8" ht="12">
      <c r="A10" s="363">
        <v>3</v>
      </c>
      <c r="B10" s="357" t="s">
        <v>72</v>
      </c>
      <c r="E10" s="373"/>
      <c r="F10" s="373"/>
      <c r="G10" s="373"/>
      <c r="H10" s="371" t="str">
        <f>IF(E10=F10+G10," ","ERROR")</f>
        <v> </v>
      </c>
    </row>
    <row r="11" spans="1:8" ht="12">
      <c r="A11" s="363">
        <v>4</v>
      </c>
      <c r="B11" s="357" t="s">
        <v>133</v>
      </c>
      <c r="E11" s="372">
        <f>SUM(E8:E10)</f>
        <v>0</v>
      </c>
      <c r="F11" s="372">
        <f>SUM(F8:F10)</f>
        <v>0</v>
      </c>
      <c r="G11" s="372">
        <f>SUM(G8:G10)</f>
        <v>0</v>
      </c>
      <c r="H11" s="371" t="str">
        <f>IF(E11=F11+G11," ","ERROR")</f>
        <v> </v>
      </c>
    </row>
    <row r="12" spans="1:8" ht="12">
      <c r="A12" s="363"/>
      <c r="E12" s="372"/>
      <c r="F12" s="372"/>
      <c r="G12" s="372"/>
      <c r="H12" s="371"/>
    </row>
    <row r="13" spans="1:8" ht="12">
      <c r="A13" s="363"/>
      <c r="B13" s="357" t="s">
        <v>74</v>
      </c>
      <c r="E13" s="372"/>
      <c r="F13" s="372"/>
      <c r="G13" s="372"/>
      <c r="H13" s="371"/>
    </row>
    <row r="14" spans="1:8" ht="12">
      <c r="A14" s="363">
        <v>5</v>
      </c>
      <c r="B14" s="357" t="s">
        <v>134</v>
      </c>
      <c r="E14" s="372"/>
      <c r="F14" s="372"/>
      <c r="G14" s="372"/>
      <c r="H14" s="371" t="str">
        <f>IF(E14=F14+G14," ","ERROR")</f>
        <v> </v>
      </c>
    </row>
    <row r="15" spans="1:8" ht="12">
      <c r="A15" s="363"/>
      <c r="B15" s="357" t="s">
        <v>76</v>
      </c>
      <c r="E15" s="372"/>
      <c r="F15" s="372"/>
      <c r="G15" s="372"/>
      <c r="H15" s="371"/>
    </row>
    <row r="16" spans="1:8" ht="12">
      <c r="A16" s="363">
        <v>6</v>
      </c>
      <c r="B16" s="357" t="s">
        <v>135</v>
      </c>
      <c r="E16" s="372"/>
      <c r="F16" s="372"/>
      <c r="G16" s="372"/>
      <c r="H16" s="371" t="str">
        <f>IF(E16=F16+G16," ","ERROR")</f>
        <v> </v>
      </c>
    </row>
    <row r="17" spans="1:8" ht="12">
      <c r="A17" s="363">
        <v>7</v>
      </c>
      <c r="B17" s="357" t="s">
        <v>136</v>
      </c>
      <c r="E17" s="372"/>
      <c r="F17" s="372"/>
      <c r="G17" s="372"/>
      <c r="H17" s="371" t="str">
        <f>IF(E17=F17+G17," ","ERROR")</f>
        <v> </v>
      </c>
    </row>
    <row r="18" spans="1:8" ht="12">
      <c r="A18" s="363">
        <v>8</v>
      </c>
      <c r="B18" s="357" t="s">
        <v>137</v>
      </c>
      <c r="E18" s="373"/>
      <c r="F18" s="373"/>
      <c r="G18" s="373"/>
      <c r="H18" s="371" t="str">
        <f>IF(E18=F18+G18," ","ERROR")</f>
        <v> </v>
      </c>
    </row>
    <row r="19" spans="1:8" ht="12">
      <c r="A19" s="363">
        <v>9</v>
      </c>
      <c r="B19" s="357" t="s">
        <v>138</v>
      </c>
      <c r="E19" s="372">
        <f>SUM(E16:E18)</f>
        <v>0</v>
      </c>
      <c r="F19" s="372">
        <f>SUM(F16:F18)</f>
        <v>0</v>
      </c>
      <c r="G19" s="372">
        <f>SUM(G16:G18)</f>
        <v>0</v>
      </c>
      <c r="H19" s="371" t="str">
        <f>IF(E19=F19+G19," ","ERROR")</f>
        <v> </v>
      </c>
    </row>
    <row r="20" spans="1:8" ht="12">
      <c r="A20" s="363"/>
      <c r="B20" s="357" t="s">
        <v>81</v>
      </c>
      <c r="E20" s="372"/>
      <c r="F20" s="372"/>
      <c r="G20" s="372"/>
      <c r="H20" s="371"/>
    </row>
    <row r="21" spans="1:8" ht="12">
      <c r="A21" s="363">
        <v>10</v>
      </c>
      <c r="B21" s="357" t="s">
        <v>139</v>
      </c>
      <c r="E21" s="372"/>
      <c r="F21" s="372"/>
      <c r="G21" s="372"/>
      <c r="H21" s="371" t="str">
        <f>IF(E21=F21+G21," ","ERROR")</f>
        <v> </v>
      </c>
    </row>
    <row r="22" spans="1:8" ht="12">
      <c r="A22" s="363">
        <v>11</v>
      </c>
      <c r="B22" s="357" t="s">
        <v>140</v>
      </c>
      <c r="E22" s="372"/>
      <c r="F22" s="372"/>
      <c r="G22" s="372"/>
      <c r="H22" s="371" t="str">
        <f>IF(E22=F22+G22," ","ERROR")</f>
        <v> </v>
      </c>
    </row>
    <row r="23" spans="1:8" ht="12">
      <c r="A23" s="363">
        <v>12</v>
      </c>
      <c r="B23" s="357" t="s">
        <v>141</v>
      </c>
      <c r="E23" s="373"/>
      <c r="F23" s="373"/>
      <c r="G23" s="373"/>
      <c r="H23" s="371" t="str">
        <f>IF(E23=F23+G23," ","ERROR")</f>
        <v> </v>
      </c>
    </row>
    <row r="24" spans="1:8" ht="12">
      <c r="A24" s="363">
        <v>13</v>
      </c>
      <c r="B24" s="357" t="s">
        <v>142</v>
      </c>
      <c r="E24" s="372">
        <f>SUM(E21:E23)</f>
        <v>0</v>
      </c>
      <c r="F24" s="372">
        <f>SUM(F21:F23)</f>
        <v>0</v>
      </c>
      <c r="G24" s="372">
        <f>SUM(G21:G23)</f>
        <v>0</v>
      </c>
      <c r="H24" s="371" t="str">
        <f>IF(E24=F24+G24," ","ERROR")</f>
        <v> </v>
      </c>
    </row>
    <row r="25" spans="1:8" ht="12">
      <c r="A25" s="363"/>
      <c r="B25" s="357" t="s">
        <v>85</v>
      </c>
      <c r="E25" s="372"/>
      <c r="F25" s="372"/>
      <c r="G25" s="372"/>
      <c r="H25" s="371"/>
    </row>
    <row r="26" spans="1:8" ht="12">
      <c r="A26" s="363">
        <v>14</v>
      </c>
      <c r="B26" s="357" t="s">
        <v>139</v>
      </c>
      <c r="E26" s="372"/>
      <c r="F26" s="372"/>
      <c r="G26" s="372"/>
      <c r="H26" s="371" t="str">
        <f>IF(E26=F26+G26," ","ERROR")</f>
        <v> </v>
      </c>
    </row>
    <row r="27" spans="1:8" ht="12">
      <c r="A27" s="363">
        <v>15</v>
      </c>
      <c r="B27" s="357" t="s">
        <v>140</v>
      </c>
      <c r="E27" s="372"/>
      <c r="F27" s="372"/>
      <c r="G27" s="372"/>
      <c r="H27" s="371" t="str">
        <f>IF(E27=F27+G27," ","ERROR")</f>
        <v> </v>
      </c>
    </row>
    <row r="28" spans="1:8" ht="12">
      <c r="A28" s="363">
        <v>16</v>
      </c>
      <c r="B28" s="357" t="s">
        <v>141</v>
      </c>
      <c r="E28" s="373"/>
      <c r="F28" s="373"/>
      <c r="G28" s="373"/>
      <c r="H28" s="371" t="str">
        <f>IF(E28=F28+G28," ","ERROR")</f>
        <v> </v>
      </c>
    </row>
    <row r="29" spans="1:8" ht="12">
      <c r="A29" s="363">
        <v>17</v>
      </c>
      <c r="B29" s="357" t="s">
        <v>143</v>
      </c>
      <c r="E29" s="372">
        <f>SUM(E26:E28)</f>
        <v>0</v>
      </c>
      <c r="F29" s="372">
        <f>SUM(F26:F28)</f>
        <v>0</v>
      </c>
      <c r="G29" s="372">
        <f>SUM(G26:G28)</f>
        <v>0</v>
      </c>
      <c r="H29" s="371" t="str">
        <f>IF(E29=F29+G29," ","ERROR")</f>
        <v> </v>
      </c>
    </row>
    <row r="30" spans="1:8" ht="12">
      <c r="A30" s="363"/>
      <c r="E30" s="372"/>
      <c r="F30" s="372"/>
      <c r="G30" s="372"/>
      <c r="H30" s="371"/>
    </row>
    <row r="31" spans="1:8" ht="12">
      <c r="A31" s="363">
        <v>18</v>
      </c>
      <c r="B31" s="357" t="s">
        <v>87</v>
      </c>
      <c r="E31" s="372"/>
      <c r="F31" s="372"/>
      <c r="G31" s="372"/>
      <c r="H31" s="371" t="str">
        <f>IF(E31=F31+G31," ","ERROR")</f>
        <v> </v>
      </c>
    </row>
    <row r="32" spans="1:8" ht="12">
      <c r="A32" s="363">
        <v>19</v>
      </c>
      <c r="B32" s="357" t="s">
        <v>88</v>
      </c>
      <c r="E32" s="372"/>
      <c r="F32" s="372"/>
      <c r="G32" s="372"/>
      <c r="H32" s="371" t="str">
        <f>IF(E32=F32+G32," ","ERROR")</f>
        <v> </v>
      </c>
    </row>
    <row r="33" spans="1:8" ht="12">
      <c r="A33" s="363">
        <v>20</v>
      </c>
      <c r="B33" s="357" t="s">
        <v>144</v>
      </c>
      <c r="E33" s="372"/>
      <c r="F33" s="372"/>
      <c r="G33" s="372"/>
      <c r="H33" s="371" t="str">
        <f>IF(E33=F33+G33," ","ERROR")</f>
        <v> </v>
      </c>
    </row>
    <row r="34" spans="1:8" ht="12">
      <c r="A34" s="363"/>
      <c r="B34" s="357" t="s">
        <v>145</v>
      </c>
      <c r="E34" s="372"/>
      <c r="F34" s="372"/>
      <c r="G34" s="372"/>
      <c r="H34" s="371"/>
    </row>
    <row r="35" spans="1:8" ht="12">
      <c r="A35" s="363">
        <v>21</v>
      </c>
      <c r="B35" s="357" t="s">
        <v>139</v>
      </c>
      <c r="E35" s="372"/>
      <c r="F35" s="372"/>
      <c r="G35" s="372"/>
      <c r="H35" s="371" t="str">
        <f>IF(E35=F35+G35," ","ERROR")</f>
        <v> </v>
      </c>
    </row>
    <row r="36" spans="1:8" ht="12">
      <c r="A36" s="363">
        <v>22</v>
      </c>
      <c r="B36" s="357" t="s">
        <v>140</v>
      </c>
      <c r="E36" s="372"/>
      <c r="F36" s="372"/>
      <c r="G36" s="372"/>
      <c r="H36" s="371" t="str">
        <f>IF(E36=F36+G36," ","ERROR")</f>
        <v> </v>
      </c>
    </row>
    <row r="37" spans="1:8" ht="12">
      <c r="A37" s="363">
        <v>23</v>
      </c>
      <c r="B37" s="357" t="s">
        <v>141</v>
      </c>
      <c r="E37" s="373"/>
      <c r="F37" s="373"/>
      <c r="G37" s="373"/>
      <c r="H37" s="371" t="str">
        <f>IF(E37=F37+G37," ","ERROR")</f>
        <v> </v>
      </c>
    </row>
    <row r="38" spans="1:8" ht="12">
      <c r="A38" s="363">
        <v>24</v>
      </c>
      <c r="B38" s="357" t="s">
        <v>146</v>
      </c>
      <c r="E38" s="373">
        <f>SUM(E35:E37)</f>
        <v>0</v>
      </c>
      <c r="F38" s="373">
        <f>SUM(F35:F37)</f>
        <v>0</v>
      </c>
      <c r="G38" s="373">
        <f>SUM(G35:G37)</f>
        <v>0</v>
      </c>
      <c r="H38" s="371" t="str">
        <f>IF(E38=F38+G38," ","ERROR")</f>
        <v> </v>
      </c>
    </row>
    <row r="39" spans="1:8" ht="12">
      <c r="A39" s="363">
        <v>25</v>
      </c>
      <c r="B39" s="357" t="s">
        <v>92</v>
      </c>
      <c r="E39" s="373">
        <f>E19+E24+E29+E31+E32+E33+E38+E14</f>
        <v>0</v>
      </c>
      <c r="F39" s="373">
        <f>F19+F24+F29+F31+F32+F33+F38+F14</f>
        <v>0</v>
      </c>
      <c r="G39" s="373">
        <f>G19+G24+G29+G31+G32+G33+G38+G14</f>
        <v>0</v>
      </c>
      <c r="H39" s="371" t="str">
        <f>IF(E39=F39+G39," ","ERROR")</f>
        <v> </v>
      </c>
    </row>
    <row r="40" spans="1:8" ht="12">
      <c r="A40" s="363"/>
      <c r="E40" s="372"/>
      <c r="F40" s="372"/>
      <c r="G40" s="372"/>
      <c r="H40" s="371"/>
    </row>
    <row r="41" spans="1:8" ht="12">
      <c r="A41" s="363">
        <v>26</v>
      </c>
      <c r="B41" s="357" t="s">
        <v>147</v>
      </c>
      <c r="E41" s="372">
        <f>E11-E39</f>
        <v>0</v>
      </c>
      <c r="F41" s="372">
        <f>F11-F39</f>
        <v>0</v>
      </c>
      <c r="G41" s="372">
        <f>G11-G39</f>
        <v>0</v>
      </c>
      <c r="H41" s="371" t="str">
        <f>IF(E41=F41+G41," ","ERROR")</f>
        <v> </v>
      </c>
    </row>
    <row r="42" spans="1:8" ht="12">
      <c r="A42" s="363"/>
      <c r="E42" s="372"/>
      <c r="F42" s="372"/>
      <c r="G42" s="372"/>
      <c r="H42" s="371"/>
    </row>
    <row r="43" spans="1:8" ht="12">
      <c r="A43" s="363"/>
      <c r="B43" s="357" t="s">
        <v>148</v>
      </c>
      <c r="E43" s="372"/>
      <c r="F43" s="372"/>
      <c r="G43" s="372"/>
      <c r="H43" s="371"/>
    </row>
    <row r="44" spans="1:8" ht="12">
      <c r="A44" s="363">
        <v>27</v>
      </c>
      <c r="B44" s="374" t="s">
        <v>163</v>
      </c>
      <c r="E44" s="372">
        <f>F44+G44</f>
        <v>0</v>
      </c>
      <c r="F44" s="372">
        <f>ROUND(F41*0.35,0)</f>
        <v>0</v>
      </c>
      <c r="G44" s="372">
        <f>ROUND(G41*0.35,0)</f>
        <v>0</v>
      </c>
      <c r="H44" s="371" t="str">
        <f>IF(E44=F44+G44," ","ERROR")</f>
        <v> </v>
      </c>
    </row>
    <row r="45" spans="1:8" ht="12">
      <c r="A45" s="363">
        <v>28</v>
      </c>
      <c r="B45" s="357" t="s">
        <v>151</v>
      </c>
      <c r="E45" s="372"/>
      <c r="F45" s="372"/>
      <c r="G45" s="372"/>
      <c r="H45" s="371" t="str">
        <f>IF(E45=F45+G45," ","ERROR")</f>
        <v> </v>
      </c>
    </row>
    <row r="46" spans="1:8" ht="12">
      <c r="A46" s="363">
        <v>29</v>
      </c>
      <c r="B46" s="357" t="s">
        <v>150</v>
      </c>
      <c r="E46" s="373"/>
      <c r="F46" s="373"/>
      <c r="G46" s="373"/>
      <c r="H46" s="371" t="str">
        <f>IF(E46=F46+G46," ","ERROR")</f>
        <v> </v>
      </c>
    </row>
    <row r="47" spans="1:8" ht="12">
      <c r="A47" s="363"/>
      <c r="H47" s="371"/>
    </row>
    <row r="48" spans="1:8" ht="12">
      <c r="A48" s="363">
        <v>30</v>
      </c>
      <c r="B48" s="377" t="s">
        <v>98</v>
      </c>
      <c r="E48" s="370">
        <f>E41-(+E44+E45+E46)</f>
        <v>0</v>
      </c>
      <c r="F48" s="370">
        <f>F41-F44+F45+F46</f>
        <v>0</v>
      </c>
      <c r="G48" s="370">
        <f>G41-SUM(G44:G46)</f>
        <v>0</v>
      </c>
      <c r="H48" s="371" t="str">
        <f>IF(E48=F48+G48," ","ERROR")</f>
        <v> </v>
      </c>
    </row>
    <row r="49" spans="1:8" ht="12">
      <c r="A49" s="363"/>
      <c r="H49" s="371"/>
    </row>
    <row r="50" spans="1:8" ht="12">
      <c r="A50" s="363"/>
      <c r="B50" s="374" t="s">
        <v>152</v>
      </c>
      <c r="H50" s="371"/>
    </row>
    <row r="51" spans="1:8" ht="12">
      <c r="A51" s="363"/>
      <c r="B51" s="374" t="s">
        <v>153</v>
      </c>
      <c r="H51" s="371"/>
    </row>
    <row r="52" spans="1:8" ht="12">
      <c r="A52" s="363">
        <v>31</v>
      </c>
      <c r="B52" s="357" t="s">
        <v>154</v>
      </c>
      <c r="E52" s="370"/>
      <c r="F52" s="370"/>
      <c r="G52" s="370"/>
      <c r="H52" s="371" t="str">
        <f aca="true" t="shared" si="0" ref="H52:H63">IF(E52=F52+G52," ","ERROR")</f>
        <v> </v>
      </c>
    </row>
    <row r="53" spans="1:8" ht="12">
      <c r="A53" s="363">
        <v>32</v>
      </c>
      <c r="B53" s="357" t="s">
        <v>155</v>
      </c>
      <c r="E53" s="372">
        <f>F53+G53</f>
        <v>-1</v>
      </c>
      <c r="F53" s="372">
        <v>-1</v>
      </c>
      <c r="G53" s="372">
        <v>0</v>
      </c>
      <c r="H53" s="371" t="str">
        <f t="shared" si="0"/>
        <v> </v>
      </c>
    </row>
    <row r="54" spans="1:8" ht="12">
      <c r="A54" s="363">
        <v>33</v>
      </c>
      <c r="B54" s="357" t="s">
        <v>164</v>
      </c>
      <c r="E54" s="373"/>
      <c r="F54" s="373"/>
      <c r="G54" s="373"/>
      <c r="H54" s="371" t="str">
        <f t="shared" si="0"/>
        <v> </v>
      </c>
    </row>
    <row r="55" spans="1:8" ht="12">
      <c r="A55" s="363">
        <v>34</v>
      </c>
      <c r="B55" s="357" t="s">
        <v>157</v>
      </c>
      <c r="E55" s="372">
        <f>SUM(E52:E54)</f>
        <v>-1</v>
      </c>
      <c r="F55" s="372">
        <f>SUM(F52:F54)</f>
        <v>-1</v>
      </c>
      <c r="G55" s="372">
        <f>SUM(G52:G54)</f>
        <v>0</v>
      </c>
      <c r="H55" s="371" t="str">
        <f t="shared" si="0"/>
        <v> </v>
      </c>
    </row>
    <row r="56" spans="1:8" ht="12">
      <c r="A56" s="363"/>
      <c r="B56" s="357" t="s">
        <v>103</v>
      </c>
      <c r="E56" s="372"/>
      <c r="F56" s="372"/>
      <c r="G56" s="372"/>
      <c r="H56" s="371" t="str">
        <f t="shared" si="0"/>
        <v> </v>
      </c>
    </row>
    <row r="57" spans="1:8" ht="12">
      <c r="A57" s="363">
        <v>35</v>
      </c>
      <c r="B57" s="357" t="s">
        <v>154</v>
      </c>
      <c r="E57" s="372"/>
      <c r="F57" s="372"/>
      <c r="G57" s="372"/>
      <c r="H57" s="371" t="str">
        <f t="shared" si="0"/>
        <v> </v>
      </c>
    </row>
    <row r="58" spans="1:8" ht="12">
      <c r="A58" s="363">
        <v>36</v>
      </c>
      <c r="B58" s="357" t="s">
        <v>155</v>
      </c>
      <c r="E58" s="372"/>
      <c r="F58" s="372"/>
      <c r="G58" s="372"/>
      <c r="H58" s="371" t="str">
        <f t="shared" si="0"/>
        <v> </v>
      </c>
    </row>
    <row r="59" spans="1:8" ht="12">
      <c r="A59" s="363">
        <v>37</v>
      </c>
      <c r="B59" s="357" t="s">
        <v>164</v>
      </c>
      <c r="E59" s="373"/>
      <c r="F59" s="373"/>
      <c r="G59" s="373"/>
      <c r="H59" s="371" t="str">
        <f t="shared" si="0"/>
        <v> </v>
      </c>
    </row>
    <row r="60" spans="1:8" ht="12">
      <c r="A60" s="363">
        <v>38</v>
      </c>
      <c r="B60" s="357" t="s">
        <v>158</v>
      </c>
      <c r="E60" s="372">
        <f>SUM(E57:E59)</f>
        <v>0</v>
      </c>
      <c r="F60" s="372">
        <f>SUM(F57:F59)</f>
        <v>0</v>
      </c>
      <c r="G60" s="372">
        <f>SUM(G57:G59)</f>
        <v>0</v>
      </c>
      <c r="H60" s="371" t="str">
        <f t="shared" si="0"/>
        <v> </v>
      </c>
    </row>
    <row r="61" spans="1:8" ht="12">
      <c r="A61" s="363">
        <v>39</v>
      </c>
      <c r="B61" s="374" t="s">
        <v>159</v>
      </c>
      <c r="E61" s="372"/>
      <c r="F61" s="372"/>
      <c r="G61" s="372"/>
      <c r="H61" s="371" t="str">
        <f t="shared" si="0"/>
        <v> </v>
      </c>
    </row>
    <row r="62" spans="1:8" ht="12">
      <c r="A62" s="363">
        <v>40</v>
      </c>
      <c r="B62" s="357" t="s">
        <v>106</v>
      </c>
      <c r="E62" s="372"/>
      <c r="F62" s="372"/>
      <c r="G62" s="372"/>
      <c r="H62" s="371" t="str">
        <f t="shared" si="0"/>
        <v> </v>
      </c>
    </row>
    <row r="63" spans="1:8" ht="12">
      <c r="A63" s="363">
        <v>41</v>
      </c>
      <c r="B63" s="374" t="s">
        <v>107</v>
      </c>
      <c r="E63" s="373"/>
      <c r="F63" s="373"/>
      <c r="G63" s="373"/>
      <c r="H63" s="371" t="str">
        <f t="shared" si="0"/>
        <v> </v>
      </c>
    </row>
    <row r="64" spans="1:8" ht="12">
      <c r="A64" s="363"/>
      <c r="B64" s="357" t="s">
        <v>160</v>
      </c>
      <c r="H64" s="371"/>
    </row>
    <row r="65" spans="1:8" ht="12.75" thickBot="1">
      <c r="A65" s="363">
        <v>42</v>
      </c>
      <c r="B65" s="377" t="s">
        <v>108</v>
      </c>
      <c r="E65" s="378">
        <f>E55-E60+E61+E62+E63</f>
        <v>-1</v>
      </c>
      <c r="F65" s="378">
        <f>F55-F60+F61+F62+F63</f>
        <v>-1</v>
      </c>
      <c r="G65" s="378">
        <f>G55-G60+G61+G62+G63</f>
        <v>0</v>
      </c>
      <c r="H65" s="371" t="str">
        <f>IF(E65=F65+G65," ","ERROR")</f>
        <v> </v>
      </c>
    </row>
    <row r="66" ht="12.75" thickTop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</sheetData>
  <printOptions horizontalCentered="1"/>
  <pageMargins left="1" right="0.5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A1">
      <selection activeCell="F8" sqref="F8"/>
    </sheetView>
  </sheetViews>
  <sheetFormatPr defaultColWidth="9.140625" defaultRowHeight="10.5" customHeight="1"/>
  <cols>
    <col min="1" max="1" width="5.57421875" style="379" customWidth="1"/>
    <col min="2" max="2" width="26.140625" style="379" customWidth="1"/>
    <col min="3" max="3" width="12.421875" style="379" customWidth="1"/>
    <col min="4" max="4" width="6.7109375" style="379" customWidth="1"/>
    <col min="5" max="5" width="12.421875" style="398" customWidth="1"/>
    <col min="6" max="6" width="12.421875" style="399" customWidth="1"/>
    <col min="7" max="7" width="12.421875" style="398" customWidth="1"/>
    <col min="8" max="16384" width="12.421875" style="379" customWidth="1"/>
  </cols>
  <sheetData>
    <row r="1" spans="1:7" ht="12">
      <c r="A1" s="985" t="str">
        <f>Inputs!$D$6</f>
        <v>AVISTA UTILITIES</v>
      </c>
      <c r="B1" s="985"/>
      <c r="C1" s="985"/>
      <c r="E1" s="380"/>
      <c r="F1" s="381"/>
      <c r="G1" s="380"/>
    </row>
    <row r="2" spans="1:7" ht="12">
      <c r="A2" s="382" t="s">
        <v>122</v>
      </c>
      <c r="B2" s="382"/>
      <c r="C2" s="382"/>
      <c r="E2" s="380"/>
      <c r="F2" s="383" t="s">
        <v>209</v>
      </c>
      <c r="G2" s="380"/>
    </row>
    <row r="3" spans="1:7" ht="12">
      <c r="A3" s="382" t="str">
        <f>Inputs!$D$2</f>
        <v>TWELVE MONTHS ENDED DECEMBER 31, 2004</v>
      </c>
      <c r="B3" s="382"/>
      <c r="C3" s="382"/>
      <c r="E3" s="380"/>
      <c r="F3" s="383" t="s">
        <v>210</v>
      </c>
      <c r="G3" s="379"/>
    </row>
    <row r="4" spans="1:7" ht="12">
      <c r="A4" s="382" t="s">
        <v>125</v>
      </c>
      <c r="B4" s="382"/>
      <c r="C4" s="382"/>
      <c r="E4" s="384"/>
      <c r="F4" s="385" t="s">
        <v>126</v>
      </c>
      <c r="G4" s="384"/>
    </row>
    <row r="5" spans="1:7" ht="12">
      <c r="A5" s="386" t="s">
        <v>11</v>
      </c>
      <c r="E5" s="380"/>
      <c r="F5" s="383"/>
      <c r="G5" s="380"/>
    </row>
    <row r="6" spans="1:8" ht="12">
      <c r="A6" s="387" t="s">
        <v>29</v>
      </c>
      <c r="B6" s="388" t="s">
        <v>114</v>
      </c>
      <c r="C6" s="388"/>
      <c r="E6" s="389" t="s">
        <v>127</v>
      </c>
      <c r="F6" s="390" t="s">
        <v>128</v>
      </c>
      <c r="G6" s="389" t="s">
        <v>129</v>
      </c>
      <c r="H6" s="391" t="s">
        <v>130</v>
      </c>
    </row>
    <row r="7" spans="1:7" ht="12">
      <c r="A7" s="386"/>
      <c r="B7" s="379" t="s">
        <v>69</v>
      </c>
      <c r="E7" s="392"/>
      <c r="F7" s="383"/>
      <c r="G7" s="392"/>
    </row>
    <row r="8" spans="1:8" ht="12">
      <c r="A8" s="386">
        <v>1</v>
      </c>
      <c r="B8" s="379" t="s">
        <v>131</v>
      </c>
      <c r="E8" s="393">
        <f>F8+G8</f>
        <v>9217</v>
      </c>
      <c r="F8" s="393">
        <v>6799</v>
      </c>
      <c r="G8" s="393">
        <v>2418</v>
      </c>
      <c r="H8" s="394" t="str">
        <f>IF(E8=F8+G8," ","ERROR")</f>
        <v> </v>
      </c>
    </row>
    <row r="9" spans="1:8" ht="12">
      <c r="A9" s="386">
        <v>2</v>
      </c>
      <c r="B9" s="379" t="s">
        <v>132</v>
      </c>
      <c r="E9" s="395"/>
      <c r="F9" s="395"/>
      <c r="G9" s="395"/>
      <c r="H9" s="394" t="str">
        <f>IF(E9=F9+G9," ","ERROR")</f>
        <v> </v>
      </c>
    </row>
    <row r="10" spans="1:8" ht="12">
      <c r="A10" s="386">
        <v>3</v>
      </c>
      <c r="B10" s="379" t="s">
        <v>72</v>
      </c>
      <c r="E10" s="396"/>
      <c r="F10" s="396"/>
      <c r="G10" s="396"/>
      <c r="H10" s="394" t="str">
        <f>IF(E10=F10+G10," ","ERROR")</f>
        <v> </v>
      </c>
    </row>
    <row r="11" spans="1:8" ht="12">
      <c r="A11" s="386">
        <v>4</v>
      </c>
      <c r="B11" s="379" t="s">
        <v>133</v>
      </c>
      <c r="E11" s="395">
        <f>SUM(E8:E10)</f>
        <v>9217</v>
      </c>
      <c r="F11" s="395">
        <f>SUM(F8:F10)</f>
        <v>6799</v>
      </c>
      <c r="G11" s="395">
        <f>SUM(G8:G10)</f>
        <v>2418</v>
      </c>
      <c r="H11" s="394" t="str">
        <f>IF(E11=F11+G11," ","ERROR")</f>
        <v> </v>
      </c>
    </row>
    <row r="12" spans="1:8" ht="12">
      <c r="A12" s="386"/>
      <c r="E12" s="395"/>
      <c r="F12" s="395"/>
      <c r="G12" s="395"/>
      <c r="H12" s="394"/>
    </row>
    <row r="13" spans="1:8" ht="12">
      <c r="A13" s="386"/>
      <c r="B13" s="379" t="s">
        <v>74</v>
      </c>
      <c r="E13" s="395"/>
      <c r="F13" s="395"/>
      <c r="G13" s="395"/>
      <c r="H13" s="394"/>
    </row>
    <row r="14" spans="1:8" ht="12">
      <c r="A14" s="386">
        <v>5</v>
      </c>
      <c r="B14" s="379" t="s">
        <v>134</v>
      </c>
      <c r="E14" s="395"/>
      <c r="F14" s="395"/>
      <c r="G14" s="395"/>
      <c r="H14" s="394" t="str">
        <f>IF(E14=F14+G14," ","ERROR")</f>
        <v> </v>
      </c>
    </row>
    <row r="15" spans="1:8" ht="12">
      <c r="A15" s="386"/>
      <c r="B15" s="379" t="s">
        <v>76</v>
      </c>
      <c r="E15" s="395"/>
      <c r="F15" s="395"/>
      <c r="G15" s="395"/>
      <c r="H15" s="394"/>
    </row>
    <row r="16" spans="1:8" ht="12">
      <c r="A16" s="386">
        <v>6</v>
      </c>
      <c r="B16" s="379" t="s">
        <v>135</v>
      </c>
      <c r="E16" s="395">
        <f>F16+G16</f>
        <v>6820</v>
      </c>
      <c r="F16" s="395">
        <v>5122</v>
      </c>
      <c r="G16" s="395">
        <v>1698</v>
      </c>
      <c r="H16" s="394" t="str">
        <f>IF(E16=F16+G16," ","ERROR")</f>
        <v> </v>
      </c>
    </row>
    <row r="17" spans="1:8" ht="12">
      <c r="A17" s="386">
        <v>7</v>
      </c>
      <c r="B17" s="379" t="s">
        <v>136</v>
      </c>
      <c r="E17" s="395"/>
      <c r="F17" s="395"/>
      <c r="G17" s="395"/>
      <c r="H17" s="394" t="str">
        <f>IF(E17=F17+G17," ","ERROR")</f>
        <v> </v>
      </c>
    </row>
    <row r="18" spans="1:8" ht="12">
      <c r="A18" s="386">
        <v>8</v>
      </c>
      <c r="B18" s="379" t="s">
        <v>137</v>
      </c>
      <c r="E18" s="396"/>
      <c r="F18" s="396"/>
      <c r="G18" s="396"/>
      <c r="H18" s="394" t="str">
        <f>IF(E18=F18+G18," ","ERROR")</f>
        <v> </v>
      </c>
    </row>
    <row r="19" spans="1:8" ht="12">
      <c r="A19" s="386">
        <v>9</v>
      </c>
      <c r="B19" s="379" t="s">
        <v>138</v>
      </c>
      <c r="E19" s="395">
        <f>SUM(E16:E18)</f>
        <v>6820</v>
      </c>
      <c r="F19" s="395">
        <f>SUM(F16:F18)</f>
        <v>5122</v>
      </c>
      <c r="G19" s="395">
        <f>SUM(G16:G18)</f>
        <v>1698</v>
      </c>
      <c r="H19" s="394" t="str">
        <f>IF(E19=F19+G19," ","ERROR")</f>
        <v> </v>
      </c>
    </row>
    <row r="20" spans="1:8" ht="12">
      <c r="A20" s="386"/>
      <c r="B20" s="379" t="s">
        <v>81</v>
      </c>
      <c r="E20" s="395"/>
      <c r="F20" s="395"/>
      <c r="G20" s="395"/>
      <c r="H20" s="394"/>
    </row>
    <row r="21" spans="1:8" ht="12">
      <c r="A21" s="386">
        <v>10</v>
      </c>
      <c r="B21" s="379" t="s">
        <v>139</v>
      </c>
      <c r="E21" s="395"/>
      <c r="F21" s="395"/>
      <c r="G21" s="395"/>
      <c r="H21" s="394" t="str">
        <f>IF(E21=F21+G21," ","ERROR")</f>
        <v> </v>
      </c>
    </row>
    <row r="22" spans="1:8" ht="12">
      <c r="A22" s="386">
        <v>11</v>
      </c>
      <c r="B22" s="379" t="s">
        <v>140</v>
      </c>
      <c r="E22" s="395"/>
      <c r="F22" s="395"/>
      <c r="G22" s="395"/>
      <c r="H22" s="394" t="str">
        <f>IF(E22=F22+G22," ","ERROR")</f>
        <v> </v>
      </c>
    </row>
    <row r="23" spans="1:8" ht="12">
      <c r="A23" s="386">
        <v>12</v>
      </c>
      <c r="B23" s="379" t="s">
        <v>141</v>
      </c>
      <c r="E23" s="396"/>
      <c r="F23" s="396"/>
      <c r="G23" s="396"/>
      <c r="H23" s="394" t="str">
        <f>IF(E23=F23+G23," ","ERROR")</f>
        <v> </v>
      </c>
    </row>
    <row r="24" spans="1:8" ht="12">
      <c r="A24" s="386">
        <v>13</v>
      </c>
      <c r="B24" s="379" t="s">
        <v>142</v>
      </c>
      <c r="E24" s="395">
        <f>SUM(E21:E23)</f>
        <v>0</v>
      </c>
      <c r="F24" s="395">
        <f>SUM(F21:F23)</f>
        <v>0</v>
      </c>
      <c r="G24" s="395">
        <f>SUM(G21:G23)</f>
        <v>0</v>
      </c>
      <c r="H24" s="394" t="str">
        <f>IF(E24=F24+G24," ","ERROR")</f>
        <v> </v>
      </c>
    </row>
    <row r="25" spans="1:8" ht="12">
      <c r="A25" s="386"/>
      <c r="B25" s="379" t="s">
        <v>85</v>
      </c>
      <c r="E25" s="395"/>
      <c r="F25" s="395"/>
      <c r="G25" s="395"/>
      <c r="H25" s="394"/>
    </row>
    <row r="26" spans="1:8" ht="12">
      <c r="A26" s="386">
        <v>14</v>
      </c>
      <c r="B26" s="379" t="s">
        <v>139</v>
      </c>
      <c r="E26" s="395"/>
      <c r="F26" s="395"/>
      <c r="G26" s="395"/>
      <c r="H26" s="394" t="str">
        <f>IF(E26=F26+G26," ","ERROR")</f>
        <v> </v>
      </c>
    </row>
    <row r="27" spans="1:8" ht="12">
      <c r="A27" s="386">
        <v>15</v>
      </c>
      <c r="B27" s="379" t="s">
        <v>140</v>
      </c>
      <c r="E27" s="395"/>
      <c r="F27" s="395"/>
      <c r="G27" s="395"/>
      <c r="H27" s="394" t="str">
        <f>IF(E27=F27+G27," ","ERROR")</f>
        <v> </v>
      </c>
    </row>
    <row r="28" spans="1:8" ht="12">
      <c r="A28" s="386">
        <v>16</v>
      </c>
      <c r="B28" s="379" t="s">
        <v>141</v>
      </c>
      <c r="E28" s="396">
        <f>F28+G28</f>
        <v>269</v>
      </c>
      <c r="F28" s="396">
        <v>261</v>
      </c>
      <c r="G28" s="851">
        <f>F111</f>
        <v>8</v>
      </c>
      <c r="H28" s="394" t="str">
        <f>IF(E28=F28+G28," ","ERROR")</f>
        <v> </v>
      </c>
    </row>
    <row r="29" spans="1:8" ht="12">
      <c r="A29" s="386">
        <v>17</v>
      </c>
      <c r="B29" s="379" t="s">
        <v>143</v>
      </c>
      <c r="E29" s="395">
        <f>SUM(E26:E28)</f>
        <v>269</v>
      </c>
      <c r="F29" s="395">
        <f>SUM(F26:F28)</f>
        <v>261</v>
      </c>
      <c r="G29" s="395">
        <f>SUM(G26:G28)</f>
        <v>8</v>
      </c>
      <c r="H29" s="394" t="str">
        <f>IF(E29=F29+G29," ","ERROR")</f>
        <v> </v>
      </c>
    </row>
    <row r="30" spans="1:8" ht="12">
      <c r="A30" s="386"/>
      <c r="E30" s="395"/>
      <c r="F30" s="395"/>
      <c r="G30" s="395"/>
      <c r="H30" s="394"/>
    </row>
    <row r="31" spans="1:8" ht="12">
      <c r="A31" s="386">
        <v>18</v>
      </c>
      <c r="B31" s="379" t="s">
        <v>87</v>
      </c>
      <c r="E31" s="395">
        <f>F31+G31</f>
        <v>33</v>
      </c>
      <c r="F31" s="395">
        <v>25</v>
      </c>
      <c r="G31" s="395">
        <v>8</v>
      </c>
      <c r="H31" s="394" t="str">
        <f>IF(E31=F31+G31," ","ERROR")</f>
        <v> </v>
      </c>
    </row>
    <row r="32" spans="1:8" ht="12">
      <c r="A32" s="386">
        <v>19</v>
      </c>
      <c r="B32" s="379" t="s">
        <v>88</v>
      </c>
      <c r="E32" s="395"/>
      <c r="F32" s="395"/>
      <c r="G32" s="395"/>
      <c r="H32" s="394" t="str">
        <f>IF(E32=F32+G32," ","ERROR")</f>
        <v> </v>
      </c>
    </row>
    <row r="33" spans="1:8" ht="12">
      <c r="A33" s="386">
        <v>20</v>
      </c>
      <c r="B33" s="379" t="s">
        <v>144</v>
      </c>
      <c r="E33" s="395"/>
      <c r="F33" s="395"/>
      <c r="G33" s="395"/>
      <c r="H33" s="394" t="str">
        <f>IF(E33=F33+G33," ","ERROR")</f>
        <v> </v>
      </c>
    </row>
    <row r="34" spans="1:8" ht="12">
      <c r="A34" s="386"/>
      <c r="B34" s="379" t="s">
        <v>145</v>
      </c>
      <c r="E34" s="395"/>
      <c r="F34" s="395"/>
      <c r="G34" s="395"/>
      <c r="H34" s="394"/>
    </row>
    <row r="35" spans="1:8" ht="12">
      <c r="A35" s="386">
        <v>21</v>
      </c>
      <c r="B35" s="379" t="s">
        <v>139</v>
      </c>
      <c r="E35" s="395">
        <f>F35+G35</f>
        <v>85</v>
      </c>
      <c r="F35" s="395">
        <v>79</v>
      </c>
      <c r="G35" s="395">
        <v>6</v>
      </c>
      <c r="H35" s="394" t="str">
        <f>IF(E35=F35+G35," ","ERROR")</f>
        <v> </v>
      </c>
    </row>
    <row r="36" spans="1:8" ht="12">
      <c r="A36" s="386">
        <v>22</v>
      </c>
      <c r="B36" s="379" t="s">
        <v>140</v>
      </c>
      <c r="E36" s="395"/>
      <c r="F36" s="395"/>
      <c r="G36" s="395"/>
      <c r="H36" s="394" t="str">
        <f>IF(E36=F36+G36," ","ERROR")</f>
        <v> </v>
      </c>
    </row>
    <row r="37" spans="1:8" ht="12">
      <c r="A37" s="386">
        <v>23</v>
      </c>
      <c r="B37" s="379" t="s">
        <v>141</v>
      </c>
      <c r="E37" s="396"/>
      <c r="F37" s="396"/>
      <c r="G37" s="396"/>
      <c r="H37" s="394" t="str">
        <f>IF(E37=F37+G37," ","ERROR")</f>
        <v> </v>
      </c>
    </row>
    <row r="38" spans="1:8" ht="12">
      <c r="A38" s="386">
        <v>24</v>
      </c>
      <c r="B38" s="379" t="s">
        <v>146</v>
      </c>
      <c r="E38" s="396">
        <f>SUM(E35:E37)</f>
        <v>85</v>
      </c>
      <c r="F38" s="396">
        <f>SUM(F35:F37)</f>
        <v>79</v>
      </c>
      <c r="G38" s="396">
        <f>SUM(G35:G37)</f>
        <v>6</v>
      </c>
      <c r="H38" s="394" t="str">
        <f>IF(E38=F38+G38," ","ERROR")</f>
        <v> </v>
      </c>
    </row>
    <row r="39" spans="1:8" ht="12">
      <c r="A39" s="386">
        <v>25</v>
      </c>
      <c r="B39" s="379" t="s">
        <v>92</v>
      </c>
      <c r="E39" s="396">
        <f>E19+E24+E29+E31+E32+E33+E38+E14</f>
        <v>7207</v>
      </c>
      <c r="F39" s="396">
        <f>F19+F24+F29+F31+F32+F33+F38+F14</f>
        <v>5487</v>
      </c>
      <c r="G39" s="396">
        <f>G19+G24+G29+G31+G32+G33+G38+G14</f>
        <v>1720</v>
      </c>
      <c r="H39" s="394" t="str">
        <f>IF(E39=F39+G39," ","ERROR")</f>
        <v> </v>
      </c>
    </row>
    <row r="40" spans="1:8" ht="12">
      <c r="A40" s="386"/>
      <c r="E40" s="395"/>
      <c r="F40" s="395"/>
      <c r="G40" s="395"/>
      <c r="H40" s="394"/>
    </row>
    <row r="41" spans="1:8" ht="12">
      <c r="A41" s="386">
        <v>26</v>
      </c>
      <c r="B41" s="379" t="s">
        <v>147</v>
      </c>
      <c r="E41" s="395">
        <f>E11-E39</f>
        <v>2010</v>
      </c>
      <c r="F41" s="395">
        <f>F11-F39</f>
        <v>1312</v>
      </c>
      <c r="G41" s="395">
        <f>G11-G39</f>
        <v>698</v>
      </c>
      <c r="H41" s="394" t="str">
        <f>IF(E41=F41+G41," ","ERROR")</f>
        <v> </v>
      </c>
    </row>
    <row r="42" spans="1:8" ht="12">
      <c r="A42" s="386"/>
      <c r="E42" s="395"/>
      <c r="F42" s="395"/>
      <c r="G42" s="395"/>
      <c r="H42" s="394"/>
    </row>
    <row r="43" spans="1:8" ht="12">
      <c r="A43" s="386"/>
      <c r="B43" s="379" t="s">
        <v>148</v>
      </c>
      <c r="E43" s="395"/>
      <c r="F43" s="395"/>
      <c r="G43" s="395"/>
      <c r="H43" s="394"/>
    </row>
    <row r="44" spans="1:8" ht="12">
      <c r="A44" s="386">
        <v>27</v>
      </c>
      <c r="B44" s="397" t="s">
        <v>163</v>
      </c>
      <c r="E44" s="395">
        <f>F44+G44</f>
        <v>703</v>
      </c>
      <c r="F44" s="395">
        <f>ROUND(F41*0.35,0)</f>
        <v>459</v>
      </c>
      <c r="G44" s="395">
        <f>ROUND(G41*0.35,0)</f>
        <v>244</v>
      </c>
      <c r="H44" s="394" t="str">
        <f>IF(E44=F44+G44," ","ERROR")</f>
        <v> </v>
      </c>
    </row>
    <row r="45" spans="1:8" ht="12">
      <c r="A45" s="386">
        <v>28</v>
      </c>
      <c r="B45" s="379" t="s">
        <v>151</v>
      </c>
      <c r="E45" s="395"/>
      <c r="F45" s="395"/>
      <c r="G45" s="395"/>
      <c r="H45" s="394" t="str">
        <f>IF(E45=F45+G45," ","ERROR")</f>
        <v> </v>
      </c>
    </row>
    <row r="46" spans="1:8" ht="12">
      <c r="A46" s="386">
        <v>29</v>
      </c>
      <c r="B46" s="379" t="s">
        <v>150</v>
      </c>
      <c r="E46" s="396"/>
      <c r="F46" s="396"/>
      <c r="G46" s="396"/>
      <c r="H46" s="394" t="str">
        <f>IF(E46=F46+G46," ","ERROR")</f>
        <v> </v>
      </c>
    </row>
    <row r="47" spans="1:8" ht="12">
      <c r="A47" s="386"/>
      <c r="H47" s="394"/>
    </row>
    <row r="48" spans="1:8" ht="12">
      <c r="A48" s="386">
        <v>30</v>
      </c>
      <c r="B48" s="400" t="s">
        <v>98</v>
      </c>
      <c r="E48" s="393">
        <f>E41-(+E44+E45+E46)</f>
        <v>1307</v>
      </c>
      <c r="F48" s="393">
        <f>F41-F44+F45+F46</f>
        <v>853</v>
      </c>
      <c r="G48" s="393">
        <f>G41-SUM(G44:G46)</f>
        <v>454</v>
      </c>
      <c r="H48" s="394" t="str">
        <f>IF(E48=F48+G48," ","ERROR")</f>
        <v> </v>
      </c>
    </row>
    <row r="49" spans="1:8" ht="12">
      <c r="A49" s="386"/>
      <c r="H49" s="394"/>
    </row>
    <row r="50" spans="1:8" ht="12">
      <c r="A50" s="386"/>
      <c r="B50" s="397" t="s">
        <v>152</v>
      </c>
      <c r="H50" s="394"/>
    </row>
    <row r="51" spans="1:8" ht="12">
      <c r="A51" s="386"/>
      <c r="B51" s="397" t="s">
        <v>153</v>
      </c>
      <c r="H51" s="394"/>
    </row>
    <row r="52" spans="1:8" ht="12">
      <c r="A52" s="386">
        <v>31</v>
      </c>
      <c r="B52" s="379" t="s">
        <v>154</v>
      </c>
      <c r="E52" s="393"/>
      <c r="F52" s="393"/>
      <c r="G52" s="393"/>
      <c r="H52" s="394" t="str">
        <f aca="true" t="shared" si="0" ref="H52:H63">IF(E52=F52+G52," ","ERROR")</f>
        <v> </v>
      </c>
    </row>
    <row r="53" spans="1:8" ht="12">
      <c r="A53" s="386">
        <v>32</v>
      </c>
      <c r="B53" s="379" t="s">
        <v>155</v>
      </c>
      <c r="E53" s="395"/>
      <c r="F53" s="395"/>
      <c r="G53" s="395"/>
      <c r="H53" s="394" t="str">
        <f t="shared" si="0"/>
        <v> </v>
      </c>
    </row>
    <row r="54" spans="1:8" ht="12">
      <c r="A54" s="386">
        <v>33</v>
      </c>
      <c r="B54" s="379" t="s">
        <v>164</v>
      </c>
      <c r="E54" s="396"/>
      <c r="F54" s="396"/>
      <c r="G54" s="396"/>
      <c r="H54" s="394" t="str">
        <f t="shared" si="0"/>
        <v> </v>
      </c>
    </row>
    <row r="55" spans="1:8" ht="12">
      <c r="A55" s="386">
        <v>34</v>
      </c>
      <c r="B55" s="379" t="s">
        <v>157</v>
      </c>
      <c r="E55" s="395">
        <f>SUM(E52:E54)</f>
        <v>0</v>
      </c>
      <c r="F55" s="395">
        <f>SUM(F52:F54)</f>
        <v>0</v>
      </c>
      <c r="G55" s="395">
        <f>SUM(G52:G54)</f>
        <v>0</v>
      </c>
      <c r="H55" s="394" t="str">
        <f t="shared" si="0"/>
        <v> </v>
      </c>
    </row>
    <row r="56" spans="1:8" ht="12">
      <c r="A56" s="386"/>
      <c r="B56" s="379" t="s">
        <v>103</v>
      </c>
      <c r="E56" s="395"/>
      <c r="F56" s="395"/>
      <c r="G56" s="395"/>
      <c r="H56" s="394" t="str">
        <f t="shared" si="0"/>
        <v> </v>
      </c>
    </row>
    <row r="57" spans="1:8" ht="12">
      <c r="A57" s="386">
        <v>35</v>
      </c>
      <c r="B57" s="379" t="s">
        <v>154</v>
      </c>
      <c r="E57" s="395"/>
      <c r="F57" s="395"/>
      <c r="G57" s="395"/>
      <c r="H57" s="394" t="str">
        <f t="shared" si="0"/>
        <v> </v>
      </c>
    </row>
    <row r="58" spans="1:8" ht="12">
      <c r="A58" s="386">
        <v>36</v>
      </c>
      <c r="B58" s="379" t="s">
        <v>155</v>
      </c>
      <c r="E58" s="395"/>
      <c r="F58" s="395"/>
      <c r="G58" s="395"/>
      <c r="H58" s="394" t="str">
        <f t="shared" si="0"/>
        <v> </v>
      </c>
    </row>
    <row r="59" spans="1:8" ht="12">
      <c r="A59" s="386">
        <v>37</v>
      </c>
      <c r="B59" s="379" t="s">
        <v>164</v>
      </c>
      <c r="E59" s="396"/>
      <c r="F59" s="396"/>
      <c r="G59" s="396"/>
      <c r="H59" s="394" t="str">
        <f t="shared" si="0"/>
        <v> </v>
      </c>
    </row>
    <row r="60" spans="1:8" ht="12">
      <c r="A60" s="386">
        <v>38</v>
      </c>
      <c r="B60" s="379" t="s">
        <v>158</v>
      </c>
      <c r="E60" s="395">
        <f>SUM(E57:E59)</f>
        <v>0</v>
      </c>
      <c r="F60" s="395">
        <f>SUM(F57:F59)</f>
        <v>0</v>
      </c>
      <c r="G60" s="395">
        <f>SUM(G57:G59)</f>
        <v>0</v>
      </c>
      <c r="H60" s="394" t="str">
        <f t="shared" si="0"/>
        <v> </v>
      </c>
    </row>
    <row r="61" spans="1:8" ht="12">
      <c r="A61" s="386">
        <v>39</v>
      </c>
      <c r="B61" s="397" t="s">
        <v>159</v>
      </c>
      <c r="E61" s="395"/>
      <c r="F61" s="395"/>
      <c r="G61" s="395"/>
      <c r="H61" s="394" t="str">
        <f t="shared" si="0"/>
        <v> </v>
      </c>
    </row>
    <row r="62" spans="1:8" ht="12">
      <c r="A62" s="386">
        <v>40</v>
      </c>
      <c r="B62" s="379" t="s">
        <v>106</v>
      </c>
      <c r="E62" s="395"/>
      <c r="F62" s="395"/>
      <c r="G62" s="395"/>
      <c r="H62" s="394" t="str">
        <f t="shared" si="0"/>
        <v> </v>
      </c>
    </row>
    <row r="63" spans="1:8" ht="12">
      <c r="A63" s="386">
        <v>41</v>
      </c>
      <c r="B63" s="397" t="s">
        <v>107</v>
      </c>
      <c r="E63" s="396"/>
      <c r="F63" s="396"/>
      <c r="G63" s="396"/>
      <c r="H63" s="394" t="str">
        <f t="shared" si="0"/>
        <v> </v>
      </c>
    </row>
    <row r="64" spans="1:8" ht="12">
      <c r="A64" s="386"/>
      <c r="B64" s="379" t="s">
        <v>160</v>
      </c>
      <c r="H64" s="394"/>
    </row>
    <row r="65" spans="1:8" ht="12.75" thickBot="1">
      <c r="A65" s="386">
        <v>42</v>
      </c>
      <c r="B65" s="400" t="s">
        <v>108</v>
      </c>
      <c r="E65" s="401">
        <f>E55-E60+E61+E62+E63</f>
        <v>0</v>
      </c>
      <c r="F65" s="401">
        <f>F55-F60+F61+F62+F63</f>
        <v>0</v>
      </c>
      <c r="G65" s="401">
        <f>G55-G60+G61+G62+G63</f>
        <v>0</v>
      </c>
      <c r="H65" s="394" t="str">
        <f>IF(E65=F65+G65," ","ERROR")</f>
        <v> </v>
      </c>
    </row>
    <row r="66" spans="1:7" ht="12.75" thickTop="1">
      <c r="A66" s="382" t="str">
        <f>Inputs!$D$6</f>
        <v>AVISTA UTILITIES</v>
      </c>
      <c r="B66" s="382"/>
      <c r="C66" s="382"/>
      <c r="G66" s="379"/>
    </row>
    <row r="67" spans="1:7" ht="12">
      <c r="A67" s="382" t="s">
        <v>168</v>
      </c>
      <c r="B67" s="382"/>
      <c r="C67" s="382"/>
      <c r="G67" s="379"/>
    </row>
    <row r="68" spans="1:7" ht="12">
      <c r="A68" s="382" t="str">
        <f>A3</f>
        <v>TWELVE MONTHS ENDED DECEMBER 31, 2004</v>
      </c>
      <c r="B68" s="382"/>
      <c r="C68" s="382"/>
      <c r="F68" s="383" t="str">
        <f>F2</f>
        <v>WEATHER  NORMALIZATION</v>
      </c>
      <c r="G68" s="379"/>
    </row>
    <row r="69" spans="1:7" ht="12">
      <c r="A69" s="382" t="s">
        <v>169</v>
      </c>
      <c r="B69" s="382"/>
      <c r="C69" s="382"/>
      <c r="F69" s="383" t="str">
        <f>F3</f>
        <v>AND GAS COST ADJUSTMENT</v>
      </c>
      <c r="G69" s="379"/>
    </row>
    <row r="70" spans="5:7" ht="12">
      <c r="E70" s="402"/>
      <c r="F70" s="390" t="str">
        <f>F4</f>
        <v>GAS</v>
      </c>
      <c r="G70" s="403"/>
    </row>
    <row r="71" spans="1:6" ht="12">
      <c r="A71" s="386" t="s">
        <v>11</v>
      </c>
      <c r="F71" s="383"/>
    </row>
    <row r="72" spans="1:6" ht="12">
      <c r="A72" s="404" t="s">
        <v>29</v>
      </c>
      <c r="B72" s="388" t="s">
        <v>114</v>
      </c>
      <c r="C72" s="388"/>
      <c r="F72" s="390" t="s">
        <v>129</v>
      </c>
    </row>
    <row r="73" spans="1:7" ht="12">
      <c r="A73" s="386"/>
      <c r="B73" s="379" t="s">
        <v>69</v>
      </c>
      <c r="E73" s="379"/>
      <c r="G73" s="379"/>
    </row>
    <row r="74" spans="1:7" ht="12">
      <c r="A74" s="386">
        <v>1</v>
      </c>
      <c r="B74" s="379" t="s">
        <v>131</v>
      </c>
      <c r="E74" s="379"/>
      <c r="F74" s="393">
        <f>G8</f>
        <v>2418</v>
      </c>
      <c r="G74" s="379"/>
    </row>
    <row r="75" spans="1:7" ht="12">
      <c r="A75" s="386">
        <v>2</v>
      </c>
      <c r="B75" s="379" t="s">
        <v>132</v>
      </c>
      <c r="E75" s="379"/>
      <c r="F75" s="395">
        <f>G9</f>
        <v>0</v>
      </c>
      <c r="G75" s="379"/>
    </row>
    <row r="76" spans="1:7" ht="12">
      <c r="A76" s="386">
        <v>3</v>
      </c>
      <c r="B76" s="379" t="s">
        <v>72</v>
      </c>
      <c r="E76" s="379"/>
      <c r="F76" s="396">
        <f>G10</f>
        <v>0</v>
      </c>
      <c r="G76" s="379"/>
    </row>
    <row r="77" spans="1:7" ht="12">
      <c r="A77" s="386"/>
      <c r="E77" s="379"/>
      <c r="F77" s="395"/>
      <c r="G77" s="379"/>
    </row>
    <row r="78" spans="1:7" ht="12">
      <c r="A78" s="386">
        <v>4</v>
      </c>
      <c r="B78" s="379" t="s">
        <v>133</v>
      </c>
      <c r="E78" s="379"/>
      <c r="F78" s="395">
        <f>F74+F75+F76</f>
        <v>2418</v>
      </c>
      <c r="G78" s="379"/>
    </row>
    <row r="79" spans="1:7" ht="12">
      <c r="A79" s="386"/>
      <c r="E79" s="379"/>
      <c r="F79" s="395"/>
      <c r="G79" s="379"/>
    </row>
    <row r="80" spans="1:7" ht="12">
      <c r="A80" s="386"/>
      <c r="B80" s="379" t="s">
        <v>74</v>
      </c>
      <c r="E80" s="379"/>
      <c r="F80" s="395"/>
      <c r="G80" s="379"/>
    </row>
    <row r="81" spans="1:7" ht="12">
      <c r="A81" s="386">
        <v>5</v>
      </c>
      <c r="B81" s="379" t="s">
        <v>134</v>
      </c>
      <c r="E81" s="379"/>
      <c r="F81" s="395">
        <f>G14</f>
        <v>0</v>
      </c>
      <c r="G81" s="379"/>
    </row>
    <row r="82" spans="1:7" ht="12">
      <c r="A82" s="386"/>
      <c r="B82" s="379" t="s">
        <v>76</v>
      </c>
      <c r="E82" s="379"/>
      <c r="F82" s="395"/>
      <c r="G82" s="379"/>
    </row>
    <row r="83" spans="1:7" ht="12">
      <c r="A83" s="386">
        <v>6</v>
      </c>
      <c r="B83" s="379" t="s">
        <v>135</v>
      </c>
      <c r="E83" s="379"/>
      <c r="F83" s="395">
        <f>G16</f>
        <v>1698</v>
      </c>
      <c r="G83" s="379"/>
    </row>
    <row r="84" spans="1:7" ht="12">
      <c r="A84" s="386">
        <v>7</v>
      </c>
      <c r="B84" s="379" t="s">
        <v>136</v>
      </c>
      <c r="E84" s="379"/>
      <c r="F84" s="395">
        <f>G17</f>
        <v>0</v>
      </c>
      <c r="G84" s="379"/>
    </row>
    <row r="85" spans="1:7" ht="12">
      <c r="A85" s="386">
        <v>8</v>
      </c>
      <c r="B85" s="379" t="s">
        <v>137</v>
      </c>
      <c r="E85" s="379"/>
      <c r="F85" s="396">
        <f>G18</f>
        <v>0</v>
      </c>
      <c r="G85" s="379"/>
    </row>
    <row r="86" spans="1:7" ht="12">
      <c r="A86" s="386">
        <v>9</v>
      </c>
      <c r="B86" s="379" t="s">
        <v>138</v>
      </c>
      <c r="E86" s="379"/>
      <c r="F86" s="395">
        <f>F83+F84+F85</f>
        <v>1698</v>
      </c>
      <c r="G86" s="379"/>
    </row>
    <row r="87" spans="1:7" ht="12">
      <c r="A87" s="386"/>
      <c r="B87" s="379" t="s">
        <v>81</v>
      </c>
      <c r="E87" s="379"/>
      <c r="F87" s="395"/>
      <c r="G87" s="379"/>
    </row>
    <row r="88" spans="1:7" ht="12">
      <c r="A88" s="386">
        <v>10</v>
      </c>
      <c r="B88" s="379" t="s">
        <v>139</v>
      </c>
      <c r="E88" s="379"/>
      <c r="F88" s="395">
        <f>G21</f>
        <v>0</v>
      </c>
      <c r="G88" s="379"/>
    </row>
    <row r="89" spans="1:7" ht="12">
      <c r="A89" s="386">
        <v>11</v>
      </c>
      <c r="B89" s="379" t="s">
        <v>140</v>
      </c>
      <c r="E89" s="379"/>
      <c r="F89" s="395">
        <f>G22</f>
        <v>0</v>
      </c>
      <c r="G89" s="379"/>
    </row>
    <row r="90" spans="1:7" ht="12">
      <c r="A90" s="386">
        <v>12</v>
      </c>
      <c r="B90" s="379" t="s">
        <v>141</v>
      </c>
      <c r="E90" s="379"/>
      <c r="F90" s="396">
        <f>G23</f>
        <v>0</v>
      </c>
      <c r="G90" s="379"/>
    </row>
    <row r="91" spans="1:7" ht="12">
      <c r="A91" s="386">
        <v>13</v>
      </c>
      <c r="B91" s="379" t="s">
        <v>142</v>
      </c>
      <c r="E91" s="379"/>
      <c r="F91" s="395">
        <f>F88+F89+F90</f>
        <v>0</v>
      </c>
      <c r="G91" s="379"/>
    </row>
    <row r="92" spans="1:7" ht="12">
      <c r="A92" s="386"/>
      <c r="B92" s="379" t="s">
        <v>85</v>
      </c>
      <c r="E92" s="379"/>
      <c r="F92" s="395"/>
      <c r="G92" s="379"/>
    </row>
    <row r="93" spans="1:7" ht="12">
      <c r="A93" s="386">
        <v>14</v>
      </c>
      <c r="B93" s="379" t="s">
        <v>139</v>
      </c>
      <c r="E93" s="379"/>
      <c r="F93" s="395">
        <f>G26</f>
        <v>0</v>
      </c>
      <c r="G93" s="379"/>
    </row>
    <row r="94" spans="1:7" ht="12">
      <c r="A94" s="386">
        <v>15</v>
      </c>
      <c r="B94" s="379" t="s">
        <v>140</v>
      </c>
      <c r="E94" s="379"/>
      <c r="F94" s="395">
        <f>G27</f>
        <v>0</v>
      </c>
      <c r="G94" s="379"/>
    </row>
    <row r="95" spans="1:7" ht="12">
      <c r="A95" s="386">
        <v>16</v>
      </c>
      <c r="B95" s="379" t="s">
        <v>141</v>
      </c>
      <c r="E95" s="379"/>
      <c r="F95" s="396"/>
      <c r="G95" s="379"/>
    </row>
    <row r="96" spans="1:7" ht="12">
      <c r="A96" s="386">
        <v>17</v>
      </c>
      <c r="B96" s="379" t="s">
        <v>143</v>
      </c>
      <c r="E96" s="379"/>
      <c r="F96" s="395">
        <f>F93+F94+F95</f>
        <v>0</v>
      </c>
      <c r="G96" s="379"/>
    </row>
    <row r="97" spans="1:7" ht="12">
      <c r="A97" s="386">
        <v>18</v>
      </c>
      <c r="B97" s="379" t="s">
        <v>87</v>
      </c>
      <c r="E97" s="379"/>
      <c r="F97" s="395">
        <f>G31</f>
        <v>8</v>
      </c>
      <c r="G97" s="379"/>
    </row>
    <row r="98" spans="1:7" ht="12">
      <c r="A98" s="386">
        <v>19</v>
      </c>
      <c r="B98" s="379" t="s">
        <v>88</v>
      </c>
      <c r="E98" s="379"/>
      <c r="F98" s="395">
        <f>G32</f>
        <v>0</v>
      </c>
      <c r="G98" s="379"/>
    </row>
    <row r="99" spans="1:7" ht="12">
      <c r="A99" s="386">
        <v>20</v>
      </c>
      <c r="B99" s="379" t="s">
        <v>144</v>
      </c>
      <c r="E99" s="379"/>
      <c r="F99" s="395">
        <f>G33</f>
        <v>0</v>
      </c>
      <c r="G99" s="379"/>
    </row>
    <row r="100" spans="1:7" ht="12">
      <c r="A100" s="386"/>
      <c r="B100" s="379" t="s">
        <v>145</v>
      </c>
      <c r="E100" s="379"/>
      <c r="F100" s="395"/>
      <c r="G100" s="379"/>
    </row>
    <row r="101" spans="1:7" ht="12">
      <c r="A101" s="386">
        <v>21</v>
      </c>
      <c r="B101" s="379" t="s">
        <v>139</v>
      </c>
      <c r="E101" s="379"/>
      <c r="F101" s="395">
        <f>G35</f>
        <v>6</v>
      </c>
      <c r="G101" s="379"/>
    </row>
    <row r="102" spans="1:7" ht="12">
      <c r="A102" s="386">
        <v>22</v>
      </c>
      <c r="B102" s="379" t="s">
        <v>140</v>
      </c>
      <c r="E102" s="379"/>
      <c r="F102" s="395">
        <f>G36</f>
        <v>0</v>
      </c>
      <c r="G102" s="379"/>
    </row>
    <row r="103" spans="1:7" ht="12">
      <c r="A103" s="386">
        <v>23</v>
      </c>
      <c r="B103" s="379" t="s">
        <v>141</v>
      </c>
      <c r="E103" s="379"/>
      <c r="F103" s="396">
        <f>G37</f>
        <v>0</v>
      </c>
      <c r="G103" s="379"/>
    </row>
    <row r="104" spans="1:7" ht="12">
      <c r="A104" s="386">
        <v>24</v>
      </c>
      <c r="B104" s="379" t="s">
        <v>146</v>
      </c>
      <c r="E104" s="379"/>
      <c r="F104" s="396">
        <f>F101+F102+F103</f>
        <v>6</v>
      </c>
      <c r="G104" s="379"/>
    </row>
    <row r="105" spans="1:7" ht="12">
      <c r="A105" s="386"/>
      <c r="E105" s="379"/>
      <c r="F105" s="395"/>
      <c r="G105" s="379"/>
    </row>
    <row r="106" spans="1:7" ht="12">
      <c r="A106" s="386">
        <v>25</v>
      </c>
      <c r="B106" s="379" t="s">
        <v>92</v>
      </c>
      <c r="E106" s="379"/>
      <c r="F106" s="396">
        <f>F104+F99+F98+F97+F96+F91+F86+F81</f>
        <v>1712</v>
      </c>
      <c r="G106" s="379"/>
    </row>
    <row r="107" spans="1:7" ht="12">
      <c r="A107" s="386"/>
      <c r="E107" s="379"/>
      <c r="F107" s="395"/>
      <c r="G107" s="379"/>
    </row>
    <row r="108" spans="1:7" ht="12">
      <c r="A108" s="386">
        <v>26</v>
      </c>
      <c r="B108" s="379" t="s">
        <v>170</v>
      </c>
      <c r="E108" s="379"/>
      <c r="F108" s="396">
        <f>F78-F106</f>
        <v>706</v>
      </c>
      <c r="G108" s="379"/>
    </row>
    <row r="109" spans="1:7" ht="12">
      <c r="A109" s="386"/>
      <c r="E109" s="379"/>
      <c r="G109" s="379"/>
    </row>
    <row r="110" spans="1:7" ht="12">
      <c r="A110" s="386">
        <v>27</v>
      </c>
      <c r="B110" s="379" t="s">
        <v>171</v>
      </c>
      <c r="G110" s="379"/>
    </row>
    <row r="111" spans="1:7" ht="12.75" thickBot="1">
      <c r="A111" s="386"/>
      <c r="B111" s="405" t="s">
        <v>172</v>
      </c>
      <c r="C111" s="406">
        <f>Inputs!$D$4</f>
        <v>0.01065</v>
      </c>
      <c r="F111" s="401">
        <f>ROUND(F108*C111,0)</f>
        <v>8</v>
      </c>
      <c r="G111" s="379"/>
    </row>
    <row r="112" spans="1:7" ht="12.75" thickTop="1">
      <c r="A112" s="386"/>
      <c r="G112" s="379"/>
    </row>
  </sheetData>
  <mergeCells count="1">
    <mergeCell ref="A1:C1"/>
  </mergeCells>
  <printOptions horizontalCentered="1"/>
  <pageMargins left="0.5" right="0.5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7">
      <selection activeCell="F49" sqref="F49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411" t="s">
        <v>359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411" t="s">
        <v>319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>
        <f>F8+G8</f>
        <v>17505</v>
      </c>
      <c r="F8" s="421">
        <v>17505</v>
      </c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>
        <f>F9+G9</f>
        <v>-728</v>
      </c>
      <c r="F9" s="423">
        <v>-728</v>
      </c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16777</v>
      </c>
      <c r="F11" s="423">
        <f>SUM(F8:F10)</f>
        <v>16777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>
        <f>SUM(F16:G16)</f>
        <v>13420</v>
      </c>
      <c r="F16" s="423">
        <f>13468-F17</f>
        <v>13420</v>
      </c>
      <c r="G16" s="423">
        <v>0</v>
      </c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48</v>
      </c>
      <c r="F17" s="423">
        <v>48</v>
      </c>
      <c r="G17" s="423"/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13468</v>
      </c>
      <c r="F19" s="423">
        <f>SUM(F16:F18)</f>
        <v>13468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/>
      <c r="F21" s="423"/>
      <c r="G21" s="423"/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/>
      <c r="F26" s="423"/>
      <c r="G26" s="423"/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644</v>
      </c>
      <c r="F28" s="424">
        <v>644</v>
      </c>
      <c r="G28" s="424">
        <v>0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644</v>
      </c>
      <c r="F29" s="423">
        <f>SUM(F26:F28)</f>
        <v>644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F31+G31</f>
        <v>53</v>
      </c>
      <c r="F31" s="423">
        <v>53</v>
      </c>
      <c r="G31" s="423"/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F32+G32</f>
        <v>-3202</v>
      </c>
      <c r="F32" s="423">
        <f>-3038-164</f>
        <v>-3202</v>
      </c>
      <c r="G32" s="423"/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/>
      <c r="F33" s="423"/>
      <c r="G33" s="423"/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F35+G35</f>
        <v>32</v>
      </c>
      <c r="F35" s="423">
        <v>32</v>
      </c>
      <c r="G35" s="423"/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32</v>
      </c>
      <c r="F38" s="424">
        <f>SUM(F35:F37)</f>
        <v>32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10995</v>
      </c>
      <c r="F39" s="424">
        <f>F19+F24+F29+F31+F32+F33+F38+F14</f>
        <v>10995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5782</v>
      </c>
      <c r="F41" s="423">
        <f>F11-F39</f>
        <v>5782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2024</v>
      </c>
      <c r="F44" s="423">
        <f>ROUND(F41*D44,0)</f>
        <v>2024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3758</v>
      </c>
      <c r="F48" s="430">
        <f>F41-F44+F45+F46</f>
        <v>3758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REVENUE NORMALIZATION AND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GAS COST ADJUSTMENT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0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0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0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0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0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0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0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0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0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0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0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0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A74">
      <selection activeCell="F96" sqref="F96"/>
    </sheetView>
  </sheetViews>
  <sheetFormatPr defaultColWidth="9.140625" defaultRowHeight="10.5" customHeight="1"/>
  <cols>
    <col min="1" max="1" width="5.57421875" style="438" customWidth="1"/>
    <col min="2" max="2" width="26.140625" style="438" customWidth="1"/>
    <col min="3" max="3" width="12.421875" style="438" customWidth="1"/>
    <col min="4" max="4" width="6.7109375" style="438" customWidth="1"/>
    <col min="5" max="5" width="12.421875" style="458" customWidth="1"/>
    <col min="6" max="6" width="12.421875" style="459" customWidth="1"/>
    <col min="7" max="7" width="12.421875" style="458" customWidth="1"/>
    <col min="8" max="16384" width="12.421875" style="438" customWidth="1"/>
  </cols>
  <sheetData>
    <row r="1" spans="1:7" ht="12">
      <c r="A1" s="437" t="str">
        <f>Inputs!$D$6</f>
        <v>AVISTA UTILITIES</v>
      </c>
      <c r="B1" s="437"/>
      <c r="C1" s="437"/>
      <c r="E1" s="439"/>
      <c r="F1" s="440"/>
      <c r="G1" s="439"/>
    </row>
    <row r="2" spans="1:7" ht="12">
      <c r="A2" s="437" t="s">
        <v>122</v>
      </c>
      <c r="B2" s="437"/>
      <c r="C2" s="437"/>
      <c r="E2" s="439"/>
      <c r="F2" s="441" t="s">
        <v>177</v>
      </c>
      <c r="G2" s="439"/>
    </row>
    <row r="3" spans="1:7" ht="12">
      <c r="A3" s="437" t="str">
        <f>Inputs!$D$2</f>
        <v>TWELVE MONTHS ENDED DECEMBER 31, 2004</v>
      </c>
      <c r="B3" s="437"/>
      <c r="C3" s="437"/>
      <c r="E3" s="439"/>
      <c r="F3" s="441" t="s">
        <v>178</v>
      </c>
      <c r="G3" s="438"/>
    </row>
    <row r="4" spans="1:7" ht="12">
      <c r="A4" s="437" t="s">
        <v>125</v>
      </c>
      <c r="B4" s="437"/>
      <c r="C4" s="437"/>
      <c r="E4" s="442"/>
      <c r="F4" s="443" t="s">
        <v>126</v>
      </c>
      <c r="G4" s="442"/>
    </row>
    <row r="5" spans="1:7" ht="12">
      <c r="A5" s="444" t="s">
        <v>11</v>
      </c>
      <c r="E5" s="439"/>
      <c r="F5" s="441"/>
      <c r="G5" s="439"/>
    </row>
    <row r="6" spans="1:8" ht="12">
      <c r="A6" s="445" t="s">
        <v>29</v>
      </c>
      <c r="B6" s="446" t="s">
        <v>114</v>
      </c>
      <c r="C6" s="446"/>
      <c r="E6" s="447" t="s">
        <v>127</v>
      </c>
      <c r="F6" s="448" t="s">
        <v>128</v>
      </c>
      <c r="G6" s="447" t="s">
        <v>129</v>
      </c>
      <c r="H6" s="449" t="s">
        <v>130</v>
      </c>
    </row>
    <row r="7" spans="1:7" ht="12">
      <c r="A7" s="444"/>
      <c r="B7" s="438" t="s">
        <v>69</v>
      </c>
      <c r="E7" s="450"/>
      <c r="F7" s="441"/>
      <c r="G7" s="450"/>
    </row>
    <row r="8" spans="1:8" ht="12">
      <c r="A8" s="444">
        <v>1</v>
      </c>
      <c r="B8" s="438" t="s">
        <v>131</v>
      </c>
      <c r="E8" s="451">
        <f>SUM(F8:G8)</f>
        <v>-5249</v>
      </c>
      <c r="F8" s="451">
        <v>-4180</v>
      </c>
      <c r="G8" s="451">
        <v>-1069</v>
      </c>
      <c r="H8" s="452" t="str">
        <f>IF(E8=F8+G8," ","ERROR")</f>
        <v> </v>
      </c>
    </row>
    <row r="9" spans="1:8" ht="12">
      <c r="A9" s="444">
        <v>2</v>
      </c>
      <c r="B9" s="438" t="s">
        <v>132</v>
      </c>
      <c r="E9" s="453">
        <f>SUM(F9:G9)</f>
        <v>-83</v>
      </c>
      <c r="F9" s="453">
        <v>-73</v>
      </c>
      <c r="G9" s="453">
        <v>-10</v>
      </c>
      <c r="H9" s="452" t="str">
        <f>IF(E9=F9+G9," ","ERROR")</f>
        <v> </v>
      </c>
    </row>
    <row r="10" spans="1:8" ht="12">
      <c r="A10" s="444">
        <v>3</v>
      </c>
      <c r="B10" s="438" t="s">
        <v>72</v>
      </c>
      <c r="E10" s="454"/>
      <c r="F10" s="454"/>
      <c r="G10" s="454"/>
      <c r="H10" s="452" t="str">
        <f>IF(E10=F10+G10," ","ERROR")</f>
        <v> </v>
      </c>
    </row>
    <row r="11" spans="1:8" ht="12">
      <c r="A11" s="444">
        <v>4</v>
      </c>
      <c r="B11" s="438" t="s">
        <v>133</v>
      </c>
      <c r="E11" s="453">
        <f>SUM(E8:E10)</f>
        <v>-5332</v>
      </c>
      <c r="F11" s="453">
        <f>SUM(F8:F10)</f>
        <v>-4253</v>
      </c>
      <c r="G11" s="453">
        <f>SUM(G8:G10)</f>
        <v>-1079</v>
      </c>
      <c r="H11" s="452" t="str">
        <f>IF(E11=F11+G11," ","ERROR")</f>
        <v> </v>
      </c>
    </row>
    <row r="12" spans="1:8" ht="12">
      <c r="A12" s="444"/>
      <c r="E12" s="453"/>
      <c r="F12" s="453"/>
      <c r="G12" s="453"/>
      <c r="H12" s="452"/>
    </row>
    <row r="13" spans="1:8" ht="12">
      <c r="A13" s="444"/>
      <c r="B13" s="438" t="s">
        <v>74</v>
      </c>
      <c r="E13" s="453"/>
      <c r="F13" s="453"/>
      <c r="G13" s="453"/>
      <c r="H13" s="452"/>
    </row>
    <row r="14" spans="1:8" ht="12">
      <c r="A14" s="444">
        <v>5</v>
      </c>
      <c r="B14" s="438" t="s">
        <v>134</v>
      </c>
      <c r="E14" s="453"/>
      <c r="F14" s="453"/>
      <c r="G14" s="453"/>
      <c r="H14" s="452" t="str">
        <f>IF(E14=F14+G14," ","ERROR")</f>
        <v> </v>
      </c>
    </row>
    <row r="15" spans="1:8" ht="12">
      <c r="A15" s="444"/>
      <c r="B15" s="438" t="s">
        <v>76</v>
      </c>
      <c r="E15" s="453"/>
      <c r="F15" s="453"/>
      <c r="G15" s="453"/>
      <c r="H15" s="452"/>
    </row>
    <row r="16" spans="1:8" ht="12">
      <c r="A16" s="444">
        <v>6</v>
      </c>
      <c r="B16" s="438" t="s">
        <v>135</v>
      </c>
      <c r="E16" s="453"/>
      <c r="F16" s="453"/>
      <c r="G16" s="453"/>
      <c r="H16" s="452" t="str">
        <f>IF(E16=F16+G16," ","ERROR")</f>
        <v> </v>
      </c>
    </row>
    <row r="17" spans="1:8" ht="12">
      <c r="A17" s="444">
        <v>7</v>
      </c>
      <c r="B17" s="438" t="s">
        <v>136</v>
      </c>
      <c r="E17" s="453"/>
      <c r="F17" s="453"/>
      <c r="G17" s="453"/>
      <c r="H17" s="452" t="str">
        <f>IF(E17=F17+G17," ","ERROR")</f>
        <v> </v>
      </c>
    </row>
    <row r="18" spans="1:8" ht="12">
      <c r="A18" s="444">
        <v>8</v>
      </c>
      <c r="B18" s="438" t="s">
        <v>137</v>
      </c>
      <c r="E18" s="454"/>
      <c r="F18" s="454"/>
      <c r="G18" s="454"/>
      <c r="H18" s="452" t="str">
        <f>IF(E18=F18+G18," ","ERROR")</f>
        <v> </v>
      </c>
    </row>
    <row r="19" spans="1:8" ht="12">
      <c r="A19" s="444">
        <v>9</v>
      </c>
      <c r="B19" s="438" t="s">
        <v>138</v>
      </c>
      <c r="E19" s="453">
        <f>SUM(E16:E18)</f>
        <v>0</v>
      </c>
      <c r="F19" s="453">
        <f>SUM(F16:F18)</f>
        <v>0</v>
      </c>
      <c r="G19" s="453">
        <f>SUM(G16:G18)</f>
        <v>0</v>
      </c>
      <c r="H19" s="452" t="str">
        <f>IF(E19=F19+G19," ","ERROR")</f>
        <v> </v>
      </c>
    </row>
    <row r="20" spans="1:8" ht="12">
      <c r="A20" s="444"/>
      <c r="B20" s="438" t="s">
        <v>81</v>
      </c>
      <c r="E20" s="453"/>
      <c r="F20" s="453"/>
      <c r="G20" s="453"/>
      <c r="H20" s="452"/>
    </row>
    <row r="21" spans="1:8" ht="12">
      <c r="A21" s="444">
        <v>10</v>
      </c>
      <c r="B21" s="438" t="s">
        <v>139</v>
      </c>
      <c r="E21" s="453"/>
      <c r="F21" s="453"/>
      <c r="G21" s="453"/>
      <c r="H21" s="452" t="str">
        <f>IF(E21=F21+G21," ","ERROR")</f>
        <v> </v>
      </c>
    </row>
    <row r="22" spans="1:8" ht="12">
      <c r="A22" s="444">
        <v>11</v>
      </c>
      <c r="B22" s="438" t="s">
        <v>140</v>
      </c>
      <c r="E22" s="453"/>
      <c r="F22" s="453"/>
      <c r="G22" s="453"/>
      <c r="H22" s="452" t="str">
        <f>IF(E22=F22+G22," ","ERROR")</f>
        <v> </v>
      </c>
    </row>
    <row r="23" spans="1:8" ht="12">
      <c r="A23" s="444">
        <v>12</v>
      </c>
      <c r="B23" s="438" t="s">
        <v>141</v>
      </c>
      <c r="E23" s="454"/>
      <c r="F23" s="454"/>
      <c r="G23" s="454"/>
      <c r="H23" s="452" t="str">
        <f>IF(E23=F23+G23," ","ERROR")</f>
        <v> </v>
      </c>
    </row>
    <row r="24" spans="1:8" ht="12">
      <c r="A24" s="444">
        <v>13</v>
      </c>
      <c r="B24" s="438" t="s">
        <v>142</v>
      </c>
      <c r="E24" s="453">
        <f>SUM(E21:E23)</f>
        <v>0</v>
      </c>
      <c r="F24" s="453">
        <f>SUM(F21:F23)</f>
        <v>0</v>
      </c>
      <c r="G24" s="453">
        <f>SUM(G21:G23)</f>
        <v>0</v>
      </c>
      <c r="H24" s="452" t="str">
        <f>IF(E24=F24+G24," ","ERROR")</f>
        <v> </v>
      </c>
    </row>
    <row r="25" spans="1:8" ht="12">
      <c r="A25" s="444"/>
      <c r="B25" s="438" t="s">
        <v>85</v>
      </c>
      <c r="E25" s="453"/>
      <c r="F25" s="453"/>
      <c r="G25" s="453"/>
      <c r="H25" s="452"/>
    </row>
    <row r="26" spans="1:8" ht="12">
      <c r="A26" s="444">
        <v>14</v>
      </c>
      <c r="B26" s="438" t="s">
        <v>139</v>
      </c>
      <c r="E26" s="453"/>
      <c r="F26" s="453"/>
      <c r="G26" s="453"/>
      <c r="H26" s="452" t="str">
        <f>IF(E26=F26+G26," ","ERROR")</f>
        <v> </v>
      </c>
    </row>
    <row r="27" spans="1:8" ht="12">
      <c r="A27" s="444">
        <v>15</v>
      </c>
      <c r="B27" s="438" t="s">
        <v>140</v>
      </c>
      <c r="E27" s="453"/>
      <c r="F27" s="453"/>
      <c r="G27" s="453"/>
      <c r="H27" s="452" t="str">
        <f>IF(E27=F27+G27," ","ERROR")</f>
        <v> </v>
      </c>
    </row>
    <row r="28" spans="1:8" ht="12">
      <c r="A28" s="444">
        <v>16</v>
      </c>
      <c r="B28" s="438" t="s">
        <v>141</v>
      </c>
      <c r="E28" s="454">
        <f>F28+G28</f>
        <v>-6300</v>
      </c>
      <c r="F28" s="454">
        <v>-5200</v>
      </c>
      <c r="G28" s="455">
        <f>-1100+F111</f>
        <v>-1100</v>
      </c>
      <c r="H28" s="452" t="str">
        <f>IF(E28=F28+G28," ","ERROR")</f>
        <v> </v>
      </c>
    </row>
    <row r="29" spans="1:8" ht="12">
      <c r="A29" s="444">
        <v>17</v>
      </c>
      <c r="B29" s="438" t="s">
        <v>143</v>
      </c>
      <c r="E29" s="453">
        <f>SUM(E26:E28)</f>
        <v>-6300</v>
      </c>
      <c r="F29" s="453">
        <f>SUM(F26:F28)</f>
        <v>-5200</v>
      </c>
      <c r="G29" s="453">
        <f>SUM(G26:G28)</f>
        <v>-1100</v>
      </c>
      <c r="H29" s="452" t="str">
        <f>IF(E29=F29+G29," ","ERROR")</f>
        <v> </v>
      </c>
    </row>
    <row r="30" spans="1:8" ht="12">
      <c r="A30" s="444"/>
      <c r="E30" s="453"/>
      <c r="F30" s="453"/>
      <c r="G30" s="453"/>
      <c r="H30" s="452"/>
    </row>
    <row r="31" spans="1:8" ht="12">
      <c r="A31" s="444">
        <v>18</v>
      </c>
      <c r="B31" s="438" t="s">
        <v>87</v>
      </c>
      <c r="E31" s="453"/>
      <c r="F31" s="453"/>
      <c r="G31" s="453"/>
      <c r="H31" s="452" t="str">
        <f>IF(E31=F31+G31," ","ERROR")</f>
        <v> </v>
      </c>
    </row>
    <row r="32" spans="1:8" ht="12">
      <c r="A32" s="444">
        <v>19</v>
      </c>
      <c r="B32" s="438" t="s">
        <v>88</v>
      </c>
      <c r="E32" s="453"/>
      <c r="F32" s="453"/>
      <c r="G32" s="453"/>
      <c r="H32" s="452" t="str">
        <f>IF(E32=F32+G32," ","ERROR")</f>
        <v> </v>
      </c>
    </row>
    <row r="33" spans="1:8" ht="12">
      <c r="A33" s="444">
        <v>20</v>
      </c>
      <c r="B33" s="438" t="s">
        <v>144</v>
      </c>
      <c r="E33" s="453"/>
      <c r="F33" s="453"/>
      <c r="G33" s="453"/>
      <c r="H33" s="452" t="str">
        <f>IF(E33=F33+G33," ","ERROR")</f>
        <v> </v>
      </c>
    </row>
    <row r="34" spans="1:8" ht="12">
      <c r="A34" s="444"/>
      <c r="B34" s="438" t="s">
        <v>145</v>
      </c>
      <c r="E34" s="453"/>
      <c r="F34" s="453"/>
      <c r="G34" s="453"/>
      <c r="H34" s="452"/>
    </row>
    <row r="35" spans="1:8" ht="12">
      <c r="A35" s="444">
        <v>21</v>
      </c>
      <c r="B35" s="438" t="s">
        <v>139</v>
      </c>
      <c r="E35" s="792">
        <f>F35+G35</f>
        <v>902</v>
      </c>
      <c r="F35" s="453">
        <v>902</v>
      </c>
      <c r="G35" s="453"/>
      <c r="H35" s="452" t="str">
        <f>IF(E35=F35+G35," ","ERROR")</f>
        <v> </v>
      </c>
    </row>
    <row r="36" spans="1:8" ht="12">
      <c r="A36" s="444">
        <v>22</v>
      </c>
      <c r="B36" s="438" t="s">
        <v>140</v>
      </c>
      <c r="E36" s="453"/>
      <c r="F36" s="453"/>
      <c r="G36" s="453"/>
      <c r="H36" s="452" t="str">
        <f>IF(E36=F36+G36," ","ERROR")</f>
        <v> </v>
      </c>
    </row>
    <row r="37" spans="1:8" ht="12">
      <c r="A37" s="444">
        <v>23</v>
      </c>
      <c r="B37" s="438" t="s">
        <v>141</v>
      </c>
      <c r="E37" s="454"/>
      <c r="F37" s="454"/>
      <c r="G37" s="454"/>
      <c r="H37" s="452" t="str">
        <f>IF(E37=F37+G37," ","ERROR")</f>
        <v> </v>
      </c>
    </row>
    <row r="38" spans="1:8" ht="12">
      <c r="A38" s="444">
        <v>24</v>
      </c>
      <c r="B38" s="438" t="s">
        <v>146</v>
      </c>
      <c r="E38" s="454">
        <f>SUM(E35:E37)</f>
        <v>902</v>
      </c>
      <c r="F38" s="454">
        <f>SUM(F35:F37)</f>
        <v>902</v>
      </c>
      <c r="G38" s="454">
        <f>SUM(G35:G37)</f>
        <v>0</v>
      </c>
      <c r="H38" s="452" t="str">
        <f>IF(E38=F38+G38," ","ERROR")</f>
        <v> </v>
      </c>
    </row>
    <row r="39" spans="1:8" ht="12">
      <c r="A39" s="444">
        <v>25</v>
      </c>
      <c r="B39" s="438" t="s">
        <v>92</v>
      </c>
      <c r="E39" s="454">
        <f>E19+E24+E29+E31+E32+E33+E38+E14</f>
        <v>-5398</v>
      </c>
      <c r="F39" s="454">
        <f>F19+F24+F29+F31+F32+F33+F38+F14</f>
        <v>-4298</v>
      </c>
      <c r="G39" s="454">
        <f>G19+G24+G29+G31+G32+G33+G38+G14</f>
        <v>-1100</v>
      </c>
      <c r="H39" s="452" t="str">
        <f>IF(E39=F39+G39," ","ERROR")</f>
        <v> </v>
      </c>
    </row>
    <row r="40" spans="1:8" ht="12">
      <c r="A40" s="444"/>
      <c r="E40" s="453"/>
      <c r="F40" s="453"/>
      <c r="G40" s="453"/>
      <c r="H40" s="452"/>
    </row>
    <row r="41" spans="1:8" ht="12">
      <c r="A41" s="444">
        <v>26</v>
      </c>
      <c r="B41" s="438" t="s">
        <v>147</v>
      </c>
      <c r="E41" s="453">
        <f>E11-E39</f>
        <v>66</v>
      </c>
      <c r="F41" s="453">
        <f>F11-F39</f>
        <v>45</v>
      </c>
      <c r="G41" s="453">
        <f>G11-G39</f>
        <v>21</v>
      </c>
      <c r="H41" s="452" t="str">
        <f>IF(E41=F41+G41," ","ERROR")</f>
        <v> </v>
      </c>
    </row>
    <row r="42" spans="1:8" ht="12">
      <c r="A42" s="444"/>
      <c r="E42" s="453"/>
      <c r="F42" s="453"/>
      <c r="G42" s="453"/>
      <c r="H42" s="452"/>
    </row>
    <row r="43" spans="1:8" ht="12">
      <c r="A43" s="444"/>
      <c r="B43" s="438" t="s">
        <v>148</v>
      </c>
      <c r="E43" s="453"/>
      <c r="F43" s="453"/>
      <c r="G43" s="453"/>
      <c r="H43" s="452"/>
    </row>
    <row r="44" spans="1:8" ht="12">
      <c r="A44" s="444">
        <v>27</v>
      </c>
      <c r="B44" s="456" t="s">
        <v>149</v>
      </c>
      <c r="D44" s="457">
        <v>0.35</v>
      </c>
      <c r="E44" s="453">
        <f>F44+G44</f>
        <v>23</v>
      </c>
      <c r="F44" s="453">
        <f>ROUND(F41*D44,0)</f>
        <v>16</v>
      </c>
      <c r="G44" s="453">
        <f>ROUND(G41*D44,0)</f>
        <v>7</v>
      </c>
      <c r="H44" s="452" t="str">
        <f>IF(E44=F44+G44," ","ERROR")</f>
        <v> </v>
      </c>
    </row>
    <row r="45" spans="1:8" ht="12">
      <c r="A45" s="444">
        <v>28</v>
      </c>
      <c r="B45" s="438" t="s">
        <v>151</v>
      </c>
      <c r="E45" s="453"/>
      <c r="F45" s="453"/>
      <c r="G45" s="453"/>
      <c r="H45" s="452" t="str">
        <f>IF(E45=F45+G45," ","ERROR")</f>
        <v> </v>
      </c>
    </row>
    <row r="46" spans="1:8" ht="12">
      <c r="A46" s="444">
        <v>29</v>
      </c>
      <c r="B46" s="438" t="s">
        <v>150</v>
      </c>
      <c r="E46" s="454"/>
      <c r="F46" s="454"/>
      <c r="G46" s="454"/>
      <c r="H46" s="452" t="str">
        <f>IF(E46=F46+G46," ","ERROR")</f>
        <v> </v>
      </c>
    </row>
    <row r="47" spans="1:8" ht="12">
      <c r="A47" s="444"/>
      <c r="H47" s="452"/>
    </row>
    <row r="48" spans="1:8" ht="12">
      <c r="A48" s="444">
        <v>30</v>
      </c>
      <c r="B48" s="460" t="s">
        <v>98</v>
      </c>
      <c r="E48" s="451">
        <f>E41-(+E44+E45+E46)</f>
        <v>43</v>
      </c>
      <c r="F48" s="451">
        <f>F41-F44+F45+F46</f>
        <v>29</v>
      </c>
      <c r="G48" s="451">
        <f>G41-SUM(G44:G46)</f>
        <v>14</v>
      </c>
      <c r="H48" s="452" t="str">
        <f>IF(E48=F48+G48," ","ERROR")</f>
        <v> </v>
      </c>
    </row>
    <row r="49" spans="1:8" ht="12">
      <c r="A49" s="444"/>
      <c r="H49" s="452"/>
    </row>
    <row r="50" spans="1:8" ht="12">
      <c r="A50" s="444"/>
      <c r="B50" s="456" t="s">
        <v>152</v>
      </c>
      <c r="H50" s="452"/>
    </row>
    <row r="51" spans="1:8" ht="12">
      <c r="A51" s="444"/>
      <c r="B51" s="456" t="s">
        <v>153</v>
      </c>
      <c r="H51" s="452"/>
    </row>
    <row r="52" spans="1:8" ht="12">
      <c r="A52" s="444">
        <v>31</v>
      </c>
      <c r="B52" s="438" t="s">
        <v>154</v>
      </c>
      <c r="E52" s="451"/>
      <c r="F52" s="451"/>
      <c r="G52" s="451"/>
      <c r="H52" s="452" t="str">
        <f aca="true" t="shared" si="0" ref="H52:H63">IF(E52=F52+G52," ","ERROR")</f>
        <v> </v>
      </c>
    </row>
    <row r="53" spans="1:8" ht="12">
      <c r="A53" s="444">
        <v>32</v>
      </c>
      <c r="B53" s="438" t="s">
        <v>155</v>
      </c>
      <c r="E53" s="453"/>
      <c r="F53" s="453"/>
      <c r="G53" s="453"/>
      <c r="H53" s="452" t="str">
        <f t="shared" si="0"/>
        <v> </v>
      </c>
    </row>
    <row r="54" spans="1:8" ht="12">
      <c r="A54" s="444">
        <v>33</v>
      </c>
      <c r="B54" s="438" t="s">
        <v>164</v>
      </c>
      <c r="E54" s="454"/>
      <c r="F54" s="454"/>
      <c r="G54" s="454"/>
      <c r="H54" s="452" t="str">
        <f t="shared" si="0"/>
        <v> </v>
      </c>
    </row>
    <row r="55" spans="1:8" ht="12">
      <c r="A55" s="444">
        <v>34</v>
      </c>
      <c r="B55" s="438" t="s">
        <v>157</v>
      </c>
      <c r="E55" s="453">
        <f>SUM(E52:E54)</f>
        <v>0</v>
      </c>
      <c r="F55" s="453">
        <f>SUM(F52:F54)</f>
        <v>0</v>
      </c>
      <c r="G55" s="453">
        <f>SUM(G52:G54)</f>
        <v>0</v>
      </c>
      <c r="H55" s="452" t="str">
        <f t="shared" si="0"/>
        <v> </v>
      </c>
    </row>
    <row r="56" spans="1:8" ht="12">
      <c r="A56" s="444"/>
      <c r="B56" s="438" t="s">
        <v>103</v>
      </c>
      <c r="E56" s="453"/>
      <c r="F56" s="453"/>
      <c r="G56" s="453"/>
      <c r="H56" s="452" t="str">
        <f t="shared" si="0"/>
        <v> </v>
      </c>
    </row>
    <row r="57" spans="1:8" ht="12">
      <c r="A57" s="444">
        <v>35</v>
      </c>
      <c r="B57" s="438" t="s">
        <v>154</v>
      </c>
      <c r="E57" s="453"/>
      <c r="F57" s="453"/>
      <c r="G57" s="453"/>
      <c r="H57" s="452" t="str">
        <f t="shared" si="0"/>
        <v> </v>
      </c>
    </row>
    <row r="58" spans="1:8" ht="12">
      <c r="A58" s="444">
        <v>36</v>
      </c>
      <c r="B58" s="438" t="s">
        <v>155</v>
      </c>
      <c r="E58" s="453"/>
      <c r="F58" s="453"/>
      <c r="G58" s="453"/>
      <c r="H58" s="452" t="str">
        <f t="shared" si="0"/>
        <v> </v>
      </c>
    </row>
    <row r="59" spans="1:8" ht="12">
      <c r="A59" s="444">
        <v>37</v>
      </c>
      <c r="B59" s="438" t="s">
        <v>164</v>
      </c>
      <c r="E59" s="454"/>
      <c r="F59" s="454"/>
      <c r="G59" s="454"/>
      <c r="H59" s="452" t="str">
        <f t="shared" si="0"/>
        <v> </v>
      </c>
    </row>
    <row r="60" spans="1:8" ht="12">
      <c r="A60" s="444">
        <v>38</v>
      </c>
      <c r="B60" s="438" t="s">
        <v>158</v>
      </c>
      <c r="E60" s="453">
        <f>SUM(E57:E59)</f>
        <v>0</v>
      </c>
      <c r="F60" s="453">
        <f>SUM(F57:F59)</f>
        <v>0</v>
      </c>
      <c r="G60" s="453">
        <f>SUM(G57:G59)</f>
        <v>0</v>
      </c>
      <c r="H60" s="452" t="str">
        <f t="shared" si="0"/>
        <v> </v>
      </c>
    </row>
    <row r="61" spans="1:8" ht="12">
      <c r="A61" s="444">
        <v>39</v>
      </c>
      <c r="B61" s="456" t="s">
        <v>159</v>
      </c>
      <c r="E61" s="453"/>
      <c r="F61" s="453"/>
      <c r="G61" s="453"/>
      <c r="H61" s="452" t="str">
        <f t="shared" si="0"/>
        <v> </v>
      </c>
    </row>
    <row r="62" spans="1:8" ht="12">
      <c r="A62" s="444">
        <v>40</v>
      </c>
      <c r="B62" s="438" t="s">
        <v>106</v>
      </c>
      <c r="E62" s="453"/>
      <c r="F62" s="453"/>
      <c r="G62" s="453"/>
      <c r="H62" s="452" t="str">
        <f t="shared" si="0"/>
        <v> </v>
      </c>
    </row>
    <row r="63" spans="1:8" ht="12">
      <c r="A63" s="444">
        <v>41</v>
      </c>
      <c r="B63" s="456" t="s">
        <v>107</v>
      </c>
      <c r="E63" s="454"/>
      <c r="F63" s="454"/>
      <c r="G63" s="454"/>
      <c r="H63" s="452" t="str">
        <f t="shared" si="0"/>
        <v> </v>
      </c>
    </row>
    <row r="64" spans="1:8" ht="12">
      <c r="A64" s="444"/>
      <c r="B64" s="438" t="s">
        <v>160</v>
      </c>
      <c r="H64" s="452"/>
    </row>
    <row r="65" spans="1:8" ht="12.75" thickBot="1">
      <c r="A65" s="444">
        <v>42</v>
      </c>
      <c r="B65" s="460" t="s">
        <v>108</v>
      </c>
      <c r="E65" s="461">
        <f>E55-E60+E61+E62+E63</f>
        <v>0</v>
      </c>
      <c r="F65" s="461">
        <f>F55-F60+F61+F62+F63</f>
        <v>0</v>
      </c>
      <c r="G65" s="461">
        <f>G55-G60+G61+G62+G63</f>
        <v>0</v>
      </c>
      <c r="H65" s="452" t="str">
        <f>IF(E65=F65+G65," ","ERROR")</f>
        <v> </v>
      </c>
    </row>
    <row r="66" spans="1:7" ht="12.75" thickTop="1">
      <c r="A66" s="437" t="str">
        <f>Inputs!$D$6</f>
        <v>AVISTA UTILITIES</v>
      </c>
      <c r="B66" s="437"/>
      <c r="C66" s="437"/>
      <c r="G66" s="438"/>
    </row>
    <row r="67" spans="1:7" ht="12">
      <c r="A67" s="437" t="s">
        <v>168</v>
      </c>
      <c r="B67" s="437"/>
      <c r="C67" s="437"/>
      <c r="G67" s="438"/>
    </row>
    <row r="68" spans="1:7" ht="12">
      <c r="A68" s="437" t="str">
        <f>A3</f>
        <v>TWELVE MONTHS ENDED DECEMBER 31, 2004</v>
      </c>
      <c r="B68" s="437"/>
      <c r="C68" s="437"/>
      <c r="F68" s="441" t="str">
        <f>F2</f>
        <v>ELIMINATE</v>
      </c>
      <c r="G68" s="438"/>
    </row>
    <row r="69" spans="1:7" ht="12">
      <c r="A69" s="437" t="s">
        <v>169</v>
      </c>
      <c r="B69" s="437"/>
      <c r="C69" s="437"/>
      <c r="F69" s="441" t="str">
        <f>F3</f>
        <v>B &amp; O TAXES</v>
      </c>
      <c r="G69" s="438"/>
    </row>
    <row r="70" spans="5:7" ht="12">
      <c r="E70" s="462"/>
      <c r="F70" s="448" t="str">
        <f>F4</f>
        <v>GAS</v>
      </c>
      <c r="G70" s="463"/>
    </row>
    <row r="71" spans="1:6" ht="12">
      <c r="A71" s="444" t="s">
        <v>11</v>
      </c>
      <c r="F71" s="441"/>
    </row>
    <row r="72" spans="1:6" ht="12">
      <c r="A72" s="464" t="s">
        <v>29</v>
      </c>
      <c r="B72" s="446" t="s">
        <v>114</v>
      </c>
      <c r="C72" s="446"/>
      <c r="F72" s="448" t="s">
        <v>129</v>
      </c>
    </row>
    <row r="73" spans="1:7" ht="12">
      <c r="A73" s="444"/>
      <c r="B73" s="438" t="s">
        <v>69</v>
      </c>
      <c r="E73" s="438"/>
      <c r="G73" s="438"/>
    </row>
    <row r="74" spans="1:7" ht="12">
      <c r="A74" s="444">
        <v>1</v>
      </c>
      <c r="B74" s="438" t="s">
        <v>131</v>
      </c>
      <c r="E74" s="438"/>
      <c r="F74" s="451">
        <f>G8</f>
        <v>-1069</v>
      </c>
      <c r="G74" s="438"/>
    </row>
    <row r="75" spans="1:7" ht="12">
      <c r="A75" s="444">
        <v>2</v>
      </c>
      <c r="B75" s="438" t="s">
        <v>132</v>
      </c>
      <c r="E75" s="438"/>
      <c r="F75" s="453">
        <f>G9</f>
        <v>-10</v>
      </c>
      <c r="G75" s="438"/>
    </row>
    <row r="76" spans="1:7" ht="12">
      <c r="A76" s="444">
        <v>3</v>
      </c>
      <c r="B76" s="438" t="s">
        <v>72</v>
      </c>
      <c r="E76" s="438"/>
      <c r="F76" s="454">
        <f>G10</f>
        <v>0</v>
      </c>
      <c r="G76" s="438"/>
    </row>
    <row r="77" spans="1:7" ht="12">
      <c r="A77" s="444"/>
      <c r="E77" s="438"/>
      <c r="F77" s="453"/>
      <c r="G77" s="438"/>
    </row>
    <row r="78" spans="1:7" ht="12">
      <c r="A78" s="444">
        <v>4</v>
      </c>
      <c r="B78" s="438" t="s">
        <v>133</v>
      </c>
      <c r="E78" s="438"/>
      <c r="F78" s="453">
        <f>F74+F75+F76</f>
        <v>-1079</v>
      </c>
      <c r="G78" s="438"/>
    </row>
    <row r="79" spans="1:7" ht="12">
      <c r="A79" s="444"/>
      <c r="E79" s="438"/>
      <c r="F79" s="453"/>
      <c r="G79" s="438"/>
    </row>
    <row r="80" spans="1:7" ht="12">
      <c r="A80" s="444"/>
      <c r="B80" s="438" t="s">
        <v>74</v>
      </c>
      <c r="E80" s="438"/>
      <c r="F80" s="453"/>
      <c r="G80" s="438"/>
    </row>
    <row r="81" spans="1:7" ht="12">
      <c r="A81" s="444">
        <v>5</v>
      </c>
      <c r="B81" s="438" t="s">
        <v>134</v>
      </c>
      <c r="E81" s="438"/>
      <c r="F81" s="453">
        <f>G14</f>
        <v>0</v>
      </c>
      <c r="G81" s="438"/>
    </row>
    <row r="82" spans="1:7" ht="12">
      <c r="A82" s="444"/>
      <c r="B82" s="438" t="s">
        <v>76</v>
      </c>
      <c r="E82" s="438"/>
      <c r="F82" s="453"/>
      <c r="G82" s="438"/>
    </row>
    <row r="83" spans="1:7" ht="12">
      <c r="A83" s="444">
        <v>6</v>
      </c>
      <c r="B83" s="438" t="s">
        <v>135</v>
      </c>
      <c r="E83" s="438"/>
      <c r="F83" s="453">
        <f>G16</f>
        <v>0</v>
      </c>
      <c r="G83" s="438"/>
    </row>
    <row r="84" spans="1:7" ht="12">
      <c r="A84" s="444">
        <v>7</v>
      </c>
      <c r="B84" s="438" t="s">
        <v>136</v>
      </c>
      <c r="E84" s="438"/>
      <c r="F84" s="453">
        <f>G17</f>
        <v>0</v>
      </c>
      <c r="G84" s="438"/>
    </row>
    <row r="85" spans="1:7" ht="12">
      <c r="A85" s="444">
        <v>8</v>
      </c>
      <c r="B85" s="438" t="s">
        <v>137</v>
      </c>
      <c r="E85" s="438"/>
      <c r="F85" s="454">
        <f>G18</f>
        <v>0</v>
      </c>
      <c r="G85" s="438"/>
    </row>
    <row r="86" spans="1:7" ht="12">
      <c r="A86" s="444">
        <v>9</v>
      </c>
      <c r="B86" s="438" t="s">
        <v>138</v>
      </c>
      <c r="E86" s="438"/>
      <c r="F86" s="453">
        <f>F83+F84+F85</f>
        <v>0</v>
      </c>
      <c r="G86" s="438"/>
    </row>
    <row r="87" spans="1:7" ht="12">
      <c r="A87" s="444"/>
      <c r="B87" s="438" t="s">
        <v>81</v>
      </c>
      <c r="E87" s="438"/>
      <c r="F87" s="453"/>
      <c r="G87" s="438"/>
    </row>
    <row r="88" spans="1:7" ht="12">
      <c r="A88" s="444">
        <v>10</v>
      </c>
      <c r="B88" s="438" t="s">
        <v>139</v>
      </c>
      <c r="E88" s="438"/>
      <c r="F88" s="453">
        <f>G21</f>
        <v>0</v>
      </c>
      <c r="G88" s="438"/>
    </row>
    <row r="89" spans="1:7" ht="12">
      <c r="A89" s="444">
        <v>11</v>
      </c>
      <c r="B89" s="438" t="s">
        <v>140</v>
      </c>
      <c r="E89" s="438"/>
      <c r="F89" s="453">
        <f>G22</f>
        <v>0</v>
      </c>
      <c r="G89" s="438"/>
    </row>
    <row r="90" spans="1:7" ht="12">
      <c r="A90" s="444">
        <v>12</v>
      </c>
      <c r="B90" s="438" t="s">
        <v>141</v>
      </c>
      <c r="E90" s="438"/>
      <c r="F90" s="454">
        <f>G23</f>
        <v>0</v>
      </c>
      <c r="G90" s="438"/>
    </row>
    <row r="91" spans="1:7" ht="12">
      <c r="A91" s="444">
        <v>13</v>
      </c>
      <c r="B91" s="438" t="s">
        <v>142</v>
      </c>
      <c r="E91" s="438"/>
      <c r="F91" s="453">
        <f>F88+F89+F90</f>
        <v>0</v>
      </c>
      <c r="G91" s="438"/>
    </row>
    <row r="92" spans="1:7" ht="12">
      <c r="A92" s="444"/>
      <c r="B92" s="438" t="s">
        <v>85</v>
      </c>
      <c r="E92" s="438"/>
      <c r="F92" s="453"/>
      <c r="G92" s="438"/>
    </row>
    <row r="93" spans="1:7" ht="12">
      <c r="A93" s="444">
        <v>14</v>
      </c>
      <c r="B93" s="438" t="s">
        <v>139</v>
      </c>
      <c r="E93" s="438"/>
      <c r="F93" s="453">
        <f>G26</f>
        <v>0</v>
      </c>
      <c r="G93" s="438"/>
    </row>
    <row r="94" spans="1:7" ht="12">
      <c r="A94" s="444">
        <v>15</v>
      </c>
      <c r="B94" s="438" t="s">
        <v>140</v>
      </c>
      <c r="E94" s="438"/>
      <c r="F94" s="453">
        <f>G27</f>
        <v>0</v>
      </c>
      <c r="G94" s="438"/>
    </row>
    <row r="95" spans="1:7" ht="12">
      <c r="A95" s="444">
        <v>16</v>
      </c>
      <c r="B95" s="438" t="s">
        <v>141</v>
      </c>
      <c r="E95" s="438"/>
      <c r="F95" s="455">
        <v>-1079</v>
      </c>
      <c r="G95" s="438"/>
    </row>
    <row r="96" spans="1:7" ht="12">
      <c r="A96" s="444">
        <v>17</v>
      </c>
      <c r="B96" s="438" t="s">
        <v>143</v>
      </c>
      <c r="E96" s="438"/>
      <c r="F96" s="453">
        <f>F93+F94+F95</f>
        <v>-1079</v>
      </c>
      <c r="G96" s="438"/>
    </row>
    <row r="97" spans="1:7" ht="12">
      <c r="A97" s="444">
        <v>18</v>
      </c>
      <c r="B97" s="438" t="s">
        <v>87</v>
      </c>
      <c r="E97" s="438"/>
      <c r="F97" s="453">
        <f>G31</f>
        <v>0</v>
      </c>
      <c r="G97" s="438"/>
    </row>
    <row r="98" spans="1:7" ht="12">
      <c r="A98" s="444">
        <v>19</v>
      </c>
      <c r="B98" s="438" t="s">
        <v>88</v>
      </c>
      <c r="E98" s="438"/>
      <c r="F98" s="453">
        <f>G32</f>
        <v>0</v>
      </c>
      <c r="G98" s="438"/>
    </row>
    <row r="99" spans="1:7" ht="12">
      <c r="A99" s="444">
        <v>20</v>
      </c>
      <c r="B99" s="438" t="s">
        <v>144</v>
      </c>
      <c r="E99" s="438"/>
      <c r="F99" s="453">
        <f>G33</f>
        <v>0</v>
      </c>
      <c r="G99" s="438"/>
    </row>
    <row r="100" spans="1:7" ht="12">
      <c r="A100" s="444"/>
      <c r="B100" s="438" t="s">
        <v>145</v>
      </c>
      <c r="E100" s="438"/>
      <c r="F100" s="453"/>
      <c r="G100" s="438"/>
    </row>
    <row r="101" spans="1:7" ht="12">
      <c r="A101" s="444">
        <v>21</v>
      </c>
      <c r="B101" s="438" t="s">
        <v>139</v>
      </c>
      <c r="E101" s="438"/>
      <c r="F101" s="453">
        <f>G35</f>
        <v>0</v>
      </c>
      <c r="G101" s="438"/>
    </row>
    <row r="102" spans="1:7" ht="12">
      <c r="A102" s="444">
        <v>22</v>
      </c>
      <c r="B102" s="438" t="s">
        <v>140</v>
      </c>
      <c r="E102" s="438"/>
      <c r="F102" s="453">
        <f>G36</f>
        <v>0</v>
      </c>
      <c r="G102" s="438"/>
    </row>
    <row r="103" spans="1:7" ht="12">
      <c r="A103" s="444">
        <v>23</v>
      </c>
      <c r="B103" s="438" t="s">
        <v>141</v>
      </c>
      <c r="E103" s="438"/>
      <c r="F103" s="454">
        <f>G37</f>
        <v>0</v>
      </c>
      <c r="G103" s="438"/>
    </row>
    <row r="104" spans="1:7" ht="12">
      <c r="A104" s="444">
        <v>24</v>
      </c>
      <c r="B104" s="438" t="s">
        <v>146</v>
      </c>
      <c r="E104" s="438"/>
      <c r="F104" s="454">
        <f>F101+F102+F103</f>
        <v>0</v>
      </c>
      <c r="G104" s="438"/>
    </row>
    <row r="105" spans="1:7" ht="12">
      <c r="A105" s="444"/>
      <c r="E105" s="438"/>
      <c r="F105" s="453"/>
      <c r="G105" s="438"/>
    </row>
    <row r="106" spans="1:7" ht="12">
      <c r="A106" s="444">
        <v>25</v>
      </c>
      <c r="B106" s="438" t="s">
        <v>92</v>
      </c>
      <c r="E106" s="438"/>
      <c r="F106" s="454">
        <f>F104+F99+F98+F97+F96+F91+F86+F81</f>
        <v>-1079</v>
      </c>
      <c r="G106" s="438"/>
    </row>
    <row r="107" spans="1:7" ht="12">
      <c r="A107" s="444"/>
      <c r="E107" s="438"/>
      <c r="F107" s="453"/>
      <c r="G107" s="438"/>
    </row>
    <row r="108" spans="1:7" ht="12">
      <c r="A108" s="444">
        <v>26</v>
      </c>
      <c r="B108" s="438" t="s">
        <v>170</v>
      </c>
      <c r="E108" s="438"/>
      <c r="F108" s="454">
        <f>F78-F106</f>
        <v>0</v>
      </c>
      <c r="G108" s="438"/>
    </row>
    <row r="109" spans="1:7" ht="12">
      <c r="A109" s="444"/>
      <c r="E109" s="438"/>
      <c r="G109" s="438"/>
    </row>
    <row r="110" spans="1:7" ht="12">
      <c r="A110" s="444">
        <v>27</v>
      </c>
      <c r="B110" s="438" t="s">
        <v>171</v>
      </c>
      <c r="G110" s="438"/>
    </row>
    <row r="111" spans="1:7" ht="12.75" thickBot="1">
      <c r="A111" s="444"/>
      <c r="B111" s="465" t="s">
        <v>172</v>
      </c>
      <c r="C111" s="466">
        <f>Inputs!$D$4</f>
        <v>0.01065</v>
      </c>
      <c r="F111" s="461">
        <f>ROUND(F108*C111,0)</f>
        <v>0</v>
      </c>
      <c r="G111" s="438"/>
    </row>
    <row r="112" spans="1:7" ht="12.75" thickTop="1">
      <c r="A112" s="444"/>
      <c r="G112" s="438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B1">
      <selection activeCell="G28" sqref="G28"/>
    </sheetView>
  </sheetViews>
  <sheetFormatPr defaultColWidth="9.140625" defaultRowHeight="10.5" customHeight="1"/>
  <cols>
    <col min="1" max="1" width="5.57421875" style="468" customWidth="1"/>
    <col min="2" max="2" width="26.140625" style="468" customWidth="1"/>
    <col min="3" max="3" width="12.421875" style="468" customWidth="1"/>
    <col min="4" max="4" width="6.7109375" style="468" customWidth="1"/>
    <col min="5" max="5" width="12.421875" style="488" customWidth="1"/>
    <col min="6" max="6" width="12.421875" style="489" customWidth="1"/>
    <col min="7" max="7" width="12.421875" style="488" customWidth="1"/>
    <col min="8" max="16384" width="12.421875" style="468" customWidth="1"/>
  </cols>
  <sheetData>
    <row r="1" spans="1:7" ht="12">
      <c r="A1" s="467" t="str">
        <f>Inputs!$D$6</f>
        <v>AVISTA UTILITIES</v>
      </c>
      <c r="B1" s="467"/>
      <c r="C1" s="467"/>
      <c r="E1" s="469"/>
      <c r="F1" s="470"/>
      <c r="G1" s="469"/>
    </row>
    <row r="2" spans="1:7" ht="12">
      <c r="A2" s="467" t="s">
        <v>122</v>
      </c>
      <c r="B2" s="467"/>
      <c r="C2" s="467"/>
      <c r="E2" s="469"/>
      <c r="F2" s="471" t="s">
        <v>179</v>
      </c>
      <c r="G2" s="469"/>
    </row>
    <row r="3" spans="1:7" ht="12">
      <c r="A3" s="467" t="str">
        <f>Inputs!$D$2</f>
        <v>TWELVE MONTHS ENDED DECEMBER 31, 2004</v>
      </c>
      <c r="B3" s="467"/>
      <c r="C3" s="467"/>
      <c r="E3" s="469"/>
      <c r="F3" s="471" t="s">
        <v>173</v>
      </c>
      <c r="G3" s="468"/>
    </row>
    <row r="4" spans="1:7" ht="12">
      <c r="A4" s="467" t="s">
        <v>125</v>
      </c>
      <c r="B4" s="467"/>
      <c r="C4" s="467"/>
      <c r="E4" s="472"/>
      <c r="F4" s="473" t="s">
        <v>126</v>
      </c>
      <c r="G4" s="472"/>
    </row>
    <row r="5" spans="1:7" ht="12">
      <c r="A5" s="474" t="s">
        <v>11</v>
      </c>
      <c r="E5" s="469"/>
      <c r="F5" s="471"/>
      <c r="G5" s="469"/>
    </row>
    <row r="6" spans="1:8" ht="12">
      <c r="A6" s="475" t="s">
        <v>29</v>
      </c>
      <c r="B6" s="476" t="s">
        <v>114</v>
      </c>
      <c r="C6" s="476"/>
      <c r="E6" s="477" t="s">
        <v>127</v>
      </c>
      <c r="F6" s="478" t="s">
        <v>128</v>
      </c>
      <c r="G6" s="477" t="s">
        <v>129</v>
      </c>
      <c r="H6" s="479" t="s">
        <v>130</v>
      </c>
    </row>
    <row r="7" spans="1:7" ht="12">
      <c r="A7" s="474"/>
      <c r="B7" s="468" t="s">
        <v>69</v>
      </c>
      <c r="E7" s="480"/>
      <c r="F7" s="471"/>
      <c r="G7" s="480"/>
    </row>
    <row r="8" spans="1:8" ht="12">
      <c r="A8" s="474">
        <v>1</v>
      </c>
      <c r="B8" s="468" t="s">
        <v>131</v>
      </c>
      <c r="E8" s="481"/>
      <c r="F8" s="481"/>
      <c r="G8" s="481"/>
      <c r="H8" s="482" t="str">
        <f>IF(E8=F8+G8," ","ERROR")</f>
        <v> </v>
      </c>
    </row>
    <row r="9" spans="1:8" ht="12">
      <c r="A9" s="474">
        <v>2</v>
      </c>
      <c r="B9" s="468" t="s">
        <v>132</v>
      </c>
      <c r="E9" s="483"/>
      <c r="F9" s="483"/>
      <c r="G9" s="483"/>
      <c r="H9" s="482" t="str">
        <f>IF(E9=F9+G9," ","ERROR")</f>
        <v> </v>
      </c>
    </row>
    <row r="10" spans="1:8" ht="12">
      <c r="A10" s="474">
        <v>3</v>
      </c>
      <c r="B10" s="468" t="s">
        <v>72</v>
      </c>
      <c r="E10" s="484"/>
      <c r="F10" s="484"/>
      <c r="G10" s="484"/>
      <c r="H10" s="482" t="str">
        <f>IF(E10=F10+G10," ","ERROR")</f>
        <v> </v>
      </c>
    </row>
    <row r="11" spans="1:8" ht="12">
      <c r="A11" s="474">
        <v>4</v>
      </c>
      <c r="B11" s="468" t="s">
        <v>133</v>
      </c>
      <c r="E11" s="483">
        <f>SUM(E8:E10)</f>
        <v>0</v>
      </c>
      <c r="F11" s="483">
        <f>SUM(F8:F10)</f>
        <v>0</v>
      </c>
      <c r="G11" s="483">
        <f>SUM(G8:G10)</f>
        <v>0</v>
      </c>
      <c r="H11" s="482" t="str">
        <f>IF(E11=F11+G11," ","ERROR")</f>
        <v> </v>
      </c>
    </row>
    <row r="12" spans="1:8" ht="12">
      <c r="A12" s="474"/>
      <c r="E12" s="483"/>
      <c r="F12" s="483"/>
      <c r="G12" s="483"/>
      <c r="H12" s="482"/>
    </row>
    <row r="13" spans="1:8" ht="12">
      <c r="A13" s="474"/>
      <c r="B13" s="468" t="s">
        <v>74</v>
      </c>
      <c r="E13" s="483"/>
      <c r="F13" s="483"/>
      <c r="G13" s="483"/>
      <c r="H13" s="482"/>
    </row>
    <row r="14" spans="1:8" ht="12">
      <c r="A14" s="474">
        <v>5</v>
      </c>
      <c r="B14" s="468" t="s">
        <v>134</v>
      </c>
      <c r="E14" s="483"/>
      <c r="F14" s="483"/>
      <c r="G14" s="483"/>
      <c r="H14" s="482" t="str">
        <f>IF(E14=F14+G14," ","ERROR")</f>
        <v> </v>
      </c>
    </row>
    <row r="15" spans="1:8" ht="12">
      <c r="A15" s="474"/>
      <c r="B15" s="468" t="s">
        <v>76</v>
      </c>
      <c r="E15" s="483"/>
      <c r="F15" s="483"/>
      <c r="G15" s="483"/>
      <c r="H15" s="482"/>
    </row>
    <row r="16" spans="1:8" ht="12">
      <c r="A16" s="474">
        <v>6</v>
      </c>
      <c r="B16" s="468" t="s">
        <v>135</v>
      </c>
      <c r="E16" s="483"/>
      <c r="F16" s="483"/>
      <c r="G16" s="483"/>
      <c r="H16" s="482" t="str">
        <f>IF(E16=F16+G16," ","ERROR")</f>
        <v> </v>
      </c>
    </row>
    <row r="17" spans="1:8" ht="12">
      <c r="A17" s="474">
        <v>7</v>
      </c>
      <c r="B17" s="468" t="s">
        <v>136</v>
      </c>
      <c r="E17" s="483"/>
      <c r="F17" s="483"/>
      <c r="G17" s="483"/>
      <c r="H17" s="482" t="str">
        <f>IF(E17=F17+G17," ","ERROR")</f>
        <v> </v>
      </c>
    </row>
    <row r="18" spans="1:8" ht="12">
      <c r="A18" s="474">
        <v>8</v>
      </c>
      <c r="B18" s="468" t="s">
        <v>137</v>
      </c>
      <c r="E18" s="484"/>
      <c r="F18" s="484"/>
      <c r="G18" s="484"/>
      <c r="H18" s="482" t="str">
        <f>IF(E18=F18+G18," ","ERROR")</f>
        <v> </v>
      </c>
    </row>
    <row r="19" spans="1:8" ht="12">
      <c r="A19" s="474">
        <v>9</v>
      </c>
      <c r="B19" s="468" t="s">
        <v>138</v>
      </c>
      <c r="E19" s="483">
        <f>SUM(E16:E18)</f>
        <v>0</v>
      </c>
      <c r="F19" s="483">
        <f>SUM(F16:F18)</f>
        <v>0</v>
      </c>
      <c r="G19" s="483">
        <f>SUM(G16:G18)</f>
        <v>0</v>
      </c>
      <c r="H19" s="482" t="str">
        <f>IF(E19=F19+G19," ","ERROR")</f>
        <v> </v>
      </c>
    </row>
    <row r="20" spans="1:8" ht="12">
      <c r="A20" s="474"/>
      <c r="B20" s="468" t="s">
        <v>81</v>
      </c>
      <c r="E20" s="483"/>
      <c r="F20" s="483"/>
      <c r="G20" s="483"/>
      <c r="H20" s="482"/>
    </row>
    <row r="21" spans="1:8" ht="12">
      <c r="A21" s="474">
        <v>10</v>
      </c>
      <c r="B21" s="468" t="s">
        <v>139</v>
      </c>
      <c r="E21" s="483"/>
      <c r="F21" s="483"/>
      <c r="G21" s="483"/>
      <c r="H21" s="482" t="str">
        <f>IF(E21=F21+G21," ","ERROR")</f>
        <v> </v>
      </c>
    </row>
    <row r="22" spans="1:8" ht="12">
      <c r="A22" s="474">
        <v>11</v>
      </c>
      <c r="B22" s="468" t="s">
        <v>140</v>
      </c>
      <c r="E22" s="483"/>
      <c r="F22" s="483"/>
      <c r="G22" s="483"/>
      <c r="H22" s="482" t="str">
        <f>IF(E22=F22+G22," ","ERROR")</f>
        <v> </v>
      </c>
    </row>
    <row r="23" spans="1:8" ht="12">
      <c r="A23" s="474">
        <v>12</v>
      </c>
      <c r="B23" s="468" t="s">
        <v>141</v>
      </c>
      <c r="E23" s="484">
        <f>F23+G23</f>
        <v>-5</v>
      </c>
      <c r="F23" s="484">
        <v>-4</v>
      </c>
      <c r="G23" s="484">
        <v>-1</v>
      </c>
      <c r="H23" s="482" t="str">
        <f>IF(E23=F23+G23," ","ERROR")</f>
        <v> </v>
      </c>
    </row>
    <row r="24" spans="1:8" ht="12">
      <c r="A24" s="474">
        <v>13</v>
      </c>
      <c r="B24" s="468" t="s">
        <v>142</v>
      </c>
      <c r="E24" s="483">
        <f>SUM(E21:E23)</f>
        <v>-5</v>
      </c>
      <c r="F24" s="483">
        <f>SUM(F21:F23)</f>
        <v>-4</v>
      </c>
      <c r="G24" s="483">
        <f>SUM(G21:G23)</f>
        <v>-1</v>
      </c>
      <c r="H24" s="482" t="str">
        <f>IF(E24=F24+G24," ","ERROR")</f>
        <v> </v>
      </c>
    </row>
    <row r="25" spans="1:8" ht="12">
      <c r="A25" s="474"/>
      <c r="B25" s="468" t="s">
        <v>85</v>
      </c>
      <c r="E25" s="483"/>
      <c r="F25" s="483"/>
      <c r="G25" s="483"/>
      <c r="H25" s="482"/>
    </row>
    <row r="26" spans="1:8" ht="12">
      <c r="A26" s="474">
        <v>14</v>
      </c>
      <c r="B26" s="468" t="s">
        <v>139</v>
      </c>
      <c r="E26" s="483"/>
      <c r="F26" s="483"/>
      <c r="G26" s="483"/>
      <c r="H26" s="482" t="str">
        <f>IF(E26=F26+G26," ","ERROR")</f>
        <v> </v>
      </c>
    </row>
    <row r="27" spans="1:8" ht="12">
      <c r="A27" s="474">
        <v>15</v>
      </c>
      <c r="B27" s="468" t="s">
        <v>140</v>
      </c>
      <c r="E27" s="483"/>
      <c r="F27" s="483"/>
      <c r="G27" s="483"/>
      <c r="H27" s="482" t="str">
        <f>IF(E27=F27+G27," ","ERROR")</f>
        <v> </v>
      </c>
    </row>
    <row r="28" spans="1:8" ht="12">
      <c r="A28" s="474">
        <v>16</v>
      </c>
      <c r="B28" s="468" t="s">
        <v>141</v>
      </c>
      <c r="E28" s="484">
        <f>F28+G28</f>
        <v>-55</v>
      </c>
      <c r="F28" s="484">
        <v>-57</v>
      </c>
      <c r="G28" s="485">
        <f>F111+2</f>
        <v>2</v>
      </c>
      <c r="H28" s="482" t="str">
        <f>IF(E28=F28+G28," ","ERROR")</f>
        <v> </v>
      </c>
    </row>
    <row r="29" spans="1:8" ht="12">
      <c r="A29" s="474">
        <v>17</v>
      </c>
      <c r="B29" s="468" t="s">
        <v>143</v>
      </c>
      <c r="E29" s="483">
        <f>SUM(E26:E28)</f>
        <v>-55</v>
      </c>
      <c r="F29" s="483">
        <f>SUM(F26:F28)</f>
        <v>-57</v>
      </c>
      <c r="G29" s="483">
        <f>SUM(G26:G28)</f>
        <v>2</v>
      </c>
      <c r="H29" s="482" t="str">
        <f>IF(E29=F29+G29," ","ERROR")</f>
        <v> </v>
      </c>
    </row>
    <row r="30" spans="1:8" ht="12">
      <c r="A30" s="474"/>
      <c r="E30" s="483"/>
      <c r="F30" s="483"/>
      <c r="G30" s="483"/>
      <c r="H30" s="482"/>
    </row>
    <row r="31" spans="1:8" ht="12">
      <c r="A31" s="474">
        <v>18</v>
      </c>
      <c r="B31" s="468" t="s">
        <v>87</v>
      </c>
      <c r="E31" s="483"/>
      <c r="F31" s="483"/>
      <c r="G31" s="483"/>
      <c r="H31" s="482" t="str">
        <f>IF(E31=F31+G31," ","ERROR")</f>
        <v> </v>
      </c>
    </row>
    <row r="32" spans="1:8" ht="12">
      <c r="A32" s="474">
        <v>19</v>
      </c>
      <c r="B32" s="468" t="s">
        <v>88</v>
      </c>
      <c r="E32" s="483"/>
      <c r="F32" s="483"/>
      <c r="G32" s="483"/>
      <c r="H32" s="482" t="str">
        <f>IF(E32=F32+G32," ","ERROR")</f>
        <v> </v>
      </c>
    </row>
    <row r="33" spans="1:8" ht="12">
      <c r="A33" s="474">
        <v>20</v>
      </c>
      <c r="B33" s="468" t="s">
        <v>144</v>
      </c>
      <c r="E33" s="483"/>
      <c r="F33" s="483"/>
      <c r="G33" s="483"/>
      <c r="H33" s="482" t="str">
        <f>IF(E33=F33+G33," ","ERROR")</f>
        <v> </v>
      </c>
    </row>
    <row r="34" spans="1:8" ht="12">
      <c r="A34" s="474"/>
      <c r="B34" s="468" t="s">
        <v>145</v>
      </c>
      <c r="E34" s="483"/>
      <c r="F34" s="483"/>
      <c r="G34" s="483"/>
      <c r="H34" s="482"/>
    </row>
    <row r="35" spans="1:8" ht="12">
      <c r="A35" s="474">
        <v>21</v>
      </c>
      <c r="B35" s="468" t="s">
        <v>139</v>
      </c>
      <c r="E35" s="483"/>
      <c r="F35" s="483"/>
      <c r="G35" s="483"/>
      <c r="H35" s="482" t="str">
        <f>IF(E35=F35+G35," ","ERROR")</f>
        <v> </v>
      </c>
    </row>
    <row r="36" spans="1:8" ht="12">
      <c r="A36" s="474">
        <v>22</v>
      </c>
      <c r="B36" s="468" t="s">
        <v>140</v>
      </c>
      <c r="E36" s="483"/>
      <c r="F36" s="483"/>
      <c r="G36" s="483"/>
      <c r="H36" s="482" t="str">
        <f>IF(E36=F36+G36," ","ERROR")</f>
        <v> </v>
      </c>
    </row>
    <row r="37" spans="1:8" ht="12">
      <c r="A37" s="474">
        <v>23</v>
      </c>
      <c r="B37" s="468" t="s">
        <v>141</v>
      </c>
      <c r="E37" s="484">
        <f>F37+G37</f>
        <v>0</v>
      </c>
      <c r="F37" s="484">
        <v>0</v>
      </c>
      <c r="G37" s="484">
        <v>0</v>
      </c>
      <c r="H37" s="482" t="str">
        <f>IF(E37=F37+G37," ","ERROR")</f>
        <v> </v>
      </c>
    </row>
    <row r="38" spans="1:8" ht="12">
      <c r="A38" s="474">
        <v>24</v>
      </c>
      <c r="B38" s="468" t="s">
        <v>146</v>
      </c>
      <c r="E38" s="484">
        <f>SUM(E35:E37)</f>
        <v>0</v>
      </c>
      <c r="F38" s="484">
        <f>SUM(F35:F37)</f>
        <v>0</v>
      </c>
      <c r="G38" s="484">
        <f>SUM(G35:G37)</f>
        <v>0</v>
      </c>
      <c r="H38" s="482" t="str">
        <f>IF(E38=F38+G38," ","ERROR")</f>
        <v> </v>
      </c>
    </row>
    <row r="39" spans="1:8" ht="12">
      <c r="A39" s="474">
        <v>25</v>
      </c>
      <c r="B39" s="468" t="s">
        <v>92</v>
      </c>
      <c r="E39" s="484">
        <f>E19+E24+E29+E31+E32+E33+E38+E14</f>
        <v>-60</v>
      </c>
      <c r="F39" s="484">
        <f>F19+F24+F29+F31+F32+F33+F38+F14</f>
        <v>-61</v>
      </c>
      <c r="G39" s="484">
        <f>G19+G24+G29+G31+G32+G33+G38+G14</f>
        <v>1</v>
      </c>
      <c r="H39" s="482" t="str">
        <f>IF(E39=F39+G39," ","ERROR")</f>
        <v> </v>
      </c>
    </row>
    <row r="40" spans="1:8" ht="12">
      <c r="A40" s="474"/>
      <c r="E40" s="483"/>
      <c r="F40" s="483"/>
      <c r="G40" s="483"/>
      <c r="H40" s="482"/>
    </row>
    <row r="41" spans="1:8" ht="12">
      <c r="A41" s="474">
        <v>26</v>
      </c>
      <c r="B41" s="468" t="s">
        <v>147</v>
      </c>
      <c r="E41" s="483">
        <f>E11-E39</f>
        <v>60</v>
      </c>
      <c r="F41" s="483">
        <f>F11-F39</f>
        <v>61</v>
      </c>
      <c r="G41" s="483">
        <f>G11-G39</f>
        <v>-1</v>
      </c>
      <c r="H41" s="482" t="str">
        <f>IF(E41=F41+G41," ","ERROR")</f>
        <v> </v>
      </c>
    </row>
    <row r="42" spans="1:8" ht="12">
      <c r="A42" s="474"/>
      <c r="E42" s="483"/>
      <c r="F42" s="483"/>
      <c r="G42" s="483"/>
      <c r="H42" s="482"/>
    </row>
    <row r="43" spans="1:8" ht="12">
      <c r="A43" s="474"/>
      <c r="B43" s="468" t="s">
        <v>148</v>
      </c>
      <c r="E43" s="483"/>
      <c r="F43" s="483"/>
      <c r="G43" s="483"/>
      <c r="H43" s="482"/>
    </row>
    <row r="44" spans="1:8" ht="12">
      <c r="A44" s="474">
        <v>27</v>
      </c>
      <c r="B44" s="486" t="s">
        <v>163</v>
      </c>
      <c r="E44" s="483">
        <f>F44+G44</f>
        <v>21</v>
      </c>
      <c r="F44" s="487">
        <f>ROUND(F41*0.35,0)</f>
        <v>21</v>
      </c>
      <c r="G44" s="483">
        <f>ROUND(G41*0.35,0)</f>
        <v>0</v>
      </c>
      <c r="H44" s="482" t="str">
        <f>IF(E44=F44+G44," ","ERROR")</f>
        <v> </v>
      </c>
    </row>
    <row r="45" spans="1:8" ht="12">
      <c r="A45" s="474">
        <v>28</v>
      </c>
      <c r="B45" s="468" t="s">
        <v>151</v>
      </c>
      <c r="E45" s="483"/>
      <c r="F45" s="483"/>
      <c r="G45" s="483"/>
      <c r="H45" s="482" t="str">
        <f>IF(E45=F45+G45," ","ERROR")</f>
        <v> </v>
      </c>
    </row>
    <row r="46" spans="1:8" ht="12">
      <c r="A46" s="474">
        <v>29</v>
      </c>
      <c r="B46" s="468" t="s">
        <v>150</v>
      </c>
      <c r="E46" s="484"/>
      <c r="F46" s="484"/>
      <c r="G46" s="484"/>
      <c r="H46" s="482" t="str">
        <f>IF(E46=F46+G46," ","ERROR")</f>
        <v> </v>
      </c>
    </row>
    <row r="47" spans="1:8" ht="12">
      <c r="A47" s="474"/>
      <c r="H47" s="482"/>
    </row>
    <row r="48" spans="1:8" ht="12">
      <c r="A48" s="474">
        <v>30</v>
      </c>
      <c r="B48" s="490" t="s">
        <v>98</v>
      </c>
      <c r="E48" s="481">
        <f>E41-(+E44+E45+E46)</f>
        <v>39</v>
      </c>
      <c r="F48" s="481">
        <f>F41-F44+F45+F46</f>
        <v>40</v>
      </c>
      <c r="G48" s="481">
        <f>G41-SUM(G44:G46)</f>
        <v>-1</v>
      </c>
      <c r="H48" s="482" t="str">
        <f>IF(E48=F48+G48," ","ERROR")</f>
        <v> </v>
      </c>
    </row>
    <row r="49" spans="1:8" ht="12">
      <c r="A49" s="474"/>
      <c r="H49" s="482"/>
    </row>
    <row r="50" spans="1:8" ht="12">
      <c r="A50" s="474"/>
      <c r="B50" s="486" t="s">
        <v>152</v>
      </c>
      <c r="H50" s="482"/>
    </row>
    <row r="51" spans="1:8" ht="12">
      <c r="A51" s="474"/>
      <c r="B51" s="486" t="s">
        <v>153</v>
      </c>
      <c r="H51" s="482"/>
    </row>
    <row r="52" spans="1:8" ht="12">
      <c r="A52" s="474">
        <v>31</v>
      </c>
      <c r="B52" s="468" t="s">
        <v>154</v>
      </c>
      <c r="E52" s="481"/>
      <c r="F52" s="481"/>
      <c r="G52" s="481"/>
      <c r="H52" s="482" t="str">
        <f aca="true" t="shared" si="0" ref="H52:H63">IF(E52=F52+G52," ","ERROR")</f>
        <v> </v>
      </c>
    </row>
    <row r="53" spans="1:8" ht="12">
      <c r="A53" s="474">
        <v>32</v>
      </c>
      <c r="B53" s="468" t="s">
        <v>155</v>
      </c>
      <c r="E53" s="483"/>
      <c r="F53" s="483"/>
      <c r="G53" s="483"/>
      <c r="H53" s="482" t="str">
        <f t="shared" si="0"/>
        <v> </v>
      </c>
    </row>
    <row r="54" spans="1:8" ht="12">
      <c r="A54" s="474">
        <v>33</v>
      </c>
      <c r="B54" s="468" t="s">
        <v>164</v>
      </c>
      <c r="E54" s="484"/>
      <c r="F54" s="484"/>
      <c r="G54" s="484"/>
      <c r="H54" s="482" t="str">
        <f t="shared" si="0"/>
        <v> </v>
      </c>
    </row>
    <row r="55" spans="1:8" ht="12">
      <c r="A55" s="474">
        <v>34</v>
      </c>
      <c r="B55" s="468" t="s">
        <v>157</v>
      </c>
      <c r="E55" s="483">
        <f>SUM(E52:E54)</f>
        <v>0</v>
      </c>
      <c r="F55" s="483">
        <f>SUM(F52:F54)</f>
        <v>0</v>
      </c>
      <c r="G55" s="483">
        <f>SUM(G52:G54)</f>
        <v>0</v>
      </c>
      <c r="H55" s="482" t="str">
        <f t="shared" si="0"/>
        <v> </v>
      </c>
    </row>
    <row r="56" spans="1:8" ht="12">
      <c r="A56" s="474"/>
      <c r="B56" s="468" t="s">
        <v>103</v>
      </c>
      <c r="E56" s="483"/>
      <c r="F56" s="483"/>
      <c r="G56" s="483"/>
      <c r="H56" s="482" t="str">
        <f t="shared" si="0"/>
        <v> </v>
      </c>
    </row>
    <row r="57" spans="1:8" ht="12">
      <c r="A57" s="474">
        <v>35</v>
      </c>
      <c r="B57" s="468" t="s">
        <v>154</v>
      </c>
      <c r="E57" s="483"/>
      <c r="F57" s="483"/>
      <c r="G57" s="483"/>
      <c r="H57" s="482" t="str">
        <f t="shared" si="0"/>
        <v> </v>
      </c>
    </row>
    <row r="58" spans="1:8" ht="12">
      <c r="A58" s="474">
        <v>36</v>
      </c>
      <c r="B58" s="468" t="s">
        <v>155</v>
      </c>
      <c r="E58" s="483"/>
      <c r="F58" s="483"/>
      <c r="G58" s="483"/>
      <c r="H58" s="482" t="str">
        <f t="shared" si="0"/>
        <v> </v>
      </c>
    </row>
    <row r="59" spans="1:8" ht="12">
      <c r="A59" s="474">
        <v>37</v>
      </c>
      <c r="B59" s="468" t="s">
        <v>164</v>
      </c>
      <c r="E59" s="484"/>
      <c r="F59" s="484"/>
      <c r="G59" s="484"/>
      <c r="H59" s="482" t="str">
        <f t="shared" si="0"/>
        <v> </v>
      </c>
    </row>
    <row r="60" spans="1:8" ht="12">
      <c r="A60" s="474">
        <v>38</v>
      </c>
      <c r="B60" s="468" t="s">
        <v>158</v>
      </c>
      <c r="E60" s="483">
        <f>SUM(E57:E59)</f>
        <v>0</v>
      </c>
      <c r="F60" s="483">
        <f>SUM(F57:F59)</f>
        <v>0</v>
      </c>
      <c r="G60" s="483">
        <f>SUM(G57:G59)</f>
        <v>0</v>
      </c>
      <c r="H60" s="482" t="str">
        <f t="shared" si="0"/>
        <v> </v>
      </c>
    </row>
    <row r="61" spans="1:8" ht="12">
      <c r="A61" s="474">
        <v>39</v>
      </c>
      <c r="B61" s="486" t="s">
        <v>159</v>
      </c>
      <c r="E61" s="483"/>
      <c r="F61" s="483"/>
      <c r="G61" s="483"/>
      <c r="H61" s="482" t="str">
        <f t="shared" si="0"/>
        <v> </v>
      </c>
    </row>
    <row r="62" spans="1:8" ht="12">
      <c r="A62" s="474">
        <v>40</v>
      </c>
      <c r="B62" s="468" t="s">
        <v>106</v>
      </c>
      <c r="E62" s="483"/>
      <c r="F62" s="483"/>
      <c r="G62" s="483"/>
      <c r="H62" s="482" t="str">
        <f t="shared" si="0"/>
        <v> </v>
      </c>
    </row>
    <row r="63" spans="1:8" ht="12">
      <c r="A63" s="474">
        <v>41</v>
      </c>
      <c r="B63" s="486" t="s">
        <v>107</v>
      </c>
      <c r="E63" s="484"/>
      <c r="F63" s="484"/>
      <c r="G63" s="484"/>
      <c r="H63" s="482" t="str">
        <f t="shared" si="0"/>
        <v> </v>
      </c>
    </row>
    <row r="64" spans="1:8" ht="12">
      <c r="A64" s="474"/>
      <c r="B64" s="468" t="s">
        <v>160</v>
      </c>
      <c r="H64" s="482"/>
    </row>
    <row r="65" spans="1:8" ht="12.75" thickBot="1">
      <c r="A65" s="474">
        <v>42</v>
      </c>
      <c r="B65" s="490" t="s">
        <v>108</v>
      </c>
      <c r="E65" s="491">
        <f>E55-E60+E61+E62+E63</f>
        <v>0</v>
      </c>
      <c r="F65" s="491">
        <f>F55-F60+F61+F62+F63</f>
        <v>0</v>
      </c>
      <c r="G65" s="491">
        <f>G55-G60+G61+G62+G63</f>
        <v>0</v>
      </c>
      <c r="H65" s="482" t="str">
        <f>IF(E65=F65+G65," ","ERROR")</f>
        <v> </v>
      </c>
    </row>
    <row r="66" spans="1:7" ht="12.75" thickTop="1">
      <c r="A66" s="467" t="str">
        <f>Inputs!$D$6</f>
        <v>AVISTA UTILITIES</v>
      </c>
      <c r="B66" s="467"/>
      <c r="C66" s="467"/>
      <c r="G66" s="468"/>
    </row>
    <row r="67" spans="1:7" ht="12">
      <c r="A67" s="467" t="s">
        <v>168</v>
      </c>
      <c r="B67" s="467"/>
      <c r="C67" s="467"/>
      <c r="G67" s="468"/>
    </row>
    <row r="68" spans="1:7" ht="12">
      <c r="A68" s="467" t="str">
        <f>A3</f>
        <v>TWELVE MONTHS ENDED DECEMBER 31, 2004</v>
      </c>
      <c r="B68" s="467"/>
      <c r="C68" s="467"/>
      <c r="F68" s="471" t="str">
        <f>F2</f>
        <v>PROPERTY TAX</v>
      </c>
      <c r="G68" s="468"/>
    </row>
    <row r="69" spans="1:7" ht="12">
      <c r="A69" s="467" t="s">
        <v>169</v>
      </c>
      <c r="B69" s="467"/>
      <c r="C69" s="467"/>
      <c r="F69" s="471" t="str">
        <f>F3</f>
        <v>ADJUSTMENT</v>
      </c>
      <c r="G69" s="468"/>
    </row>
    <row r="70" spans="5:7" ht="12">
      <c r="E70" s="492"/>
      <c r="F70" s="478" t="str">
        <f>F4</f>
        <v>GAS</v>
      </c>
      <c r="G70" s="493"/>
    </row>
    <row r="71" spans="1:6" ht="12">
      <c r="A71" s="474" t="s">
        <v>11</v>
      </c>
      <c r="F71" s="471"/>
    </row>
    <row r="72" spans="1:6" ht="12">
      <c r="A72" s="494" t="s">
        <v>29</v>
      </c>
      <c r="B72" s="476" t="s">
        <v>114</v>
      </c>
      <c r="C72" s="476"/>
      <c r="F72" s="478" t="s">
        <v>129</v>
      </c>
    </row>
    <row r="73" spans="1:7" ht="12">
      <c r="A73" s="474"/>
      <c r="B73" s="468" t="s">
        <v>69</v>
      </c>
      <c r="E73" s="468"/>
      <c r="G73" s="468"/>
    </row>
    <row r="74" spans="1:7" ht="12">
      <c r="A74" s="474">
        <v>1</v>
      </c>
      <c r="B74" s="468" t="s">
        <v>131</v>
      </c>
      <c r="E74" s="468"/>
      <c r="F74" s="481">
        <f>G8</f>
        <v>0</v>
      </c>
      <c r="G74" s="468"/>
    </row>
    <row r="75" spans="1:7" ht="12">
      <c r="A75" s="474">
        <v>2</v>
      </c>
      <c r="B75" s="468" t="s">
        <v>132</v>
      </c>
      <c r="E75" s="468"/>
      <c r="F75" s="483">
        <f>G9</f>
        <v>0</v>
      </c>
      <c r="G75" s="468"/>
    </row>
    <row r="76" spans="1:7" ht="12">
      <c r="A76" s="474">
        <v>3</v>
      </c>
      <c r="B76" s="468" t="s">
        <v>72</v>
      </c>
      <c r="E76" s="468"/>
      <c r="F76" s="484">
        <f>G10</f>
        <v>0</v>
      </c>
      <c r="G76" s="468"/>
    </row>
    <row r="77" spans="1:7" ht="12">
      <c r="A77" s="474"/>
      <c r="E77" s="468"/>
      <c r="F77" s="483"/>
      <c r="G77" s="468"/>
    </row>
    <row r="78" spans="1:7" ht="12">
      <c r="A78" s="474">
        <v>4</v>
      </c>
      <c r="B78" s="468" t="s">
        <v>133</v>
      </c>
      <c r="E78" s="468"/>
      <c r="F78" s="483">
        <f>F74+F75+F76</f>
        <v>0</v>
      </c>
      <c r="G78" s="468"/>
    </row>
    <row r="79" spans="1:7" ht="12">
      <c r="A79" s="474"/>
      <c r="E79" s="468"/>
      <c r="F79" s="483"/>
      <c r="G79" s="468"/>
    </row>
    <row r="80" spans="1:7" ht="12">
      <c r="A80" s="474"/>
      <c r="B80" s="468" t="s">
        <v>74</v>
      </c>
      <c r="E80" s="468"/>
      <c r="F80" s="483"/>
      <c r="G80" s="468"/>
    </row>
    <row r="81" spans="1:7" ht="12">
      <c r="A81" s="474">
        <v>5</v>
      </c>
      <c r="B81" s="468" t="s">
        <v>134</v>
      </c>
      <c r="E81" s="468"/>
      <c r="F81" s="483">
        <f>G14</f>
        <v>0</v>
      </c>
      <c r="G81" s="468"/>
    </row>
    <row r="82" spans="1:7" ht="12">
      <c r="A82" s="474"/>
      <c r="B82" s="468" t="s">
        <v>76</v>
      </c>
      <c r="E82" s="468"/>
      <c r="F82" s="483"/>
      <c r="G82" s="468"/>
    </row>
    <row r="83" spans="1:7" ht="12">
      <c r="A83" s="474">
        <v>6</v>
      </c>
      <c r="B83" s="468" t="s">
        <v>135</v>
      </c>
      <c r="E83" s="468"/>
      <c r="F83" s="483">
        <f>G16</f>
        <v>0</v>
      </c>
      <c r="G83" s="468"/>
    </row>
    <row r="84" spans="1:7" ht="12">
      <c r="A84" s="474">
        <v>7</v>
      </c>
      <c r="B84" s="468" t="s">
        <v>136</v>
      </c>
      <c r="E84" s="468"/>
      <c r="F84" s="483">
        <f>G17</f>
        <v>0</v>
      </c>
      <c r="G84" s="468"/>
    </row>
    <row r="85" spans="1:7" ht="12">
      <c r="A85" s="474">
        <v>8</v>
      </c>
      <c r="B85" s="468" t="s">
        <v>137</v>
      </c>
      <c r="E85" s="468"/>
      <c r="F85" s="484">
        <f>G18</f>
        <v>0</v>
      </c>
      <c r="G85" s="468"/>
    </row>
    <row r="86" spans="1:7" ht="12">
      <c r="A86" s="474">
        <v>9</v>
      </c>
      <c r="B86" s="468" t="s">
        <v>138</v>
      </c>
      <c r="E86" s="468"/>
      <c r="F86" s="483">
        <f>F83+F84+F85</f>
        <v>0</v>
      </c>
      <c r="G86" s="468"/>
    </row>
    <row r="87" spans="1:7" ht="12">
      <c r="A87" s="474"/>
      <c r="B87" s="468" t="s">
        <v>81</v>
      </c>
      <c r="E87" s="468"/>
      <c r="F87" s="483"/>
      <c r="G87" s="468"/>
    </row>
    <row r="88" spans="1:7" ht="12">
      <c r="A88" s="474">
        <v>10</v>
      </c>
      <c r="B88" s="468" t="s">
        <v>139</v>
      </c>
      <c r="E88" s="468"/>
      <c r="F88" s="483">
        <f>G21</f>
        <v>0</v>
      </c>
      <c r="G88" s="468"/>
    </row>
    <row r="89" spans="1:7" ht="12">
      <c r="A89" s="474">
        <v>11</v>
      </c>
      <c r="B89" s="468" t="s">
        <v>140</v>
      </c>
      <c r="E89" s="468"/>
      <c r="F89" s="483">
        <f>G22</f>
        <v>0</v>
      </c>
      <c r="G89" s="468"/>
    </row>
    <row r="90" spans="1:7" ht="12">
      <c r="A90" s="474">
        <v>12</v>
      </c>
      <c r="B90" s="468" t="s">
        <v>141</v>
      </c>
      <c r="E90" s="468"/>
      <c r="F90" s="484">
        <f>G23</f>
        <v>-1</v>
      </c>
      <c r="G90" s="468"/>
    </row>
    <row r="91" spans="1:7" ht="12">
      <c r="A91" s="474">
        <v>13</v>
      </c>
      <c r="B91" s="468" t="s">
        <v>142</v>
      </c>
      <c r="E91" s="468"/>
      <c r="F91" s="483">
        <f>F88+F89+F90</f>
        <v>-1</v>
      </c>
      <c r="G91" s="468"/>
    </row>
    <row r="92" spans="1:7" ht="12">
      <c r="A92" s="474"/>
      <c r="B92" s="468" t="s">
        <v>85</v>
      </c>
      <c r="E92" s="468"/>
      <c r="F92" s="483"/>
      <c r="G92" s="468"/>
    </row>
    <row r="93" spans="1:7" ht="12">
      <c r="A93" s="474">
        <v>14</v>
      </c>
      <c r="B93" s="468" t="s">
        <v>139</v>
      </c>
      <c r="E93" s="468"/>
      <c r="F93" s="483">
        <f>G26</f>
        <v>0</v>
      </c>
      <c r="G93" s="468"/>
    </row>
    <row r="94" spans="1:7" ht="12">
      <c r="A94" s="474">
        <v>15</v>
      </c>
      <c r="B94" s="468" t="s">
        <v>140</v>
      </c>
      <c r="E94" s="468"/>
      <c r="F94" s="483">
        <f>G27</f>
        <v>0</v>
      </c>
      <c r="G94" s="468"/>
    </row>
    <row r="95" spans="1:7" ht="12">
      <c r="A95" s="474">
        <v>16</v>
      </c>
      <c r="B95" s="468" t="s">
        <v>141</v>
      </c>
      <c r="E95" s="468"/>
      <c r="F95" s="485">
        <v>2</v>
      </c>
      <c r="G95" s="468"/>
    </row>
    <row r="96" spans="1:7" ht="12">
      <c r="A96" s="474">
        <v>17</v>
      </c>
      <c r="B96" s="468" t="s">
        <v>143</v>
      </c>
      <c r="E96" s="468"/>
      <c r="F96" s="483">
        <f>F93+F94+F95</f>
        <v>2</v>
      </c>
      <c r="G96" s="468"/>
    </row>
    <row r="97" spans="1:7" ht="12">
      <c r="A97" s="474">
        <v>18</v>
      </c>
      <c r="B97" s="468" t="s">
        <v>87</v>
      </c>
      <c r="E97" s="468"/>
      <c r="F97" s="483">
        <f>G31</f>
        <v>0</v>
      </c>
      <c r="G97" s="468"/>
    </row>
    <row r="98" spans="1:7" ht="12">
      <c r="A98" s="474">
        <v>19</v>
      </c>
      <c r="B98" s="468" t="s">
        <v>88</v>
      </c>
      <c r="E98" s="468"/>
      <c r="F98" s="483">
        <f>G32</f>
        <v>0</v>
      </c>
      <c r="G98" s="468"/>
    </row>
    <row r="99" spans="1:7" ht="12">
      <c r="A99" s="474">
        <v>20</v>
      </c>
      <c r="B99" s="468" t="s">
        <v>144</v>
      </c>
      <c r="E99" s="468"/>
      <c r="F99" s="483">
        <f>G33</f>
        <v>0</v>
      </c>
      <c r="G99" s="468"/>
    </row>
    <row r="100" spans="1:7" ht="12">
      <c r="A100" s="474"/>
      <c r="B100" s="468" t="s">
        <v>145</v>
      </c>
      <c r="E100" s="468"/>
      <c r="F100" s="483"/>
      <c r="G100" s="468"/>
    </row>
    <row r="101" spans="1:7" ht="12">
      <c r="A101" s="474">
        <v>21</v>
      </c>
      <c r="B101" s="468" t="s">
        <v>139</v>
      </c>
      <c r="E101" s="468"/>
      <c r="F101" s="483">
        <f>G35</f>
        <v>0</v>
      </c>
      <c r="G101" s="468"/>
    </row>
    <row r="102" spans="1:7" ht="12">
      <c r="A102" s="474">
        <v>22</v>
      </c>
      <c r="B102" s="468" t="s">
        <v>140</v>
      </c>
      <c r="E102" s="468"/>
      <c r="F102" s="483">
        <f>G36</f>
        <v>0</v>
      </c>
      <c r="G102" s="468"/>
    </row>
    <row r="103" spans="1:7" ht="12">
      <c r="A103" s="474">
        <v>23</v>
      </c>
      <c r="B103" s="468" t="s">
        <v>141</v>
      </c>
      <c r="E103" s="468"/>
      <c r="F103" s="484">
        <f>G37</f>
        <v>0</v>
      </c>
      <c r="G103" s="468"/>
    </row>
    <row r="104" spans="1:7" ht="12">
      <c r="A104" s="474">
        <v>24</v>
      </c>
      <c r="B104" s="468" t="s">
        <v>146</v>
      </c>
      <c r="E104" s="468"/>
      <c r="F104" s="484">
        <f>F101+F102+F103</f>
        <v>0</v>
      </c>
      <c r="G104" s="468"/>
    </row>
    <row r="105" spans="1:7" ht="12">
      <c r="A105" s="474"/>
      <c r="E105" s="468"/>
      <c r="F105" s="483"/>
      <c r="G105" s="468"/>
    </row>
    <row r="106" spans="1:7" ht="12">
      <c r="A106" s="474">
        <v>25</v>
      </c>
      <c r="B106" s="468" t="s">
        <v>92</v>
      </c>
      <c r="E106" s="468"/>
      <c r="F106" s="484">
        <f>F104+F99+F98+F97+F96+F91+F86+F81</f>
        <v>1</v>
      </c>
      <c r="G106" s="468"/>
    </row>
    <row r="107" spans="1:7" ht="12">
      <c r="A107" s="474"/>
      <c r="E107" s="468"/>
      <c r="F107" s="483"/>
      <c r="G107" s="468"/>
    </row>
    <row r="108" spans="1:7" ht="12">
      <c r="A108" s="474">
        <v>26</v>
      </c>
      <c r="B108" s="468" t="s">
        <v>170</v>
      </c>
      <c r="E108" s="468"/>
      <c r="F108" s="484">
        <f>F78-F106</f>
        <v>-1</v>
      </c>
      <c r="G108" s="468"/>
    </row>
    <row r="109" spans="1:7" ht="12">
      <c r="A109" s="474"/>
      <c r="E109" s="468"/>
      <c r="G109" s="468"/>
    </row>
    <row r="110" spans="1:7" ht="12">
      <c r="A110" s="474">
        <v>27</v>
      </c>
      <c r="B110" s="468" t="s">
        <v>171</v>
      </c>
      <c r="G110" s="468"/>
    </row>
    <row r="111" spans="1:7" ht="12.75" thickBot="1">
      <c r="A111" s="474"/>
      <c r="B111" s="495" t="s">
        <v>172</v>
      </c>
      <c r="C111" s="496">
        <f>Inputs!$D$4</f>
        <v>0.01065</v>
      </c>
      <c r="F111" s="491">
        <f>ROUND(F108*C111,0)</f>
        <v>0</v>
      </c>
      <c r="G111" s="468"/>
    </row>
    <row r="112" spans="1:7" ht="12.75" thickTop="1">
      <c r="A112" s="474"/>
      <c r="G112" s="468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A1">
      <selection activeCell="I36" sqref="I36"/>
    </sheetView>
  </sheetViews>
  <sheetFormatPr defaultColWidth="9.140625" defaultRowHeight="10.5" customHeight="1"/>
  <cols>
    <col min="1" max="1" width="5.57421875" style="498" customWidth="1"/>
    <col min="2" max="2" width="26.140625" style="498" customWidth="1"/>
    <col min="3" max="3" width="12.421875" style="498" customWidth="1"/>
    <col min="4" max="4" width="6.7109375" style="498" customWidth="1"/>
    <col min="5" max="5" width="12.421875" style="518" customWidth="1"/>
    <col min="6" max="6" width="12.421875" style="519" customWidth="1"/>
    <col min="7" max="7" width="12.421875" style="518" customWidth="1"/>
    <col min="8" max="16384" width="12.421875" style="498" customWidth="1"/>
  </cols>
  <sheetData>
    <row r="1" spans="1:7" ht="12">
      <c r="A1" s="497" t="str">
        <f>Inputs!$D$6</f>
        <v>AVISTA UTILITIES</v>
      </c>
      <c r="B1" s="497"/>
      <c r="C1" s="497"/>
      <c r="E1" s="499"/>
      <c r="F1" s="500"/>
      <c r="G1" s="499"/>
    </row>
    <row r="2" spans="1:7" ht="12">
      <c r="A2" s="497" t="s">
        <v>122</v>
      </c>
      <c r="B2" s="497"/>
      <c r="C2" s="497"/>
      <c r="E2" s="499"/>
      <c r="F2" s="501" t="s">
        <v>180</v>
      </c>
      <c r="G2" s="499"/>
    </row>
    <row r="3" spans="1:7" ht="12">
      <c r="A3" s="497" t="str">
        <f>Inputs!$D$2</f>
        <v>TWELVE MONTHS ENDED DECEMBER 31, 2004</v>
      </c>
      <c r="B3" s="497"/>
      <c r="C3" s="497"/>
      <c r="E3" s="499"/>
      <c r="F3" s="501" t="s">
        <v>181</v>
      </c>
      <c r="G3" s="498"/>
    </row>
    <row r="4" spans="1:7" ht="12">
      <c r="A4" s="497" t="s">
        <v>125</v>
      </c>
      <c r="B4" s="497"/>
      <c r="C4" s="497"/>
      <c r="E4" s="502"/>
      <c r="F4" s="503" t="s">
        <v>126</v>
      </c>
      <c r="G4" s="502"/>
    </row>
    <row r="5" spans="1:7" ht="12">
      <c r="A5" s="504" t="s">
        <v>11</v>
      </c>
      <c r="E5" s="499"/>
      <c r="F5" s="501"/>
      <c r="G5" s="499"/>
    </row>
    <row r="6" spans="1:8" ht="12">
      <c r="A6" s="505" t="s">
        <v>29</v>
      </c>
      <c r="B6" s="506" t="s">
        <v>114</v>
      </c>
      <c r="C6" s="506"/>
      <c r="E6" s="507" t="s">
        <v>127</v>
      </c>
      <c r="F6" s="508" t="s">
        <v>128</v>
      </c>
      <c r="G6" s="507" t="s">
        <v>129</v>
      </c>
      <c r="H6" s="509" t="s">
        <v>130</v>
      </c>
    </row>
    <row r="7" spans="1:7" ht="12">
      <c r="A7" s="504"/>
      <c r="B7" s="498" t="s">
        <v>69</v>
      </c>
      <c r="E7" s="510"/>
      <c r="F7" s="501"/>
      <c r="G7" s="510"/>
    </row>
    <row r="8" spans="1:8" ht="12">
      <c r="A8" s="504">
        <v>1</v>
      </c>
      <c r="B8" s="498" t="s">
        <v>131</v>
      </c>
      <c r="E8" s="511"/>
      <c r="F8" s="511"/>
      <c r="G8" s="511"/>
      <c r="H8" s="512" t="str">
        <f>IF(E8=F8+G8," ","ERROR")</f>
        <v> </v>
      </c>
    </row>
    <row r="9" spans="1:8" ht="12">
      <c r="A9" s="504">
        <v>2</v>
      </c>
      <c r="B9" s="498" t="s">
        <v>132</v>
      </c>
      <c r="E9" s="513"/>
      <c r="F9" s="513"/>
      <c r="G9" s="513"/>
      <c r="H9" s="512" t="str">
        <f>IF(E9=F9+G9," ","ERROR")</f>
        <v> </v>
      </c>
    </row>
    <row r="10" spans="1:8" ht="12">
      <c r="A10" s="504">
        <v>3</v>
      </c>
      <c r="B10" s="498" t="s">
        <v>72</v>
      </c>
      <c r="E10" s="514"/>
      <c r="F10" s="514"/>
      <c r="G10" s="514"/>
      <c r="H10" s="512" t="str">
        <f>IF(E10=F10+G10," ","ERROR")</f>
        <v> </v>
      </c>
    </row>
    <row r="11" spans="1:8" ht="12">
      <c r="A11" s="504">
        <v>4</v>
      </c>
      <c r="B11" s="498" t="s">
        <v>133</v>
      </c>
      <c r="E11" s="513">
        <f>SUM(E8:E10)</f>
        <v>0</v>
      </c>
      <c r="F11" s="513">
        <f>SUM(F8:F10)</f>
        <v>0</v>
      </c>
      <c r="G11" s="513">
        <f>SUM(G8:G10)</f>
        <v>0</v>
      </c>
      <c r="H11" s="512" t="str">
        <f>IF(E11=F11+G11," ","ERROR")</f>
        <v> </v>
      </c>
    </row>
    <row r="12" spans="1:8" ht="12">
      <c r="A12" s="504"/>
      <c r="E12" s="513"/>
      <c r="F12" s="513"/>
      <c r="G12" s="513"/>
      <c r="H12" s="512"/>
    </row>
    <row r="13" spans="1:8" ht="12">
      <c r="A13" s="504"/>
      <c r="B13" s="498" t="s">
        <v>74</v>
      </c>
      <c r="E13" s="513"/>
      <c r="F13" s="513"/>
      <c r="G13" s="513"/>
      <c r="H13" s="512"/>
    </row>
    <row r="14" spans="1:8" ht="12">
      <c r="A14" s="504">
        <v>5</v>
      </c>
      <c r="B14" s="498" t="s">
        <v>134</v>
      </c>
      <c r="E14" s="513"/>
      <c r="F14" s="513"/>
      <c r="G14" s="513"/>
      <c r="H14" s="512" t="str">
        <f>IF(E14=F14+G14," ","ERROR")</f>
        <v> </v>
      </c>
    </row>
    <row r="15" spans="1:8" ht="12">
      <c r="A15" s="504"/>
      <c r="B15" s="498" t="s">
        <v>76</v>
      </c>
      <c r="E15" s="513"/>
      <c r="F15" s="513"/>
      <c r="G15" s="513"/>
      <c r="H15" s="512"/>
    </row>
    <row r="16" spans="1:8" ht="12">
      <c r="A16" s="504">
        <v>6</v>
      </c>
      <c r="B16" s="498" t="s">
        <v>135</v>
      </c>
      <c r="E16" s="513"/>
      <c r="F16" s="513"/>
      <c r="G16" s="513"/>
      <c r="H16" s="512" t="str">
        <f>IF(E16=F16+G16," ","ERROR")</f>
        <v> </v>
      </c>
    </row>
    <row r="17" spans="1:8" ht="12">
      <c r="A17" s="504">
        <v>7</v>
      </c>
      <c r="B17" s="498" t="s">
        <v>136</v>
      </c>
      <c r="E17" s="513"/>
      <c r="F17" s="513"/>
      <c r="G17" s="513"/>
      <c r="H17" s="512" t="str">
        <f>IF(E17=F17+G17," ","ERROR")</f>
        <v> </v>
      </c>
    </row>
    <row r="18" spans="1:8" ht="12">
      <c r="A18" s="504">
        <v>8</v>
      </c>
      <c r="B18" s="498" t="s">
        <v>137</v>
      </c>
      <c r="E18" s="514"/>
      <c r="F18" s="514"/>
      <c r="G18" s="514"/>
      <c r="H18" s="512" t="str">
        <f>IF(E18=F18+G18," ","ERROR")</f>
        <v> </v>
      </c>
    </row>
    <row r="19" spans="1:8" ht="12">
      <c r="A19" s="504">
        <v>9</v>
      </c>
      <c r="B19" s="498" t="s">
        <v>138</v>
      </c>
      <c r="E19" s="513">
        <f>SUM(E16:E18)</f>
        <v>0</v>
      </c>
      <c r="F19" s="513">
        <f>SUM(F16:F18)</f>
        <v>0</v>
      </c>
      <c r="G19" s="513">
        <f>SUM(G16:G18)</f>
        <v>0</v>
      </c>
      <c r="H19" s="512" t="str">
        <f>IF(E19=F19+G19," ","ERROR")</f>
        <v> </v>
      </c>
    </row>
    <row r="20" spans="1:8" ht="12">
      <c r="A20" s="504"/>
      <c r="B20" s="498" t="s">
        <v>81</v>
      </c>
      <c r="E20" s="513"/>
      <c r="F20" s="513"/>
      <c r="G20" s="513"/>
      <c r="H20" s="512"/>
    </row>
    <row r="21" spans="1:8" ht="12">
      <c r="A21" s="504">
        <v>10</v>
      </c>
      <c r="B21" s="498" t="s">
        <v>139</v>
      </c>
      <c r="E21" s="513"/>
      <c r="F21" s="513"/>
      <c r="G21" s="513"/>
      <c r="H21" s="512" t="str">
        <f>IF(E21=F21+G21," ","ERROR")</f>
        <v> </v>
      </c>
    </row>
    <row r="22" spans="1:8" ht="12">
      <c r="A22" s="504">
        <v>11</v>
      </c>
      <c r="B22" s="498" t="s">
        <v>140</v>
      </c>
      <c r="E22" s="513"/>
      <c r="F22" s="513"/>
      <c r="G22" s="513"/>
      <c r="H22" s="512" t="str">
        <f>IF(E22=F22+G22," ","ERROR")</f>
        <v> </v>
      </c>
    </row>
    <row r="23" spans="1:8" ht="12">
      <c r="A23" s="504">
        <v>12</v>
      </c>
      <c r="B23" s="498" t="s">
        <v>141</v>
      </c>
      <c r="E23" s="514"/>
      <c r="F23" s="514"/>
      <c r="G23" s="514"/>
      <c r="H23" s="512" t="str">
        <f>IF(E23=F23+G23," ","ERROR")</f>
        <v> </v>
      </c>
    </row>
    <row r="24" spans="1:8" ht="12">
      <c r="A24" s="504">
        <v>13</v>
      </c>
      <c r="B24" s="498" t="s">
        <v>142</v>
      </c>
      <c r="E24" s="513">
        <f>SUM(E21:E23)</f>
        <v>0</v>
      </c>
      <c r="F24" s="513">
        <f>SUM(F21:F23)</f>
        <v>0</v>
      </c>
      <c r="G24" s="513">
        <f>SUM(G21:G23)</f>
        <v>0</v>
      </c>
      <c r="H24" s="512" t="str">
        <f>IF(E24=F24+G24," ","ERROR")</f>
        <v> </v>
      </c>
    </row>
    <row r="25" spans="1:8" ht="12">
      <c r="A25" s="504"/>
      <c r="B25" s="498" t="s">
        <v>85</v>
      </c>
      <c r="E25" s="513"/>
      <c r="F25" s="513"/>
      <c r="G25" s="513"/>
      <c r="H25" s="512"/>
    </row>
    <row r="26" spans="1:8" ht="12">
      <c r="A26" s="504">
        <v>14</v>
      </c>
      <c r="B26" s="498" t="s">
        <v>139</v>
      </c>
      <c r="E26" s="513"/>
      <c r="F26" s="513"/>
      <c r="G26" s="513"/>
      <c r="H26" s="512" t="str">
        <f>IF(E26=F26+G26," ","ERROR")</f>
        <v> </v>
      </c>
    </row>
    <row r="27" spans="1:8" ht="12">
      <c r="A27" s="504">
        <v>15</v>
      </c>
      <c r="B27" s="498" t="s">
        <v>140</v>
      </c>
      <c r="E27" s="513"/>
      <c r="F27" s="513"/>
      <c r="G27" s="513"/>
      <c r="H27" s="512" t="str">
        <f>IF(E27=F27+G27," ","ERROR")</f>
        <v> </v>
      </c>
    </row>
    <row r="28" spans="1:8" ht="12">
      <c r="A28" s="504">
        <v>16</v>
      </c>
      <c r="B28" s="498" t="s">
        <v>141</v>
      </c>
      <c r="E28" s="514">
        <f>F28+G28</f>
        <v>2</v>
      </c>
      <c r="F28" s="514"/>
      <c r="G28" s="515">
        <f>F111</f>
        <v>2</v>
      </c>
      <c r="H28" s="512" t="str">
        <f>IF(E28=F28+G28," ","ERROR")</f>
        <v> </v>
      </c>
    </row>
    <row r="29" spans="1:8" ht="12">
      <c r="A29" s="504">
        <v>17</v>
      </c>
      <c r="B29" s="498" t="s">
        <v>143</v>
      </c>
      <c r="E29" s="513">
        <f>SUM(E26:E28)</f>
        <v>2</v>
      </c>
      <c r="F29" s="513">
        <f>SUM(F26:F28)</f>
        <v>0</v>
      </c>
      <c r="G29" s="513">
        <f>SUM(G26:G28)</f>
        <v>2</v>
      </c>
      <c r="H29" s="512" t="str">
        <f>IF(E29=F29+G29," ","ERROR")</f>
        <v> </v>
      </c>
    </row>
    <row r="30" spans="1:8" ht="12">
      <c r="A30" s="504"/>
      <c r="E30" s="513"/>
      <c r="F30" s="513"/>
      <c r="G30" s="513"/>
      <c r="H30" s="512"/>
    </row>
    <row r="31" spans="1:8" ht="12">
      <c r="A31" s="504">
        <v>18</v>
      </c>
      <c r="B31" s="498" t="s">
        <v>87</v>
      </c>
      <c r="E31" s="513">
        <f>F31+G31</f>
        <v>-402</v>
      </c>
      <c r="F31" s="513">
        <v>-230</v>
      </c>
      <c r="G31" s="513">
        <v>-172</v>
      </c>
      <c r="H31" s="512" t="str">
        <f>IF(E31=F31+G31," ","ERROR")</f>
        <v> </v>
      </c>
    </row>
    <row r="32" spans="1:8" ht="12">
      <c r="A32" s="504">
        <v>19</v>
      </c>
      <c r="B32" s="498" t="s">
        <v>88</v>
      </c>
      <c r="E32" s="513"/>
      <c r="F32" s="513"/>
      <c r="G32" s="513"/>
      <c r="H32" s="512" t="str">
        <f>IF(E32=F32+G32," ","ERROR")</f>
        <v> </v>
      </c>
    </row>
    <row r="33" spans="1:8" ht="12">
      <c r="A33" s="504">
        <v>20</v>
      </c>
      <c r="B33" s="498" t="s">
        <v>144</v>
      </c>
      <c r="E33" s="513"/>
      <c r="F33" s="513"/>
      <c r="G33" s="513"/>
      <c r="H33" s="512" t="str">
        <f>IF(E33=F33+G33," ","ERROR")</f>
        <v> </v>
      </c>
    </row>
    <row r="34" spans="1:8" ht="12">
      <c r="A34" s="504"/>
      <c r="B34" s="498" t="s">
        <v>145</v>
      </c>
      <c r="E34" s="513"/>
      <c r="F34" s="513"/>
      <c r="G34" s="513"/>
      <c r="H34" s="512"/>
    </row>
    <row r="35" spans="1:8" ht="12">
      <c r="A35" s="504">
        <v>21</v>
      </c>
      <c r="B35" s="498" t="s">
        <v>139</v>
      </c>
      <c r="E35" s="513"/>
      <c r="F35" s="513"/>
      <c r="G35" s="513"/>
      <c r="H35" s="512" t="str">
        <f>IF(E35=F35+G35," ","ERROR")</f>
        <v> </v>
      </c>
    </row>
    <row r="36" spans="1:8" ht="12">
      <c r="A36" s="504">
        <v>22</v>
      </c>
      <c r="B36" s="498" t="s">
        <v>140</v>
      </c>
      <c r="E36" s="513"/>
      <c r="F36" s="513"/>
      <c r="G36" s="513"/>
      <c r="H36" s="512" t="str">
        <f>IF(E36=F36+G36," ","ERROR")</f>
        <v> </v>
      </c>
    </row>
    <row r="37" spans="1:8" ht="12">
      <c r="A37" s="504">
        <v>23</v>
      </c>
      <c r="B37" s="498" t="s">
        <v>141</v>
      </c>
      <c r="E37" s="514"/>
      <c r="F37" s="514"/>
      <c r="G37" s="514"/>
      <c r="H37" s="512" t="str">
        <f>IF(E37=F37+G37," ","ERROR")</f>
        <v> </v>
      </c>
    </row>
    <row r="38" spans="1:8" ht="12">
      <c r="A38" s="504">
        <v>24</v>
      </c>
      <c r="B38" s="498" t="s">
        <v>146</v>
      </c>
      <c r="E38" s="514">
        <f>SUM(E35:E37)</f>
        <v>0</v>
      </c>
      <c r="F38" s="514">
        <f>SUM(F35:F37)</f>
        <v>0</v>
      </c>
      <c r="G38" s="514">
        <f>SUM(G35:G37)</f>
        <v>0</v>
      </c>
      <c r="H38" s="512" t="str">
        <f>IF(E38=F38+G38," ","ERROR")</f>
        <v> </v>
      </c>
    </row>
    <row r="39" spans="1:8" ht="12">
      <c r="A39" s="504">
        <v>25</v>
      </c>
      <c r="B39" s="498" t="s">
        <v>92</v>
      </c>
      <c r="E39" s="514">
        <f>E19+E24+E29+E31+E32+E33+E38+E14</f>
        <v>-400</v>
      </c>
      <c r="F39" s="514">
        <f>F19+F24+F29+F31+F32+F33+F38+F14</f>
        <v>-230</v>
      </c>
      <c r="G39" s="514">
        <f>G19+G24+G29+G31+G32+G33+G38+G14</f>
        <v>-170</v>
      </c>
      <c r="H39" s="512" t="str">
        <f>IF(E39=F39+G39," ","ERROR")</f>
        <v> </v>
      </c>
    </row>
    <row r="40" spans="1:8" ht="12">
      <c r="A40" s="504"/>
      <c r="E40" s="513"/>
      <c r="F40" s="513"/>
      <c r="G40" s="513"/>
      <c r="H40" s="512"/>
    </row>
    <row r="41" spans="1:8" ht="12">
      <c r="A41" s="504">
        <v>26</v>
      </c>
      <c r="B41" s="498" t="s">
        <v>147</v>
      </c>
      <c r="E41" s="513">
        <f>E11-E39</f>
        <v>400</v>
      </c>
      <c r="F41" s="513">
        <f>F11-F39</f>
        <v>230</v>
      </c>
      <c r="G41" s="513">
        <f>G11-G39</f>
        <v>170</v>
      </c>
      <c r="H41" s="512" t="str">
        <f>IF(E41=F41+G41," ","ERROR")</f>
        <v> </v>
      </c>
    </row>
    <row r="42" spans="1:8" ht="12">
      <c r="A42" s="504"/>
      <c r="E42" s="513"/>
      <c r="F42" s="513"/>
      <c r="G42" s="513"/>
      <c r="H42" s="512"/>
    </row>
    <row r="43" spans="1:8" ht="12">
      <c r="A43" s="504"/>
      <c r="B43" s="498" t="s">
        <v>148</v>
      </c>
      <c r="E43" s="513"/>
      <c r="F43" s="513"/>
      <c r="G43" s="513"/>
      <c r="H43" s="512"/>
    </row>
    <row r="44" spans="1:8" ht="12">
      <c r="A44" s="504">
        <v>27</v>
      </c>
      <c r="B44" s="516" t="s">
        <v>149</v>
      </c>
      <c r="D44" s="517">
        <v>0.35</v>
      </c>
      <c r="E44" s="513">
        <f>F44+G44</f>
        <v>141</v>
      </c>
      <c r="F44" s="513">
        <f>ROUND(F41*D44,0)</f>
        <v>81</v>
      </c>
      <c r="G44" s="513">
        <f>ROUND(G41*D44,0)</f>
        <v>60</v>
      </c>
      <c r="H44" s="512" t="str">
        <f>IF(E44=F44+G44," ","ERROR")</f>
        <v> </v>
      </c>
    </row>
    <row r="45" spans="1:8" ht="12">
      <c r="A45" s="504">
        <v>28</v>
      </c>
      <c r="B45" s="498" t="s">
        <v>151</v>
      </c>
      <c r="E45" s="513"/>
      <c r="F45" s="513"/>
      <c r="G45" s="513"/>
      <c r="H45" s="512" t="str">
        <f>IF(E45=F45+G45," ","ERROR")</f>
        <v> </v>
      </c>
    </row>
    <row r="46" spans="1:8" ht="12">
      <c r="A46" s="504">
        <v>29</v>
      </c>
      <c r="B46" s="498" t="s">
        <v>150</v>
      </c>
      <c r="E46" s="514"/>
      <c r="F46" s="514"/>
      <c r="G46" s="514"/>
      <c r="H46" s="512" t="str">
        <f>IF(E46=F46+G46," ","ERROR")</f>
        <v> </v>
      </c>
    </row>
    <row r="47" spans="1:8" ht="12">
      <c r="A47" s="504"/>
      <c r="H47" s="512"/>
    </row>
    <row r="48" spans="1:8" ht="12.75" thickBot="1">
      <c r="A48" s="504">
        <v>30</v>
      </c>
      <c r="B48" s="520" t="s">
        <v>98</v>
      </c>
      <c r="E48" s="521">
        <f>E41-(+E44+E45+E46)</f>
        <v>259</v>
      </c>
      <c r="F48" s="521">
        <f>F41-F44+F45+F46</f>
        <v>149</v>
      </c>
      <c r="G48" s="521">
        <f>G41-SUM(G44:G46)</f>
        <v>110</v>
      </c>
      <c r="H48" s="512" t="str">
        <f>IF(E48=F48+G48," ","ERROR")</f>
        <v> </v>
      </c>
    </row>
    <row r="49" spans="1:8" ht="12.75" thickTop="1">
      <c r="A49" s="504"/>
      <c r="H49" s="512"/>
    </row>
    <row r="50" spans="1:8" ht="12">
      <c r="A50" s="504"/>
      <c r="B50" s="516" t="s">
        <v>152</v>
      </c>
      <c r="H50" s="512"/>
    </row>
    <row r="51" spans="1:8" ht="12">
      <c r="A51" s="504"/>
      <c r="B51" s="516" t="s">
        <v>153</v>
      </c>
      <c r="H51" s="512"/>
    </row>
    <row r="52" spans="1:8" ht="12">
      <c r="A52" s="504">
        <v>31</v>
      </c>
      <c r="B52" s="498" t="s">
        <v>154</v>
      </c>
      <c r="E52" s="511"/>
      <c r="F52" s="511"/>
      <c r="G52" s="511"/>
      <c r="H52" s="512" t="str">
        <f aca="true" t="shared" si="0" ref="H52:H63">IF(E52=F52+G52," ","ERROR")</f>
        <v> </v>
      </c>
    </row>
    <row r="53" spans="1:8" ht="12">
      <c r="A53" s="504">
        <v>32</v>
      </c>
      <c r="B53" s="498" t="s">
        <v>155</v>
      </c>
      <c r="E53" s="513"/>
      <c r="F53" s="513"/>
      <c r="G53" s="513"/>
      <c r="H53" s="512" t="str">
        <f t="shared" si="0"/>
        <v> </v>
      </c>
    </row>
    <row r="54" spans="1:8" ht="12">
      <c r="A54" s="504">
        <v>33</v>
      </c>
      <c r="B54" s="498" t="s">
        <v>164</v>
      </c>
      <c r="E54" s="514"/>
      <c r="F54" s="514"/>
      <c r="G54" s="514"/>
      <c r="H54" s="512" t="str">
        <f t="shared" si="0"/>
        <v> </v>
      </c>
    </row>
    <row r="55" spans="1:8" ht="12">
      <c r="A55" s="504">
        <v>34</v>
      </c>
      <c r="B55" s="498" t="s">
        <v>157</v>
      </c>
      <c r="E55" s="513">
        <f>SUM(E52:E54)</f>
        <v>0</v>
      </c>
      <c r="F55" s="513">
        <f>SUM(F52:F54)</f>
        <v>0</v>
      </c>
      <c r="G55" s="513">
        <f>SUM(G52:G54)</f>
        <v>0</v>
      </c>
      <c r="H55" s="512" t="str">
        <f t="shared" si="0"/>
        <v> </v>
      </c>
    </row>
    <row r="56" spans="1:8" ht="12">
      <c r="A56" s="504"/>
      <c r="B56" s="498" t="s">
        <v>103</v>
      </c>
      <c r="E56" s="513"/>
      <c r="F56" s="513"/>
      <c r="G56" s="513"/>
      <c r="H56" s="512" t="str">
        <f t="shared" si="0"/>
        <v> </v>
      </c>
    </row>
    <row r="57" spans="1:8" ht="12">
      <c r="A57" s="504">
        <v>35</v>
      </c>
      <c r="B57" s="498" t="s">
        <v>154</v>
      </c>
      <c r="E57" s="513"/>
      <c r="F57" s="513"/>
      <c r="G57" s="513"/>
      <c r="H57" s="512" t="str">
        <f t="shared" si="0"/>
        <v> </v>
      </c>
    </row>
    <row r="58" spans="1:8" ht="12">
      <c r="A58" s="504">
        <v>36</v>
      </c>
      <c r="B58" s="498" t="s">
        <v>155</v>
      </c>
      <c r="E58" s="513"/>
      <c r="F58" s="513"/>
      <c r="G58" s="513"/>
      <c r="H58" s="512" t="str">
        <f t="shared" si="0"/>
        <v> </v>
      </c>
    </row>
    <row r="59" spans="1:8" ht="12">
      <c r="A59" s="504">
        <v>37</v>
      </c>
      <c r="B59" s="498" t="s">
        <v>164</v>
      </c>
      <c r="E59" s="514"/>
      <c r="F59" s="514"/>
      <c r="G59" s="514"/>
      <c r="H59" s="512" t="str">
        <f t="shared" si="0"/>
        <v> </v>
      </c>
    </row>
    <row r="60" spans="1:8" ht="12">
      <c r="A60" s="504">
        <v>38</v>
      </c>
      <c r="B60" s="498" t="s">
        <v>158</v>
      </c>
      <c r="E60" s="513">
        <f>SUM(E57:E59)</f>
        <v>0</v>
      </c>
      <c r="F60" s="513">
        <f>SUM(F57:F59)</f>
        <v>0</v>
      </c>
      <c r="G60" s="513">
        <f>SUM(G57:G59)</f>
        <v>0</v>
      </c>
      <c r="H60" s="512" t="str">
        <f t="shared" si="0"/>
        <v> </v>
      </c>
    </row>
    <row r="61" spans="1:8" ht="12">
      <c r="A61" s="504">
        <v>39</v>
      </c>
      <c r="B61" s="516" t="s">
        <v>159</v>
      </c>
      <c r="E61" s="513"/>
      <c r="F61" s="513"/>
      <c r="G61" s="513"/>
      <c r="H61" s="512" t="str">
        <f t="shared" si="0"/>
        <v> </v>
      </c>
    </row>
    <row r="62" spans="1:8" ht="12">
      <c r="A62" s="504">
        <v>40</v>
      </c>
      <c r="B62" s="498" t="s">
        <v>106</v>
      </c>
      <c r="E62" s="513"/>
      <c r="F62" s="513"/>
      <c r="G62" s="513"/>
      <c r="H62" s="512" t="str">
        <f t="shared" si="0"/>
        <v> </v>
      </c>
    </row>
    <row r="63" spans="1:8" ht="12">
      <c r="A63" s="504">
        <v>41</v>
      </c>
      <c r="B63" s="516" t="s">
        <v>107</v>
      </c>
      <c r="E63" s="514"/>
      <c r="F63" s="514"/>
      <c r="G63" s="514"/>
      <c r="H63" s="512" t="str">
        <f t="shared" si="0"/>
        <v> </v>
      </c>
    </row>
    <row r="64" spans="1:8" ht="9" customHeight="1">
      <c r="A64" s="504"/>
      <c r="B64" s="498" t="s">
        <v>160</v>
      </c>
      <c r="H64" s="512"/>
    </row>
    <row r="65" spans="1:8" ht="12.75" thickBot="1">
      <c r="A65" s="504">
        <v>42</v>
      </c>
      <c r="B65" s="520" t="s">
        <v>108</v>
      </c>
      <c r="E65" s="521">
        <f>E55-E60+E61+E62+E63</f>
        <v>0</v>
      </c>
      <c r="F65" s="521">
        <f>F55-F60+F61+F62+F63</f>
        <v>0</v>
      </c>
      <c r="G65" s="521">
        <f>G55-G60+G61+G62+G63</f>
        <v>0</v>
      </c>
      <c r="H65" s="512" t="str">
        <f>IF(E65=F65+G65," ","ERROR")</f>
        <v> </v>
      </c>
    </row>
    <row r="66" spans="1:7" ht="12.75" thickTop="1">
      <c r="A66" s="497" t="str">
        <f>Inputs!$D$6</f>
        <v>AVISTA UTILITIES</v>
      </c>
      <c r="B66" s="497"/>
      <c r="C66" s="497"/>
      <c r="G66" s="498"/>
    </row>
    <row r="67" spans="1:7" ht="12">
      <c r="A67" s="497" t="s">
        <v>168</v>
      </c>
      <c r="B67" s="497"/>
      <c r="C67" s="497"/>
      <c r="G67" s="498"/>
    </row>
    <row r="68" spans="1:7" ht="12">
      <c r="A68" s="497" t="str">
        <f>A3</f>
        <v>TWELVE MONTHS ENDED DECEMBER 31, 2004</v>
      </c>
      <c r="B68" s="497"/>
      <c r="C68" s="497"/>
      <c r="F68" s="501" t="str">
        <f>F2</f>
        <v>UNCOLLECTIBLE</v>
      </c>
      <c r="G68" s="498"/>
    </row>
    <row r="69" spans="1:7" ht="12">
      <c r="A69" s="497" t="s">
        <v>169</v>
      </c>
      <c r="B69" s="497"/>
      <c r="C69" s="497"/>
      <c r="F69" s="501" t="str">
        <f>F3</f>
        <v>EXPENSE</v>
      </c>
      <c r="G69" s="498"/>
    </row>
    <row r="70" spans="5:7" ht="12">
      <c r="E70" s="522"/>
      <c r="F70" s="508" t="str">
        <f>F4</f>
        <v>GAS</v>
      </c>
      <c r="G70" s="523"/>
    </row>
    <row r="71" spans="1:6" ht="12">
      <c r="A71" s="504" t="s">
        <v>11</v>
      </c>
      <c r="F71" s="501"/>
    </row>
    <row r="72" spans="1:6" ht="12">
      <c r="A72" s="524" t="s">
        <v>29</v>
      </c>
      <c r="B72" s="506" t="s">
        <v>114</v>
      </c>
      <c r="C72" s="506"/>
      <c r="F72" s="508" t="s">
        <v>129</v>
      </c>
    </row>
    <row r="73" spans="1:7" ht="12">
      <c r="A73" s="504"/>
      <c r="B73" s="498" t="s">
        <v>69</v>
      </c>
      <c r="E73" s="498"/>
      <c r="G73" s="498"/>
    </row>
    <row r="74" spans="1:7" ht="12">
      <c r="A74" s="504">
        <v>1</v>
      </c>
      <c r="B74" s="498" t="s">
        <v>131</v>
      </c>
      <c r="E74" s="498"/>
      <c r="F74" s="511">
        <f>G8</f>
        <v>0</v>
      </c>
      <c r="G74" s="498"/>
    </row>
    <row r="75" spans="1:7" ht="12">
      <c r="A75" s="504">
        <v>2</v>
      </c>
      <c r="B75" s="498" t="s">
        <v>132</v>
      </c>
      <c r="E75" s="498"/>
      <c r="F75" s="513">
        <f>G9</f>
        <v>0</v>
      </c>
      <c r="G75" s="498"/>
    </row>
    <row r="76" spans="1:7" ht="12">
      <c r="A76" s="504">
        <v>3</v>
      </c>
      <c r="B76" s="498" t="s">
        <v>72</v>
      </c>
      <c r="E76" s="498"/>
      <c r="F76" s="514">
        <f>G10</f>
        <v>0</v>
      </c>
      <c r="G76" s="498"/>
    </row>
    <row r="77" spans="1:7" ht="12">
      <c r="A77" s="504"/>
      <c r="E77" s="498"/>
      <c r="F77" s="513"/>
      <c r="G77" s="498"/>
    </row>
    <row r="78" spans="1:7" ht="12">
      <c r="A78" s="504">
        <v>4</v>
      </c>
      <c r="B78" s="498" t="s">
        <v>133</v>
      </c>
      <c r="E78" s="498"/>
      <c r="F78" s="513">
        <f>F74+F75+F76</f>
        <v>0</v>
      </c>
      <c r="G78" s="498"/>
    </row>
    <row r="79" spans="1:7" ht="12">
      <c r="A79" s="504"/>
      <c r="E79" s="498"/>
      <c r="F79" s="513"/>
      <c r="G79" s="498"/>
    </row>
    <row r="80" spans="1:7" ht="12">
      <c r="A80" s="504"/>
      <c r="B80" s="498" t="s">
        <v>74</v>
      </c>
      <c r="E80" s="498"/>
      <c r="F80" s="513"/>
      <c r="G80" s="498"/>
    </row>
    <row r="81" spans="1:7" ht="12">
      <c r="A81" s="504">
        <v>5</v>
      </c>
      <c r="B81" s="498" t="s">
        <v>134</v>
      </c>
      <c r="E81" s="498"/>
      <c r="F81" s="513">
        <f>G14</f>
        <v>0</v>
      </c>
      <c r="G81" s="498"/>
    </row>
    <row r="82" spans="1:7" ht="12">
      <c r="A82" s="504"/>
      <c r="B82" s="498" t="s">
        <v>76</v>
      </c>
      <c r="E82" s="498"/>
      <c r="F82" s="513"/>
      <c r="G82" s="498"/>
    </row>
    <row r="83" spans="1:7" ht="12">
      <c r="A83" s="504">
        <v>6</v>
      </c>
      <c r="B83" s="498" t="s">
        <v>135</v>
      </c>
      <c r="E83" s="498"/>
      <c r="F83" s="513">
        <f>G16</f>
        <v>0</v>
      </c>
      <c r="G83" s="498"/>
    </row>
    <row r="84" spans="1:7" ht="12">
      <c r="A84" s="504">
        <v>7</v>
      </c>
      <c r="B84" s="498" t="s">
        <v>136</v>
      </c>
      <c r="E84" s="498"/>
      <c r="F84" s="513">
        <f>G17</f>
        <v>0</v>
      </c>
      <c r="G84" s="498"/>
    </row>
    <row r="85" spans="1:7" ht="12">
      <c r="A85" s="504">
        <v>8</v>
      </c>
      <c r="B85" s="498" t="s">
        <v>137</v>
      </c>
      <c r="E85" s="498"/>
      <c r="F85" s="514">
        <f>G18</f>
        <v>0</v>
      </c>
      <c r="G85" s="498"/>
    </row>
    <row r="86" spans="1:7" ht="12">
      <c r="A86" s="504">
        <v>9</v>
      </c>
      <c r="B86" s="498" t="s">
        <v>138</v>
      </c>
      <c r="E86" s="498"/>
      <c r="F86" s="513">
        <f>F83+F84+F85</f>
        <v>0</v>
      </c>
      <c r="G86" s="498"/>
    </row>
    <row r="87" spans="1:7" ht="12">
      <c r="A87" s="504"/>
      <c r="B87" s="498" t="s">
        <v>81</v>
      </c>
      <c r="E87" s="498"/>
      <c r="F87" s="513"/>
      <c r="G87" s="498"/>
    </row>
    <row r="88" spans="1:7" ht="12">
      <c r="A88" s="504">
        <v>10</v>
      </c>
      <c r="B88" s="498" t="s">
        <v>139</v>
      </c>
      <c r="E88" s="498"/>
      <c r="F88" s="513">
        <f>G21</f>
        <v>0</v>
      </c>
      <c r="G88" s="498"/>
    </row>
    <row r="89" spans="1:7" ht="12">
      <c r="A89" s="504">
        <v>11</v>
      </c>
      <c r="B89" s="498" t="s">
        <v>140</v>
      </c>
      <c r="E89" s="498"/>
      <c r="F89" s="513">
        <f>G22</f>
        <v>0</v>
      </c>
      <c r="G89" s="498"/>
    </row>
    <row r="90" spans="1:7" ht="12">
      <c r="A90" s="504">
        <v>12</v>
      </c>
      <c r="B90" s="498" t="s">
        <v>141</v>
      </c>
      <c r="E90" s="498"/>
      <c r="F90" s="514">
        <f>G23</f>
        <v>0</v>
      </c>
      <c r="G90" s="498"/>
    </row>
    <row r="91" spans="1:7" ht="12">
      <c r="A91" s="504">
        <v>13</v>
      </c>
      <c r="B91" s="498" t="s">
        <v>142</v>
      </c>
      <c r="E91" s="498"/>
      <c r="F91" s="513">
        <f>F88+F89+F90</f>
        <v>0</v>
      </c>
      <c r="G91" s="498"/>
    </row>
    <row r="92" spans="1:7" ht="12">
      <c r="A92" s="504"/>
      <c r="B92" s="498" t="s">
        <v>85</v>
      </c>
      <c r="E92" s="498"/>
      <c r="F92" s="513"/>
      <c r="G92" s="498"/>
    </row>
    <row r="93" spans="1:7" ht="12">
      <c r="A93" s="504">
        <v>14</v>
      </c>
      <c r="B93" s="498" t="s">
        <v>139</v>
      </c>
      <c r="E93" s="498"/>
      <c r="F93" s="513">
        <f>G26</f>
        <v>0</v>
      </c>
      <c r="G93" s="498"/>
    </row>
    <row r="94" spans="1:7" ht="12">
      <c r="A94" s="504">
        <v>15</v>
      </c>
      <c r="B94" s="498" t="s">
        <v>140</v>
      </c>
      <c r="E94" s="498"/>
      <c r="F94" s="513">
        <f>G27</f>
        <v>0</v>
      </c>
      <c r="G94" s="498"/>
    </row>
    <row r="95" spans="1:7" ht="12">
      <c r="A95" s="504">
        <v>16</v>
      </c>
      <c r="B95" s="498" t="s">
        <v>141</v>
      </c>
      <c r="E95" s="498"/>
      <c r="F95" s="514"/>
      <c r="G95" s="498"/>
    </row>
    <row r="96" spans="1:7" ht="12">
      <c r="A96" s="504">
        <v>17</v>
      </c>
      <c r="B96" s="498" t="s">
        <v>143</v>
      </c>
      <c r="E96" s="498"/>
      <c r="F96" s="513">
        <f>F93+F94+F95</f>
        <v>0</v>
      </c>
      <c r="G96" s="498"/>
    </row>
    <row r="97" spans="1:7" ht="12">
      <c r="A97" s="504">
        <v>18</v>
      </c>
      <c r="B97" s="498" t="s">
        <v>87</v>
      </c>
      <c r="E97" s="498"/>
      <c r="F97" s="513">
        <f>G31</f>
        <v>-172</v>
      </c>
      <c r="G97" s="498"/>
    </row>
    <row r="98" spans="1:7" ht="12">
      <c r="A98" s="504">
        <v>19</v>
      </c>
      <c r="B98" s="498" t="s">
        <v>88</v>
      </c>
      <c r="E98" s="498"/>
      <c r="F98" s="513">
        <f>G32</f>
        <v>0</v>
      </c>
      <c r="G98" s="498"/>
    </row>
    <row r="99" spans="1:7" ht="12">
      <c r="A99" s="504">
        <v>20</v>
      </c>
      <c r="B99" s="498" t="s">
        <v>144</v>
      </c>
      <c r="E99" s="498"/>
      <c r="F99" s="513">
        <f>G33</f>
        <v>0</v>
      </c>
      <c r="G99" s="498"/>
    </row>
    <row r="100" spans="1:7" ht="12">
      <c r="A100" s="504"/>
      <c r="B100" s="498" t="s">
        <v>145</v>
      </c>
      <c r="E100" s="498"/>
      <c r="F100" s="513"/>
      <c r="G100" s="498"/>
    </row>
    <row r="101" spans="1:7" ht="12">
      <c r="A101" s="504">
        <v>21</v>
      </c>
      <c r="B101" s="498" t="s">
        <v>139</v>
      </c>
      <c r="E101" s="498"/>
      <c r="F101" s="513">
        <f>G35</f>
        <v>0</v>
      </c>
      <c r="G101" s="498"/>
    </row>
    <row r="102" spans="1:7" ht="12">
      <c r="A102" s="504">
        <v>22</v>
      </c>
      <c r="B102" s="498" t="s">
        <v>140</v>
      </c>
      <c r="E102" s="498"/>
      <c r="F102" s="513">
        <f>G36</f>
        <v>0</v>
      </c>
      <c r="G102" s="498"/>
    </row>
    <row r="103" spans="1:7" ht="12">
      <c r="A103" s="504">
        <v>23</v>
      </c>
      <c r="B103" s="498" t="s">
        <v>141</v>
      </c>
      <c r="E103" s="498"/>
      <c r="F103" s="514">
        <f>G37</f>
        <v>0</v>
      </c>
      <c r="G103" s="498"/>
    </row>
    <row r="104" spans="1:7" ht="12">
      <c r="A104" s="504">
        <v>24</v>
      </c>
      <c r="B104" s="498" t="s">
        <v>146</v>
      </c>
      <c r="E104" s="498"/>
      <c r="F104" s="514">
        <f>F101+F102+F103</f>
        <v>0</v>
      </c>
      <c r="G104" s="498"/>
    </row>
    <row r="105" spans="1:7" ht="12">
      <c r="A105" s="504"/>
      <c r="E105" s="498"/>
      <c r="F105" s="513"/>
      <c r="G105" s="498"/>
    </row>
    <row r="106" spans="1:7" ht="12">
      <c r="A106" s="504">
        <v>25</v>
      </c>
      <c r="B106" s="498" t="s">
        <v>92</v>
      </c>
      <c r="E106" s="498"/>
      <c r="F106" s="514">
        <f>F104+F99+F98+F97+F96+F91+F86+F81</f>
        <v>-172</v>
      </c>
      <c r="G106" s="498"/>
    </row>
    <row r="107" spans="1:7" ht="12">
      <c r="A107" s="504"/>
      <c r="E107" s="498"/>
      <c r="F107" s="513"/>
      <c r="G107" s="498"/>
    </row>
    <row r="108" spans="1:7" ht="12">
      <c r="A108" s="504">
        <v>26</v>
      </c>
      <c r="B108" s="498" t="s">
        <v>170</v>
      </c>
      <c r="E108" s="498"/>
      <c r="F108" s="514">
        <f>F78-F106</f>
        <v>172</v>
      </c>
      <c r="G108" s="498"/>
    </row>
    <row r="109" spans="1:7" ht="12">
      <c r="A109" s="504"/>
      <c r="E109" s="498"/>
      <c r="G109" s="498"/>
    </row>
    <row r="110" spans="1:7" ht="12">
      <c r="A110" s="504">
        <v>27</v>
      </c>
      <c r="B110" s="498" t="s">
        <v>171</v>
      </c>
      <c r="G110" s="498"/>
    </row>
    <row r="111" spans="1:7" ht="12.75" thickBot="1">
      <c r="A111" s="504"/>
      <c r="B111" s="525" t="s">
        <v>172</v>
      </c>
      <c r="C111" s="526">
        <f>Inputs!$D$4</f>
        <v>0.01065</v>
      </c>
      <c r="F111" s="521">
        <f>ROUND(F108*C111,0)</f>
        <v>2</v>
      </c>
      <c r="G111" s="498"/>
    </row>
    <row r="112" spans="1:7" ht="12.75" thickTop="1">
      <c r="A112" s="504"/>
      <c r="G112" s="498"/>
    </row>
  </sheetData>
  <printOptions horizontalCentered="1"/>
  <pageMargins left="1" right="0.5" top="0.5" bottom="0.5" header="0.42" footer="0.5"/>
  <pageSetup horizontalDpi="300" verticalDpi="300" orientation="portrait" scale="90" r:id="rId1"/>
  <rowBreaks count="1" manualBreakCount="1">
    <brk id="6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21">
      <selection activeCell="G35" sqref="G35"/>
    </sheetView>
  </sheetViews>
  <sheetFormatPr defaultColWidth="9.140625" defaultRowHeight="10.5" customHeight="1"/>
  <cols>
    <col min="1" max="1" width="6.421875" style="528" customWidth="1"/>
    <col min="2" max="2" width="26.140625" style="528" customWidth="1"/>
    <col min="3" max="3" width="12.421875" style="528" customWidth="1"/>
    <col min="4" max="4" width="6.7109375" style="528" customWidth="1"/>
    <col min="5" max="5" width="12.421875" style="548" customWidth="1"/>
    <col min="6" max="6" width="12.421875" style="549" customWidth="1"/>
    <col min="7" max="7" width="12.421875" style="548" customWidth="1"/>
    <col min="8" max="16384" width="12.421875" style="528" customWidth="1"/>
  </cols>
  <sheetData>
    <row r="1" spans="1:7" ht="12">
      <c r="A1" s="527" t="str">
        <f>Inputs!$D$6</f>
        <v>AVISTA UTILITIES</v>
      </c>
      <c r="B1" s="527"/>
      <c r="C1" s="527"/>
      <c r="E1" s="529"/>
      <c r="F1" s="530"/>
      <c r="G1" s="529"/>
    </row>
    <row r="2" spans="1:7" ht="12">
      <c r="A2" s="527" t="s">
        <v>122</v>
      </c>
      <c r="B2" s="527"/>
      <c r="C2" s="527"/>
      <c r="E2" s="529"/>
      <c r="F2" s="531" t="s">
        <v>182</v>
      </c>
      <c r="G2" s="529"/>
    </row>
    <row r="3" spans="1:7" ht="12">
      <c r="A3" s="527" t="str">
        <f>Inputs!$D$2</f>
        <v>TWELVE MONTHS ENDED DECEMBER 31, 2004</v>
      </c>
      <c r="B3" s="527"/>
      <c r="C3" s="527"/>
      <c r="E3" s="529"/>
      <c r="F3" s="531" t="s">
        <v>173</v>
      </c>
      <c r="G3" s="528"/>
    </row>
    <row r="4" spans="1:7" ht="12">
      <c r="A4" s="527" t="s">
        <v>125</v>
      </c>
      <c r="B4" s="527"/>
      <c r="C4" s="527"/>
      <c r="E4" s="532"/>
      <c r="F4" s="533" t="s">
        <v>126</v>
      </c>
      <c r="G4" s="532"/>
    </row>
    <row r="5" spans="1:7" ht="12">
      <c r="A5" s="534" t="s">
        <v>11</v>
      </c>
      <c r="E5" s="529"/>
      <c r="F5" s="531"/>
      <c r="G5" s="529"/>
    </row>
    <row r="6" spans="1:8" ht="12">
      <c r="A6" s="535" t="s">
        <v>29</v>
      </c>
      <c r="B6" s="536" t="s">
        <v>114</v>
      </c>
      <c r="C6" s="536"/>
      <c r="E6" s="537" t="s">
        <v>127</v>
      </c>
      <c r="F6" s="538" t="s">
        <v>128</v>
      </c>
      <c r="G6" s="537" t="s">
        <v>129</v>
      </c>
      <c r="H6" s="539" t="s">
        <v>130</v>
      </c>
    </row>
    <row r="7" spans="1:7" ht="12">
      <c r="A7" s="534"/>
      <c r="B7" s="528" t="s">
        <v>69</v>
      </c>
      <c r="E7" s="540"/>
      <c r="F7" s="531"/>
      <c r="G7" s="540"/>
    </row>
    <row r="8" spans="1:8" ht="12">
      <c r="A8" s="534">
        <v>1</v>
      </c>
      <c r="B8" s="528" t="s">
        <v>131</v>
      </c>
      <c r="E8" s="541"/>
      <c r="F8" s="541"/>
      <c r="G8" s="541"/>
      <c r="H8" s="542" t="str">
        <f>IF(E8=F8+G8," ","ERROR")</f>
        <v> </v>
      </c>
    </row>
    <row r="9" spans="1:8" ht="12">
      <c r="A9" s="534">
        <v>2</v>
      </c>
      <c r="B9" s="528" t="s">
        <v>132</v>
      </c>
      <c r="E9" s="543"/>
      <c r="F9" s="543"/>
      <c r="G9" s="543"/>
      <c r="H9" s="542" t="str">
        <f>IF(E9=F9+G9," ","ERROR")</f>
        <v> </v>
      </c>
    </row>
    <row r="10" spans="1:8" ht="12">
      <c r="A10" s="534">
        <v>3</v>
      </c>
      <c r="B10" s="528" t="s">
        <v>72</v>
      </c>
      <c r="E10" s="544"/>
      <c r="F10" s="544"/>
      <c r="G10" s="544"/>
      <c r="H10" s="542" t="str">
        <f>IF(E10=F10+G10," ","ERROR")</f>
        <v> </v>
      </c>
    </row>
    <row r="11" spans="1:8" ht="12">
      <c r="A11" s="534">
        <v>4</v>
      </c>
      <c r="B11" s="528" t="s">
        <v>133</v>
      </c>
      <c r="E11" s="543">
        <f>SUM(E8:E10)</f>
        <v>0</v>
      </c>
      <c r="F11" s="543">
        <f>SUM(F8:F10)</f>
        <v>0</v>
      </c>
      <c r="G11" s="543">
        <f>SUM(G8:G10)</f>
        <v>0</v>
      </c>
      <c r="H11" s="542" t="str">
        <f>IF(E11=F11+G11," ","ERROR")</f>
        <v> </v>
      </c>
    </row>
    <row r="12" spans="1:8" ht="12">
      <c r="A12" s="534"/>
      <c r="E12" s="543"/>
      <c r="F12" s="543"/>
      <c r="G12" s="543"/>
      <c r="H12" s="542"/>
    </row>
    <row r="13" spans="1:8" ht="12">
      <c r="A13" s="534"/>
      <c r="B13" s="528" t="s">
        <v>74</v>
      </c>
      <c r="E13" s="543"/>
      <c r="F13" s="543"/>
      <c r="G13" s="543"/>
      <c r="H13" s="542"/>
    </row>
    <row r="14" spans="1:8" ht="12">
      <c r="A14" s="534">
        <v>5</v>
      </c>
      <c r="B14" s="528" t="s">
        <v>134</v>
      </c>
      <c r="E14" s="543"/>
      <c r="F14" s="543"/>
      <c r="G14" s="543"/>
      <c r="H14" s="542" t="str">
        <f>IF(E14=F14+G14," ","ERROR")</f>
        <v> </v>
      </c>
    </row>
    <row r="15" spans="1:8" ht="12">
      <c r="A15" s="534"/>
      <c r="B15" s="528" t="s">
        <v>76</v>
      </c>
      <c r="E15" s="543"/>
      <c r="F15" s="543"/>
      <c r="G15" s="543"/>
      <c r="H15" s="542"/>
    </row>
    <row r="16" spans="1:8" ht="12">
      <c r="A16" s="534">
        <v>6</v>
      </c>
      <c r="B16" s="528" t="s">
        <v>135</v>
      </c>
      <c r="E16" s="543"/>
      <c r="F16" s="543"/>
      <c r="G16" s="543"/>
      <c r="H16" s="542" t="str">
        <f>IF(E16=F16+G16," ","ERROR")</f>
        <v> </v>
      </c>
    </row>
    <row r="17" spans="1:8" ht="12">
      <c r="A17" s="534">
        <v>7</v>
      </c>
      <c r="B17" s="528" t="s">
        <v>136</v>
      </c>
      <c r="E17" s="543"/>
      <c r="F17" s="543"/>
      <c r="G17" s="543"/>
      <c r="H17" s="542" t="str">
        <f>IF(E17=F17+G17," ","ERROR")</f>
        <v> </v>
      </c>
    </row>
    <row r="18" spans="1:8" ht="12">
      <c r="A18" s="534">
        <v>8</v>
      </c>
      <c r="B18" s="528" t="s">
        <v>137</v>
      </c>
      <c r="E18" s="544"/>
      <c r="F18" s="544"/>
      <c r="G18" s="544"/>
      <c r="H18" s="542" t="str">
        <f>IF(E18=F18+G18," ","ERROR")</f>
        <v> </v>
      </c>
    </row>
    <row r="19" spans="1:8" ht="12">
      <c r="A19" s="534">
        <v>9</v>
      </c>
      <c r="B19" s="528" t="s">
        <v>138</v>
      </c>
      <c r="E19" s="543">
        <f>SUM(E16:E18)</f>
        <v>0</v>
      </c>
      <c r="F19" s="543">
        <f>SUM(F16:F18)</f>
        <v>0</v>
      </c>
      <c r="G19" s="543">
        <f>SUM(G16:G18)</f>
        <v>0</v>
      </c>
      <c r="H19" s="542" t="str">
        <f>IF(E19=F19+G19," ","ERROR")</f>
        <v> </v>
      </c>
    </row>
    <row r="20" spans="1:8" ht="12">
      <c r="A20" s="534"/>
      <c r="B20" s="528" t="s">
        <v>81</v>
      </c>
      <c r="E20" s="543"/>
      <c r="F20" s="543"/>
      <c r="G20" s="543"/>
      <c r="H20" s="542"/>
    </row>
    <row r="21" spans="1:8" ht="12">
      <c r="A21" s="534">
        <v>10</v>
      </c>
      <c r="B21" s="528" t="s">
        <v>139</v>
      </c>
      <c r="E21" s="543"/>
      <c r="F21" s="543"/>
      <c r="G21" s="543"/>
      <c r="H21" s="542" t="str">
        <f>IF(E21=F21+G21," ","ERROR")</f>
        <v> </v>
      </c>
    </row>
    <row r="22" spans="1:8" ht="12">
      <c r="A22" s="534">
        <v>11</v>
      </c>
      <c r="B22" s="528" t="s">
        <v>140</v>
      </c>
      <c r="E22" s="543"/>
      <c r="F22" s="543"/>
      <c r="G22" s="543"/>
      <c r="H22" s="542" t="str">
        <f>IF(E22=F22+G22," ","ERROR")</f>
        <v> </v>
      </c>
    </row>
    <row r="23" spans="1:8" ht="12">
      <c r="A23" s="534">
        <v>12</v>
      </c>
      <c r="B23" s="528" t="s">
        <v>141</v>
      </c>
      <c r="E23" s="544"/>
      <c r="F23" s="544"/>
      <c r="G23" s="544"/>
      <c r="H23" s="542" t="str">
        <f>IF(E23=F23+G23," ","ERROR")</f>
        <v> </v>
      </c>
    </row>
    <row r="24" spans="1:8" ht="12">
      <c r="A24" s="534">
        <v>13</v>
      </c>
      <c r="B24" s="528" t="s">
        <v>142</v>
      </c>
      <c r="E24" s="543">
        <f>SUM(E21:E23)</f>
        <v>0</v>
      </c>
      <c r="F24" s="543">
        <f>SUM(F21:F23)</f>
        <v>0</v>
      </c>
      <c r="G24" s="543">
        <f>SUM(G21:G23)</f>
        <v>0</v>
      </c>
      <c r="H24" s="542" t="str">
        <f>IF(E24=F24+G24," ","ERROR")</f>
        <v> </v>
      </c>
    </row>
    <row r="25" spans="1:8" ht="12">
      <c r="A25" s="534"/>
      <c r="B25" s="528" t="s">
        <v>85</v>
      </c>
      <c r="E25" s="543"/>
      <c r="F25" s="543"/>
      <c r="G25" s="543"/>
      <c r="H25" s="542"/>
    </row>
    <row r="26" spans="1:8" ht="12">
      <c r="A26" s="534">
        <v>14</v>
      </c>
      <c r="B26" s="528" t="s">
        <v>139</v>
      </c>
      <c r="E26" s="543"/>
      <c r="F26" s="543"/>
      <c r="G26" s="543"/>
      <c r="H26" s="542" t="str">
        <f>IF(E26=F26+G26," ","ERROR")</f>
        <v> </v>
      </c>
    </row>
    <row r="27" spans="1:8" ht="12">
      <c r="A27" s="534">
        <v>15</v>
      </c>
      <c r="B27" s="528" t="s">
        <v>140</v>
      </c>
      <c r="E27" s="543"/>
      <c r="F27" s="543"/>
      <c r="G27" s="543"/>
      <c r="H27" s="542" t="str">
        <f>IF(E27=F27+G27," ","ERROR")</f>
        <v> </v>
      </c>
    </row>
    <row r="28" spans="1:8" ht="12">
      <c r="A28" s="534">
        <v>16</v>
      </c>
      <c r="B28" s="528" t="s">
        <v>141</v>
      </c>
      <c r="E28" s="544">
        <f>F28+G28</f>
        <v>0</v>
      </c>
      <c r="F28" s="544"/>
      <c r="G28" s="545">
        <v>0</v>
      </c>
      <c r="H28" s="542" t="str">
        <f>IF(E28=F28+G28," ","ERROR")</f>
        <v> </v>
      </c>
    </row>
    <row r="29" spans="1:8" ht="12">
      <c r="A29" s="534">
        <v>17</v>
      </c>
      <c r="B29" s="528" t="s">
        <v>143</v>
      </c>
      <c r="E29" s="543">
        <f>SUM(E26:E28)</f>
        <v>0</v>
      </c>
      <c r="F29" s="543">
        <f>SUM(F26:F28)</f>
        <v>0</v>
      </c>
      <c r="G29" s="543">
        <f>SUM(G26:G28)</f>
        <v>0</v>
      </c>
      <c r="H29" s="542" t="str">
        <f>IF(E29=F29+G29," ","ERROR")</f>
        <v> </v>
      </c>
    </row>
    <row r="30" spans="1:8" ht="12">
      <c r="A30" s="534"/>
      <c r="E30" s="543"/>
      <c r="F30" s="543"/>
      <c r="G30" s="543"/>
      <c r="H30" s="542"/>
    </row>
    <row r="31" spans="1:8" ht="12">
      <c r="A31" s="534">
        <v>18</v>
      </c>
      <c r="B31" s="528" t="s">
        <v>87</v>
      </c>
      <c r="E31" s="543"/>
      <c r="F31" s="543"/>
      <c r="G31" s="543"/>
      <c r="H31" s="542" t="str">
        <f>IF(E31=F31+G31," ","ERROR")</f>
        <v> </v>
      </c>
    </row>
    <row r="32" spans="1:8" ht="12">
      <c r="A32" s="534">
        <v>19</v>
      </c>
      <c r="B32" s="528" t="s">
        <v>88</v>
      </c>
      <c r="E32" s="543"/>
      <c r="F32" s="543"/>
      <c r="G32" s="543"/>
      <c r="H32" s="542" t="str">
        <f>IF(E32=F32+G32," ","ERROR")</f>
        <v> </v>
      </c>
    </row>
    <row r="33" spans="1:8" ht="12">
      <c r="A33" s="534">
        <v>20</v>
      </c>
      <c r="B33" s="528" t="s">
        <v>144</v>
      </c>
      <c r="E33" s="543"/>
      <c r="F33" s="543"/>
      <c r="G33" s="543"/>
      <c r="H33" s="542" t="str">
        <f>IF(E33=F33+G33," ","ERROR")</f>
        <v> </v>
      </c>
    </row>
    <row r="34" spans="1:8" ht="12">
      <c r="A34" s="534"/>
      <c r="B34" s="528" t="s">
        <v>145</v>
      </c>
      <c r="E34" s="543"/>
      <c r="F34" s="543"/>
      <c r="G34" s="543"/>
      <c r="H34" s="542"/>
    </row>
    <row r="35" spans="1:8" ht="12">
      <c r="A35" s="534">
        <v>21</v>
      </c>
      <c r="B35" s="528" t="s">
        <v>139</v>
      </c>
      <c r="E35" s="543">
        <f>SUM(F35:G35)</f>
        <v>26</v>
      </c>
      <c r="F35" s="543">
        <v>26</v>
      </c>
      <c r="G35" s="543"/>
      <c r="H35" s="542" t="str">
        <f>IF(E35=F35+G35," ","ERROR")</f>
        <v> </v>
      </c>
    </row>
    <row r="36" spans="1:8" ht="12">
      <c r="A36" s="534">
        <v>22</v>
      </c>
      <c r="B36" s="528" t="s">
        <v>140</v>
      </c>
      <c r="E36" s="543"/>
      <c r="F36" s="543"/>
      <c r="G36" s="543"/>
      <c r="H36" s="542" t="str">
        <f>IF(E36=F36+G36," ","ERROR")</f>
        <v> </v>
      </c>
    </row>
    <row r="37" spans="1:8" ht="12">
      <c r="A37" s="534">
        <v>23</v>
      </c>
      <c r="B37" s="528" t="s">
        <v>141</v>
      </c>
      <c r="E37" s="544"/>
      <c r="F37" s="544"/>
      <c r="G37" s="544"/>
      <c r="H37" s="542" t="str">
        <f>IF(E37=F37+G37," ","ERROR")</f>
        <v> </v>
      </c>
    </row>
    <row r="38" spans="1:8" ht="12">
      <c r="A38" s="534">
        <v>24</v>
      </c>
      <c r="B38" s="528" t="s">
        <v>146</v>
      </c>
      <c r="E38" s="544">
        <f>SUM(E35:E37)</f>
        <v>26</v>
      </c>
      <c r="F38" s="544">
        <f>SUM(F35:F37)</f>
        <v>26</v>
      </c>
      <c r="G38" s="544">
        <f>SUM(G35:G37)</f>
        <v>0</v>
      </c>
      <c r="H38" s="542" t="str">
        <f>IF(E38=F38+G38," ","ERROR")</f>
        <v> </v>
      </c>
    </row>
    <row r="39" spans="1:8" ht="12">
      <c r="A39" s="534">
        <v>25</v>
      </c>
      <c r="B39" s="528" t="s">
        <v>92</v>
      </c>
      <c r="E39" s="544">
        <f>E19+E24+E29+E31+E32+E33+E38+E14</f>
        <v>26</v>
      </c>
      <c r="F39" s="544">
        <f>F19+F24+F29+F31+F32+F33+F38+F14</f>
        <v>26</v>
      </c>
      <c r="G39" s="544">
        <f>G19+G24+G29+G31+G32+G33+G38+G14</f>
        <v>0</v>
      </c>
      <c r="H39" s="542" t="str">
        <f>IF(E39=F39+G39," ","ERROR")</f>
        <v> </v>
      </c>
    </row>
    <row r="40" spans="1:8" ht="12">
      <c r="A40" s="534"/>
      <c r="E40" s="543"/>
      <c r="F40" s="543"/>
      <c r="G40" s="543"/>
      <c r="H40" s="542"/>
    </row>
    <row r="41" spans="1:8" ht="12">
      <c r="A41" s="534">
        <v>26</v>
      </c>
      <c r="B41" s="528" t="s">
        <v>147</v>
      </c>
      <c r="E41" s="543">
        <f>E11-E39</f>
        <v>-26</v>
      </c>
      <c r="F41" s="543">
        <f>F11-F39</f>
        <v>-26</v>
      </c>
      <c r="G41" s="543">
        <f>G11-G39</f>
        <v>0</v>
      </c>
      <c r="H41" s="542" t="str">
        <f>IF(E41=F41+G41," ","ERROR")</f>
        <v> </v>
      </c>
    </row>
    <row r="42" spans="1:8" ht="12">
      <c r="A42" s="534"/>
      <c r="E42" s="543"/>
      <c r="F42" s="543"/>
      <c r="G42" s="543"/>
      <c r="H42" s="542"/>
    </row>
    <row r="43" spans="1:8" ht="12">
      <c r="A43" s="534"/>
      <c r="B43" s="528" t="s">
        <v>148</v>
      </c>
      <c r="E43" s="543"/>
      <c r="F43" s="543"/>
      <c r="G43" s="543"/>
      <c r="H43" s="542"/>
    </row>
    <row r="44" spans="1:8" ht="12">
      <c r="A44" s="534">
        <v>27</v>
      </c>
      <c r="B44" s="546" t="s">
        <v>149</v>
      </c>
      <c r="D44" s="547">
        <v>0.35</v>
      </c>
      <c r="E44" s="543">
        <f>F44+G44</f>
        <v>-9</v>
      </c>
      <c r="F44" s="543">
        <f>ROUND(F41*D44,0)</f>
        <v>-9</v>
      </c>
      <c r="G44" s="543">
        <f>ROUND(G41*D44,0)</f>
        <v>0</v>
      </c>
      <c r="H44" s="542" t="str">
        <f>IF(E44=F44+G44," ","ERROR")</f>
        <v> </v>
      </c>
    </row>
    <row r="45" spans="1:8" ht="12">
      <c r="A45" s="534">
        <v>28</v>
      </c>
      <c r="B45" s="528" t="s">
        <v>151</v>
      </c>
      <c r="E45" s="543"/>
      <c r="F45" s="543"/>
      <c r="G45" s="543"/>
      <c r="H45" s="542" t="str">
        <f>IF(E45=F45+G45," ","ERROR")</f>
        <v> </v>
      </c>
    </row>
    <row r="46" spans="1:8" ht="12">
      <c r="A46" s="534">
        <v>29</v>
      </c>
      <c r="B46" s="528" t="s">
        <v>150</v>
      </c>
      <c r="E46" s="544"/>
      <c r="F46" s="544"/>
      <c r="G46" s="544"/>
      <c r="H46" s="542" t="str">
        <f>IF(E46=F46+G46," ","ERROR")</f>
        <v> </v>
      </c>
    </row>
    <row r="47" spans="1:8" ht="12">
      <c r="A47" s="534"/>
      <c r="H47" s="542"/>
    </row>
    <row r="48" spans="1:8" ht="12.75" thickBot="1">
      <c r="A48" s="534">
        <v>30</v>
      </c>
      <c r="B48" s="550" t="s">
        <v>98</v>
      </c>
      <c r="E48" s="551">
        <f>E41-(+E44+E45+E46)</f>
        <v>-17</v>
      </c>
      <c r="F48" s="551">
        <f>F41-F44+F45+F46</f>
        <v>-17</v>
      </c>
      <c r="G48" s="551">
        <f>G41-SUM(G44:G46)</f>
        <v>0</v>
      </c>
      <c r="H48" s="542" t="str">
        <f>IF(E48=F48+G48," ","ERROR")</f>
        <v> </v>
      </c>
    </row>
    <row r="49" spans="1:8" ht="12.75" thickTop="1">
      <c r="A49" s="534"/>
      <c r="H49" s="542"/>
    </row>
    <row r="50" spans="1:8" ht="12">
      <c r="A50" s="534"/>
      <c r="B50" s="546" t="s">
        <v>152</v>
      </c>
      <c r="H50" s="542"/>
    </row>
    <row r="51" spans="1:8" ht="12">
      <c r="A51" s="534"/>
      <c r="B51" s="546" t="s">
        <v>153</v>
      </c>
      <c r="H51" s="542"/>
    </row>
    <row r="52" spans="1:8" ht="12">
      <c r="A52" s="534">
        <v>31</v>
      </c>
      <c r="B52" s="528" t="s">
        <v>154</v>
      </c>
      <c r="E52" s="541"/>
      <c r="F52" s="541"/>
      <c r="G52" s="541"/>
      <c r="H52" s="542" t="str">
        <f aca="true" t="shared" si="0" ref="H52:H63">IF(E52=F52+G52," ","ERROR")</f>
        <v> </v>
      </c>
    </row>
    <row r="53" spans="1:8" ht="12">
      <c r="A53" s="534">
        <v>32</v>
      </c>
      <c r="B53" s="528" t="s">
        <v>155</v>
      </c>
      <c r="E53" s="543"/>
      <c r="F53" s="543"/>
      <c r="G53" s="543"/>
      <c r="H53" s="542" t="str">
        <f t="shared" si="0"/>
        <v> </v>
      </c>
    </row>
    <row r="54" spans="1:8" ht="12">
      <c r="A54" s="534">
        <v>33</v>
      </c>
      <c r="B54" s="528" t="s">
        <v>164</v>
      </c>
      <c r="E54" s="544"/>
      <c r="F54" s="544"/>
      <c r="G54" s="544"/>
      <c r="H54" s="542" t="str">
        <f t="shared" si="0"/>
        <v> </v>
      </c>
    </row>
    <row r="55" spans="1:8" ht="12">
      <c r="A55" s="534">
        <v>34</v>
      </c>
      <c r="B55" s="528" t="s">
        <v>157</v>
      </c>
      <c r="E55" s="543">
        <f>SUM(E52:E54)</f>
        <v>0</v>
      </c>
      <c r="F55" s="543">
        <f>SUM(F52:F54)</f>
        <v>0</v>
      </c>
      <c r="G55" s="543">
        <f>SUM(G52:G54)</f>
        <v>0</v>
      </c>
      <c r="H55" s="542" t="str">
        <f t="shared" si="0"/>
        <v> </v>
      </c>
    </row>
    <row r="56" spans="1:8" ht="12">
      <c r="A56" s="534"/>
      <c r="B56" s="528" t="s">
        <v>103</v>
      </c>
      <c r="E56" s="543"/>
      <c r="F56" s="543"/>
      <c r="G56" s="543"/>
      <c r="H56" s="542" t="str">
        <f t="shared" si="0"/>
        <v> </v>
      </c>
    </row>
    <row r="57" spans="1:8" ht="12">
      <c r="A57" s="534">
        <v>35</v>
      </c>
      <c r="B57" s="528" t="s">
        <v>154</v>
      </c>
      <c r="E57" s="543"/>
      <c r="F57" s="543"/>
      <c r="G57" s="543"/>
      <c r="H57" s="542" t="str">
        <f t="shared" si="0"/>
        <v> </v>
      </c>
    </row>
    <row r="58" spans="1:8" ht="12">
      <c r="A58" s="534">
        <v>36</v>
      </c>
      <c r="B58" s="528" t="s">
        <v>155</v>
      </c>
      <c r="E58" s="543"/>
      <c r="F58" s="543"/>
      <c r="G58" s="543"/>
      <c r="H58" s="542" t="str">
        <f t="shared" si="0"/>
        <v> </v>
      </c>
    </row>
    <row r="59" spans="1:8" ht="12">
      <c r="A59" s="534">
        <v>37</v>
      </c>
      <c r="B59" s="528" t="s">
        <v>164</v>
      </c>
      <c r="E59" s="544"/>
      <c r="F59" s="544"/>
      <c r="G59" s="544"/>
      <c r="H59" s="542" t="str">
        <f t="shared" si="0"/>
        <v> </v>
      </c>
    </row>
    <row r="60" spans="1:8" ht="12">
      <c r="A60" s="534">
        <v>38</v>
      </c>
      <c r="B60" s="528" t="s">
        <v>158</v>
      </c>
      <c r="E60" s="543">
        <f>SUM(E57:E59)</f>
        <v>0</v>
      </c>
      <c r="F60" s="543">
        <f>SUM(F57:F59)</f>
        <v>0</v>
      </c>
      <c r="G60" s="543">
        <f>SUM(G57:G59)</f>
        <v>0</v>
      </c>
      <c r="H60" s="542" t="str">
        <f t="shared" si="0"/>
        <v> </v>
      </c>
    </row>
    <row r="61" spans="1:8" ht="12">
      <c r="A61" s="534">
        <v>39</v>
      </c>
      <c r="B61" s="546" t="s">
        <v>159</v>
      </c>
      <c r="E61" s="543"/>
      <c r="F61" s="543"/>
      <c r="G61" s="543"/>
      <c r="H61" s="542" t="str">
        <f t="shared" si="0"/>
        <v> </v>
      </c>
    </row>
    <row r="62" spans="1:8" ht="12">
      <c r="A62" s="534">
        <v>40</v>
      </c>
      <c r="B62" s="528" t="s">
        <v>106</v>
      </c>
      <c r="E62" s="543"/>
      <c r="F62" s="543"/>
      <c r="G62" s="543"/>
      <c r="H62" s="542" t="str">
        <f t="shared" si="0"/>
        <v> </v>
      </c>
    </row>
    <row r="63" spans="1:8" ht="12">
      <c r="A63" s="534">
        <v>41</v>
      </c>
      <c r="B63" s="546" t="s">
        <v>107</v>
      </c>
      <c r="E63" s="544"/>
      <c r="F63" s="544"/>
      <c r="G63" s="544"/>
      <c r="H63" s="542" t="str">
        <f t="shared" si="0"/>
        <v> </v>
      </c>
    </row>
    <row r="64" spans="1:8" ht="9" customHeight="1">
      <c r="A64" s="534"/>
      <c r="B64" s="528" t="s">
        <v>160</v>
      </c>
      <c r="H64" s="542"/>
    </row>
    <row r="65" spans="1:8" ht="12.75" thickBot="1">
      <c r="A65" s="534">
        <v>42</v>
      </c>
      <c r="B65" s="550" t="s">
        <v>108</v>
      </c>
      <c r="E65" s="551">
        <f>E55-E60+E61+E62+E63</f>
        <v>0</v>
      </c>
      <c r="F65" s="551">
        <f>F55-F60+F61+F62+F63</f>
        <v>0</v>
      </c>
      <c r="G65" s="551">
        <f>G55-G60+G61+G62+G63</f>
        <v>0</v>
      </c>
      <c r="H65" s="542" t="str">
        <f>IF(E65=F65+G65," ","ERROR")</f>
        <v> </v>
      </c>
    </row>
    <row r="66" spans="1:7" ht="12.75" thickTop="1">
      <c r="A66" s="527" t="str">
        <f>Inputs!$D$6</f>
        <v>AVISTA UTILITIES</v>
      </c>
      <c r="B66" s="527"/>
      <c r="C66" s="527"/>
      <c r="G66" s="528"/>
    </row>
    <row r="67" spans="1:7" ht="12">
      <c r="A67" s="527" t="s">
        <v>168</v>
      </c>
      <c r="B67" s="527"/>
      <c r="C67" s="527"/>
      <c r="G67" s="528"/>
    </row>
    <row r="68" spans="1:7" ht="12">
      <c r="A68" s="527" t="str">
        <f>A3</f>
        <v>TWELVE MONTHS ENDED DECEMBER 31, 2004</v>
      </c>
      <c r="B68" s="527"/>
      <c r="C68" s="527"/>
      <c r="F68" s="531" t="str">
        <f>F2</f>
        <v>REGULATORY EXPENSE</v>
      </c>
      <c r="G68" s="528"/>
    </row>
    <row r="69" spans="1:7" ht="12">
      <c r="A69" s="527" t="s">
        <v>169</v>
      </c>
      <c r="B69" s="527"/>
      <c r="C69" s="527"/>
      <c r="F69" s="531" t="str">
        <f>F3</f>
        <v>ADJUSTMENT</v>
      </c>
      <c r="G69" s="528"/>
    </row>
    <row r="70" spans="5:7" ht="12">
      <c r="E70" s="552"/>
      <c r="F70" s="538" t="str">
        <f>F4</f>
        <v>GAS</v>
      </c>
      <c r="G70" s="553"/>
    </row>
    <row r="71" spans="1:6" ht="12">
      <c r="A71" s="534" t="s">
        <v>11</v>
      </c>
      <c r="F71" s="531"/>
    </row>
    <row r="72" spans="1:6" ht="12">
      <c r="A72" s="554" t="s">
        <v>29</v>
      </c>
      <c r="B72" s="536" t="s">
        <v>114</v>
      </c>
      <c r="C72" s="536"/>
      <c r="F72" s="538" t="s">
        <v>129</v>
      </c>
    </row>
    <row r="73" spans="1:7" ht="12">
      <c r="A73" s="534"/>
      <c r="B73" s="528" t="s">
        <v>69</v>
      </c>
      <c r="E73" s="528"/>
      <c r="G73" s="528"/>
    </row>
    <row r="74" spans="1:7" ht="12">
      <c r="A74" s="534">
        <v>1</v>
      </c>
      <c r="B74" s="528" t="s">
        <v>131</v>
      </c>
      <c r="E74" s="528"/>
      <c r="F74" s="541">
        <f>G8</f>
        <v>0</v>
      </c>
      <c r="G74" s="528"/>
    </row>
    <row r="75" spans="1:7" ht="12">
      <c r="A75" s="534">
        <v>2</v>
      </c>
      <c r="B75" s="528" t="s">
        <v>132</v>
      </c>
      <c r="E75" s="528"/>
      <c r="F75" s="543">
        <f>G9</f>
        <v>0</v>
      </c>
      <c r="G75" s="528"/>
    </row>
    <row r="76" spans="1:7" ht="12">
      <c r="A76" s="534">
        <v>3</v>
      </c>
      <c r="B76" s="528" t="s">
        <v>72</v>
      </c>
      <c r="E76" s="528"/>
      <c r="F76" s="544">
        <f>G10</f>
        <v>0</v>
      </c>
      <c r="G76" s="528"/>
    </row>
    <row r="77" spans="1:7" ht="12">
      <c r="A77" s="534"/>
      <c r="E77" s="528"/>
      <c r="F77" s="543"/>
      <c r="G77" s="528"/>
    </row>
    <row r="78" spans="1:7" ht="12">
      <c r="A78" s="534">
        <v>4</v>
      </c>
      <c r="B78" s="528" t="s">
        <v>133</v>
      </c>
      <c r="E78" s="528"/>
      <c r="F78" s="543">
        <f>F74+F75+F76</f>
        <v>0</v>
      </c>
      <c r="G78" s="528"/>
    </row>
    <row r="79" spans="1:7" ht="12">
      <c r="A79" s="534"/>
      <c r="E79" s="528"/>
      <c r="F79" s="543"/>
      <c r="G79" s="528"/>
    </row>
    <row r="80" spans="1:7" ht="12">
      <c r="A80" s="534"/>
      <c r="B80" s="528" t="s">
        <v>74</v>
      </c>
      <c r="E80" s="528"/>
      <c r="F80" s="543"/>
      <c r="G80" s="528"/>
    </row>
    <row r="81" spans="1:7" ht="12">
      <c r="A81" s="534">
        <v>5</v>
      </c>
      <c r="B81" s="528" t="s">
        <v>134</v>
      </c>
      <c r="E81" s="528"/>
      <c r="F81" s="543">
        <f>G14</f>
        <v>0</v>
      </c>
      <c r="G81" s="528"/>
    </row>
    <row r="82" spans="1:7" ht="12">
      <c r="A82" s="534"/>
      <c r="B82" s="528" t="s">
        <v>76</v>
      </c>
      <c r="E82" s="528"/>
      <c r="F82" s="543"/>
      <c r="G82" s="528"/>
    </row>
    <row r="83" spans="1:7" ht="12">
      <c r="A83" s="534">
        <v>6</v>
      </c>
      <c r="B83" s="528" t="s">
        <v>135</v>
      </c>
      <c r="E83" s="528"/>
      <c r="F83" s="543">
        <f>G16</f>
        <v>0</v>
      </c>
      <c r="G83" s="528"/>
    </row>
    <row r="84" spans="1:7" ht="12">
      <c r="A84" s="534">
        <v>7</v>
      </c>
      <c r="B84" s="528" t="s">
        <v>136</v>
      </c>
      <c r="E84" s="528"/>
      <c r="F84" s="543">
        <f>G17</f>
        <v>0</v>
      </c>
      <c r="G84" s="528"/>
    </row>
    <row r="85" spans="1:7" ht="12">
      <c r="A85" s="534">
        <v>8</v>
      </c>
      <c r="B85" s="528" t="s">
        <v>137</v>
      </c>
      <c r="E85" s="528"/>
      <c r="F85" s="544">
        <f>G18</f>
        <v>0</v>
      </c>
      <c r="G85" s="528"/>
    </row>
    <row r="86" spans="1:7" ht="12">
      <c r="A86" s="534">
        <v>9</v>
      </c>
      <c r="B86" s="528" t="s">
        <v>138</v>
      </c>
      <c r="E86" s="528"/>
      <c r="F86" s="543">
        <f>F83+F84+F85</f>
        <v>0</v>
      </c>
      <c r="G86" s="528"/>
    </row>
    <row r="87" spans="1:7" ht="12">
      <c r="A87" s="534"/>
      <c r="B87" s="528" t="s">
        <v>81</v>
      </c>
      <c r="E87" s="528"/>
      <c r="F87" s="543"/>
      <c r="G87" s="528"/>
    </row>
    <row r="88" spans="1:7" ht="12">
      <c r="A88" s="534">
        <v>10</v>
      </c>
      <c r="B88" s="528" t="s">
        <v>139</v>
      </c>
      <c r="E88" s="528"/>
      <c r="F88" s="543">
        <f>G21</f>
        <v>0</v>
      </c>
      <c r="G88" s="528"/>
    </row>
    <row r="89" spans="1:7" ht="12">
      <c r="A89" s="534">
        <v>11</v>
      </c>
      <c r="B89" s="528" t="s">
        <v>140</v>
      </c>
      <c r="E89" s="528"/>
      <c r="F89" s="543">
        <f>G22</f>
        <v>0</v>
      </c>
      <c r="G89" s="528"/>
    </row>
    <row r="90" spans="1:7" ht="12">
      <c r="A90" s="534">
        <v>12</v>
      </c>
      <c r="B90" s="528" t="s">
        <v>141</v>
      </c>
      <c r="E90" s="528"/>
      <c r="F90" s="544">
        <f>G23</f>
        <v>0</v>
      </c>
      <c r="G90" s="528"/>
    </row>
    <row r="91" spans="1:7" ht="12">
      <c r="A91" s="534">
        <v>13</v>
      </c>
      <c r="B91" s="528" t="s">
        <v>142</v>
      </c>
      <c r="E91" s="528"/>
      <c r="F91" s="543">
        <f>F88+F89+F90</f>
        <v>0</v>
      </c>
      <c r="G91" s="528"/>
    </row>
    <row r="92" spans="1:7" ht="12">
      <c r="A92" s="534"/>
      <c r="B92" s="528" t="s">
        <v>85</v>
      </c>
      <c r="E92" s="528"/>
      <c r="F92" s="543"/>
      <c r="G92" s="528"/>
    </row>
    <row r="93" spans="1:7" ht="12">
      <c r="A93" s="534">
        <v>14</v>
      </c>
      <c r="B93" s="528" t="s">
        <v>139</v>
      </c>
      <c r="E93" s="528"/>
      <c r="F93" s="543">
        <f>G26</f>
        <v>0</v>
      </c>
      <c r="G93" s="528"/>
    </row>
    <row r="94" spans="1:7" ht="12">
      <c r="A94" s="534">
        <v>15</v>
      </c>
      <c r="B94" s="528" t="s">
        <v>140</v>
      </c>
      <c r="E94" s="528"/>
      <c r="F94" s="543">
        <f>G27</f>
        <v>0</v>
      </c>
      <c r="G94" s="528"/>
    </row>
    <row r="95" spans="1:7" ht="12">
      <c r="A95" s="534">
        <v>16</v>
      </c>
      <c r="B95" s="528" t="s">
        <v>141</v>
      </c>
      <c r="E95" s="528"/>
      <c r="F95" s="544"/>
      <c r="G95" s="528"/>
    </row>
    <row r="96" spans="1:7" ht="12">
      <c r="A96" s="534">
        <v>17</v>
      </c>
      <c r="B96" s="528" t="s">
        <v>143</v>
      </c>
      <c r="E96" s="528"/>
      <c r="F96" s="543">
        <f>F93+F94+F95</f>
        <v>0</v>
      </c>
      <c r="G96" s="528"/>
    </row>
    <row r="97" spans="1:7" ht="12">
      <c r="A97" s="534">
        <v>18</v>
      </c>
      <c r="B97" s="528" t="s">
        <v>87</v>
      </c>
      <c r="E97" s="528"/>
      <c r="F97" s="543">
        <f>G31</f>
        <v>0</v>
      </c>
      <c r="G97" s="528"/>
    </row>
    <row r="98" spans="1:7" ht="12">
      <c r="A98" s="534">
        <v>19</v>
      </c>
      <c r="B98" s="528" t="s">
        <v>88</v>
      </c>
      <c r="E98" s="528"/>
      <c r="F98" s="543">
        <f>G32</f>
        <v>0</v>
      </c>
      <c r="G98" s="528"/>
    </row>
    <row r="99" spans="1:7" ht="12">
      <c r="A99" s="534">
        <v>20</v>
      </c>
      <c r="B99" s="528" t="s">
        <v>144</v>
      </c>
      <c r="E99" s="528"/>
      <c r="F99" s="543">
        <f>G33</f>
        <v>0</v>
      </c>
      <c r="G99" s="528"/>
    </row>
    <row r="100" spans="1:7" ht="12">
      <c r="A100" s="534"/>
      <c r="B100" s="528" t="s">
        <v>145</v>
      </c>
      <c r="E100" s="528"/>
      <c r="F100" s="543"/>
      <c r="G100" s="528"/>
    </row>
    <row r="101" spans="1:7" ht="12">
      <c r="A101" s="534">
        <v>21</v>
      </c>
      <c r="B101" s="528" t="s">
        <v>139</v>
      </c>
      <c r="E101" s="528"/>
      <c r="F101" s="543">
        <f>G35</f>
        <v>0</v>
      </c>
      <c r="G101" s="528"/>
    </row>
    <row r="102" spans="1:7" ht="12">
      <c r="A102" s="534">
        <v>22</v>
      </c>
      <c r="B102" s="528" t="s">
        <v>140</v>
      </c>
      <c r="E102" s="528"/>
      <c r="F102" s="543">
        <f>G36</f>
        <v>0</v>
      </c>
      <c r="G102" s="528"/>
    </row>
    <row r="103" spans="1:7" ht="12">
      <c r="A103" s="534">
        <v>23</v>
      </c>
      <c r="B103" s="528" t="s">
        <v>141</v>
      </c>
      <c r="E103" s="528"/>
      <c r="F103" s="544">
        <f>G37</f>
        <v>0</v>
      </c>
      <c r="G103" s="528"/>
    </row>
    <row r="104" spans="1:7" ht="12">
      <c r="A104" s="534">
        <v>24</v>
      </c>
      <c r="B104" s="528" t="s">
        <v>146</v>
      </c>
      <c r="E104" s="528"/>
      <c r="F104" s="544">
        <f>F101+F102+F103</f>
        <v>0</v>
      </c>
      <c r="G104" s="528"/>
    </row>
    <row r="105" spans="1:7" ht="12">
      <c r="A105" s="534"/>
      <c r="E105" s="528"/>
      <c r="F105" s="543"/>
      <c r="G105" s="528"/>
    </row>
    <row r="106" spans="1:7" ht="12">
      <c r="A106" s="534">
        <v>25</v>
      </c>
      <c r="B106" s="528" t="s">
        <v>92</v>
      </c>
      <c r="E106" s="528"/>
      <c r="F106" s="544">
        <f>F104+F99+F98+F97+F96+F91+F86+F81</f>
        <v>0</v>
      </c>
      <c r="G106" s="528"/>
    </row>
    <row r="107" spans="1:7" ht="12">
      <c r="A107" s="534"/>
      <c r="E107" s="528"/>
      <c r="F107" s="543"/>
      <c r="G107" s="528"/>
    </row>
    <row r="108" spans="1:7" ht="12">
      <c r="A108" s="534">
        <v>26</v>
      </c>
      <c r="B108" s="528" t="s">
        <v>170</v>
      </c>
      <c r="E108" s="528"/>
      <c r="F108" s="544">
        <f>F78-F106</f>
        <v>0</v>
      </c>
      <c r="G108" s="528"/>
    </row>
    <row r="109" spans="1:7" ht="12">
      <c r="A109" s="534"/>
      <c r="E109" s="528"/>
      <c r="G109" s="528"/>
    </row>
    <row r="110" spans="1:7" ht="12">
      <c r="A110" s="534">
        <v>27</v>
      </c>
      <c r="B110" s="528" t="s">
        <v>171</v>
      </c>
      <c r="G110" s="528"/>
    </row>
    <row r="111" spans="1:7" ht="12.75" thickBot="1">
      <c r="A111" s="534"/>
      <c r="B111" s="555" t="s">
        <v>172</v>
      </c>
      <c r="C111" s="556">
        <f>Inputs!$D$4</f>
        <v>0.01065</v>
      </c>
      <c r="F111" s="557">
        <f>ROUND(F108*C111,0)</f>
        <v>0</v>
      </c>
      <c r="G111" s="528"/>
    </row>
    <row r="112" spans="1:7" ht="12.75" thickTop="1">
      <c r="A112" s="534"/>
      <c r="G112" s="528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31">
      <selection activeCell="F36" sqref="F36"/>
    </sheetView>
  </sheetViews>
  <sheetFormatPr defaultColWidth="9.140625" defaultRowHeight="12" customHeight="1"/>
  <cols>
    <col min="1" max="1" width="5.57421875" style="559" customWidth="1"/>
    <col min="2" max="2" width="26.140625" style="559" customWidth="1"/>
    <col min="3" max="3" width="12.421875" style="559" customWidth="1"/>
    <col min="4" max="4" width="6.7109375" style="559" customWidth="1"/>
    <col min="5" max="5" width="12.421875" style="578" customWidth="1"/>
    <col min="6" max="6" width="12.421875" style="579" customWidth="1"/>
    <col min="7" max="7" width="12.421875" style="578" customWidth="1"/>
    <col min="8" max="8" width="12.421875" style="559" customWidth="1"/>
    <col min="9" max="16384" width="9.140625" style="562" customWidth="1"/>
  </cols>
  <sheetData>
    <row r="1" spans="1:7" ht="12" customHeight="1">
      <c r="A1" s="558" t="str">
        <f>Inputs!$D$6</f>
        <v>AVISTA UTILITIES</v>
      </c>
      <c r="B1" s="558"/>
      <c r="C1" s="558"/>
      <c r="E1" s="560"/>
      <c r="F1" s="561"/>
      <c r="G1" s="560"/>
    </row>
    <row r="2" spans="1:7" ht="12" customHeight="1">
      <c r="A2" s="558" t="s">
        <v>122</v>
      </c>
      <c r="B2" s="558"/>
      <c r="C2" s="558"/>
      <c r="E2" s="560"/>
      <c r="F2" s="563" t="s">
        <v>183</v>
      </c>
      <c r="G2" s="560"/>
    </row>
    <row r="3" spans="1:7" ht="12" customHeight="1">
      <c r="A3" s="558" t="str">
        <f>Inputs!$D$2</f>
        <v>TWELVE MONTHS ENDED DECEMBER 31, 2004</v>
      </c>
      <c r="B3" s="558"/>
      <c r="C3" s="558"/>
      <c r="E3" s="560"/>
      <c r="F3" s="563" t="s">
        <v>184</v>
      </c>
      <c r="G3" s="559"/>
    </row>
    <row r="4" spans="1:7" ht="12" customHeight="1">
      <c r="A4" s="558" t="s">
        <v>125</v>
      </c>
      <c r="B4" s="558"/>
      <c r="C4" s="558"/>
      <c r="E4" s="564"/>
      <c r="F4" s="565" t="s">
        <v>126</v>
      </c>
      <c r="G4" s="564"/>
    </row>
    <row r="5" spans="1:7" ht="12" customHeight="1">
      <c r="A5" s="566" t="s">
        <v>11</v>
      </c>
      <c r="E5" s="560"/>
      <c r="F5" s="563"/>
      <c r="G5" s="560"/>
    </row>
    <row r="6" spans="1:8" ht="12" customHeight="1">
      <c r="A6" s="567" t="s">
        <v>29</v>
      </c>
      <c r="B6" s="568" t="s">
        <v>114</v>
      </c>
      <c r="C6" s="568"/>
      <c r="E6" s="569" t="s">
        <v>127</v>
      </c>
      <c r="F6" s="570" t="s">
        <v>128</v>
      </c>
      <c r="G6" s="569" t="s">
        <v>129</v>
      </c>
      <c r="H6" s="571" t="s">
        <v>130</v>
      </c>
    </row>
    <row r="7" spans="1:7" ht="12" customHeight="1">
      <c r="A7" s="566"/>
      <c r="B7" s="559" t="s">
        <v>69</v>
      </c>
      <c r="E7" s="572"/>
      <c r="F7" s="563"/>
      <c r="G7" s="572"/>
    </row>
    <row r="8" spans="1:8" ht="12" customHeight="1">
      <c r="A8" s="566">
        <v>1</v>
      </c>
      <c r="B8" s="559" t="s">
        <v>131</v>
      </c>
      <c r="E8" s="573"/>
      <c r="F8" s="573"/>
      <c r="G8" s="573"/>
      <c r="H8" s="574" t="str">
        <f>IF(E8=F8+G8," ","ERROR")</f>
        <v> </v>
      </c>
    </row>
    <row r="9" spans="1:8" ht="12" customHeight="1">
      <c r="A9" s="566">
        <v>2</v>
      </c>
      <c r="B9" s="559" t="s">
        <v>132</v>
      </c>
      <c r="E9" s="575"/>
      <c r="F9" s="575"/>
      <c r="G9" s="575"/>
      <c r="H9" s="574" t="str">
        <f>IF(E9=F9+G9," ","ERROR")</f>
        <v> </v>
      </c>
    </row>
    <row r="10" spans="1:8" ht="12" customHeight="1">
      <c r="A10" s="566">
        <v>3</v>
      </c>
      <c r="B10" s="559" t="s">
        <v>72</v>
      </c>
      <c r="E10" s="576"/>
      <c r="F10" s="576"/>
      <c r="G10" s="576"/>
      <c r="H10" s="574" t="str">
        <f>IF(E10=F10+G10," ","ERROR")</f>
        <v> </v>
      </c>
    </row>
    <row r="11" spans="1:8" ht="12" customHeight="1">
      <c r="A11" s="566">
        <v>4</v>
      </c>
      <c r="B11" s="559" t="s">
        <v>133</v>
      </c>
      <c r="E11" s="575">
        <f>SUM(E8:E10)</f>
        <v>0</v>
      </c>
      <c r="F11" s="575">
        <f>SUM(F8:F10)</f>
        <v>0</v>
      </c>
      <c r="G11" s="575">
        <f>SUM(G8:G10)</f>
        <v>0</v>
      </c>
      <c r="H11" s="574" t="str">
        <f>IF(E11=F11+G11," ","ERROR")</f>
        <v> </v>
      </c>
    </row>
    <row r="12" spans="1:8" ht="12" customHeight="1">
      <c r="A12" s="566"/>
      <c r="E12" s="575"/>
      <c r="F12" s="575"/>
      <c r="G12" s="575"/>
      <c r="H12" s="574"/>
    </row>
    <row r="13" spans="1:8" ht="12" customHeight="1">
      <c r="A13" s="566"/>
      <c r="B13" s="559" t="s">
        <v>74</v>
      </c>
      <c r="E13" s="575"/>
      <c r="F13" s="575"/>
      <c r="G13" s="575"/>
      <c r="H13" s="574"/>
    </row>
    <row r="14" spans="1:8" ht="12" customHeight="1">
      <c r="A14" s="566">
        <v>5</v>
      </c>
      <c r="B14" s="559" t="s">
        <v>134</v>
      </c>
      <c r="E14" s="575"/>
      <c r="F14" s="575"/>
      <c r="G14" s="575"/>
      <c r="H14" s="574" t="str">
        <f>IF(E14=F14+G14," ","ERROR")</f>
        <v> </v>
      </c>
    </row>
    <row r="15" spans="1:8" ht="12" customHeight="1">
      <c r="A15" s="566"/>
      <c r="B15" s="559" t="s">
        <v>76</v>
      </c>
      <c r="E15" s="575"/>
      <c r="F15" s="575"/>
      <c r="G15" s="575"/>
      <c r="H15" s="574"/>
    </row>
    <row r="16" spans="1:8" ht="12" customHeight="1">
      <c r="A16" s="566">
        <v>6</v>
      </c>
      <c r="B16" s="559" t="s">
        <v>135</v>
      </c>
      <c r="E16" s="575"/>
      <c r="F16" s="575"/>
      <c r="G16" s="575"/>
      <c r="H16" s="574" t="str">
        <f>IF(E16=F16+G16," ","ERROR")</f>
        <v> </v>
      </c>
    </row>
    <row r="17" spans="1:8" ht="12" customHeight="1">
      <c r="A17" s="566">
        <v>7</v>
      </c>
      <c r="B17" s="559" t="s">
        <v>136</v>
      </c>
      <c r="E17" s="575"/>
      <c r="F17" s="575"/>
      <c r="G17" s="575"/>
      <c r="H17" s="574" t="str">
        <f>IF(E17=F17+G17," ","ERROR")</f>
        <v> </v>
      </c>
    </row>
    <row r="18" spans="1:8" ht="12" customHeight="1">
      <c r="A18" s="566">
        <v>8</v>
      </c>
      <c r="B18" s="559" t="s">
        <v>137</v>
      </c>
      <c r="E18" s="576"/>
      <c r="F18" s="576"/>
      <c r="G18" s="576"/>
      <c r="H18" s="574" t="str">
        <f>IF(E18=F18+G18," ","ERROR")</f>
        <v> </v>
      </c>
    </row>
    <row r="19" spans="1:8" ht="12" customHeight="1">
      <c r="A19" s="566">
        <v>9</v>
      </c>
      <c r="B19" s="559" t="s">
        <v>138</v>
      </c>
      <c r="E19" s="575">
        <f>SUM(E16:E18)</f>
        <v>0</v>
      </c>
      <c r="F19" s="575">
        <f>SUM(F16:F18)</f>
        <v>0</v>
      </c>
      <c r="G19" s="575">
        <f>SUM(G16:G18)</f>
        <v>0</v>
      </c>
      <c r="H19" s="574" t="str">
        <f>IF(E19=F19+G19," ","ERROR")</f>
        <v> </v>
      </c>
    </row>
    <row r="20" spans="1:8" ht="12" customHeight="1">
      <c r="A20" s="566"/>
      <c r="B20" s="559" t="s">
        <v>81</v>
      </c>
      <c r="E20" s="575"/>
      <c r="F20" s="575"/>
      <c r="G20" s="575"/>
      <c r="H20" s="574"/>
    </row>
    <row r="21" spans="1:8" ht="12" customHeight="1">
      <c r="A21" s="566">
        <v>10</v>
      </c>
      <c r="B21" s="559" t="s">
        <v>139</v>
      </c>
      <c r="E21" s="575"/>
      <c r="F21" s="575"/>
      <c r="G21" s="575"/>
      <c r="H21" s="574" t="str">
        <f>IF(E21=F21+G21," ","ERROR")</f>
        <v> </v>
      </c>
    </row>
    <row r="22" spans="1:8" ht="12" customHeight="1">
      <c r="A22" s="566">
        <v>11</v>
      </c>
      <c r="B22" s="559" t="s">
        <v>140</v>
      </c>
      <c r="E22" s="575"/>
      <c r="F22" s="575"/>
      <c r="G22" s="575"/>
      <c r="H22" s="574" t="str">
        <f>IF(E22=F22+G22," ","ERROR")</f>
        <v> </v>
      </c>
    </row>
    <row r="23" spans="1:8" ht="12" customHeight="1">
      <c r="A23" s="566">
        <v>12</v>
      </c>
      <c r="B23" s="559" t="s">
        <v>141</v>
      </c>
      <c r="E23" s="576"/>
      <c r="F23" s="576"/>
      <c r="G23" s="576"/>
      <c r="H23" s="574" t="str">
        <f>IF(E23=F23+G23," ","ERROR")</f>
        <v> </v>
      </c>
    </row>
    <row r="24" spans="1:8" ht="12" customHeight="1">
      <c r="A24" s="566">
        <v>13</v>
      </c>
      <c r="B24" s="559" t="s">
        <v>142</v>
      </c>
      <c r="E24" s="575">
        <f>SUM(E21:E23)</f>
        <v>0</v>
      </c>
      <c r="F24" s="575">
        <f>SUM(F21:F23)</f>
        <v>0</v>
      </c>
      <c r="G24" s="575">
        <f>SUM(G21:G23)</f>
        <v>0</v>
      </c>
      <c r="H24" s="574" t="str">
        <f>IF(E24=F24+G24," ","ERROR")</f>
        <v> </v>
      </c>
    </row>
    <row r="25" spans="1:8" ht="12" customHeight="1">
      <c r="A25" s="566"/>
      <c r="B25" s="559" t="s">
        <v>85</v>
      </c>
      <c r="E25" s="575"/>
      <c r="F25" s="575"/>
      <c r="G25" s="575"/>
      <c r="H25" s="574"/>
    </row>
    <row r="26" spans="1:8" ht="12" customHeight="1">
      <c r="A26" s="566">
        <v>14</v>
      </c>
      <c r="B26" s="559" t="s">
        <v>139</v>
      </c>
      <c r="E26" s="575"/>
      <c r="F26" s="575"/>
      <c r="G26" s="575"/>
      <c r="H26" s="574" t="str">
        <f>IF(E26=F26+G26," ","ERROR")</f>
        <v> </v>
      </c>
    </row>
    <row r="27" spans="1:8" ht="12" customHeight="1">
      <c r="A27" s="566">
        <v>15</v>
      </c>
      <c r="B27" s="559" t="s">
        <v>140</v>
      </c>
      <c r="E27" s="575"/>
      <c r="F27" s="575"/>
      <c r="G27" s="575"/>
      <c r="H27" s="574" t="str">
        <f>IF(E27=F27+G27," ","ERROR")</f>
        <v> </v>
      </c>
    </row>
    <row r="28" spans="1:8" ht="12" customHeight="1">
      <c r="A28" s="566">
        <v>16</v>
      </c>
      <c r="B28" s="559" t="s">
        <v>141</v>
      </c>
      <c r="E28" s="576">
        <f>F28+G28</f>
        <v>0</v>
      </c>
      <c r="F28" s="576"/>
      <c r="G28" s="576">
        <v>0</v>
      </c>
      <c r="H28" s="574" t="str">
        <f>IF(E28=F28+G28," ","ERROR")</f>
        <v> </v>
      </c>
    </row>
    <row r="29" spans="1:8" ht="12" customHeight="1">
      <c r="A29" s="566">
        <v>17</v>
      </c>
      <c r="B29" s="559" t="s">
        <v>143</v>
      </c>
      <c r="E29" s="575">
        <f>SUM(E26:E28)</f>
        <v>0</v>
      </c>
      <c r="F29" s="575">
        <f>SUM(F26:F28)</f>
        <v>0</v>
      </c>
      <c r="G29" s="575">
        <f>SUM(G26:G28)</f>
        <v>0</v>
      </c>
      <c r="H29" s="574" t="str">
        <f>IF(E29=F29+G29," ","ERROR")</f>
        <v> </v>
      </c>
    </row>
    <row r="30" spans="1:8" ht="12" customHeight="1">
      <c r="A30" s="566"/>
      <c r="E30" s="575"/>
      <c r="F30" s="575"/>
      <c r="G30" s="575"/>
      <c r="H30" s="574"/>
    </row>
    <row r="31" spans="1:8" ht="12" customHeight="1">
      <c r="A31" s="566">
        <v>18</v>
      </c>
      <c r="B31" s="559" t="s">
        <v>87</v>
      </c>
      <c r="E31" s="575"/>
      <c r="F31" s="575"/>
      <c r="G31" s="575"/>
      <c r="H31" s="574" t="str">
        <f>IF(E31=F31+G31," ","ERROR")</f>
        <v> </v>
      </c>
    </row>
    <row r="32" spans="1:8" ht="12" customHeight="1">
      <c r="A32" s="566">
        <v>19</v>
      </c>
      <c r="B32" s="559" t="s">
        <v>88</v>
      </c>
      <c r="E32" s="575"/>
      <c r="F32" s="575"/>
      <c r="G32" s="575"/>
      <c r="H32" s="574" t="str">
        <f>IF(E32=F32+G32," ","ERROR")</f>
        <v> </v>
      </c>
    </row>
    <row r="33" spans="1:8" ht="12" customHeight="1">
      <c r="A33" s="566">
        <v>20</v>
      </c>
      <c r="B33" s="559" t="s">
        <v>144</v>
      </c>
      <c r="E33" s="575"/>
      <c r="F33" s="575"/>
      <c r="G33" s="575"/>
      <c r="H33" s="574" t="str">
        <f>IF(E33=F33+G33," ","ERROR")</f>
        <v> </v>
      </c>
    </row>
    <row r="34" spans="1:8" ht="12" customHeight="1">
      <c r="A34" s="566"/>
      <c r="B34" s="559" t="s">
        <v>145</v>
      </c>
      <c r="E34" s="575"/>
      <c r="F34" s="575"/>
      <c r="G34" s="575"/>
      <c r="H34" s="574"/>
    </row>
    <row r="35" spans="1:8" ht="12" customHeight="1">
      <c r="A35" s="566">
        <v>21</v>
      </c>
      <c r="B35" s="559" t="s">
        <v>139</v>
      </c>
      <c r="E35" s="575">
        <f>F35+G35</f>
        <v>-8</v>
      </c>
      <c r="F35" s="575">
        <v>-8</v>
      </c>
      <c r="G35" s="575">
        <v>0</v>
      </c>
      <c r="H35" s="574" t="str">
        <f>IF(E35=F35+G35," ","ERROR")</f>
        <v> </v>
      </c>
    </row>
    <row r="36" spans="1:8" ht="12" customHeight="1">
      <c r="A36" s="566">
        <v>22</v>
      </c>
      <c r="B36" s="559" t="s">
        <v>140</v>
      </c>
      <c r="E36" s="575"/>
      <c r="F36" s="575"/>
      <c r="G36" s="575"/>
      <c r="H36" s="574" t="str">
        <f>IF(E36=F36+G36," ","ERROR")</f>
        <v> </v>
      </c>
    </row>
    <row r="37" spans="1:8" ht="12" customHeight="1">
      <c r="A37" s="566">
        <v>23</v>
      </c>
      <c r="B37" s="559" t="s">
        <v>141</v>
      </c>
      <c r="E37" s="576"/>
      <c r="F37" s="576"/>
      <c r="G37" s="576"/>
      <c r="H37" s="574" t="str">
        <f>IF(E37=F37+G37," ","ERROR")</f>
        <v> </v>
      </c>
    </row>
    <row r="38" spans="1:8" ht="12" customHeight="1">
      <c r="A38" s="566">
        <v>24</v>
      </c>
      <c r="B38" s="559" t="s">
        <v>146</v>
      </c>
      <c r="E38" s="576">
        <f>SUM(E35:E37)</f>
        <v>-8</v>
      </c>
      <c r="F38" s="576">
        <f>SUM(F35:F37)</f>
        <v>-8</v>
      </c>
      <c r="G38" s="576">
        <f>SUM(G35:G37)</f>
        <v>0</v>
      </c>
      <c r="H38" s="574" t="str">
        <f>IF(E38=F38+G38," ","ERROR")</f>
        <v> </v>
      </c>
    </row>
    <row r="39" spans="1:8" ht="12" customHeight="1">
      <c r="A39" s="566">
        <v>25</v>
      </c>
      <c r="B39" s="559" t="s">
        <v>92</v>
      </c>
      <c r="E39" s="576">
        <f>E19+E24+E29+E31+E32+E33+E38+E14</f>
        <v>-8</v>
      </c>
      <c r="F39" s="576">
        <f>F19+F24+F29+F31+F32+F33+F38+F14</f>
        <v>-8</v>
      </c>
      <c r="G39" s="576">
        <f>G19+G24+G29+G31+G32+G33+G38+G14</f>
        <v>0</v>
      </c>
      <c r="H39" s="574" t="str">
        <f>IF(E39=F39+G39," ","ERROR")</f>
        <v> </v>
      </c>
    </row>
    <row r="40" spans="1:8" ht="12" customHeight="1">
      <c r="A40" s="566"/>
      <c r="E40" s="575"/>
      <c r="F40" s="575"/>
      <c r="G40" s="575"/>
      <c r="H40" s="574"/>
    </row>
    <row r="41" spans="1:8" ht="12" customHeight="1">
      <c r="A41" s="566">
        <v>26</v>
      </c>
      <c r="B41" s="559" t="s">
        <v>147</v>
      </c>
      <c r="E41" s="575">
        <f>E11-E39</f>
        <v>8</v>
      </c>
      <c r="F41" s="575">
        <f>F11-F39</f>
        <v>8</v>
      </c>
      <c r="G41" s="575">
        <f>G11-G39</f>
        <v>0</v>
      </c>
      <c r="H41" s="574" t="str">
        <f>IF(E41=F41+G41," ","ERROR")</f>
        <v> </v>
      </c>
    </row>
    <row r="42" spans="1:8" ht="12" customHeight="1">
      <c r="A42" s="566"/>
      <c r="E42" s="575"/>
      <c r="F42" s="575"/>
      <c r="G42" s="575"/>
      <c r="H42" s="574"/>
    </row>
    <row r="43" spans="1:8" ht="12" customHeight="1">
      <c r="A43" s="566"/>
      <c r="B43" s="559" t="s">
        <v>148</v>
      </c>
      <c r="E43" s="575"/>
      <c r="F43" s="575"/>
      <c r="G43" s="575"/>
      <c r="H43" s="574"/>
    </row>
    <row r="44" spans="1:8" ht="12" customHeight="1">
      <c r="A44" s="566">
        <v>27</v>
      </c>
      <c r="B44" s="577" t="s">
        <v>163</v>
      </c>
      <c r="E44" s="575">
        <f>F44+G44</f>
        <v>3</v>
      </c>
      <c r="F44" s="575">
        <f>ROUND(F41*0.35,0)</f>
        <v>3</v>
      </c>
      <c r="G44" s="575">
        <f>ROUND(G41*0.35,0)</f>
        <v>0</v>
      </c>
      <c r="H44" s="574" t="str">
        <f>IF(E44=F44+G44," ","ERROR")</f>
        <v> </v>
      </c>
    </row>
    <row r="45" spans="1:8" ht="12" customHeight="1">
      <c r="A45" s="566">
        <v>28</v>
      </c>
      <c r="B45" s="559" t="s">
        <v>151</v>
      </c>
      <c r="E45" s="575"/>
      <c r="F45" s="575"/>
      <c r="G45" s="575"/>
      <c r="H45" s="574" t="str">
        <f>IF(E45=F45+G45," ","ERROR")</f>
        <v> </v>
      </c>
    </row>
    <row r="46" spans="1:8" ht="12" customHeight="1">
      <c r="A46" s="566">
        <v>29</v>
      </c>
      <c r="B46" s="559" t="s">
        <v>150</v>
      </c>
      <c r="E46" s="576"/>
      <c r="F46" s="576"/>
      <c r="G46" s="576"/>
      <c r="H46" s="574" t="str">
        <f>IF(E46=F46+G46," ","ERROR")</f>
        <v> </v>
      </c>
    </row>
    <row r="47" spans="1:8" ht="12" customHeight="1">
      <c r="A47" s="566"/>
      <c r="H47" s="574"/>
    </row>
    <row r="48" spans="1:8" ht="12" customHeight="1">
      <c r="A48" s="566">
        <v>30</v>
      </c>
      <c r="B48" s="580" t="s">
        <v>98</v>
      </c>
      <c r="E48" s="573">
        <f>E41-(+E44+E45+E46)</f>
        <v>5</v>
      </c>
      <c r="F48" s="573">
        <f>F41-F44+F45+F46</f>
        <v>5</v>
      </c>
      <c r="G48" s="573">
        <f>G41-SUM(G44:G46)</f>
        <v>0</v>
      </c>
      <c r="H48" s="574" t="str">
        <f>IF(E48=F48+G48," ","ERROR")</f>
        <v> </v>
      </c>
    </row>
    <row r="49" spans="1:8" ht="12" customHeight="1">
      <c r="A49" s="566"/>
      <c r="H49" s="574"/>
    </row>
    <row r="50" spans="1:8" ht="12" customHeight="1">
      <c r="A50" s="566"/>
      <c r="B50" s="577" t="s">
        <v>152</v>
      </c>
      <c r="H50" s="574"/>
    </row>
    <row r="51" spans="1:8" ht="12" customHeight="1">
      <c r="A51" s="566"/>
      <c r="B51" s="577" t="s">
        <v>153</v>
      </c>
      <c r="H51" s="574"/>
    </row>
    <row r="52" spans="1:8" ht="12" customHeight="1">
      <c r="A52" s="566">
        <v>31</v>
      </c>
      <c r="B52" s="559" t="s">
        <v>154</v>
      </c>
      <c r="E52" s="573"/>
      <c r="F52" s="573"/>
      <c r="G52" s="573"/>
      <c r="H52" s="574" t="str">
        <f aca="true" t="shared" si="0" ref="H52:H63">IF(E52=F52+G52," ","ERROR")</f>
        <v> </v>
      </c>
    </row>
    <row r="53" spans="1:8" ht="12" customHeight="1">
      <c r="A53" s="566">
        <v>32</v>
      </c>
      <c r="B53" s="559" t="s">
        <v>155</v>
      </c>
      <c r="E53" s="575"/>
      <c r="F53" s="575"/>
      <c r="G53" s="575"/>
      <c r="H53" s="574" t="str">
        <f t="shared" si="0"/>
        <v> </v>
      </c>
    </row>
    <row r="54" spans="1:8" ht="12" customHeight="1">
      <c r="A54" s="566">
        <v>33</v>
      </c>
      <c r="B54" s="559" t="s">
        <v>164</v>
      </c>
      <c r="E54" s="576"/>
      <c r="F54" s="576"/>
      <c r="G54" s="576"/>
      <c r="H54" s="574" t="str">
        <f t="shared" si="0"/>
        <v> </v>
      </c>
    </row>
    <row r="55" spans="1:8" ht="12" customHeight="1">
      <c r="A55" s="566">
        <v>34</v>
      </c>
      <c r="B55" s="559" t="s">
        <v>157</v>
      </c>
      <c r="E55" s="575">
        <f>SUM(E52:E54)</f>
        <v>0</v>
      </c>
      <c r="F55" s="575">
        <f>SUM(F52:F54)</f>
        <v>0</v>
      </c>
      <c r="G55" s="575">
        <f>SUM(G52:G54)</f>
        <v>0</v>
      </c>
      <c r="H55" s="574" t="str">
        <f t="shared" si="0"/>
        <v> </v>
      </c>
    </row>
    <row r="56" spans="1:8" ht="12" customHeight="1">
      <c r="A56" s="566"/>
      <c r="B56" s="559" t="s">
        <v>103</v>
      </c>
      <c r="E56" s="575"/>
      <c r="F56" s="575"/>
      <c r="G56" s="575"/>
      <c r="H56" s="574" t="str">
        <f t="shared" si="0"/>
        <v> </v>
      </c>
    </row>
    <row r="57" spans="1:8" ht="12" customHeight="1">
      <c r="A57" s="566">
        <v>35</v>
      </c>
      <c r="B57" s="559" t="s">
        <v>154</v>
      </c>
      <c r="E57" s="575"/>
      <c r="F57" s="575"/>
      <c r="G57" s="575"/>
      <c r="H57" s="574" t="str">
        <f t="shared" si="0"/>
        <v> </v>
      </c>
    </row>
    <row r="58" spans="1:8" ht="12" customHeight="1">
      <c r="A58" s="566">
        <v>36</v>
      </c>
      <c r="B58" s="559" t="s">
        <v>155</v>
      </c>
      <c r="E58" s="575"/>
      <c r="F58" s="575"/>
      <c r="G58" s="575"/>
      <c r="H58" s="574" t="str">
        <f t="shared" si="0"/>
        <v> </v>
      </c>
    </row>
    <row r="59" spans="1:8" ht="12" customHeight="1">
      <c r="A59" s="566">
        <v>37</v>
      </c>
      <c r="B59" s="559" t="s">
        <v>164</v>
      </c>
      <c r="E59" s="576"/>
      <c r="F59" s="576"/>
      <c r="G59" s="576"/>
      <c r="H59" s="574" t="str">
        <f t="shared" si="0"/>
        <v> </v>
      </c>
    </row>
    <row r="60" spans="1:8" ht="12" customHeight="1">
      <c r="A60" s="566">
        <v>38</v>
      </c>
      <c r="B60" s="559" t="s">
        <v>158</v>
      </c>
      <c r="E60" s="575">
        <f>SUM(E57:E59)</f>
        <v>0</v>
      </c>
      <c r="F60" s="575">
        <f>SUM(F57:F59)</f>
        <v>0</v>
      </c>
      <c r="G60" s="575">
        <f>SUM(G57:G59)</f>
        <v>0</v>
      </c>
      <c r="H60" s="574" t="str">
        <f t="shared" si="0"/>
        <v> </v>
      </c>
    </row>
    <row r="61" spans="1:8" ht="12" customHeight="1">
      <c r="A61" s="566">
        <v>39</v>
      </c>
      <c r="B61" s="577" t="s">
        <v>159</v>
      </c>
      <c r="E61" s="575"/>
      <c r="F61" s="575"/>
      <c r="G61" s="575"/>
      <c r="H61" s="574" t="str">
        <f t="shared" si="0"/>
        <v> </v>
      </c>
    </row>
    <row r="62" spans="1:8" ht="12" customHeight="1">
      <c r="A62" s="566">
        <v>40</v>
      </c>
      <c r="B62" s="559" t="s">
        <v>106</v>
      </c>
      <c r="E62" s="575"/>
      <c r="F62" s="575"/>
      <c r="G62" s="575"/>
      <c r="H62" s="574" t="str">
        <f t="shared" si="0"/>
        <v> </v>
      </c>
    </row>
    <row r="63" spans="1:8" ht="12" customHeight="1">
      <c r="A63" s="566">
        <v>41</v>
      </c>
      <c r="B63" s="577" t="s">
        <v>107</v>
      </c>
      <c r="E63" s="576"/>
      <c r="F63" s="576"/>
      <c r="G63" s="576"/>
      <c r="H63" s="574" t="str">
        <f t="shared" si="0"/>
        <v> </v>
      </c>
    </row>
    <row r="64" spans="1:8" ht="12" customHeight="1">
      <c r="A64" s="566"/>
      <c r="B64" s="559" t="s">
        <v>160</v>
      </c>
      <c r="H64" s="574"/>
    </row>
    <row r="65" spans="1:8" ht="12" customHeight="1" thickBot="1">
      <c r="A65" s="566">
        <v>42</v>
      </c>
      <c r="B65" s="580" t="s">
        <v>108</v>
      </c>
      <c r="E65" s="581">
        <f>E55-E60+E61+E62+E63</f>
        <v>0</v>
      </c>
      <c r="F65" s="581">
        <f>F55-F60+F61+F62+F63</f>
        <v>0</v>
      </c>
      <c r="G65" s="581">
        <f>G55-G60+G61+G62+G63</f>
        <v>0</v>
      </c>
      <c r="H65" s="574" t="str">
        <f>IF(E65=F65+G65," ","ERROR")</f>
        <v> </v>
      </c>
    </row>
    <row r="66" spans="1:8" ht="12" customHeight="1" thickTop="1">
      <c r="A66" s="566"/>
      <c r="B66" s="580"/>
      <c r="E66" s="582"/>
      <c r="F66" s="582"/>
      <c r="G66" s="582"/>
      <c r="H66" s="574"/>
    </row>
    <row r="67" spans="1:8" ht="12" customHeight="1">
      <c r="A67" s="566"/>
      <c r="B67" s="580"/>
      <c r="E67" s="582"/>
      <c r="F67" s="582"/>
      <c r="G67" s="582"/>
      <c r="H67" s="574"/>
    </row>
    <row r="68" spans="1:7" ht="12" customHeight="1">
      <c r="A68" s="558" t="str">
        <f>Inputs!$D$6</f>
        <v>AVISTA UTILITIES</v>
      </c>
      <c r="B68" s="558"/>
      <c r="C68" s="558"/>
      <c r="G68" s="559"/>
    </row>
    <row r="69" spans="1:7" ht="12" customHeight="1">
      <c r="A69" s="558" t="s">
        <v>168</v>
      </c>
      <c r="B69" s="558"/>
      <c r="C69" s="558"/>
      <c r="G69" s="559"/>
    </row>
    <row r="70" spans="1:7" ht="12" customHeight="1">
      <c r="A70" s="558" t="str">
        <f>A3</f>
        <v>TWELVE MONTHS ENDED DECEMBER 31, 2004</v>
      </c>
      <c r="B70" s="558"/>
      <c r="C70" s="558"/>
      <c r="F70" s="563" t="str">
        <f>F2</f>
        <v>INJURIES</v>
      </c>
      <c r="G70" s="559"/>
    </row>
    <row r="71" spans="1:7" ht="12" customHeight="1">
      <c r="A71" s="558" t="s">
        <v>169</v>
      </c>
      <c r="B71" s="558"/>
      <c r="C71" s="558"/>
      <c r="F71" s="563" t="str">
        <f>F3</f>
        <v>AND DAMAGES</v>
      </c>
      <c r="G71" s="559"/>
    </row>
    <row r="72" spans="5:7" ht="12" customHeight="1">
      <c r="E72" s="583"/>
      <c r="F72" s="570" t="str">
        <f>F4</f>
        <v>GAS</v>
      </c>
      <c r="G72" s="584"/>
    </row>
    <row r="73" spans="1:6" ht="12" customHeight="1">
      <c r="A73" s="566" t="s">
        <v>11</v>
      </c>
      <c r="F73" s="563"/>
    </row>
    <row r="74" spans="1:6" ht="12" customHeight="1">
      <c r="A74" s="585" t="s">
        <v>29</v>
      </c>
      <c r="B74" s="568" t="s">
        <v>114</v>
      </c>
      <c r="C74" s="568"/>
      <c r="F74" s="570" t="s">
        <v>129</v>
      </c>
    </row>
    <row r="75" spans="1:7" ht="12" customHeight="1">
      <c r="A75" s="566"/>
      <c r="B75" s="559" t="s">
        <v>69</v>
      </c>
      <c r="E75" s="559"/>
      <c r="G75" s="559"/>
    </row>
    <row r="76" spans="1:7" ht="12" customHeight="1">
      <c r="A76" s="566">
        <v>1</v>
      </c>
      <c r="B76" s="559" t="s">
        <v>131</v>
      </c>
      <c r="E76" s="559"/>
      <c r="F76" s="573">
        <f>G8</f>
        <v>0</v>
      </c>
      <c r="G76" s="559"/>
    </row>
    <row r="77" spans="1:7" ht="12" customHeight="1">
      <c r="A77" s="566">
        <v>2</v>
      </c>
      <c r="B77" s="559" t="s">
        <v>132</v>
      </c>
      <c r="E77" s="559"/>
      <c r="F77" s="575">
        <f>G9</f>
        <v>0</v>
      </c>
      <c r="G77" s="559"/>
    </row>
    <row r="78" spans="1:7" ht="12" customHeight="1">
      <c r="A78" s="566">
        <v>3</v>
      </c>
      <c r="B78" s="559" t="s">
        <v>72</v>
      </c>
      <c r="E78" s="559"/>
      <c r="F78" s="576">
        <f>G10</f>
        <v>0</v>
      </c>
      <c r="G78" s="559"/>
    </row>
    <row r="79" spans="1:7" ht="12" customHeight="1">
      <c r="A79" s="566"/>
      <c r="E79" s="559"/>
      <c r="F79" s="575"/>
      <c r="G79" s="559"/>
    </row>
    <row r="80" spans="1:7" ht="12" customHeight="1">
      <c r="A80" s="566">
        <v>4</v>
      </c>
      <c r="B80" s="559" t="s">
        <v>133</v>
      </c>
      <c r="E80" s="559"/>
      <c r="F80" s="575">
        <f>F76+F77+F78</f>
        <v>0</v>
      </c>
      <c r="G80" s="559"/>
    </row>
    <row r="81" spans="1:7" ht="12" customHeight="1">
      <c r="A81" s="566"/>
      <c r="E81" s="559"/>
      <c r="F81" s="575"/>
      <c r="G81" s="559"/>
    </row>
    <row r="82" spans="1:7" ht="12" customHeight="1">
      <c r="A82" s="566"/>
      <c r="B82" s="559" t="s">
        <v>74</v>
      </c>
      <c r="E82" s="559"/>
      <c r="F82" s="575"/>
      <c r="G82" s="559"/>
    </row>
    <row r="83" spans="1:7" ht="12" customHeight="1">
      <c r="A83" s="566">
        <v>5</v>
      </c>
      <c r="B83" s="559" t="s">
        <v>134</v>
      </c>
      <c r="E83" s="559"/>
      <c r="F83" s="575">
        <f>G14</f>
        <v>0</v>
      </c>
      <c r="G83" s="559"/>
    </row>
    <row r="84" spans="1:7" ht="12" customHeight="1">
      <c r="A84" s="566"/>
      <c r="B84" s="559" t="s">
        <v>76</v>
      </c>
      <c r="E84" s="559"/>
      <c r="F84" s="575"/>
      <c r="G84" s="559"/>
    </row>
    <row r="85" spans="1:7" ht="12" customHeight="1">
      <c r="A85" s="566">
        <v>6</v>
      </c>
      <c r="B85" s="559" t="s">
        <v>135</v>
      </c>
      <c r="E85" s="559"/>
      <c r="F85" s="575">
        <f>G16</f>
        <v>0</v>
      </c>
      <c r="G85" s="559"/>
    </row>
    <row r="86" spans="1:7" ht="12" customHeight="1">
      <c r="A86" s="566">
        <v>7</v>
      </c>
      <c r="B86" s="559" t="s">
        <v>136</v>
      </c>
      <c r="E86" s="559"/>
      <c r="F86" s="575">
        <f>G17</f>
        <v>0</v>
      </c>
      <c r="G86" s="559"/>
    </row>
    <row r="87" spans="1:7" ht="12" customHeight="1">
      <c r="A87" s="566">
        <v>8</v>
      </c>
      <c r="B87" s="559" t="s">
        <v>137</v>
      </c>
      <c r="E87" s="559"/>
      <c r="F87" s="576">
        <f>G18</f>
        <v>0</v>
      </c>
      <c r="G87" s="559"/>
    </row>
    <row r="88" spans="1:7" ht="12" customHeight="1">
      <c r="A88" s="566">
        <v>9</v>
      </c>
      <c r="B88" s="559" t="s">
        <v>138</v>
      </c>
      <c r="E88" s="559"/>
      <c r="F88" s="575">
        <f>F85+F86+F87</f>
        <v>0</v>
      </c>
      <c r="G88" s="559"/>
    </row>
    <row r="89" spans="1:7" ht="12" customHeight="1">
      <c r="A89" s="566"/>
      <c r="B89" s="559" t="s">
        <v>81</v>
      </c>
      <c r="E89" s="559"/>
      <c r="F89" s="575"/>
      <c r="G89" s="559"/>
    </row>
    <row r="90" spans="1:7" ht="12" customHeight="1">
      <c r="A90" s="566">
        <v>10</v>
      </c>
      <c r="B90" s="559" t="s">
        <v>139</v>
      </c>
      <c r="E90" s="559"/>
      <c r="F90" s="575">
        <f>G21</f>
        <v>0</v>
      </c>
      <c r="G90" s="559"/>
    </row>
    <row r="91" spans="1:7" ht="12" customHeight="1">
      <c r="A91" s="566">
        <v>11</v>
      </c>
      <c r="B91" s="559" t="s">
        <v>140</v>
      </c>
      <c r="E91" s="559"/>
      <c r="F91" s="575">
        <f>G22</f>
        <v>0</v>
      </c>
      <c r="G91" s="559"/>
    </row>
    <row r="92" spans="1:7" ht="12" customHeight="1">
      <c r="A92" s="566">
        <v>12</v>
      </c>
      <c r="B92" s="559" t="s">
        <v>141</v>
      </c>
      <c r="E92" s="559"/>
      <c r="F92" s="576">
        <f>G23</f>
        <v>0</v>
      </c>
      <c r="G92" s="559"/>
    </row>
    <row r="93" spans="1:7" ht="12" customHeight="1">
      <c r="A93" s="566">
        <v>13</v>
      </c>
      <c r="B93" s="559" t="s">
        <v>142</v>
      </c>
      <c r="E93" s="559"/>
      <c r="F93" s="575">
        <f>F90+F91+F92</f>
        <v>0</v>
      </c>
      <c r="G93" s="559"/>
    </row>
    <row r="94" spans="1:7" ht="12" customHeight="1">
      <c r="A94" s="566"/>
      <c r="B94" s="559" t="s">
        <v>85</v>
      </c>
      <c r="E94" s="559"/>
      <c r="F94" s="575"/>
      <c r="G94" s="559"/>
    </row>
    <row r="95" spans="1:7" ht="12" customHeight="1">
      <c r="A95" s="566">
        <v>14</v>
      </c>
      <c r="B95" s="559" t="s">
        <v>139</v>
      </c>
      <c r="E95" s="559"/>
      <c r="F95" s="575">
        <f>G26</f>
        <v>0</v>
      </c>
      <c r="G95" s="559"/>
    </row>
    <row r="96" spans="1:7" ht="12" customHeight="1">
      <c r="A96" s="566">
        <v>15</v>
      </c>
      <c r="B96" s="559" t="s">
        <v>140</v>
      </c>
      <c r="E96" s="559"/>
      <c r="F96" s="575">
        <f>G27</f>
        <v>0</v>
      </c>
      <c r="G96" s="559"/>
    </row>
    <row r="97" spans="1:7" ht="12" customHeight="1">
      <c r="A97" s="566">
        <v>16</v>
      </c>
      <c r="B97" s="559" t="s">
        <v>141</v>
      </c>
      <c r="E97" s="559"/>
      <c r="F97" s="576"/>
      <c r="G97" s="559"/>
    </row>
    <row r="98" spans="1:7" ht="12" customHeight="1">
      <c r="A98" s="566">
        <v>17</v>
      </c>
      <c r="B98" s="559" t="s">
        <v>143</v>
      </c>
      <c r="E98" s="559"/>
      <c r="F98" s="575">
        <f>F95+F96+F97</f>
        <v>0</v>
      </c>
      <c r="G98" s="559"/>
    </row>
    <row r="99" spans="1:7" ht="12" customHeight="1">
      <c r="A99" s="566">
        <v>18</v>
      </c>
      <c r="B99" s="559" t="s">
        <v>87</v>
      </c>
      <c r="E99" s="559"/>
      <c r="F99" s="575">
        <f>G31</f>
        <v>0</v>
      </c>
      <c r="G99" s="559"/>
    </row>
    <row r="100" spans="1:7" ht="12" customHeight="1">
      <c r="A100" s="566">
        <v>19</v>
      </c>
      <c r="B100" s="559" t="s">
        <v>88</v>
      </c>
      <c r="E100" s="559"/>
      <c r="F100" s="575">
        <f>G32</f>
        <v>0</v>
      </c>
      <c r="G100" s="559"/>
    </row>
    <row r="101" spans="1:7" ht="12" customHeight="1">
      <c r="A101" s="566">
        <v>20</v>
      </c>
      <c r="B101" s="559" t="s">
        <v>144</v>
      </c>
      <c r="E101" s="559"/>
      <c r="F101" s="575">
        <f>G33</f>
        <v>0</v>
      </c>
      <c r="G101" s="559"/>
    </row>
    <row r="102" spans="1:7" ht="12" customHeight="1">
      <c r="A102" s="566"/>
      <c r="B102" s="559" t="s">
        <v>145</v>
      </c>
      <c r="E102" s="559"/>
      <c r="F102" s="575"/>
      <c r="G102" s="559"/>
    </row>
    <row r="103" spans="1:7" ht="12" customHeight="1">
      <c r="A103" s="566">
        <v>21</v>
      </c>
      <c r="B103" s="559" t="s">
        <v>139</v>
      </c>
      <c r="E103" s="559"/>
      <c r="F103" s="575">
        <f>G35</f>
        <v>0</v>
      </c>
      <c r="G103" s="559"/>
    </row>
    <row r="104" spans="1:7" ht="12" customHeight="1">
      <c r="A104" s="566">
        <v>22</v>
      </c>
      <c r="B104" s="559" t="s">
        <v>140</v>
      </c>
      <c r="E104" s="559"/>
      <c r="F104" s="575">
        <f>G36</f>
        <v>0</v>
      </c>
      <c r="G104" s="559"/>
    </row>
    <row r="105" spans="1:7" ht="12" customHeight="1">
      <c r="A105" s="566">
        <v>23</v>
      </c>
      <c r="B105" s="559" t="s">
        <v>141</v>
      </c>
      <c r="E105" s="559"/>
      <c r="F105" s="576">
        <f>G37</f>
        <v>0</v>
      </c>
      <c r="G105" s="559"/>
    </row>
    <row r="106" spans="1:7" ht="12" customHeight="1">
      <c r="A106" s="566">
        <v>24</v>
      </c>
      <c r="B106" s="559" t="s">
        <v>146</v>
      </c>
      <c r="E106" s="559"/>
      <c r="F106" s="576">
        <f>F103+F104+F105</f>
        <v>0</v>
      </c>
      <c r="G106" s="559"/>
    </row>
    <row r="107" spans="1:7" ht="12" customHeight="1">
      <c r="A107" s="566"/>
      <c r="E107" s="559"/>
      <c r="F107" s="575"/>
      <c r="G107" s="559"/>
    </row>
    <row r="108" spans="1:7" ht="12" customHeight="1">
      <c r="A108" s="566">
        <v>25</v>
      </c>
      <c r="B108" s="559" t="s">
        <v>92</v>
      </c>
      <c r="E108" s="559"/>
      <c r="F108" s="576">
        <f>F106+F101+F100+F99+F98+F93+F88+F83</f>
        <v>0</v>
      </c>
      <c r="G108" s="559"/>
    </row>
    <row r="109" spans="1:7" ht="12" customHeight="1">
      <c r="A109" s="566"/>
      <c r="E109" s="559"/>
      <c r="F109" s="575"/>
      <c r="G109" s="559"/>
    </row>
    <row r="110" spans="1:7" ht="12" customHeight="1">
      <c r="A110" s="566">
        <v>26</v>
      </c>
      <c r="B110" s="559" t="s">
        <v>170</v>
      </c>
      <c r="E110" s="559"/>
      <c r="F110" s="576">
        <f>F80-F108</f>
        <v>0</v>
      </c>
      <c r="G110" s="559"/>
    </row>
    <row r="111" spans="1:7" ht="12" customHeight="1">
      <c r="A111" s="566"/>
      <c r="E111" s="559"/>
      <c r="G111" s="559"/>
    </row>
    <row r="112" spans="1:7" ht="12" customHeight="1">
      <c r="A112" s="566">
        <v>27</v>
      </c>
      <c r="B112" s="559" t="s">
        <v>171</v>
      </c>
      <c r="G112" s="559"/>
    </row>
    <row r="113" spans="1:7" ht="12" customHeight="1" thickBot="1">
      <c r="A113" s="566"/>
      <c r="B113" s="586" t="s">
        <v>172</v>
      </c>
      <c r="C113" s="587">
        <f>Inputs!$D$4</f>
        <v>0.01065</v>
      </c>
      <c r="F113" s="581">
        <f>ROUND(F110*C113,0)</f>
        <v>0</v>
      </c>
      <c r="G113" s="559"/>
    </row>
    <row r="114" spans="1:7" ht="12" customHeight="1" thickTop="1">
      <c r="A114" s="566"/>
      <c r="G114" s="559"/>
    </row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35">
      <selection activeCell="G46" sqref="G46"/>
    </sheetView>
  </sheetViews>
  <sheetFormatPr defaultColWidth="9.140625" defaultRowHeight="10.5" customHeight="1"/>
  <cols>
    <col min="1" max="1" width="5.57421875" style="589" customWidth="1"/>
    <col min="2" max="2" width="26.140625" style="589" customWidth="1"/>
    <col min="3" max="3" width="16.57421875" style="589" customWidth="1"/>
    <col min="4" max="4" width="6.7109375" style="589" customWidth="1"/>
    <col min="5" max="5" width="12.421875" style="607" customWidth="1"/>
    <col min="6" max="6" width="12.421875" style="608" customWidth="1"/>
    <col min="7" max="7" width="12.421875" style="607" customWidth="1"/>
    <col min="8" max="16384" width="12.421875" style="589" customWidth="1"/>
  </cols>
  <sheetData>
    <row r="1" spans="1:7" ht="12">
      <c r="A1" s="588" t="str">
        <f>Inputs!$D$6</f>
        <v>AVISTA UTILITIES</v>
      </c>
      <c r="B1" s="588"/>
      <c r="C1" s="588"/>
      <c r="E1" s="590"/>
      <c r="F1" s="591"/>
      <c r="G1" s="590"/>
    </row>
    <row r="2" spans="1:7" ht="12">
      <c r="A2" s="588" t="s">
        <v>122</v>
      </c>
      <c r="B2" s="588"/>
      <c r="C2" s="588"/>
      <c r="E2" s="590"/>
      <c r="F2" s="592" t="s">
        <v>185</v>
      </c>
      <c r="G2" s="590"/>
    </row>
    <row r="3" spans="1:7" ht="12">
      <c r="A3" s="588" t="str">
        <f>Inputs!$D$2</f>
        <v>TWELVE MONTHS ENDED DECEMBER 31, 2004</v>
      </c>
      <c r="B3" s="588"/>
      <c r="C3" s="588"/>
      <c r="E3" s="590"/>
      <c r="F3" s="592" t="s">
        <v>186</v>
      </c>
      <c r="G3" s="589"/>
    </row>
    <row r="4" spans="1:7" ht="12">
      <c r="A4" s="588" t="s">
        <v>125</v>
      </c>
      <c r="B4" s="588"/>
      <c r="C4" s="588"/>
      <c r="E4" s="593"/>
      <c r="F4" s="594" t="s">
        <v>126</v>
      </c>
      <c r="G4" s="593"/>
    </row>
    <row r="5" spans="1:7" ht="12">
      <c r="A5" s="595" t="s">
        <v>11</v>
      </c>
      <c r="E5" s="590"/>
      <c r="F5" s="592"/>
      <c r="G5" s="590"/>
    </row>
    <row r="6" spans="1:8" ht="12">
      <c r="A6" s="596" t="s">
        <v>29</v>
      </c>
      <c r="B6" s="597" t="s">
        <v>114</v>
      </c>
      <c r="C6" s="597"/>
      <c r="E6" s="598" t="s">
        <v>127</v>
      </c>
      <c r="F6" s="599" t="s">
        <v>128</v>
      </c>
      <c r="G6" s="598" t="s">
        <v>129</v>
      </c>
      <c r="H6" s="600" t="s">
        <v>130</v>
      </c>
    </row>
    <row r="7" spans="1:7" ht="12">
      <c r="A7" s="595"/>
      <c r="B7" s="589" t="s">
        <v>69</v>
      </c>
      <c r="E7" s="601"/>
      <c r="F7" s="592"/>
      <c r="G7" s="601"/>
    </row>
    <row r="8" spans="1:8" ht="12">
      <c r="A8" s="595">
        <v>1</v>
      </c>
      <c r="B8" s="589" t="s">
        <v>131</v>
      </c>
      <c r="E8" s="602"/>
      <c r="F8" s="602"/>
      <c r="G8" s="602"/>
      <c r="H8" s="603" t="str">
        <f>IF(E8=F8+G8," ","ERROR")</f>
        <v> </v>
      </c>
    </row>
    <row r="9" spans="1:8" ht="12">
      <c r="A9" s="595">
        <v>2</v>
      </c>
      <c r="B9" s="589" t="s">
        <v>132</v>
      </c>
      <c r="E9" s="604"/>
      <c r="F9" s="604"/>
      <c r="G9" s="604"/>
      <c r="H9" s="603" t="str">
        <f>IF(E9=F9+G9," ","ERROR")</f>
        <v> </v>
      </c>
    </row>
    <row r="10" spans="1:8" ht="12">
      <c r="A10" s="595">
        <v>3</v>
      </c>
      <c r="B10" s="589" t="s">
        <v>72</v>
      </c>
      <c r="E10" s="605"/>
      <c r="F10" s="605"/>
      <c r="G10" s="605"/>
      <c r="H10" s="603" t="str">
        <f>IF(E10=F10+G10," ","ERROR")</f>
        <v> </v>
      </c>
    </row>
    <row r="11" spans="1:8" ht="12">
      <c r="A11" s="595">
        <v>4</v>
      </c>
      <c r="B11" s="589" t="s">
        <v>133</v>
      </c>
      <c r="E11" s="604">
        <f>SUM(E8:E10)</f>
        <v>0</v>
      </c>
      <c r="F11" s="604">
        <f>SUM(F8:F10)</f>
        <v>0</v>
      </c>
      <c r="G11" s="604">
        <f>SUM(G8:G10)</f>
        <v>0</v>
      </c>
      <c r="H11" s="603" t="str">
        <f>IF(E11=F11+G11," ","ERROR")</f>
        <v> </v>
      </c>
    </row>
    <row r="12" spans="1:8" ht="12">
      <c r="A12" s="595"/>
      <c r="E12" s="604"/>
      <c r="F12" s="604"/>
      <c r="G12" s="604"/>
      <c r="H12" s="603"/>
    </row>
    <row r="13" spans="1:8" ht="12">
      <c r="A13" s="595"/>
      <c r="B13" s="589" t="s">
        <v>74</v>
      </c>
      <c r="E13" s="604"/>
      <c r="F13" s="604"/>
      <c r="G13" s="604"/>
      <c r="H13" s="603"/>
    </row>
    <row r="14" spans="1:8" ht="12">
      <c r="A14" s="595">
        <v>5</v>
      </c>
      <c r="B14" s="589" t="s">
        <v>134</v>
      </c>
      <c r="E14" s="604"/>
      <c r="F14" s="604"/>
      <c r="G14" s="604"/>
      <c r="H14" s="603" t="str">
        <f>IF(E14=F14+G14," ","ERROR")</f>
        <v> </v>
      </c>
    </row>
    <row r="15" spans="1:8" ht="12">
      <c r="A15" s="595"/>
      <c r="B15" s="589" t="s">
        <v>76</v>
      </c>
      <c r="E15" s="604"/>
      <c r="F15" s="604"/>
      <c r="G15" s="604"/>
      <c r="H15" s="603"/>
    </row>
    <row r="16" spans="1:8" ht="12">
      <c r="A16" s="595">
        <v>6</v>
      </c>
      <c r="B16" s="589" t="s">
        <v>135</v>
      </c>
      <c r="E16" s="604"/>
      <c r="F16" s="604"/>
      <c r="G16" s="604"/>
      <c r="H16" s="603" t="str">
        <f>IF(E16=F16+G16," ","ERROR")</f>
        <v> </v>
      </c>
    </row>
    <row r="17" spans="1:8" ht="12">
      <c r="A17" s="595">
        <v>7</v>
      </c>
      <c r="B17" s="589" t="s">
        <v>136</v>
      </c>
      <c r="E17" s="604"/>
      <c r="F17" s="604"/>
      <c r="G17" s="604"/>
      <c r="H17" s="603" t="str">
        <f>IF(E17=F17+G17," ","ERROR")</f>
        <v> </v>
      </c>
    </row>
    <row r="18" spans="1:8" ht="12">
      <c r="A18" s="595">
        <v>8</v>
      </c>
      <c r="B18" s="589" t="s">
        <v>137</v>
      </c>
      <c r="E18" s="605"/>
      <c r="F18" s="605"/>
      <c r="G18" s="605"/>
      <c r="H18" s="603" t="str">
        <f>IF(E18=F18+G18," ","ERROR")</f>
        <v> </v>
      </c>
    </row>
    <row r="19" spans="1:8" ht="12">
      <c r="A19" s="595">
        <v>9</v>
      </c>
      <c r="B19" s="589" t="s">
        <v>138</v>
      </c>
      <c r="E19" s="604">
        <f>SUM(E16:E18)</f>
        <v>0</v>
      </c>
      <c r="F19" s="604">
        <f>SUM(F16:F18)</f>
        <v>0</v>
      </c>
      <c r="G19" s="604">
        <f>SUM(G16:G18)</f>
        <v>0</v>
      </c>
      <c r="H19" s="603" t="str">
        <f>IF(E19=F19+G19," ","ERROR")</f>
        <v> </v>
      </c>
    </row>
    <row r="20" spans="1:8" ht="12">
      <c r="A20" s="595"/>
      <c r="B20" s="589" t="s">
        <v>81</v>
      </c>
      <c r="E20" s="604"/>
      <c r="F20" s="604"/>
      <c r="G20" s="604"/>
      <c r="H20" s="603"/>
    </row>
    <row r="21" spans="1:8" ht="12">
      <c r="A21" s="595">
        <v>10</v>
      </c>
      <c r="B21" s="589" t="s">
        <v>139</v>
      </c>
      <c r="E21" s="604"/>
      <c r="F21" s="604"/>
      <c r="G21" s="604"/>
      <c r="H21" s="603" t="str">
        <f>IF(E21=F21+G21," ","ERROR")</f>
        <v> </v>
      </c>
    </row>
    <row r="22" spans="1:8" ht="12">
      <c r="A22" s="595">
        <v>11</v>
      </c>
      <c r="B22" s="589" t="s">
        <v>140</v>
      </c>
      <c r="E22" s="604"/>
      <c r="F22" s="604"/>
      <c r="G22" s="604"/>
      <c r="H22" s="603" t="str">
        <f>IF(E22=F22+G22," ","ERROR")</f>
        <v> </v>
      </c>
    </row>
    <row r="23" spans="1:8" ht="12">
      <c r="A23" s="595">
        <v>12</v>
      </c>
      <c r="B23" s="589" t="s">
        <v>141</v>
      </c>
      <c r="E23" s="605"/>
      <c r="F23" s="605"/>
      <c r="G23" s="605"/>
      <c r="H23" s="603" t="str">
        <f>IF(E23=F23+G23," ","ERROR")</f>
        <v> </v>
      </c>
    </row>
    <row r="24" spans="1:8" ht="12">
      <c r="A24" s="595">
        <v>13</v>
      </c>
      <c r="B24" s="589" t="s">
        <v>142</v>
      </c>
      <c r="E24" s="604">
        <f>SUM(E21:E23)</f>
        <v>0</v>
      </c>
      <c r="F24" s="604">
        <f>SUM(F21:F23)</f>
        <v>0</v>
      </c>
      <c r="G24" s="604">
        <f>SUM(G21:G23)</f>
        <v>0</v>
      </c>
      <c r="H24" s="603" t="str">
        <f>IF(E24=F24+G24," ","ERROR")</f>
        <v> </v>
      </c>
    </row>
    <row r="25" spans="1:8" ht="12">
      <c r="A25" s="595"/>
      <c r="B25" s="589" t="s">
        <v>85</v>
      </c>
      <c r="E25" s="604"/>
      <c r="F25" s="604"/>
      <c r="G25" s="604"/>
      <c r="H25" s="603"/>
    </row>
    <row r="26" spans="1:8" ht="12">
      <c r="A26" s="595">
        <v>14</v>
      </c>
      <c r="B26" s="589" t="s">
        <v>139</v>
      </c>
      <c r="E26" s="604"/>
      <c r="F26" s="604"/>
      <c r="G26" s="604"/>
      <c r="H26" s="603" t="str">
        <f>IF(E26=F26+G26," ","ERROR")</f>
        <v> </v>
      </c>
    </row>
    <row r="27" spans="1:8" ht="12">
      <c r="A27" s="595">
        <v>15</v>
      </c>
      <c r="B27" s="589" t="s">
        <v>140</v>
      </c>
      <c r="E27" s="604"/>
      <c r="F27" s="604"/>
      <c r="G27" s="604"/>
      <c r="H27" s="603" t="str">
        <f>IF(E27=F27+G27," ","ERROR")</f>
        <v> </v>
      </c>
    </row>
    <row r="28" spans="1:8" ht="12">
      <c r="A28" s="595">
        <v>16</v>
      </c>
      <c r="B28" s="589" t="s">
        <v>141</v>
      </c>
      <c r="E28" s="605">
        <f>F28+G28</f>
        <v>0</v>
      </c>
      <c r="F28" s="605"/>
      <c r="G28" s="605">
        <f>F111</f>
        <v>0</v>
      </c>
      <c r="H28" s="603" t="str">
        <f>IF(E28=F28+G28," ","ERROR")</f>
        <v> </v>
      </c>
    </row>
    <row r="29" spans="1:8" ht="12">
      <c r="A29" s="595">
        <v>17</v>
      </c>
      <c r="B29" s="589" t="s">
        <v>143</v>
      </c>
      <c r="E29" s="604">
        <f>SUM(E26:E28)</f>
        <v>0</v>
      </c>
      <c r="F29" s="604">
        <f>SUM(F26:F28)</f>
        <v>0</v>
      </c>
      <c r="G29" s="604">
        <f>SUM(G26:G28)</f>
        <v>0</v>
      </c>
      <c r="H29" s="603" t="str">
        <f>IF(E29=F29+G29," ","ERROR")</f>
        <v> </v>
      </c>
    </row>
    <row r="30" spans="1:8" ht="12">
      <c r="A30" s="595"/>
      <c r="E30" s="604"/>
      <c r="F30" s="604"/>
      <c r="G30" s="604"/>
      <c r="H30" s="603"/>
    </row>
    <row r="31" spans="1:8" ht="12">
      <c r="A31" s="595">
        <v>18</v>
      </c>
      <c r="B31" s="589" t="s">
        <v>87</v>
      </c>
      <c r="E31" s="604"/>
      <c r="F31" s="604"/>
      <c r="G31" s="604"/>
      <c r="H31" s="603" t="str">
        <f>IF(E31=F31+G31," ","ERROR")</f>
        <v> </v>
      </c>
    </row>
    <row r="32" spans="1:8" ht="12">
      <c r="A32" s="595">
        <v>19</v>
      </c>
      <c r="B32" s="589" t="s">
        <v>88</v>
      </c>
      <c r="E32" s="604"/>
      <c r="F32" s="604"/>
      <c r="G32" s="604"/>
      <c r="H32" s="603" t="str">
        <f>IF(E32=F32+G32," ","ERROR")</f>
        <v> </v>
      </c>
    </row>
    <row r="33" spans="1:8" ht="12">
      <c r="A33" s="595">
        <v>20</v>
      </c>
      <c r="B33" s="589" t="s">
        <v>144</v>
      </c>
      <c r="E33" s="604"/>
      <c r="F33" s="604"/>
      <c r="G33" s="604"/>
      <c r="H33" s="603" t="str">
        <f>IF(E33=F33+G33," ","ERROR")</f>
        <v> </v>
      </c>
    </row>
    <row r="34" spans="1:8" ht="12">
      <c r="A34" s="595"/>
      <c r="B34" s="589" t="s">
        <v>145</v>
      </c>
      <c r="E34" s="604"/>
      <c r="F34" s="604"/>
      <c r="G34" s="604"/>
      <c r="H34" s="603"/>
    </row>
    <row r="35" spans="1:8" ht="12">
      <c r="A35" s="595">
        <v>21</v>
      </c>
      <c r="B35" s="589" t="s">
        <v>139</v>
      </c>
      <c r="E35" s="604"/>
      <c r="F35" s="604"/>
      <c r="G35" s="604"/>
      <c r="H35" s="603" t="str">
        <f>IF(E35=F35+G35," ","ERROR")</f>
        <v> </v>
      </c>
    </row>
    <row r="36" spans="1:8" ht="12">
      <c r="A36" s="595">
        <v>22</v>
      </c>
      <c r="B36" s="589" t="s">
        <v>140</v>
      </c>
      <c r="E36" s="604"/>
      <c r="F36" s="604"/>
      <c r="G36" s="604"/>
      <c r="H36" s="603" t="str">
        <f>IF(E36=F36+G36," ","ERROR")</f>
        <v> </v>
      </c>
    </row>
    <row r="37" spans="1:8" ht="12">
      <c r="A37" s="595">
        <v>23</v>
      </c>
      <c r="B37" s="589" t="s">
        <v>141</v>
      </c>
      <c r="E37" s="605"/>
      <c r="F37" s="605"/>
      <c r="G37" s="605"/>
      <c r="H37" s="603" t="str">
        <f>IF(E37=F37+G37," ","ERROR")</f>
        <v> </v>
      </c>
    </row>
    <row r="38" spans="1:8" ht="12">
      <c r="A38" s="595">
        <v>24</v>
      </c>
      <c r="B38" s="589" t="s">
        <v>146</v>
      </c>
      <c r="E38" s="605">
        <f>SUM(E35:E37)</f>
        <v>0</v>
      </c>
      <c r="F38" s="605">
        <f>SUM(F35:F37)</f>
        <v>0</v>
      </c>
      <c r="G38" s="605">
        <f>SUM(G35:G37)</f>
        <v>0</v>
      </c>
      <c r="H38" s="603" t="str">
        <f>IF(E38=F38+G38," ","ERROR")</f>
        <v> </v>
      </c>
    </row>
    <row r="39" spans="1:8" ht="12">
      <c r="A39" s="595">
        <v>25</v>
      </c>
      <c r="B39" s="589" t="s">
        <v>92</v>
      </c>
      <c r="E39" s="605">
        <f>E19+E24+E29+E31+E32+E33+E38+E14</f>
        <v>0</v>
      </c>
      <c r="F39" s="605">
        <f>F19+F24+F29+F31+F32+F33+F38+F14</f>
        <v>0</v>
      </c>
      <c r="G39" s="605">
        <f>G19+G24+G29+G31+G32+G33+G38+G14</f>
        <v>0</v>
      </c>
      <c r="H39" s="603" t="str">
        <f>IF(E39=F39+G39," ","ERROR")</f>
        <v> </v>
      </c>
    </row>
    <row r="40" spans="1:8" ht="12">
      <c r="A40" s="595"/>
      <c r="E40" s="604"/>
      <c r="F40" s="604"/>
      <c r="G40" s="604"/>
      <c r="H40" s="603"/>
    </row>
    <row r="41" spans="1:8" ht="12">
      <c r="A41" s="595">
        <v>26</v>
      </c>
      <c r="B41" s="589" t="s">
        <v>147</v>
      </c>
      <c r="E41" s="604">
        <f>E11-E39</f>
        <v>0</v>
      </c>
      <c r="F41" s="604">
        <f>F11-F39</f>
        <v>0</v>
      </c>
      <c r="G41" s="604">
        <f>G11-G39</f>
        <v>0</v>
      </c>
      <c r="H41" s="603" t="str">
        <f>IF(E41=F41+G41," ","ERROR")</f>
        <v> </v>
      </c>
    </row>
    <row r="42" spans="1:8" ht="12">
      <c r="A42" s="595"/>
      <c r="E42" s="604"/>
      <c r="F42" s="604"/>
      <c r="G42" s="604"/>
      <c r="H42" s="603"/>
    </row>
    <row r="43" spans="1:8" ht="12">
      <c r="A43" s="595"/>
      <c r="B43" s="589" t="s">
        <v>148</v>
      </c>
      <c r="E43" s="604"/>
      <c r="F43" s="604"/>
      <c r="G43" s="604"/>
      <c r="H43" s="603"/>
    </row>
    <row r="44" spans="1:8" ht="12">
      <c r="A44" s="595">
        <v>27</v>
      </c>
      <c r="B44" s="606" t="s">
        <v>163</v>
      </c>
      <c r="E44" s="604">
        <f>F44+G44</f>
        <v>2138</v>
      </c>
      <c r="F44" s="604">
        <v>1289</v>
      </c>
      <c r="G44" s="604">
        <v>849</v>
      </c>
      <c r="H44" s="603" t="str">
        <f>IF(E44=F44+G44," ","ERROR")</f>
        <v> </v>
      </c>
    </row>
    <row r="45" spans="1:8" ht="12">
      <c r="A45" s="595">
        <v>28</v>
      </c>
      <c r="B45" s="589" t="s">
        <v>150</v>
      </c>
      <c r="E45" s="604">
        <f>F45+G45</f>
        <v>-2067</v>
      </c>
      <c r="F45" s="604">
        <v>-1388</v>
      </c>
      <c r="G45" s="604">
        <v>-679</v>
      </c>
      <c r="H45" s="603" t="str">
        <f>IF(E45=F45+G45," ","ERROR")</f>
        <v> </v>
      </c>
    </row>
    <row r="46" spans="1:8" ht="12">
      <c r="A46" s="595">
        <v>29</v>
      </c>
      <c r="B46" s="589" t="s">
        <v>151</v>
      </c>
      <c r="E46" s="605"/>
      <c r="F46" s="605"/>
      <c r="G46" s="605"/>
      <c r="H46" s="603" t="str">
        <f>IF(E46=F46+G46," ","ERROR")</f>
        <v> </v>
      </c>
    </row>
    <row r="47" spans="1:8" ht="12">
      <c r="A47" s="595"/>
      <c r="H47" s="603"/>
    </row>
    <row r="48" spans="1:8" ht="12">
      <c r="A48" s="595">
        <v>30</v>
      </c>
      <c r="B48" s="609" t="s">
        <v>98</v>
      </c>
      <c r="E48" s="602">
        <f>E41-(+E44+E45+E46)</f>
        <v>-71</v>
      </c>
      <c r="F48" s="602">
        <f>F41-(F44+F45+F46)</f>
        <v>99</v>
      </c>
      <c r="G48" s="602">
        <f>G41-SUM(G44:G46)</f>
        <v>-170</v>
      </c>
      <c r="H48" s="603" t="str">
        <f>IF(E48=F48+G48," ","ERROR")</f>
        <v> </v>
      </c>
    </row>
    <row r="49" spans="1:8" ht="12">
      <c r="A49" s="595"/>
      <c r="H49" s="603"/>
    </row>
    <row r="50" spans="1:8" ht="12">
      <c r="A50" s="595"/>
      <c r="B50" s="606" t="s">
        <v>152</v>
      </c>
      <c r="H50" s="603"/>
    </row>
    <row r="51" spans="1:8" ht="12">
      <c r="A51" s="595"/>
      <c r="B51" s="606" t="s">
        <v>153</v>
      </c>
      <c r="H51" s="603"/>
    </row>
    <row r="52" spans="1:8" ht="12">
      <c r="A52" s="595">
        <v>31</v>
      </c>
      <c r="B52" s="589" t="s">
        <v>154</v>
      </c>
      <c r="E52" s="602"/>
      <c r="F52" s="602"/>
      <c r="G52" s="602"/>
      <c r="H52" s="603" t="str">
        <f aca="true" t="shared" si="0" ref="H52:H63">IF(E52=F52+G52," ","ERROR")</f>
        <v> </v>
      </c>
    </row>
    <row r="53" spans="1:8" ht="12">
      <c r="A53" s="595">
        <v>32</v>
      </c>
      <c r="B53" s="589" t="s">
        <v>155</v>
      </c>
      <c r="E53" s="604"/>
      <c r="F53" s="604"/>
      <c r="G53" s="604"/>
      <c r="H53" s="603" t="str">
        <f t="shared" si="0"/>
        <v> </v>
      </c>
    </row>
    <row r="54" spans="1:8" ht="12">
      <c r="A54" s="595">
        <v>33</v>
      </c>
      <c r="B54" s="589" t="s">
        <v>164</v>
      </c>
      <c r="E54" s="605"/>
      <c r="F54" s="605"/>
      <c r="G54" s="605"/>
      <c r="H54" s="603" t="str">
        <f t="shared" si="0"/>
        <v> </v>
      </c>
    </row>
    <row r="55" spans="1:8" ht="12">
      <c r="A55" s="595">
        <v>34</v>
      </c>
      <c r="B55" s="589" t="s">
        <v>157</v>
      </c>
      <c r="E55" s="604">
        <f>SUM(E52:E54)</f>
        <v>0</v>
      </c>
      <c r="F55" s="604">
        <f>SUM(F52:F54)</f>
        <v>0</v>
      </c>
      <c r="G55" s="604">
        <f>SUM(G52:G54)</f>
        <v>0</v>
      </c>
      <c r="H55" s="603" t="str">
        <f t="shared" si="0"/>
        <v> </v>
      </c>
    </row>
    <row r="56" spans="1:8" ht="12">
      <c r="A56" s="595"/>
      <c r="B56" s="589" t="s">
        <v>103</v>
      </c>
      <c r="E56" s="604"/>
      <c r="F56" s="604"/>
      <c r="G56" s="604"/>
      <c r="H56" s="603" t="str">
        <f t="shared" si="0"/>
        <v> </v>
      </c>
    </row>
    <row r="57" spans="1:8" ht="12">
      <c r="A57" s="595">
        <v>35</v>
      </c>
      <c r="B57" s="589" t="s">
        <v>154</v>
      </c>
      <c r="E57" s="604"/>
      <c r="F57" s="604"/>
      <c r="G57" s="604"/>
      <c r="H57" s="603" t="str">
        <f t="shared" si="0"/>
        <v> </v>
      </c>
    </row>
    <row r="58" spans="1:8" ht="12">
      <c r="A58" s="595">
        <v>36</v>
      </c>
      <c r="B58" s="589" t="s">
        <v>155</v>
      </c>
      <c r="E58" s="604"/>
      <c r="F58" s="604"/>
      <c r="G58" s="604"/>
      <c r="H58" s="603" t="str">
        <f t="shared" si="0"/>
        <v> </v>
      </c>
    </row>
    <row r="59" spans="1:8" ht="12">
      <c r="A59" s="595">
        <v>37</v>
      </c>
      <c r="B59" s="589" t="s">
        <v>164</v>
      </c>
      <c r="E59" s="605"/>
      <c r="F59" s="605"/>
      <c r="G59" s="605"/>
      <c r="H59" s="603" t="str">
        <f t="shared" si="0"/>
        <v> </v>
      </c>
    </row>
    <row r="60" spans="1:8" ht="12">
      <c r="A60" s="595">
        <v>38</v>
      </c>
      <c r="B60" s="589" t="s">
        <v>158</v>
      </c>
      <c r="E60" s="604">
        <f>SUM(E57:E59)</f>
        <v>0</v>
      </c>
      <c r="F60" s="604">
        <f>SUM(F57:F59)</f>
        <v>0</v>
      </c>
      <c r="G60" s="604">
        <f>SUM(G57:G59)</f>
        <v>0</v>
      </c>
      <c r="H60" s="603" t="str">
        <f t="shared" si="0"/>
        <v> </v>
      </c>
    </row>
    <row r="61" spans="1:8" ht="12">
      <c r="A61" s="595">
        <v>39</v>
      </c>
      <c r="B61" s="606" t="s">
        <v>159</v>
      </c>
      <c r="E61" s="604"/>
      <c r="F61" s="604"/>
      <c r="G61" s="604"/>
      <c r="H61" s="603" t="str">
        <f t="shared" si="0"/>
        <v> </v>
      </c>
    </row>
    <row r="62" spans="1:8" ht="12">
      <c r="A62" s="595">
        <v>40</v>
      </c>
      <c r="B62" s="589" t="s">
        <v>106</v>
      </c>
      <c r="E62" s="604"/>
      <c r="F62" s="604"/>
      <c r="G62" s="604"/>
      <c r="H62" s="603" t="str">
        <f t="shared" si="0"/>
        <v> </v>
      </c>
    </row>
    <row r="63" spans="1:8" ht="12">
      <c r="A63" s="595">
        <v>41</v>
      </c>
      <c r="B63" s="606" t="s">
        <v>107</v>
      </c>
      <c r="E63" s="605"/>
      <c r="F63" s="605"/>
      <c r="G63" s="605"/>
      <c r="H63" s="603" t="str">
        <f t="shared" si="0"/>
        <v> </v>
      </c>
    </row>
    <row r="64" spans="1:8" ht="12">
      <c r="A64" s="595"/>
      <c r="B64" s="589" t="s">
        <v>160</v>
      </c>
      <c r="H64" s="603"/>
    </row>
    <row r="65" spans="1:8" ht="12.75" thickBot="1">
      <c r="A65" s="595">
        <v>42</v>
      </c>
      <c r="B65" s="609" t="s">
        <v>108</v>
      </c>
      <c r="E65" s="610">
        <f>E55-E60+E61+E62+E63</f>
        <v>0</v>
      </c>
      <c r="F65" s="610">
        <f>F55-F60+F61+F62+F63</f>
        <v>0</v>
      </c>
      <c r="G65" s="610">
        <f>G55-G60+G61+G62+G63</f>
        <v>0</v>
      </c>
      <c r="H65" s="603" t="str">
        <f>IF(E65=F65+G65," ","ERROR")</f>
        <v> </v>
      </c>
    </row>
    <row r="66" spans="1:7" ht="12.75" thickTop="1">
      <c r="A66" s="611"/>
      <c r="B66" s="611"/>
      <c r="C66" s="611"/>
      <c r="D66" s="612"/>
      <c r="E66" s="613"/>
      <c r="F66" s="614"/>
      <c r="G66" s="612"/>
    </row>
    <row r="67" spans="1:7" ht="12">
      <c r="A67" s="611"/>
      <c r="B67" s="611"/>
      <c r="C67" s="611"/>
      <c r="D67" s="612"/>
      <c r="E67" s="613"/>
      <c r="F67" s="614"/>
      <c r="G67" s="612"/>
    </row>
    <row r="68" spans="1:7" ht="12">
      <c r="A68" s="611"/>
      <c r="B68" s="611"/>
      <c r="C68" s="611"/>
      <c r="D68" s="612"/>
      <c r="E68" s="613"/>
      <c r="F68" s="615"/>
      <c r="G68" s="612"/>
    </row>
    <row r="69" spans="1:7" ht="12">
      <c r="A69" s="611"/>
      <c r="B69" s="611"/>
      <c r="C69" s="611"/>
      <c r="D69" s="612"/>
      <c r="E69" s="613"/>
      <c r="F69" s="615"/>
      <c r="G69" s="612"/>
    </row>
    <row r="70" spans="1:7" ht="12">
      <c r="A70" s="612"/>
      <c r="B70" s="612"/>
      <c r="C70" s="612"/>
      <c r="D70" s="612"/>
      <c r="E70" s="613"/>
      <c r="F70" s="615"/>
      <c r="G70" s="612"/>
    </row>
    <row r="71" spans="1:7" ht="12">
      <c r="A71" s="596"/>
      <c r="B71" s="612"/>
      <c r="C71" s="612"/>
      <c r="D71" s="612"/>
      <c r="E71" s="613"/>
      <c r="F71" s="615"/>
      <c r="G71" s="613"/>
    </row>
    <row r="72" spans="1:7" ht="12">
      <c r="A72" s="596"/>
      <c r="B72" s="611"/>
      <c r="C72" s="611"/>
      <c r="D72" s="612"/>
      <c r="E72" s="613"/>
      <c r="F72" s="615"/>
      <c r="G72" s="613"/>
    </row>
    <row r="73" spans="1:7" ht="12">
      <c r="A73" s="596"/>
      <c r="B73" s="612"/>
      <c r="C73" s="612"/>
      <c r="D73" s="612"/>
      <c r="E73" s="612"/>
      <c r="F73" s="614"/>
      <c r="G73" s="612"/>
    </row>
    <row r="74" spans="1:7" ht="12">
      <c r="A74" s="596"/>
      <c r="B74" s="612"/>
      <c r="C74" s="612"/>
      <c r="D74" s="612"/>
      <c r="E74" s="612"/>
      <c r="F74" s="616"/>
      <c r="G74" s="612"/>
    </row>
    <row r="75" spans="1:7" ht="12">
      <c r="A75" s="596"/>
      <c r="B75" s="612"/>
      <c r="C75" s="612"/>
      <c r="D75" s="612"/>
      <c r="E75" s="612"/>
      <c r="F75" s="617"/>
      <c r="G75" s="612"/>
    </row>
    <row r="76" spans="1:7" ht="12">
      <c r="A76" s="596"/>
      <c r="B76" s="612"/>
      <c r="C76" s="612"/>
      <c r="D76" s="612"/>
      <c r="E76" s="612"/>
      <c r="F76" s="617"/>
      <c r="G76" s="612"/>
    </row>
    <row r="77" spans="1:7" ht="12">
      <c r="A77" s="596"/>
      <c r="B77" s="612"/>
      <c r="C77" s="612"/>
      <c r="D77" s="612"/>
      <c r="E77" s="612"/>
      <c r="F77" s="617"/>
      <c r="G77" s="612"/>
    </row>
    <row r="78" spans="1:7" ht="12">
      <c r="A78" s="596"/>
      <c r="B78" s="612"/>
      <c r="C78" s="612"/>
      <c r="D78" s="612"/>
      <c r="E78" s="612"/>
      <c r="F78" s="617"/>
      <c r="G78" s="612"/>
    </row>
    <row r="79" spans="1:7" ht="12">
      <c r="A79" s="596"/>
      <c r="B79" s="612"/>
      <c r="C79" s="612"/>
      <c r="D79" s="612"/>
      <c r="E79" s="612"/>
      <c r="F79" s="617"/>
      <c r="G79" s="612"/>
    </row>
    <row r="80" spans="1:7" ht="12">
      <c r="A80" s="596"/>
      <c r="B80" s="612"/>
      <c r="C80" s="612"/>
      <c r="D80" s="612"/>
      <c r="E80" s="612"/>
      <c r="F80" s="617"/>
      <c r="G80" s="612"/>
    </row>
    <row r="81" spans="1:7" ht="12">
      <c r="A81" s="596"/>
      <c r="B81" s="612"/>
      <c r="C81" s="612"/>
      <c r="D81" s="612"/>
      <c r="E81" s="612"/>
      <c r="F81" s="617"/>
      <c r="G81" s="612"/>
    </row>
    <row r="82" spans="1:7" ht="12">
      <c r="A82" s="596"/>
      <c r="B82" s="612"/>
      <c r="C82" s="612"/>
      <c r="D82" s="612"/>
      <c r="E82" s="612"/>
      <c r="F82" s="617"/>
      <c r="G82" s="612"/>
    </row>
    <row r="83" spans="1:7" ht="12">
      <c r="A83" s="596"/>
      <c r="B83" s="612"/>
      <c r="C83" s="612"/>
      <c r="D83" s="612"/>
      <c r="E83" s="612"/>
      <c r="F83" s="617"/>
      <c r="G83" s="612"/>
    </row>
    <row r="84" spans="1:7" ht="12">
      <c r="A84" s="596"/>
      <c r="B84" s="612"/>
      <c r="C84" s="612"/>
      <c r="D84" s="612"/>
      <c r="E84" s="612"/>
      <c r="F84" s="617"/>
      <c r="G84" s="612"/>
    </row>
    <row r="85" spans="1:7" ht="12">
      <c r="A85" s="596"/>
      <c r="B85" s="612"/>
      <c r="C85" s="612"/>
      <c r="D85" s="612"/>
      <c r="E85" s="612"/>
      <c r="F85" s="617"/>
      <c r="G85" s="612"/>
    </row>
    <row r="86" spans="1:7" ht="12">
      <c r="A86" s="596"/>
      <c r="B86" s="612"/>
      <c r="C86" s="612"/>
      <c r="D86" s="612"/>
      <c r="E86" s="612"/>
      <c r="F86" s="617"/>
      <c r="G86" s="612"/>
    </row>
    <row r="87" spans="1:7" ht="12">
      <c r="A87" s="596"/>
      <c r="B87" s="612"/>
      <c r="C87" s="612"/>
      <c r="D87" s="612"/>
      <c r="E87" s="612"/>
      <c r="F87" s="617"/>
      <c r="G87" s="612"/>
    </row>
    <row r="88" spans="1:7" ht="12">
      <c r="A88" s="596"/>
      <c r="B88" s="612"/>
      <c r="C88" s="612"/>
      <c r="D88" s="612"/>
      <c r="E88" s="612"/>
      <c r="F88" s="617"/>
      <c r="G88" s="612"/>
    </row>
    <row r="89" spans="1:7" ht="12">
      <c r="A89" s="596"/>
      <c r="B89" s="612"/>
      <c r="C89" s="612"/>
      <c r="D89" s="612"/>
      <c r="E89" s="612"/>
      <c r="F89" s="617"/>
      <c r="G89" s="612"/>
    </row>
    <row r="90" spans="1:7" ht="12">
      <c r="A90" s="596"/>
      <c r="B90" s="612"/>
      <c r="C90" s="612"/>
      <c r="D90" s="612"/>
      <c r="E90" s="612"/>
      <c r="F90" s="617"/>
      <c r="G90" s="612"/>
    </row>
    <row r="91" spans="1:7" ht="12">
      <c r="A91" s="596"/>
      <c r="B91" s="612"/>
      <c r="C91" s="612"/>
      <c r="D91" s="612"/>
      <c r="E91" s="612"/>
      <c r="F91" s="617"/>
      <c r="G91" s="612"/>
    </row>
    <row r="92" spans="1:7" ht="12">
      <c r="A92" s="596"/>
      <c r="B92" s="612"/>
      <c r="C92" s="612"/>
      <c r="D92" s="612"/>
      <c r="E92" s="612"/>
      <c r="F92" s="617"/>
      <c r="G92" s="612"/>
    </row>
    <row r="93" spans="1:7" ht="12">
      <c r="A93" s="596"/>
      <c r="B93" s="612"/>
      <c r="C93" s="612"/>
      <c r="D93" s="612"/>
      <c r="E93" s="612"/>
      <c r="F93" s="617"/>
      <c r="G93" s="612"/>
    </row>
    <row r="94" spans="1:7" ht="12">
      <c r="A94" s="596"/>
      <c r="B94" s="612"/>
      <c r="C94" s="612"/>
      <c r="D94" s="612"/>
      <c r="E94" s="612"/>
      <c r="F94" s="617"/>
      <c r="G94" s="612"/>
    </row>
    <row r="95" spans="1:7" ht="12">
      <c r="A95" s="596"/>
      <c r="B95" s="612"/>
      <c r="C95" s="612"/>
      <c r="D95" s="612"/>
      <c r="E95" s="612"/>
      <c r="F95" s="617"/>
      <c r="G95" s="612"/>
    </row>
    <row r="96" spans="1:7" ht="12">
      <c r="A96" s="596"/>
      <c r="B96" s="612"/>
      <c r="C96" s="612"/>
      <c r="D96" s="612"/>
      <c r="E96" s="612"/>
      <c r="F96" s="617"/>
      <c r="G96" s="612"/>
    </row>
    <row r="97" spans="1:7" ht="12">
      <c r="A97" s="596"/>
      <c r="B97" s="612"/>
      <c r="C97" s="612"/>
      <c r="D97" s="612"/>
      <c r="E97" s="612"/>
      <c r="F97" s="617"/>
      <c r="G97" s="612"/>
    </row>
    <row r="98" spans="1:7" ht="12">
      <c r="A98" s="596"/>
      <c r="B98" s="612"/>
      <c r="C98" s="612"/>
      <c r="D98" s="612"/>
      <c r="E98" s="612"/>
      <c r="F98" s="617"/>
      <c r="G98" s="612"/>
    </row>
    <row r="99" spans="1:7" ht="12">
      <c r="A99" s="596"/>
      <c r="B99" s="612"/>
      <c r="C99" s="612"/>
      <c r="D99" s="612"/>
      <c r="E99" s="612"/>
      <c r="F99" s="617"/>
      <c r="G99" s="612"/>
    </row>
    <row r="100" spans="1:7" ht="12">
      <c r="A100" s="596"/>
      <c r="B100" s="612"/>
      <c r="C100" s="612"/>
      <c r="D100" s="612"/>
      <c r="E100" s="612"/>
      <c r="F100" s="617"/>
      <c r="G100" s="612"/>
    </row>
    <row r="101" spans="1:7" ht="12">
      <c r="A101" s="596"/>
      <c r="B101" s="612"/>
      <c r="C101" s="612"/>
      <c r="D101" s="612"/>
      <c r="E101" s="612"/>
      <c r="F101" s="617"/>
      <c r="G101" s="612"/>
    </row>
    <row r="102" spans="1:7" ht="12">
      <c r="A102" s="596"/>
      <c r="B102" s="612"/>
      <c r="C102" s="612"/>
      <c r="D102" s="612"/>
      <c r="E102" s="612"/>
      <c r="F102" s="617"/>
      <c r="G102" s="612"/>
    </row>
    <row r="103" spans="1:7" ht="12">
      <c r="A103" s="596"/>
      <c r="B103" s="612"/>
      <c r="C103" s="612"/>
      <c r="D103" s="612"/>
      <c r="E103" s="612"/>
      <c r="F103" s="617"/>
      <c r="G103" s="612"/>
    </row>
    <row r="104" spans="1:7" ht="12">
      <c r="A104" s="596"/>
      <c r="B104" s="612"/>
      <c r="C104" s="612"/>
      <c r="D104" s="612"/>
      <c r="E104" s="612"/>
      <c r="F104" s="617"/>
      <c r="G104" s="612"/>
    </row>
    <row r="105" spans="1:7" ht="12">
      <c r="A105" s="596"/>
      <c r="B105" s="612"/>
      <c r="C105" s="612"/>
      <c r="D105" s="612"/>
      <c r="E105" s="612"/>
      <c r="F105" s="617"/>
      <c r="G105" s="612"/>
    </row>
    <row r="106" spans="1:7" ht="12">
      <c r="A106" s="596"/>
      <c r="B106" s="612"/>
      <c r="C106" s="612"/>
      <c r="D106" s="612"/>
      <c r="E106" s="612"/>
      <c r="F106" s="617"/>
      <c r="G106" s="612"/>
    </row>
    <row r="107" spans="1:7" ht="12">
      <c r="A107" s="596"/>
      <c r="B107" s="612"/>
      <c r="C107" s="612"/>
      <c r="D107" s="612"/>
      <c r="E107" s="612"/>
      <c r="F107" s="617"/>
      <c r="G107" s="612"/>
    </row>
    <row r="108" spans="1:7" ht="12">
      <c r="A108" s="596"/>
      <c r="B108" s="612"/>
      <c r="C108" s="612"/>
      <c r="D108" s="612"/>
      <c r="E108" s="612"/>
      <c r="F108" s="617"/>
      <c r="G108" s="612"/>
    </row>
    <row r="109" spans="1:7" ht="12">
      <c r="A109" s="596"/>
      <c r="B109" s="612"/>
      <c r="C109" s="612"/>
      <c r="D109" s="612"/>
      <c r="E109" s="612"/>
      <c r="F109" s="614"/>
      <c r="G109" s="612"/>
    </row>
    <row r="110" spans="1:7" ht="12">
      <c r="A110" s="596"/>
      <c r="B110" s="612"/>
      <c r="C110" s="612"/>
      <c r="D110" s="612"/>
      <c r="E110" s="613"/>
      <c r="F110" s="614"/>
      <c r="G110" s="612"/>
    </row>
    <row r="111" spans="1:7" ht="12">
      <c r="A111" s="596"/>
      <c r="B111" s="618"/>
      <c r="C111" s="619"/>
      <c r="D111" s="612"/>
      <c r="E111" s="613"/>
      <c r="F111" s="616"/>
      <c r="G111" s="612"/>
    </row>
    <row r="112" spans="1:7" ht="12">
      <c r="A112" s="596"/>
      <c r="B112" s="612"/>
      <c r="C112" s="612"/>
      <c r="D112" s="612"/>
      <c r="E112" s="613"/>
      <c r="F112" s="614"/>
      <c r="G112" s="612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G44" sqref="G44"/>
    </sheetView>
  </sheetViews>
  <sheetFormatPr defaultColWidth="9.140625" defaultRowHeight="10.5" customHeight="1"/>
  <cols>
    <col min="1" max="1" width="5.57421875" style="621" customWidth="1"/>
    <col min="2" max="2" width="26.140625" style="621" customWidth="1"/>
    <col min="3" max="3" width="12.421875" style="621" customWidth="1"/>
    <col min="4" max="4" width="6.7109375" style="621" customWidth="1"/>
    <col min="5" max="5" width="12.421875" style="639" customWidth="1"/>
    <col min="6" max="6" width="12.421875" style="640" customWidth="1"/>
    <col min="7" max="7" width="12.421875" style="639" customWidth="1"/>
    <col min="8" max="16384" width="12.421875" style="621" customWidth="1"/>
  </cols>
  <sheetData>
    <row r="1" spans="1:7" ht="12">
      <c r="A1" s="620" t="str">
        <f>Inputs!$D$6</f>
        <v>AVISTA UTILITIES</v>
      </c>
      <c r="B1" s="620"/>
      <c r="C1" s="620"/>
      <c r="E1" s="622"/>
      <c r="F1" s="623"/>
      <c r="G1" s="622"/>
    </row>
    <row r="2" spans="1:7" ht="12">
      <c r="A2" s="620" t="s">
        <v>122</v>
      </c>
      <c r="B2" s="620"/>
      <c r="C2" s="620"/>
      <c r="E2" s="622"/>
      <c r="F2" s="624" t="s">
        <v>187</v>
      </c>
      <c r="G2" s="622"/>
    </row>
    <row r="3" spans="1:7" ht="12">
      <c r="A3" s="620" t="str">
        <f>Inputs!$D$2</f>
        <v>TWELVE MONTHS ENDED DECEMBER 31, 2004</v>
      </c>
      <c r="B3" s="620"/>
      <c r="C3" s="620"/>
      <c r="E3" s="622"/>
      <c r="F3" s="624" t="s">
        <v>188</v>
      </c>
      <c r="G3" s="621"/>
    </row>
    <row r="4" spans="1:7" ht="12">
      <c r="A4" s="620" t="s">
        <v>125</v>
      </c>
      <c r="B4" s="620"/>
      <c r="C4" s="620"/>
      <c r="E4" s="625"/>
      <c r="F4" s="626" t="s">
        <v>126</v>
      </c>
      <c r="G4" s="625"/>
    </row>
    <row r="5" spans="1:7" ht="12">
      <c r="A5" s="627" t="s">
        <v>11</v>
      </c>
      <c r="E5" s="622"/>
      <c r="F5" s="624"/>
      <c r="G5" s="622"/>
    </row>
    <row r="6" spans="1:8" ht="12">
      <c r="A6" s="628" t="s">
        <v>29</v>
      </c>
      <c r="B6" s="629" t="s">
        <v>114</v>
      </c>
      <c r="C6" s="629"/>
      <c r="E6" s="630" t="s">
        <v>127</v>
      </c>
      <c r="F6" s="631" t="s">
        <v>128</v>
      </c>
      <c r="G6" s="630" t="s">
        <v>129</v>
      </c>
      <c r="H6" s="632" t="s">
        <v>130</v>
      </c>
    </row>
    <row r="7" spans="1:7" ht="12">
      <c r="A7" s="627"/>
      <c r="B7" s="621" t="s">
        <v>69</v>
      </c>
      <c r="E7" s="633"/>
      <c r="F7" s="624"/>
      <c r="G7" s="633"/>
    </row>
    <row r="8" spans="1:8" ht="12">
      <c r="A8" s="627">
        <v>1</v>
      </c>
      <c r="B8" s="621" t="s">
        <v>131</v>
      </c>
      <c r="E8" s="634"/>
      <c r="F8" s="634"/>
      <c r="G8" s="634"/>
      <c r="H8" s="635" t="str">
        <f>IF(E8=F8+G8," ","ERROR")</f>
        <v> </v>
      </c>
    </row>
    <row r="9" spans="1:8" ht="12">
      <c r="A9" s="627">
        <v>2</v>
      </c>
      <c r="B9" s="621" t="s">
        <v>132</v>
      </c>
      <c r="E9" s="636"/>
      <c r="F9" s="636"/>
      <c r="G9" s="636"/>
      <c r="H9" s="635" t="str">
        <f>IF(E9=F9+G9," ","ERROR")</f>
        <v> </v>
      </c>
    </row>
    <row r="10" spans="1:8" ht="12">
      <c r="A10" s="627">
        <v>3</v>
      </c>
      <c r="B10" s="621" t="s">
        <v>72</v>
      </c>
      <c r="E10" s="637"/>
      <c r="F10" s="637"/>
      <c r="G10" s="637"/>
      <c r="H10" s="635" t="str">
        <f>IF(E10=F10+G10," ","ERROR")</f>
        <v> </v>
      </c>
    </row>
    <row r="11" spans="1:8" ht="12">
      <c r="A11" s="627">
        <v>4</v>
      </c>
      <c r="B11" s="621" t="s">
        <v>133</v>
      </c>
      <c r="E11" s="636">
        <f>SUM(E8:E10)</f>
        <v>0</v>
      </c>
      <c r="F11" s="636">
        <f>SUM(F8:F10)</f>
        <v>0</v>
      </c>
      <c r="G11" s="636">
        <f>SUM(G8:G10)</f>
        <v>0</v>
      </c>
      <c r="H11" s="635" t="str">
        <f>IF(E11=F11+G11," ","ERROR")</f>
        <v> </v>
      </c>
    </row>
    <row r="12" spans="1:8" ht="12">
      <c r="A12" s="627"/>
      <c r="E12" s="636"/>
      <c r="F12" s="636"/>
      <c r="G12" s="636"/>
      <c r="H12" s="635"/>
    </row>
    <row r="13" spans="1:8" ht="12">
      <c r="A13" s="627"/>
      <c r="B13" s="621" t="s">
        <v>74</v>
      </c>
      <c r="E13" s="636"/>
      <c r="F13" s="636"/>
      <c r="G13" s="636"/>
      <c r="H13" s="635"/>
    </row>
    <row r="14" spans="1:8" ht="12">
      <c r="A14" s="627">
        <v>5</v>
      </c>
      <c r="B14" s="621" t="s">
        <v>134</v>
      </c>
      <c r="E14" s="636"/>
      <c r="F14" s="636"/>
      <c r="G14" s="636"/>
      <c r="H14" s="635" t="str">
        <f>IF(E14=F14+G14," ","ERROR")</f>
        <v> </v>
      </c>
    </row>
    <row r="15" spans="1:8" ht="12">
      <c r="A15" s="627"/>
      <c r="B15" s="621" t="s">
        <v>76</v>
      </c>
      <c r="E15" s="636"/>
      <c r="F15" s="636"/>
      <c r="G15" s="636"/>
      <c r="H15" s="635"/>
    </row>
    <row r="16" spans="1:8" ht="12">
      <c r="A16" s="627">
        <v>6</v>
      </c>
      <c r="B16" s="621" t="s">
        <v>135</v>
      </c>
      <c r="E16" s="636"/>
      <c r="F16" s="636"/>
      <c r="G16" s="636"/>
      <c r="H16" s="635" t="str">
        <f>IF(E16=F16+G16," ","ERROR")</f>
        <v> </v>
      </c>
    </row>
    <row r="17" spans="1:8" ht="12">
      <c r="A17" s="627">
        <v>7</v>
      </c>
      <c r="B17" s="621" t="s">
        <v>136</v>
      </c>
      <c r="E17" s="636"/>
      <c r="F17" s="636"/>
      <c r="G17" s="636"/>
      <c r="H17" s="635" t="str">
        <f>IF(E17=F17+G17," ","ERROR")</f>
        <v> </v>
      </c>
    </row>
    <row r="18" spans="1:8" ht="12">
      <c r="A18" s="627">
        <v>8</v>
      </c>
      <c r="B18" s="621" t="s">
        <v>137</v>
      </c>
      <c r="E18" s="637"/>
      <c r="F18" s="637"/>
      <c r="G18" s="637"/>
      <c r="H18" s="635" t="str">
        <f>IF(E18=F18+G18," ","ERROR")</f>
        <v> </v>
      </c>
    </row>
    <row r="19" spans="1:8" ht="12">
      <c r="A19" s="627">
        <v>9</v>
      </c>
      <c r="B19" s="621" t="s">
        <v>138</v>
      </c>
      <c r="E19" s="636">
        <f>SUM(E16:E18)</f>
        <v>0</v>
      </c>
      <c r="F19" s="636">
        <f>SUM(F16:F18)</f>
        <v>0</v>
      </c>
      <c r="G19" s="636">
        <f>SUM(G16:G18)</f>
        <v>0</v>
      </c>
      <c r="H19" s="635" t="str">
        <f>IF(E19=F19+G19," ","ERROR")</f>
        <v> </v>
      </c>
    </row>
    <row r="20" spans="1:8" ht="12">
      <c r="A20" s="627"/>
      <c r="B20" s="621" t="s">
        <v>81</v>
      </c>
      <c r="E20" s="636"/>
      <c r="F20" s="636"/>
      <c r="G20" s="636"/>
      <c r="H20" s="635"/>
    </row>
    <row r="21" spans="1:8" ht="12">
      <c r="A21" s="627">
        <v>10</v>
      </c>
      <c r="B21" s="621" t="s">
        <v>139</v>
      </c>
      <c r="E21" s="636"/>
      <c r="F21" s="636"/>
      <c r="G21" s="636"/>
      <c r="H21" s="635" t="str">
        <f>IF(E21=F21+G21," ","ERROR")</f>
        <v> </v>
      </c>
    </row>
    <row r="22" spans="1:8" ht="12">
      <c r="A22" s="627">
        <v>11</v>
      </c>
      <c r="B22" s="621" t="s">
        <v>140</v>
      </c>
      <c r="E22" s="636"/>
      <c r="F22" s="636"/>
      <c r="G22" s="636"/>
      <c r="H22" s="635" t="str">
        <f>IF(E22=F22+G22," ","ERROR")</f>
        <v> </v>
      </c>
    </row>
    <row r="23" spans="1:8" ht="12">
      <c r="A23" s="627">
        <v>12</v>
      </c>
      <c r="B23" s="621" t="s">
        <v>141</v>
      </c>
      <c r="E23" s="637"/>
      <c r="F23" s="637"/>
      <c r="G23" s="637"/>
      <c r="H23" s="635" t="str">
        <f>IF(E23=F23+G23," ","ERROR")</f>
        <v> </v>
      </c>
    </row>
    <row r="24" spans="1:8" ht="12">
      <c r="A24" s="627">
        <v>13</v>
      </c>
      <c r="B24" s="621" t="s">
        <v>142</v>
      </c>
      <c r="E24" s="636">
        <f>SUM(E21:E23)</f>
        <v>0</v>
      </c>
      <c r="F24" s="636">
        <f>SUM(F21:F23)</f>
        <v>0</v>
      </c>
      <c r="G24" s="636">
        <f>SUM(G21:G23)</f>
        <v>0</v>
      </c>
      <c r="H24" s="635" t="str">
        <f>IF(E24=F24+G24," ","ERROR")</f>
        <v> </v>
      </c>
    </row>
    <row r="25" spans="1:8" ht="12">
      <c r="A25" s="627"/>
      <c r="B25" s="621" t="s">
        <v>85</v>
      </c>
      <c r="E25" s="636"/>
      <c r="F25" s="636"/>
      <c r="G25" s="636"/>
      <c r="H25" s="635"/>
    </row>
    <row r="26" spans="1:8" ht="12">
      <c r="A26" s="627">
        <v>14</v>
      </c>
      <c r="B26" s="621" t="s">
        <v>139</v>
      </c>
      <c r="E26" s="636"/>
      <c r="F26" s="636"/>
      <c r="G26" s="636"/>
      <c r="H26" s="635" t="str">
        <f>IF(E26=F26+G26," ","ERROR")</f>
        <v> </v>
      </c>
    </row>
    <row r="27" spans="1:8" ht="12">
      <c r="A27" s="627">
        <v>15</v>
      </c>
      <c r="B27" s="621" t="s">
        <v>140</v>
      </c>
      <c r="E27" s="636"/>
      <c r="F27" s="636"/>
      <c r="G27" s="636"/>
      <c r="H27" s="635" t="str">
        <f>IF(E27=F27+G27," ","ERROR")</f>
        <v> </v>
      </c>
    </row>
    <row r="28" spans="1:8" ht="12">
      <c r="A28" s="627">
        <v>16</v>
      </c>
      <c r="B28" s="621" t="s">
        <v>141</v>
      </c>
      <c r="E28" s="637">
        <f>F28+G28</f>
        <v>0</v>
      </c>
      <c r="F28" s="637"/>
      <c r="G28" s="637"/>
      <c r="H28" s="635" t="str">
        <f>IF(E28=F28+G28," ","ERROR")</f>
        <v> </v>
      </c>
    </row>
    <row r="29" spans="1:8" ht="12">
      <c r="A29" s="627">
        <v>17</v>
      </c>
      <c r="B29" s="621" t="s">
        <v>143</v>
      </c>
      <c r="E29" s="636">
        <f>SUM(E26:E28)</f>
        <v>0</v>
      </c>
      <c r="F29" s="636">
        <f>SUM(F26:F28)</f>
        <v>0</v>
      </c>
      <c r="G29" s="636">
        <f>SUM(G26:G28)</f>
        <v>0</v>
      </c>
      <c r="H29" s="635" t="str">
        <f>IF(E29=F29+G29," ","ERROR")</f>
        <v> </v>
      </c>
    </row>
    <row r="30" spans="1:8" ht="12">
      <c r="A30" s="627"/>
      <c r="E30" s="636"/>
      <c r="F30" s="636"/>
      <c r="G30" s="636"/>
      <c r="H30" s="635"/>
    </row>
    <row r="31" spans="1:8" ht="12">
      <c r="A31" s="627">
        <v>18</v>
      </c>
      <c r="B31" s="621" t="s">
        <v>87</v>
      </c>
      <c r="E31" s="636"/>
      <c r="F31" s="636"/>
      <c r="G31" s="636"/>
      <c r="H31" s="635" t="str">
        <f>IF(E31=F31+G31," ","ERROR")</f>
        <v> </v>
      </c>
    </row>
    <row r="32" spans="1:8" ht="12">
      <c r="A32" s="627">
        <v>19</v>
      </c>
      <c r="B32" s="621" t="s">
        <v>88</v>
      </c>
      <c r="E32" s="636"/>
      <c r="F32" s="636"/>
      <c r="G32" s="636"/>
      <c r="H32" s="635" t="str">
        <f>IF(E32=F32+G32," ","ERROR")</f>
        <v> </v>
      </c>
    </row>
    <row r="33" spans="1:8" ht="12">
      <c r="A33" s="627">
        <v>20</v>
      </c>
      <c r="B33" s="621" t="s">
        <v>144</v>
      </c>
      <c r="E33" s="636"/>
      <c r="F33" s="636"/>
      <c r="G33" s="636"/>
      <c r="H33" s="635" t="str">
        <f>IF(E33=F33+G33," ","ERROR")</f>
        <v> </v>
      </c>
    </row>
    <row r="34" spans="1:8" ht="12">
      <c r="A34" s="627"/>
      <c r="B34" s="621" t="s">
        <v>145</v>
      </c>
      <c r="E34" s="636"/>
      <c r="F34" s="636"/>
      <c r="G34" s="636"/>
      <c r="H34" s="635"/>
    </row>
    <row r="35" spans="1:8" ht="12">
      <c r="A35" s="627">
        <v>21</v>
      </c>
      <c r="B35" s="621" t="s">
        <v>139</v>
      </c>
      <c r="E35" s="636"/>
      <c r="F35" s="636"/>
      <c r="G35" s="636"/>
      <c r="H35" s="635" t="str">
        <f>IF(E35=F35+G35," ","ERROR")</f>
        <v> </v>
      </c>
    </row>
    <row r="36" spans="1:8" ht="12">
      <c r="A36" s="627">
        <v>22</v>
      </c>
      <c r="B36" s="621" t="s">
        <v>140</v>
      </c>
      <c r="E36" s="636"/>
      <c r="F36" s="636"/>
      <c r="G36" s="636"/>
      <c r="H36" s="635" t="str">
        <f>IF(E36=F36+G36," ","ERROR")</f>
        <v> </v>
      </c>
    </row>
    <row r="37" spans="1:8" ht="12">
      <c r="A37" s="627">
        <v>23</v>
      </c>
      <c r="B37" s="621" t="s">
        <v>141</v>
      </c>
      <c r="E37" s="637"/>
      <c r="F37" s="637"/>
      <c r="G37" s="637"/>
      <c r="H37" s="635" t="str">
        <f>IF(E37=F37+G37," ","ERROR")</f>
        <v> </v>
      </c>
    </row>
    <row r="38" spans="1:8" ht="12">
      <c r="A38" s="627">
        <v>24</v>
      </c>
      <c r="B38" s="621" t="s">
        <v>146</v>
      </c>
      <c r="E38" s="637">
        <f>SUM(E35:E37)</f>
        <v>0</v>
      </c>
      <c r="F38" s="637">
        <f>SUM(F35:F37)</f>
        <v>0</v>
      </c>
      <c r="G38" s="637">
        <f>SUM(G35:G37)</f>
        <v>0</v>
      </c>
      <c r="H38" s="635" t="str">
        <f>IF(E38=F38+G38," ","ERROR")</f>
        <v> </v>
      </c>
    </row>
    <row r="39" spans="1:8" ht="12">
      <c r="A39" s="627">
        <v>25</v>
      </c>
      <c r="B39" s="621" t="s">
        <v>92</v>
      </c>
      <c r="E39" s="637">
        <f>E19+E24+E29+E31+E32+E33+E38+E14</f>
        <v>0</v>
      </c>
      <c r="F39" s="637">
        <f>F19+F24+F29+F31+F32+F33+F38+F14</f>
        <v>0</v>
      </c>
      <c r="G39" s="637">
        <f>G19+G24+G29+G31+G32+G33+G38+G14</f>
        <v>0</v>
      </c>
      <c r="H39" s="635" t="str">
        <f>IF(E39=F39+G39," ","ERROR")</f>
        <v> </v>
      </c>
    </row>
    <row r="40" spans="1:8" ht="12">
      <c r="A40" s="627"/>
      <c r="E40" s="636"/>
      <c r="F40" s="636"/>
      <c r="G40" s="636"/>
      <c r="H40" s="635"/>
    </row>
    <row r="41" spans="1:8" ht="12">
      <c r="A41" s="627">
        <v>26</v>
      </c>
      <c r="B41" s="621" t="s">
        <v>147</v>
      </c>
      <c r="E41" s="636">
        <f>E11-E39</f>
        <v>0</v>
      </c>
      <c r="F41" s="636">
        <f>F11-F39</f>
        <v>0</v>
      </c>
      <c r="G41" s="636">
        <f>G11-G39</f>
        <v>0</v>
      </c>
      <c r="H41" s="635" t="str">
        <f>IF(E41=F41+G41," ","ERROR")</f>
        <v> </v>
      </c>
    </row>
    <row r="42" spans="1:8" ht="12">
      <c r="A42" s="627"/>
      <c r="E42" s="636"/>
      <c r="F42" s="636"/>
      <c r="G42" s="636"/>
      <c r="H42" s="635"/>
    </row>
    <row r="43" spans="1:8" ht="12">
      <c r="A43" s="627"/>
      <c r="B43" s="621" t="s">
        <v>148</v>
      </c>
      <c r="E43" s="636"/>
      <c r="F43" s="636"/>
      <c r="G43" s="636"/>
      <c r="H43" s="635"/>
    </row>
    <row r="44" spans="1:9" ht="12">
      <c r="A44" s="627">
        <v>27</v>
      </c>
      <c r="B44" s="638" t="s">
        <v>163</v>
      </c>
      <c r="E44" s="636" t="e">
        <f>F44+G44</f>
        <v>#REF!</v>
      </c>
      <c r="F44" s="885">
        <f>DebtCalc!F48</f>
        <v>646.9087164710695</v>
      </c>
      <c r="G44" s="885" t="e">
        <f>DebtCalc!F99</f>
        <v>#REF!</v>
      </c>
      <c r="H44" s="886" t="s">
        <v>160</v>
      </c>
      <c r="I44" s="887" t="s">
        <v>313</v>
      </c>
    </row>
    <row r="45" spans="1:8" ht="12">
      <c r="A45" s="627">
        <v>28</v>
      </c>
      <c r="B45" s="621" t="s">
        <v>151</v>
      </c>
      <c r="E45" s="636"/>
      <c r="F45" s="636"/>
      <c r="G45" s="636"/>
      <c r="H45" s="635" t="str">
        <f>IF(E45=F45+G45," ","ERROR")</f>
        <v> </v>
      </c>
    </row>
    <row r="46" spans="1:8" ht="12">
      <c r="A46" s="627">
        <v>29</v>
      </c>
      <c r="B46" s="621" t="s">
        <v>150</v>
      </c>
      <c r="E46" s="637"/>
      <c r="F46" s="637"/>
      <c r="G46" s="637"/>
      <c r="H46" s="635" t="str">
        <f>IF(E46=F46+G46," ","ERROR")</f>
        <v> </v>
      </c>
    </row>
    <row r="47" spans="1:8" ht="12">
      <c r="A47" s="627"/>
      <c r="H47" s="635"/>
    </row>
    <row r="48" spans="1:8" ht="12">
      <c r="A48" s="627">
        <v>30</v>
      </c>
      <c r="B48" s="641" t="s">
        <v>98</v>
      </c>
      <c r="E48" s="634" t="e">
        <f>E41-(+E44+E45+E46)</f>
        <v>#REF!</v>
      </c>
      <c r="F48" s="634">
        <f>F41-F44+F45+F46</f>
        <v>-646.9087164710695</v>
      </c>
      <c r="G48" s="634" t="e">
        <f>G41-SUM(G44:G46)</f>
        <v>#REF!</v>
      </c>
      <c r="H48" s="635" t="e">
        <f>IF(E48=F48+G48," ","ERROR")</f>
        <v>#REF!</v>
      </c>
    </row>
    <row r="49" spans="1:8" ht="12">
      <c r="A49" s="627"/>
      <c r="H49" s="635"/>
    </row>
    <row r="50" spans="1:8" ht="12">
      <c r="A50" s="627"/>
      <c r="B50" s="638" t="s">
        <v>152</v>
      </c>
      <c r="H50" s="635"/>
    </row>
    <row r="51" spans="1:8" ht="12">
      <c r="A51" s="627"/>
      <c r="B51" s="638" t="s">
        <v>153</v>
      </c>
      <c r="H51" s="635"/>
    </row>
    <row r="52" spans="1:8" ht="12">
      <c r="A52" s="627">
        <v>31</v>
      </c>
      <c r="B52" s="621" t="s">
        <v>154</v>
      </c>
      <c r="E52" s="634"/>
      <c r="F52" s="634"/>
      <c r="G52" s="634"/>
      <c r="H52" s="635" t="str">
        <f aca="true" t="shared" si="0" ref="H52:H63">IF(E52=F52+G52," ","ERROR")</f>
        <v> </v>
      </c>
    </row>
    <row r="53" spans="1:8" ht="12">
      <c r="A53" s="627">
        <v>32</v>
      </c>
      <c r="B53" s="621" t="s">
        <v>155</v>
      </c>
      <c r="E53" s="636"/>
      <c r="F53" s="636"/>
      <c r="G53" s="636"/>
      <c r="H53" s="635" t="str">
        <f t="shared" si="0"/>
        <v> </v>
      </c>
    </row>
    <row r="54" spans="1:8" ht="12">
      <c r="A54" s="627">
        <v>33</v>
      </c>
      <c r="B54" s="621" t="s">
        <v>164</v>
      </c>
      <c r="E54" s="637"/>
      <c r="F54" s="637"/>
      <c r="G54" s="637"/>
      <c r="H54" s="635" t="str">
        <f t="shared" si="0"/>
        <v> </v>
      </c>
    </row>
    <row r="55" spans="1:8" ht="12">
      <c r="A55" s="627">
        <v>34</v>
      </c>
      <c r="B55" s="621" t="s">
        <v>157</v>
      </c>
      <c r="E55" s="636">
        <f>SUM(E52:E54)</f>
        <v>0</v>
      </c>
      <c r="F55" s="636">
        <f>SUM(F52:F54)</f>
        <v>0</v>
      </c>
      <c r="G55" s="636">
        <f>SUM(G52:G54)</f>
        <v>0</v>
      </c>
      <c r="H55" s="635" t="str">
        <f t="shared" si="0"/>
        <v> </v>
      </c>
    </row>
    <row r="56" spans="1:8" ht="12">
      <c r="A56" s="627"/>
      <c r="B56" s="621" t="s">
        <v>103</v>
      </c>
      <c r="E56" s="636"/>
      <c r="F56" s="636"/>
      <c r="G56" s="636"/>
      <c r="H56" s="635" t="str">
        <f t="shared" si="0"/>
        <v> </v>
      </c>
    </row>
    <row r="57" spans="1:8" ht="12">
      <c r="A57" s="627">
        <v>35</v>
      </c>
      <c r="B57" s="621" t="s">
        <v>154</v>
      </c>
      <c r="E57" s="636"/>
      <c r="F57" s="636"/>
      <c r="G57" s="636"/>
      <c r="H57" s="635" t="str">
        <f t="shared" si="0"/>
        <v> </v>
      </c>
    </row>
    <row r="58" spans="1:8" ht="12">
      <c r="A58" s="627">
        <v>36</v>
      </c>
      <c r="B58" s="621" t="s">
        <v>155</v>
      </c>
      <c r="E58" s="636"/>
      <c r="F58" s="636"/>
      <c r="G58" s="636"/>
      <c r="H58" s="635" t="str">
        <f t="shared" si="0"/>
        <v> </v>
      </c>
    </row>
    <row r="59" spans="1:8" ht="12">
      <c r="A59" s="627">
        <v>37</v>
      </c>
      <c r="B59" s="621" t="s">
        <v>164</v>
      </c>
      <c r="E59" s="637"/>
      <c r="F59" s="637"/>
      <c r="G59" s="637"/>
      <c r="H59" s="635" t="str">
        <f t="shared" si="0"/>
        <v> </v>
      </c>
    </row>
    <row r="60" spans="1:8" ht="12">
      <c r="A60" s="627">
        <v>38</v>
      </c>
      <c r="B60" s="621" t="s">
        <v>158</v>
      </c>
      <c r="E60" s="636">
        <f>SUM(E57:E59)</f>
        <v>0</v>
      </c>
      <c r="F60" s="636">
        <f>SUM(F57:F59)</f>
        <v>0</v>
      </c>
      <c r="G60" s="636">
        <f>SUM(G57:G59)</f>
        <v>0</v>
      </c>
      <c r="H60" s="635" t="str">
        <f t="shared" si="0"/>
        <v> </v>
      </c>
    </row>
    <row r="61" spans="1:8" ht="12">
      <c r="A61" s="627">
        <v>39</v>
      </c>
      <c r="B61" s="638" t="s">
        <v>159</v>
      </c>
      <c r="E61" s="636"/>
      <c r="F61" s="636"/>
      <c r="G61" s="636"/>
      <c r="H61" s="635" t="str">
        <f t="shared" si="0"/>
        <v> </v>
      </c>
    </row>
    <row r="62" spans="1:8" ht="12">
      <c r="A62" s="627">
        <v>40</v>
      </c>
      <c r="B62" s="621" t="s">
        <v>106</v>
      </c>
      <c r="E62" s="636"/>
      <c r="F62" s="636"/>
      <c r="G62" s="636"/>
      <c r="H62" s="635" t="str">
        <f t="shared" si="0"/>
        <v> </v>
      </c>
    </row>
    <row r="63" spans="1:8" ht="12">
      <c r="A63" s="627">
        <v>41</v>
      </c>
      <c r="B63" s="638" t="s">
        <v>107</v>
      </c>
      <c r="E63" s="637"/>
      <c r="F63" s="637"/>
      <c r="G63" s="637"/>
      <c r="H63" s="635" t="str">
        <f t="shared" si="0"/>
        <v> </v>
      </c>
    </row>
    <row r="64" spans="1:8" ht="12">
      <c r="A64" s="627"/>
      <c r="B64" s="621" t="s">
        <v>160</v>
      </c>
      <c r="H64" s="635"/>
    </row>
    <row r="65" spans="1:8" ht="12.75" thickBot="1">
      <c r="A65" s="627">
        <v>42</v>
      </c>
      <c r="B65" s="641" t="s">
        <v>108</v>
      </c>
      <c r="E65" s="642">
        <f>E55-E60+E61+E62+E63</f>
        <v>0</v>
      </c>
      <c r="F65" s="642">
        <f>F55-F60+F61+F62+F63</f>
        <v>0</v>
      </c>
      <c r="G65" s="642">
        <f>G55-G60+G61+G62+G63</f>
        <v>0</v>
      </c>
      <c r="H65" s="635" t="str">
        <f>IF(E65=F65+G65," ","ERROR")</f>
        <v> </v>
      </c>
    </row>
    <row r="66" ht="10.5" customHeight="1" thickTop="1"/>
  </sheetData>
  <printOptions/>
  <pageMargins left="1" right="0.5" top="0.5" bottom="0.5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34">
      <selection activeCell="A52" sqref="A52:IV93"/>
    </sheetView>
  </sheetViews>
  <sheetFormatPr defaultColWidth="9.140625" defaultRowHeight="12.75"/>
  <cols>
    <col min="1" max="1" width="6.421875" style="190" customWidth="1"/>
    <col min="2" max="2" width="11.421875" style="190" customWidth="1"/>
    <col min="3" max="3" width="17.140625" style="190" customWidth="1"/>
    <col min="4" max="4" width="6.140625" style="190" customWidth="1"/>
    <col min="5" max="5" width="5.140625" style="190" customWidth="1"/>
    <col min="6" max="7" width="11.421875" style="190" customWidth="1"/>
    <col min="8" max="8" width="6.57421875" style="191" customWidth="1"/>
    <col min="9" max="9" width="6.421875" style="724" customWidth="1"/>
    <col min="10" max="10" width="10.57421875" style="191" customWidth="1"/>
    <col min="11" max="11" width="10.8515625" style="190" customWidth="1"/>
    <col min="12" max="12" width="11.421875" style="190" customWidth="1"/>
    <col min="13" max="13" width="5.8515625" style="190" customWidth="1"/>
    <col min="14" max="14" width="9.00390625" style="190" customWidth="1"/>
    <col min="15" max="17" width="11.421875" style="190" customWidth="1"/>
    <col min="18" max="18" width="3.00390625" style="190" customWidth="1"/>
    <col min="19" max="16384" width="11.421875" style="190" customWidth="1"/>
  </cols>
  <sheetData>
    <row r="1" spans="1:18" ht="12.75">
      <c r="A1" s="192"/>
      <c r="D1" s="724" t="str">
        <f>Inputs!$D$6</f>
        <v>AVISTA UTILITIES</v>
      </c>
      <c r="J1" s="192"/>
      <c r="K1" s="725"/>
      <c r="L1" s="725"/>
      <c r="M1" s="725"/>
      <c r="N1" s="725"/>
      <c r="O1" s="726"/>
      <c r="P1" s="726"/>
      <c r="Q1" s="727"/>
      <c r="R1" s="724"/>
    </row>
    <row r="2" spans="1:18" ht="12.75">
      <c r="A2" s="192"/>
      <c r="D2" s="191"/>
      <c r="J2" s="192"/>
      <c r="K2" s="725"/>
      <c r="L2" s="725"/>
      <c r="M2" s="725"/>
      <c r="N2" s="725"/>
      <c r="O2" s="725"/>
      <c r="P2" s="725"/>
      <c r="Q2" s="725"/>
      <c r="R2" s="724"/>
    </row>
    <row r="3" spans="2:10" s="725" customFormat="1" ht="12.75">
      <c r="B3" s="190"/>
      <c r="C3" s="190"/>
      <c r="D3" s="191" t="s">
        <v>111</v>
      </c>
      <c r="E3" s="190"/>
      <c r="F3" s="190"/>
      <c r="G3" s="190"/>
      <c r="H3" s="191"/>
      <c r="I3" s="724"/>
      <c r="J3" s="192"/>
    </row>
    <row r="4" spans="1:16" s="725" customFormat="1" ht="12.75">
      <c r="A4" s="190"/>
      <c r="B4" s="190"/>
      <c r="C4" s="190"/>
      <c r="D4" s="191" t="s">
        <v>112</v>
      </c>
      <c r="E4" s="190"/>
      <c r="F4" s="190"/>
      <c r="G4" s="190"/>
      <c r="H4" s="191"/>
      <c r="I4" s="724"/>
      <c r="J4" s="191"/>
      <c r="N4" s="728"/>
      <c r="O4" s="729"/>
      <c r="P4" s="729"/>
    </row>
    <row r="5" spans="1:16" s="725" customFormat="1" ht="12.75">
      <c r="A5" s="190"/>
      <c r="B5" s="190"/>
      <c r="C5" s="190"/>
      <c r="D5" s="730" t="str">
        <f>PROPER(Inputs!$D$2)</f>
        <v>Twelve Months Ended December 31, 2004</v>
      </c>
      <c r="E5" s="190"/>
      <c r="F5" s="190"/>
      <c r="G5" s="190"/>
      <c r="H5" s="191"/>
      <c r="I5" s="724"/>
      <c r="J5" s="191"/>
      <c r="N5" s="728"/>
      <c r="O5" s="729"/>
      <c r="P5" s="729"/>
    </row>
    <row r="6" spans="1:16" s="725" customFormat="1" ht="12.75">
      <c r="A6" s="190"/>
      <c r="B6" s="190"/>
      <c r="C6" s="190"/>
      <c r="D6" s="190"/>
      <c r="E6" s="190"/>
      <c r="F6" s="190"/>
      <c r="G6" s="190"/>
      <c r="H6" s="191"/>
      <c r="I6" s="724"/>
      <c r="J6" s="191"/>
      <c r="N6" s="728"/>
      <c r="O6" s="729"/>
      <c r="P6" s="729"/>
    </row>
    <row r="7" spans="1:16" s="725" customFormat="1" ht="12.75">
      <c r="A7" s="190"/>
      <c r="B7" s="190"/>
      <c r="C7" s="190"/>
      <c r="D7" s="190"/>
      <c r="E7" s="190"/>
      <c r="F7" s="190"/>
      <c r="G7" s="190"/>
      <c r="H7" s="191"/>
      <c r="I7" s="724"/>
      <c r="J7" s="191"/>
      <c r="N7" s="728"/>
      <c r="O7" s="729"/>
      <c r="P7" s="729"/>
    </row>
    <row r="8" spans="1:17" s="725" customFormat="1" ht="12.75">
      <c r="A8" s="190"/>
      <c r="B8" s="190"/>
      <c r="C8" s="190"/>
      <c r="D8" s="190"/>
      <c r="E8" s="190"/>
      <c r="F8" s="731"/>
      <c r="G8" s="731" t="s">
        <v>112</v>
      </c>
      <c r="H8" s="191"/>
      <c r="I8" s="724"/>
      <c r="J8" s="191"/>
      <c r="N8" s="728"/>
      <c r="O8" s="732"/>
      <c r="P8" s="732"/>
      <c r="Q8" s="727"/>
    </row>
    <row r="9" spans="1:18" ht="12.75">
      <c r="A9" s="731" t="s">
        <v>113</v>
      </c>
      <c r="B9" s="731" t="s">
        <v>114</v>
      </c>
      <c r="C9" s="191"/>
      <c r="D9" s="191"/>
      <c r="F9" s="731" t="s">
        <v>115</v>
      </c>
      <c r="G9" s="731" t="s">
        <v>32</v>
      </c>
      <c r="H9" s="743" t="s">
        <v>116</v>
      </c>
      <c r="I9" s="731"/>
      <c r="J9" s="731"/>
      <c r="K9" s="192"/>
      <c r="L9" s="192"/>
      <c r="M9" s="192"/>
      <c r="N9" s="725"/>
      <c r="O9" s="192"/>
      <c r="P9" s="192"/>
      <c r="Q9" s="192"/>
      <c r="R9" s="724"/>
    </row>
    <row r="10" spans="1:18" ht="12.75">
      <c r="A10" s="733" t="str">
        <f>WAGas12_04!F$10</f>
        <v>b</v>
      </c>
      <c r="B10" s="734" t="str">
        <f>TRIM(CONCATENATE(WAGas12_04!F$7," ",WAGas12_04!F$8," ",WAGas12_04!F$9))</f>
        <v>Per Results Report</v>
      </c>
      <c r="C10" s="735"/>
      <c r="D10" s="735"/>
      <c r="E10" s="735"/>
      <c r="F10" s="736">
        <f>WAGas12_04!F$52</f>
        <v>6871</v>
      </c>
      <c r="G10" s="736">
        <f>WAGas12_04!F$69</f>
        <v>151703</v>
      </c>
      <c r="I10" s="191"/>
      <c r="K10" s="725"/>
      <c r="L10" s="725"/>
      <c r="M10" s="725"/>
      <c r="N10" s="725"/>
      <c r="O10" s="729"/>
      <c r="P10" s="729"/>
      <c r="Q10" s="725"/>
      <c r="R10" s="724"/>
    </row>
    <row r="11" spans="1:18" s="751" customFormat="1" ht="12.75">
      <c r="A11" s="733" t="str">
        <f>WAGas12_04!G$10</f>
        <v>c</v>
      </c>
      <c r="B11" s="734" t="str">
        <f>TRIM(CONCATENATE(WAGas12_04!G$7," ",WAGas12_04!G$8," ",WAGas12_04!G$9))</f>
        <v>Deferred FIT Rate Base</v>
      </c>
      <c r="C11" s="735"/>
      <c r="D11" s="735"/>
      <c r="E11" s="735"/>
      <c r="F11" s="746">
        <f>WAGas12_04!G$52</f>
        <v>0</v>
      </c>
      <c r="G11" s="746">
        <f>WAGas12_04!G$69</f>
        <v>-26800</v>
      </c>
      <c r="H11" s="752"/>
      <c r="I11" s="191"/>
      <c r="K11" s="754"/>
      <c r="L11" s="754"/>
      <c r="M11" s="754"/>
      <c r="N11" s="754"/>
      <c r="O11" s="755"/>
      <c r="P11" s="755"/>
      <c r="Q11" s="754"/>
      <c r="R11" s="753"/>
    </row>
    <row r="12" spans="1:18" s="751" customFormat="1" ht="12.75">
      <c r="A12" s="733" t="str">
        <f>WAGas12_04!H$10</f>
        <v>d</v>
      </c>
      <c r="B12" s="734" t="str">
        <f>TRIM(CONCATENATE(WAGas12_04!H$7," ",WAGas12_04!H$8," ",WAGas12_04!H$9))</f>
        <v>Deferred Gain on Office Building</v>
      </c>
      <c r="C12" s="735"/>
      <c r="D12" s="735"/>
      <c r="E12" s="735"/>
      <c r="F12" s="746">
        <f>WAGas12_04!H$52</f>
        <v>0</v>
      </c>
      <c r="G12" s="746">
        <f>WAGas12_04!H$69</f>
        <v>-158</v>
      </c>
      <c r="H12" s="752"/>
      <c r="I12" s="191"/>
      <c r="K12" s="754"/>
      <c r="L12" s="754"/>
      <c r="M12" s="754"/>
      <c r="N12" s="754"/>
      <c r="O12" s="755"/>
      <c r="P12" s="755"/>
      <c r="Q12" s="754"/>
      <c r="R12" s="753"/>
    </row>
    <row r="13" spans="1:18" s="751" customFormat="1" ht="12.75">
      <c r="A13" s="733" t="str">
        <f>WAGas12_04!I$10</f>
        <v>e</v>
      </c>
      <c r="B13" s="734" t="str">
        <f>TRIM(CONCATENATE(WAGas12_04!I$7," ",WAGas12_04!I$8," ",WAGas12_04!I$9))</f>
        <v>Gas Inventory</v>
      </c>
      <c r="C13" s="735"/>
      <c r="D13" s="735"/>
      <c r="E13" s="735"/>
      <c r="F13" s="746">
        <f>WAGas12_04!I$52</f>
        <v>0</v>
      </c>
      <c r="G13" s="746">
        <f>WAGas12_04!I$69</f>
        <v>4807</v>
      </c>
      <c r="H13" s="752"/>
      <c r="I13" s="191"/>
      <c r="K13" s="754"/>
      <c r="L13" s="754"/>
      <c r="M13" s="754"/>
      <c r="N13" s="754"/>
      <c r="O13" s="755"/>
      <c r="P13" s="755"/>
      <c r="Q13" s="754"/>
      <c r="R13" s="753"/>
    </row>
    <row r="14" spans="1:18" s="787" customFormat="1" ht="12.75">
      <c r="A14" s="733" t="str">
        <f>WAGas12_04!J$10</f>
        <v>f</v>
      </c>
      <c r="B14" s="734" t="str">
        <f>TRIM(CONCATENATE(WAGas12_04!J$7," ",WAGas12_04!J$8," ",WAGas12_04!J$9))</f>
        <v>Weatherization and DSM Investment</v>
      </c>
      <c r="C14" s="735"/>
      <c r="D14" s="735"/>
      <c r="E14" s="735"/>
      <c r="F14" s="746">
        <f>WAGas12_04!J$52</f>
        <v>63</v>
      </c>
      <c r="G14" s="746">
        <f>WAGas12_04!J$69</f>
        <v>1120</v>
      </c>
      <c r="H14" s="788"/>
      <c r="I14" s="191"/>
      <c r="J14" s="191"/>
      <c r="K14" s="790"/>
      <c r="L14" s="790"/>
      <c r="M14" s="790"/>
      <c r="N14" s="790"/>
      <c r="O14" s="791"/>
      <c r="P14" s="791"/>
      <c r="Q14" s="790"/>
      <c r="R14" s="789"/>
    </row>
    <row r="15" spans="1:18" s="751" customFormat="1" ht="12.75">
      <c r="A15" s="733" t="str">
        <f>WAGas12_04!K$10</f>
        <v>g</v>
      </c>
      <c r="B15" s="734" t="str">
        <f>TRIM(CONCATENATE(WAGas12_04!K$7," ",WAGas12_04!K$8," ",WAGas12_04!K$9))</f>
        <v>Customer Advances</v>
      </c>
      <c r="C15" s="735"/>
      <c r="D15" s="735"/>
      <c r="E15" s="735"/>
      <c r="F15" s="746">
        <f>WAGas12_04!K$52</f>
        <v>0</v>
      </c>
      <c r="G15" s="746">
        <f>WAGas12_04!K$69</f>
        <v>-1</v>
      </c>
      <c r="H15" s="752"/>
      <c r="I15" s="191"/>
      <c r="K15" s="754"/>
      <c r="L15" s="754"/>
      <c r="M15" s="754"/>
      <c r="N15" s="754"/>
      <c r="O15" s="755"/>
      <c r="P15" s="755"/>
      <c r="Q15" s="754"/>
      <c r="R15" s="753"/>
    </row>
    <row r="16" spans="1:18" ht="12.75" hidden="1">
      <c r="A16" s="733"/>
      <c r="B16" s="734"/>
      <c r="C16" s="735"/>
      <c r="D16" s="735"/>
      <c r="E16" s="735"/>
      <c r="F16" s="736"/>
      <c r="G16" s="736"/>
      <c r="K16" s="725"/>
      <c r="L16" s="725"/>
      <c r="M16" s="725"/>
      <c r="N16" s="725"/>
      <c r="O16" s="729"/>
      <c r="P16" s="729"/>
      <c r="Q16" s="725"/>
      <c r="R16" s="724"/>
    </row>
    <row r="17" spans="2:18" ht="12.75">
      <c r="B17" s="190" t="s">
        <v>117</v>
      </c>
      <c r="F17" s="737">
        <f>SUM(F10:F16)</f>
        <v>6934</v>
      </c>
      <c r="G17" s="737">
        <f>SUM(G10:G16)</f>
        <v>130671</v>
      </c>
      <c r="H17" s="744">
        <f>F17/G17</f>
        <v>0.05306456673630722</v>
      </c>
      <c r="J17" s="744"/>
      <c r="K17" s="725"/>
      <c r="L17" s="725"/>
      <c r="M17" s="725"/>
      <c r="N17" s="725"/>
      <c r="O17" s="729"/>
      <c r="P17" s="729"/>
      <c r="Q17" s="725"/>
      <c r="R17" s="724"/>
    </row>
    <row r="18" spans="1:18" ht="12.75">
      <c r="A18" s="733"/>
      <c r="B18" s="734"/>
      <c r="C18" s="735"/>
      <c r="D18" s="735"/>
      <c r="E18" s="735"/>
      <c r="F18" s="736"/>
      <c r="G18" s="736"/>
      <c r="K18" s="725"/>
      <c r="L18" s="725"/>
      <c r="M18" s="725"/>
      <c r="N18" s="725"/>
      <c r="O18" s="729"/>
      <c r="P18" s="729"/>
      <c r="Q18" s="725"/>
      <c r="R18" s="724"/>
    </row>
    <row r="19" spans="1:18" s="735" customFormat="1" ht="12.75">
      <c r="A19" s="733" t="str">
        <f>WAGas12_04!M$10</f>
        <v>h</v>
      </c>
      <c r="B19" s="734" t="str">
        <f>TRIM(CONCATENATE(WAGas12_04!M$7," ",WAGas12_04!M$8," ",WAGas12_04!M$9))</f>
        <v>Revenue Normalization &amp; Gas Cost Adjust</v>
      </c>
      <c r="F19" s="746">
        <f>WAGas12_04!M$52</f>
        <v>3758</v>
      </c>
      <c r="G19" s="746">
        <f>WAGas12_04!M$69</f>
        <v>0</v>
      </c>
      <c r="H19" s="747"/>
      <c r="I19" s="191"/>
      <c r="J19" s="191"/>
      <c r="K19" s="749"/>
      <c r="L19" s="749"/>
      <c r="M19" s="749"/>
      <c r="N19" s="749"/>
      <c r="O19" s="750"/>
      <c r="P19" s="750"/>
      <c r="Q19" s="749"/>
      <c r="R19" s="748"/>
    </row>
    <row r="20" spans="1:18" s="751" customFormat="1" ht="12.75">
      <c r="A20" s="733" t="str">
        <f>WAGas12_04!N$10</f>
        <v>i</v>
      </c>
      <c r="B20" s="734" t="str">
        <f>TRIM(CONCATENATE(WAGas12_04!N$7," ",WAGas12_04!N$8," ",WAGas12_04!N$9))</f>
        <v>Eliminate B &amp; O Taxes</v>
      </c>
      <c r="C20" s="735"/>
      <c r="D20" s="735"/>
      <c r="E20" s="735"/>
      <c r="F20" s="746">
        <f>WAGas12_04!N$52</f>
        <v>29</v>
      </c>
      <c r="G20" s="746">
        <f>WAGas12_04!N$69</f>
        <v>0</v>
      </c>
      <c r="H20" s="752"/>
      <c r="I20" s="191"/>
      <c r="J20" s="191"/>
      <c r="K20" s="754"/>
      <c r="L20" s="754"/>
      <c r="M20" s="754"/>
      <c r="N20" s="754"/>
      <c r="O20" s="755"/>
      <c r="P20" s="755"/>
      <c r="Q20" s="754"/>
      <c r="R20" s="753"/>
    </row>
    <row r="21" spans="1:18" s="751" customFormat="1" ht="12.75">
      <c r="A21" s="733" t="str">
        <f>WAGas12_04!O$10</f>
        <v>j</v>
      </c>
      <c r="B21" s="734" t="str">
        <f>TRIM(CONCATENATE(WAGas12_04!O$7," ",WAGas12_04!O$8," ",WAGas12_04!O$9))</f>
        <v>Property Tax</v>
      </c>
      <c r="C21" s="735"/>
      <c r="D21" s="735"/>
      <c r="E21" s="735"/>
      <c r="F21" s="746">
        <f>WAGas12_04!O$52</f>
        <v>40</v>
      </c>
      <c r="G21" s="746">
        <f>WAGas12_04!O$69</f>
        <v>0</v>
      </c>
      <c r="H21" s="752"/>
      <c r="I21" s="191"/>
      <c r="J21" s="191"/>
      <c r="K21" s="754"/>
      <c r="L21" s="754"/>
      <c r="M21" s="754"/>
      <c r="N21" s="754"/>
      <c r="O21" s="755"/>
      <c r="P21" s="755"/>
      <c r="Q21" s="754"/>
      <c r="R21" s="753"/>
    </row>
    <row r="22" spans="1:18" s="751" customFormat="1" ht="12.75">
      <c r="A22" s="733" t="str">
        <f>WAGas12_04!P$10</f>
        <v>k</v>
      </c>
      <c r="B22" s="734" t="str">
        <f>TRIM(CONCATENATE(WAGas12_04!P$7," ",WAGas12_04!P$8," ",WAGas12_04!P$9))</f>
        <v>Uncollectible Expense</v>
      </c>
      <c r="C22" s="735"/>
      <c r="D22" s="735"/>
      <c r="E22" s="735"/>
      <c r="F22" s="746">
        <f>WAGas12_04!P$52</f>
        <v>149</v>
      </c>
      <c r="G22" s="746">
        <f>WAGas12_04!P$69</f>
        <v>0</v>
      </c>
      <c r="H22" s="752"/>
      <c r="I22" s="191"/>
      <c r="J22" s="191"/>
      <c r="K22" s="754"/>
      <c r="L22" s="754"/>
      <c r="M22" s="754"/>
      <c r="N22" s="754"/>
      <c r="O22" s="755"/>
      <c r="P22" s="755"/>
      <c r="Q22" s="754"/>
      <c r="R22" s="753"/>
    </row>
    <row r="23" spans="1:18" s="751" customFormat="1" ht="12.75">
      <c r="A23" s="733" t="str">
        <f>WAGas12_04!Q$10</f>
        <v>l</v>
      </c>
      <c r="B23" s="734" t="str">
        <f>TRIM(CONCATENATE(WAGas12_04!Q$7," ",WAGas12_04!Q$8," ",WAGas12_04!Q$9))</f>
        <v>Regulatory Expense Adjustment</v>
      </c>
      <c r="C23" s="735"/>
      <c r="D23" s="735"/>
      <c r="E23" s="735"/>
      <c r="F23" s="746">
        <f>WAGas12_04!Q$52</f>
        <v>-17</v>
      </c>
      <c r="G23" s="746">
        <f>WAGas12_04!Q$69</f>
        <v>0</v>
      </c>
      <c r="H23" s="752"/>
      <c r="I23" s="191"/>
      <c r="K23" s="754"/>
      <c r="L23" s="754"/>
      <c r="M23" s="754"/>
      <c r="N23" s="754"/>
      <c r="O23" s="755"/>
      <c r="P23" s="755"/>
      <c r="Q23" s="754"/>
      <c r="R23" s="753"/>
    </row>
    <row r="24" spans="1:18" s="751" customFormat="1" ht="12.75">
      <c r="A24" s="733" t="str">
        <f>WAGas12_04!R$10</f>
        <v>m</v>
      </c>
      <c r="B24" s="734" t="str">
        <f>TRIM(CONCATENATE(WAGas12_04!R$7," ",WAGas12_04!R$8," ",WAGas12_04!R$9))</f>
        <v>Injuries and Damages</v>
      </c>
      <c r="C24" s="735"/>
      <c r="D24" s="735"/>
      <c r="E24" s="735"/>
      <c r="F24" s="746">
        <f>WAGas12_04!R$52</f>
        <v>5</v>
      </c>
      <c r="G24" s="746">
        <f>WAGas12_04!R$69</f>
        <v>0</v>
      </c>
      <c r="H24" s="752"/>
      <c r="I24" s="191"/>
      <c r="K24" s="754"/>
      <c r="L24" s="754"/>
      <c r="M24" s="754"/>
      <c r="N24" s="754"/>
      <c r="O24" s="755"/>
      <c r="P24" s="755"/>
      <c r="Q24" s="754"/>
      <c r="R24" s="753"/>
    </row>
    <row r="25" spans="1:18" s="751" customFormat="1" ht="12.75">
      <c r="A25" s="733" t="str">
        <f>WAGas12_04!S$10</f>
        <v>n</v>
      </c>
      <c r="B25" s="734" t="str">
        <f>TRIM(CONCATENATE(WAGas12_04!S$7," ",WAGas12_04!S$8," ",WAGas12_04!S$9))</f>
        <v>FIT</v>
      </c>
      <c r="C25" s="735"/>
      <c r="D25" s="735"/>
      <c r="E25" s="735"/>
      <c r="F25" s="746">
        <f>WAGas12_04!S$52</f>
        <v>99</v>
      </c>
      <c r="G25" s="746">
        <f>WAGas12_04!S$69</f>
        <v>0</v>
      </c>
      <c r="H25" s="752"/>
      <c r="I25" s="191"/>
      <c r="K25" s="754"/>
      <c r="L25" s="754"/>
      <c r="M25" s="754"/>
      <c r="N25" s="754"/>
      <c r="O25" s="755"/>
      <c r="P25" s="755"/>
      <c r="Q25" s="754"/>
      <c r="R25" s="753"/>
    </row>
    <row r="26" spans="1:18" s="751" customFormat="1" ht="12.75">
      <c r="A26" s="733" t="str">
        <f>WAGas12_04!T$10</f>
        <v>o</v>
      </c>
      <c r="B26" s="734" t="str">
        <f>TRIM(CONCATENATE(WAGas12_04!T$7," ",WAGas12_04!T$8," ",WAGas12_04!T$9))</f>
        <v>Payroll Clearing</v>
      </c>
      <c r="C26" s="735"/>
      <c r="D26" s="735"/>
      <c r="E26" s="735"/>
      <c r="F26" s="746">
        <f>WAGas12_04!T$52</f>
        <v>315</v>
      </c>
      <c r="G26" s="746">
        <f>WAGas12_04!T$69</f>
        <v>0</v>
      </c>
      <c r="H26" s="752"/>
      <c r="I26" s="191"/>
      <c r="J26" s="191"/>
      <c r="K26" s="754"/>
      <c r="L26" s="754"/>
      <c r="M26" s="754"/>
      <c r="N26" s="754"/>
      <c r="O26" s="755"/>
      <c r="P26" s="755"/>
      <c r="Q26" s="754"/>
      <c r="R26" s="753"/>
    </row>
    <row r="27" spans="1:18" s="751" customFormat="1" ht="12.75">
      <c r="A27" s="733" t="str">
        <f>WAGas12_04!U$10</f>
        <v>p</v>
      </c>
      <c r="B27" s="734" t="str">
        <f>TRIM(CONCATENATE(WAGas12_04!U$7," ",WAGas12_04!U$8," ",WAGas12_04!U$9))</f>
        <v>Eliminate A/R Expenses</v>
      </c>
      <c r="C27" s="735"/>
      <c r="D27" s="735"/>
      <c r="E27" s="735"/>
      <c r="F27" s="746">
        <f>WAGas12_04!U$52</f>
        <v>82</v>
      </c>
      <c r="G27" s="746">
        <f>WAGas12_04!U$69</f>
        <v>0</v>
      </c>
      <c r="H27" s="752"/>
      <c r="I27" s="191"/>
      <c r="K27" s="754"/>
      <c r="L27" s="754"/>
      <c r="M27" s="754"/>
      <c r="N27" s="754"/>
      <c r="O27" s="755"/>
      <c r="P27" s="755"/>
      <c r="Q27" s="754"/>
      <c r="R27" s="753"/>
    </row>
    <row r="28" spans="1:18" s="751" customFormat="1" ht="12.75">
      <c r="A28" s="733" t="str">
        <f>WAGas12_04!V$10</f>
        <v>q</v>
      </c>
      <c r="B28" s="734" t="str">
        <f>TRIM(CONCATENATE(WAGas12_04!V$7," ",WAGas12_04!V$8," ",WAGas12_04!V$9))</f>
        <v>Office Space Charges to Subs</v>
      </c>
      <c r="C28" s="735"/>
      <c r="D28" s="735"/>
      <c r="E28" s="735"/>
      <c r="F28" s="746">
        <f>WAGas12_04!V$52</f>
        <v>5</v>
      </c>
      <c r="G28" s="746">
        <f>WAGas12_04!V$69</f>
        <v>0</v>
      </c>
      <c r="H28" s="752"/>
      <c r="I28" s="191"/>
      <c r="J28" s="191"/>
      <c r="K28" s="754"/>
      <c r="L28" s="754"/>
      <c r="M28" s="754"/>
      <c r="N28" s="754"/>
      <c r="O28" s="755"/>
      <c r="P28" s="755"/>
      <c r="Q28" s="754"/>
      <c r="R28" s="753"/>
    </row>
    <row r="29" spans="1:18" s="751" customFormat="1" ht="12.75">
      <c r="A29" s="733" t="str">
        <f>WAGas12_04!W$10</f>
        <v>r</v>
      </c>
      <c r="B29" s="734" t="str">
        <f>TRIM(CONCATENATE(WAGas12_04!W$7," ",WAGas12_04!W$8," ",WAGas12_04!W$9))</f>
        <v>Restate Excise/Franchise Taxes</v>
      </c>
      <c r="C29" s="735"/>
      <c r="D29" s="735"/>
      <c r="E29" s="735"/>
      <c r="F29" s="746">
        <f>WAGas12_04!W$52</f>
        <v>749</v>
      </c>
      <c r="G29" s="746">
        <f>WAGas12_04!W$69</f>
        <v>0</v>
      </c>
      <c r="H29" s="752"/>
      <c r="I29" s="191"/>
      <c r="J29" s="191"/>
      <c r="K29" s="754"/>
      <c r="L29" s="754"/>
      <c r="M29" s="754"/>
      <c r="N29" s="754"/>
      <c r="O29" s="755"/>
      <c r="P29" s="755"/>
      <c r="Q29" s="754"/>
      <c r="R29" s="753"/>
    </row>
    <row r="30" spans="1:18" s="751" customFormat="1" ht="12.75">
      <c r="A30" s="733" t="str">
        <f>WAGas12_04!X$10</f>
        <v>s</v>
      </c>
      <c r="B30" s="734" t="str">
        <f>TRIM(CONCATENATE(WAGas12_04!X$7," ",WAGas12_04!X$8," ",WAGas12_04!X$9))</f>
        <v>Lease Expense Adjustment</v>
      </c>
      <c r="C30" s="735"/>
      <c r="D30" s="735"/>
      <c r="E30" s="735"/>
      <c r="F30" s="746">
        <f>WAGas12_04!X$52</f>
        <v>-19</v>
      </c>
      <c r="G30" s="746">
        <f>WAGas12_04!X$69</f>
        <v>0</v>
      </c>
      <c r="H30" s="752"/>
      <c r="I30" s="191"/>
      <c r="K30" s="754"/>
      <c r="L30" s="754"/>
      <c r="M30" s="754"/>
      <c r="N30" s="754"/>
      <c r="O30" s="755"/>
      <c r="P30" s="755"/>
      <c r="Q30" s="754"/>
      <c r="R30" s="753"/>
    </row>
    <row r="31" spans="1:18" s="751" customFormat="1" ht="12.75">
      <c r="A31" s="733" t="str">
        <f>WAGas12_04!Y$10</f>
        <v>t</v>
      </c>
      <c r="B31" s="734" t="str">
        <f>TRIM(CONCATENATE(WAGas12_04!Y$7," ",WAGas12_04!Y$8," ",WAGas12_04!Y$9))</f>
        <v>Depreciation Adjustment</v>
      </c>
      <c r="C31" s="735"/>
      <c r="D31" s="735"/>
      <c r="E31" s="735"/>
      <c r="F31" s="746">
        <f>WAGas12_04!Y$52</f>
        <v>-313</v>
      </c>
      <c r="G31" s="746">
        <f>WAGas12_04!Y$69</f>
        <v>47</v>
      </c>
      <c r="H31" s="752"/>
      <c r="I31" s="191"/>
      <c r="K31" s="754"/>
      <c r="L31" s="754"/>
      <c r="M31" s="754"/>
      <c r="N31" s="754"/>
      <c r="O31" s="755"/>
      <c r="P31" s="755"/>
      <c r="Q31" s="754"/>
      <c r="R31" s="753"/>
    </row>
    <row r="32" spans="1:18" s="751" customFormat="1" ht="12.75">
      <c r="A32" s="733" t="str">
        <f>WAGas12_04!Z$10</f>
        <v>u</v>
      </c>
      <c r="B32" s="734" t="str">
        <f>TRIM(CONCATENATE(WAGas12_04!Z$7," ",WAGas12_04!Z$8," ",WAGas12_04!Z$9))</f>
        <v>Incentives and Other Adjustment</v>
      </c>
      <c r="C32" s="735"/>
      <c r="D32" s="735"/>
      <c r="E32" s="735"/>
      <c r="F32" s="746">
        <f>WAGas12_04!Z$52</f>
        <v>-9</v>
      </c>
      <c r="G32" s="746">
        <f>WAGas12_04!Z$69</f>
        <v>0</v>
      </c>
      <c r="H32" s="752"/>
      <c r="I32" s="191"/>
      <c r="J32" s="191"/>
      <c r="K32" s="754"/>
      <c r="L32" s="754"/>
      <c r="M32" s="754"/>
      <c r="N32" s="754"/>
      <c r="O32" s="755"/>
      <c r="P32" s="755"/>
      <c r="Q32" s="754"/>
      <c r="R32" s="753"/>
    </row>
    <row r="33" spans="1:18" s="751" customFormat="1" ht="12.75">
      <c r="A33" s="733" t="str">
        <f>WAGas12_04!AA$10</f>
        <v>v</v>
      </c>
      <c r="B33" s="734" t="str">
        <f>TRIM(CONCATENATE(WAGas12_04!AA$7," ",WAGas12_04!AA$8," ",WAGas12_04!AA$9))</f>
        <v>Restate Debt Interest</v>
      </c>
      <c r="C33" s="735"/>
      <c r="D33" s="735"/>
      <c r="E33" s="735"/>
      <c r="F33" s="746">
        <f>WAGas12_04!AA$52</f>
        <v>-646.9087164710695</v>
      </c>
      <c r="G33" s="746">
        <f>WAGas12_04!AA$69</f>
        <v>0</v>
      </c>
      <c r="H33" s="752"/>
      <c r="I33" s="191"/>
      <c r="J33" s="191"/>
      <c r="K33" s="754"/>
      <c r="L33" s="754"/>
      <c r="M33" s="754"/>
      <c r="N33" s="754"/>
      <c r="O33" s="755"/>
      <c r="P33" s="755"/>
      <c r="Q33" s="754"/>
      <c r="R33" s="753"/>
    </row>
    <row r="34" spans="1:18" s="751" customFormat="1" ht="3.75" customHeight="1">
      <c r="A34" s="733"/>
      <c r="B34" s="734"/>
      <c r="C34" s="735"/>
      <c r="D34" s="735"/>
      <c r="E34" s="735"/>
      <c r="F34" s="746"/>
      <c r="G34" s="746"/>
      <c r="H34" s="752"/>
      <c r="I34" s="191"/>
      <c r="K34" s="754"/>
      <c r="L34" s="754"/>
      <c r="M34" s="754"/>
      <c r="N34" s="754"/>
      <c r="O34" s="755"/>
      <c r="P34" s="755"/>
      <c r="Q34" s="754"/>
      <c r="R34" s="753"/>
    </row>
    <row r="35" spans="1:18" ht="12.75" hidden="1">
      <c r="A35" s="738"/>
      <c r="B35" s="739"/>
      <c r="F35" s="740"/>
      <c r="G35" s="740"/>
      <c r="K35" s="725"/>
      <c r="L35" s="725"/>
      <c r="M35" s="725"/>
      <c r="N35" s="725"/>
      <c r="O35" s="729"/>
      <c r="P35" s="729"/>
      <c r="Q35" s="725"/>
      <c r="R35" s="724"/>
    </row>
    <row r="36" spans="1:18" ht="12.75">
      <c r="A36" s="741"/>
      <c r="B36" s="190" t="s">
        <v>118</v>
      </c>
      <c r="F36" s="937">
        <f>SUM(F17:F34)</f>
        <v>11160.091283528931</v>
      </c>
      <c r="G36" s="937">
        <f>SUM(G17:G34)</f>
        <v>130718</v>
      </c>
      <c r="H36" s="936">
        <f>F36/G36</f>
        <v>0.0853753215588437</v>
      </c>
      <c r="J36" s="888"/>
      <c r="K36" s="725"/>
      <c r="L36" s="725"/>
      <c r="M36" s="725"/>
      <c r="N36" s="725"/>
      <c r="O36" s="729"/>
      <c r="P36" s="729"/>
      <c r="Q36" s="725"/>
      <c r="R36" s="724"/>
    </row>
    <row r="37" spans="1:18" ht="12.75">
      <c r="A37" s="191"/>
      <c r="E37" s="739"/>
      <c r="F37" s="739"/>
      <c r="I37" s="191"/>
      <c r="K37" s="725"/>
      <c r="L37" s="725"/>
      <c r="M37" s="725"/>
      <c r="N37" s="725"/>
      <c r="O37" s="729"/>
      <c r="P37" s="729"/>
      <c r="Q37" s="725"/>
      <c r="R37" s="724"/>
    </row>
    <row r="38" spans="1:18" ht="12.75">
      <c r="A38" s="733" t="str">
        <f>WAGas12_04!AD$10</f>
        <v>PF1</v>
      </c>
      <c r="B38" s="734" t="str">
        <f>TRIM(CONCATENATE(WAGas12_04!AD$7," ",WAGas12_04!AD$8," ",WAGas12_04!AD$9))</f>
        <v>Pension Pro Forma</v>
      </c>
      <c r="C38" s="735"/>
      <c r="D38" s="735"/>
      <c r="E38" s="735"/>
      <c r="F38" s="746">
        <f>WAGas12_04!AD$52</f>
        <v>115</v>
      </c>
      <c r="G38" s="746">
        <f>WAGas12_04!AD$69</f>
        <v>0</v>
      </c>
      <c r="H38" s="752"/>
      <c r="I38" s="191"/>
      <c r="K38" s="725"/>
      <c r="L38" s="725"/>
      <c r="M38" s="725"/>
      <c r="N38" s="725"/>
      <c r="O38" s="729"/>
      <c r="P38" s="729"/>
      <c r="Q38" s="725"/>
      <c r="R38" s="724"/>
    </row>
    <row r="39" spans="1:18" ht="12.75">
      <c r="A39" s="733" t="str">
        <f>WAGas12_04!AE$10</f>
        <v>PF2</v>
      </c>
      <c r="B39" s="734" t="str">
        <f>TRIM(CONCATENATE(WAGas12_04!AE$7," ",WAGas12_04!AE$8," ",WAGas12_04!AE$9))</f>
        <v>Pro Forma Insurance</v>
      </c>
      <c r="C39" s="735"/>
      <c r="D39" s="735"/>
      <c r="E39" s="735"/>
      <c r="F39" s="746">
        <f>WAGas12_04!AE$52</f>
        <v>73</v>
      </c>
      <c r="G39" s="746">
        <f>WAGas12_04!AE$69</f>
        <v>0</v>
      </c>
      <c r="H39" s="752"/>
      <c r="I39" s="191"/>
      <c r="K39" s="725"/>
      <c r="L39" s="725"/>
      <c r="M39" s="725"/>
      <c r="N39" s="725"/>
      <c r="O39" s="729"/>
      <c r="P39" s="729"/>
      <c r="Q39" s="725"/>
      <c r="R39" s="724"/>
    </row>
    <row r="40" spans="1:18" ht="12.75">
      <c r="A40" s="733" t="str">
        <f>WAGas12_04!AF$10</f>
        <v>PF3</v>
      </c>
      <c r="B40" s="734" t="str">
        <f>TRIM(CONCATENATE(WAGas12_04!AF$7," ",WAGas12_04!AF$8," ",WAGas12_04!AF$9))</f>
        <v>Pro Forma Labor Non-Exec</v>
      </c>
      <c r="C40" s="735"/>
      <c r="D40" s="735"/>
      <c r="E40" s="735"/>
      <c r="F40" s="746">
        <f>WAGas12_04!AF$52</f>
        <v>-408</v>
      </c>
      <c r="G40" s="746">
        <f>WAGas12_04!AF$69</f>
        <v>0</v>
      </c>
      <c r="H40" s="752"/>
      <c r="I40" s="191"/>
      <c r="K40" s="725"/>
      <c r="L40" s="725"/>
      <c r="M40" s="725"/>
      <c r="N40" s="725"/>
      <c r="O40" s="729"/>
      <c r="P40" s="729"/>
      <c r="Q40" s="725"/>
      <c r="R40" s="724"/>
    </row>
    <row r="41" spans="1:18" ht="12.75">
      <c r="A41" s="733" t="str">
        <f>WAGas12_04!AG$10</f>
        <v>PF4</v>
      </c>
      <c r="B41" s="734" t="str">
        <f>TRIM(CONCATENATE(WAGas12_04!AG$7," ",WAGas12_04!AG$8," ",WAGas12_04!AG$9))</f>
        <v>Pro Forma Labor Executive</v>
      </c>
      <c r="C41" s="735"/>
      <c r="D41" s="735"/>
      <c r="E41" s="735"/>
      <c r="F41" s="746">
        <f>WAGas12_04!AG$52</f>
        <v>-12</v>
      </c>
      <c r="G41" s="746">
        <f>WAGas12_04!AG$69</f>
        <v>0</v>
      </c>
      <c r="H41" s="752"/>
      <c r="I41" s="191"/>
      <c r="K41" s="725"/>
      <c r="L41" s="725"/>
      <c r="M41" s="725"/>
      <c r="N41" s="725"/>
      <c r="O41" s="729"/>
      <c r="P41" s="729"/>
      <c r="Q41" s="725"/>
      <c r="R41" s="724"/>
    </row>
    <row r="42" spans="1:18" ht="12.75">
      <c r="A42" s="733" t="str">
        <f>WAGas12_04!AH$10</f>
        <v>PF5</v>
      </c>
      <c r="B42" s="734" t="str">
        <f>TRIM(CONCATENATE(WAGas12_04!AH$7," ",WAGas12_04!AH$8," ",WAGas12_04!AH$9))</f>
        <v>Pro Forma Gas Procurement</v>
      </c>
      <c r="C42" s="735"/>
      <c r="D42" s="735"/>
      <c r="E42" s="735"/>
      <c r="F42" s="746">
        <f>WAGas12_04!AH$52</f>
        <v>-125</v>
      </c>
      <c r="G42" s="746">
        <f>WAGas12_04!AH$69</f>
        <v>0</v>
      </c>
      <c r="H42" s="752"/>
      <c r="I42" s="191"/>
      <c r="K42" s="725"/>
      <c r="L42" s="725"/>
      <c r="M42" s="725"/>
      <c r="N42" s="725"/>
      <c r="O42" s="729"/>
      <c r="P42" s="729"/>
      <c r="Q42" s="725"/>
      <c r="R42" s="724"/>
    </row>
    <row r="43" spans="1:18" ht="12.75">
      <c r="A43" s="733" t="str">
        <f>WAGas12_04!AI$10</f>
        <v>PF6</v>
      </c>
      <c r="B43" s="734" t="str">
        <f>TRIM(CONCATENATE(WAGas12_04!AI$7," ",WAGas12_04!AI$8," ",WAGas12_04!AI$9))</f>
        <v>Pro Forma Allocation Adjustment</v>
      </c>
      <c r="C43" s="735"/>
      <c r="D43" s="735"/>
      <c r="E43" s="735"/>
      <c r="F43" s="746">
        <f>WAGas12_04!AI$52</f>
        <v>-103</v>
      </c>
      <c r="G43" s="746">
        <f>WAGas12_04!AI$69</f>
        <v>0</v>
      </c>
      <c r="H43" s="752"/>
      <c r="I43" s="191"/>
      <c r="K43" s="725"/>
      <c r="L43" s="725"/>
      <c r="M43" s="725"/>
      <c r="N43" s="725"/>
      <c r="O43" s="729"/>
      <c r="P43" s="729"/>
      <c r="Q43" s="725"/>
      <c r="R43" s="724"/>
    </row>
    <row r="44" spans="1:18" ht="12.75">
      <c r="A44" s="733" t="str">
        <f>WAGas12_04!AJ$10</f>
        <v>PF7</v>
      </c>
      <c r="B44" s="734" t="str">
        <f>TRIM(CONCATENATE(WAGas12_04!AJ$7," ",WAGas12_04!AJ$8," ",WAGas12_04!AJ$9))</f>
        <v>Remove Hamilton St Pro Forma</v>
      </c>
      <c r="C44" s="735"/>
      <c r="D44" s="735"/>
      <c r="E44" s="735"/>
      <c r="F44" s="746">
        <f>WAGas12_04!AJ$52</f>
        <v>110</v>
      </c>
      <c r="G44" s="746">
        <f>WAGas12_04!AJ$69</f>
        <v>0</v>
      </c>
      <c r="H44" s="752"/>
      <c r="I44" s="191"/>
      <c r="K44" s="725"/>
      <c r="L44" s="725"/>
      <c r="M44" s="725"/>
      <c r="N44" s="725"/>
      <c r="O44" s="729"/>
      <c r="P44" s="729"/>
      <c r="Q44" s="725"/>
      <c r="R44" s="724"/>
    </row>
    <row r="45" spans="1:18" ht="3.75" customHeight="1">
      <c r="A45" s="733"/>
      <c r="B45" s="734"/>
      <c r="C45" s="735"/>
      <c r="D45" s="735"/>
      <c r="E45" s="735"/>
      <c r="F45" s="746"/>
      <c r="G45" s="746"/>
      <c r="H45" s="752"/>
      <c r="I45" s="191"/>
      <c r="K45" s="725"/>
      <c r="L45" s="725"/>
      <c r="M45" s="725"/>
      <c r="N45" s="725"/>
      <c r="O45" s="729"/>
      <c r="P45" s="729"/>
      <c r="Q45" s="725"/>
      <c r="R45" s="724"/>
    </row>
    <row r="46" spans="1:18" ht="2.25" customHeight="1">
      <c r="A46" s="733"/>
      <c r="B46" s="734"/>
      <c r="C46" s="735"/>
      <c r="D46" s="735"/>
      <c r="E46" s="735"/>
      <c r="F46" s="746"/>
      <c r="G46" s="746"/>
      <c r="H46" s="752"/>
      <c r="I46" s="191"/>
      <c r="K46" s="725"/>
      <c r="L46" s="725"/>
      <c r="M46" s="725"/>
      <c r="N46" s="725"/>
      <c r="O46" s="729"/>
      <c r="P46" s="729"/>
      <c r="Q46" s="725"/>
      <c r="R46" s="724"/>
    </row>
    <row r="47" spans="1:18" ht="13.5" thickBot="1">
      <c r="A47" s="191"/>
      <c r="B47" s="190" t="s">
        <v>301</v>
      </c>
      <c r="F47" s="742">
        <f>SUM(F36:F46)</f>
        <v>10810.091283528931</v>
      </c>
      <c r="G47" s="742">
        <f>SUM(G36:G46)</f>
        <v>130718</v>
      </c>
      <c r="H47" s="745">
        <f>F47/G47</f>
        <v>0.08269780201295102</v>
      </c>
      <c r="I47" s="878"/>
      <c r="J47" s="744"/>
      <c r="K47" s="725"/>
      <c r="L47" s="725"/>
      <c r="M47" s="725"/>
      <c r="N47" s="725"/>
      <c r="O47" s="729"/>
      <c r="P47" s="729"/>
      <c r="Q47" s="725"/>
      <c r="R47" s="724"/>
    </row>
    <row r="48" spans="1:18" ht="13.5" thickTop="1">
      <c r="A48" s="191"/>
      <c r="E48" s="739"/>
      <c r="F48" s="739"/>
      <c r="I48" s="191"/>
      <c r="K48" s="725"/>
      <c r="L48" s="725"/>
      <c r="M48" s="725"/>
      <c r="N48" s="725"/>
      <c r="O48" s="729"/>
      <c r="P48" s="729"/>
      <c r="Q48" s="725"/>
      <c r="R48" s="724"/>
    </row>
    <row r="49" spans="1:18" ht="12.75">
      <c r="A49" s="191"/>
      <c r="E49" s="739"/>
      <c r="F49" s="739"/>
      <c r="I49" s="191"/>
      <c r="K49" s="725"/>
      <c r="L49" s="725"/>
      <c r="M49" s="725"/>
      <c r="N49" s="725"/>
      <c r="O49" s="729"/>
      <c r="P49" s="729"/>
      <c r="Q49" s="725"/>
      <c r="R49" s="724"/>
    </row>
    <row r="50" spans="1:18" ht="12.75">
      <c r="A50" s="191"/>
      <c r="E50" s="739"/>
      <c r="F50" s="739"/>
      <c r="I50" s="191"/>
      <c r="K50" s="725"/>
      <c r="L50" s="725"/>
      <c r="M50" s="725"/>
      <c r="N50" s="725"/>
      <c r="O50" s="729"/>
      <c r="P50" s="729"/>
      <c r="Q50" s="725"/>
      <c r="R50" s="724"/>
    </row>
    <row r="51" spans="1:18" ht="12.75">
      <c r="A51" s="191"/>
      <c r="E51" s="739"/>
      <c r="F51" s="739"/>
      <c r="I51" s="191"/>
      <c r="K51" s="725"/>
      <c r="L51" s="725"/>
      <c r="M51" s="725"/>
      <c r="N51" s="725"/>
      <c r="O51" s="729"/>
      <c r="P51" s="729"/>
      <c r="Q51" s="725"/>
      <c r="R51" s="724"/>
    </row>
    <row r="52" spans="1:18" ht="12.75">
      <c r="A52" s="191"/>
      <c r="E52" s="739"/>
      <c r="F52" s="739"/>
      <c r="I52" s="191"/>
      <c r="K52" s="725"/>
      <c r="L52" s="725"/>
      <c r="M52" s="725"/>
      <c r="N52" s="725"/>
      <c r="O52" s="729"/>
      <c r="P52" s="729"/>
      <c r="Q52" s="725"/>
      <c r="R52" s="724"/>
    </row>
  </sheetData>
  <printOptions/>
  <pageMargins left="0.75" right="0.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3">
      <selection activeCell="G31" sqref="G31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411" t="s">
        <v>296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411" t="s">
        <v>173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/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-12</v>
      </c>
      <c r="F17" s="423">
        <v>-8</v>
      </c>
      <c r="G17" s="423">
        <v>-4</v>
      </c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-12</v>
      </c>
      <c r="F19" s="423">
        <f>SUM(F16:F18)</f>
        <v>-8</v>
      </c>
      <c r="G19" s="423">
        <f>SUM(G16:G18)</f>
        <v>-4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-222</v>
      </c>
      <c r="F26" s="423">
        <v>-158</v>
      </c>
      <c r="G26" s="423">
        <v>-64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2</v>
      </c>
      <c r="F28" s="424"/>
      <c r="G28" s="877">
        <f>F113</f>
        <v>2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-220</v>
      </c>
      <c r="F29" s="423">
        <f>SUM(F26:F28)</f>
        <v>-158</v>
      </c>
      <c r="G29" s="423">
        <f>SUM(G26:G28)</f>
        <v>-62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-129</v>
      </c>
      <c r="F31" s="423">
        <v>-86</v>
      </c>
      <c r="G31" s="423">
        <v>-43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-4</v>
      </c>
      <c r="F32" s="423">
        <v>-1</v>
      </c>
      <c r="G32" s="423">
        <v>-3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-18</v>
      </c>
      <c r="F33" s="423">
        <v>-11</v>
      </c>
      <c r="G33" s="423">
        <v>-7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-321</v>
      </c>
      <c r="F35" s="423">
        <v>-220</v>
      </c>
      <c r="G35" s="423">
        <v>-101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-321</v>
      </c>
      <c r="F38" s="424">
        <f>SUM(F35:F37)</f>
        <v>-220</v>
      </c>
      <c r="G38" s="424">
        <f>SUM(G35:G37)</f>
        <v>-101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-704</v>
      </c>
      <c r="F39" s="424">
        <f>F19+F24+F29+F31+F32+F33+F38+F14</f>
        <v>-484</v>
      </c>
      <c r="G39" s="424">
        <f>G19+G24+G29+G31+G32+G33+G38+G14</f>
        <v>-220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704</v>
      </c>
      <c r="F41" s="423">
        <f>F11-F39</f>
        <v>484</v>
      </c>
      <c r="G41" s="423">
        <f>G11-G39</f>
        <v>220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246</v>
      </c>
      <c r="F44" s="423">
        <f>ROUND(F41*D44,0)</f>
        <v>169</v>
      </c>
      <c r="G44" s="423">
        <f>ROUND(G41*D44,0)</f>
        <v>77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458</v>
      </c>
      <c r="F48" s="430">
        <f>F41-F44+F45+F46</f>
        <v>315</v>
      </c>
      <c r="G48" s="430">
        <f>G41-SUM(G44:G46)</f>
        <v>143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PAYROLL CLEARING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ADJUSTMENT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-4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-4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-64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-64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-43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-3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-7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-101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-101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-222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222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2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A1">
      <selection activeCell="L25" sqref="L25"/>
    </sheetView>
  </sheetViews>
  <sheetFormatPr defaultColWidth="9.140625" defaultRowHeight="10.5" customHeight="1"/>
  <cols>
    <col min="1" max="1" width="5.57421875" style="649" customWidth="1"/>
    <col min="2" max="2" width="26.140625" style="649" customWidth="1"/>
    <col min="3" max="3" width="12.421875" style="649" customWidth="1"/>
    <col min="4" max="4" width="6.7109375" style="649" customWidth="1"/>
    <col min="5" max="5" width="12.421875" style="671" customWidth="1"/>
    <col min="6" max="6" width="12.421875" style="672" customWidth="1"/>
    <col min="7" max="7" width="12.421875" style="671" customWidth="1"/>
    <col min="8" max="16384" width="12.421875" style="649" customWidth="1"/>
  </cols>
  <sheetData>
    <row r="1" spans="1:7" ht="12">
      <c r="A1" s="648" t="str">
        <f>Inputs!$D$6</f>
        <v>AVISTA UTILITIES</v>
      </c>
      <c r="B1" s="648"/>
      <c r="C1" s="648"/>
      <c r="E1" s="650"/>
      <c r="F1" s="651"/>
      <c r="G1" s="650"/>
    </row>
    <row r="2" spans="1:7" ht="12">
      <c r="A2" s="648" t="s">
        <v>122</v>
      </c>
      <c r="B2" s="648"/>
      <c r="C2" s="648"/>
      <c r="E2" s="652"/>
      <c r="F2" s="652" t="s">
        <v>189</v>
      </c>
      <c r="G2" s="652"/>
    </row>
    <row r="3" spans="1:7" ht="12">
      <c r="A3" s="648" t="str">
        <f>Inputs!$D$2</f>
        <v>TWELVE MONTHS ENDED DECEMBER 31, 2004</v>
      </c>
      <c r="B3" s="648"/>
      <c r="C3" s="648"/>
      <c r="E3" s="652"/>
      <c r="F3" s="652" t="s">
        <v>173</v>
      </c>
      <c r="G3" s="652"/>
    </row>
    <row r="4" spans="1:7" ht="12">
      <c r="A4" s="648" t="s">
        <v>125</v>
      </c>
      <c r="B4" s="648"/>
      <c r="C4" s="648"/>
      <c r="E4" s="653"/>
      <c r="F4" s="653" t="s">
        <v>126</v>
      </c>
      <c r="G4" s="654"/>
    </row>
    <row r="5" spans="1:7" ht="12">
      <c r="A5" s="655" t="s">
        <v>11</v>
      </c>
      <c r="E5" s="650"/>
      <c r="F5" s="656"/>
      <c r="G5" s="650"/>
    </row>
    <row r="6" spans="1:8" ht="12">
      <c r="A6" s="657" t="s">
        <v>29</v>
      </c>
      <c r="B6" s="658" t="s">
        <v>114</v>
      </c>
      <c r="C6" s="658"/>
      <c r="E6" s="659" t="s">
        <v>127</v>
      </c>
      <c r="F6" s="660" t="s">
        <v>128</v>
      </c>
      <c r="G6" s="659" t="s">
        <v>129</v>
      </c>
      <c r="H6" s="661" t="s">
        <v>130</v>
      </c>
    </row>
    <row r="7" spans="1:7" ht="12">
      <c r="A7" s="655"/>
      <c r="B7" s="649" t="s">
        <v>69</v>
      </c>
      <c r="E7" s="662"/>
      <c r="F7" s="656"/>
      <c r="G7" s="662"/>
    </row>
    <row r="8" spans="1:8" ht="12">
      <c r="A8" s="655">
        <v>1</v>
      </c>
      <c r="B8" s="649" t="s">
        <v>131</v>
      </c>
      <c r="E8" s="663">
        <f>SUM(F8:G8)</f>
        <v>459</v>
      </c>
      <c r="F8" s="664">
        <v>0</v>
      </c>
      <c r="G8" s="664">
        <v>459</v>
      </c>
      <c r="H8" s="665" t="str">
        <f>IF(E8=F8+G8," ","ERROR")</f>
        <v> </v>
      </c>
    </row>
    <row r="9" spans="1:8" ht="12">
      <c r="A9" s="655">
        <v>2</v>
      </c>
      <c r="B9" s="649" t="s">
        <v>132</v>
      </c>
      <c r="E9" s="663"/>
      <c r="F9" s="663"/>
      <c r="G9" s="663"/>
      <c r="H9" s="665" t="str">
        <f>IF(E9=F9+G9," ","ERROR")</f>
        <v> </v>
      </c>
    </row>
    <row r="10" spans="1:8" ht="12">
      <c r="A10" s="655">
        <v>3</v>
      </c>
      <c r="B10" s="649" t="s">
        <v>72</v>
      </c>
      <c r="E10" s="666"/>
      <c r="F10" s="666"/>
      <c r="G10" s="666"/>
      <c r="H10" s="665" t="str">
        <f>IF(E10=F10+G10," ","ERROR")</f>
        <v> </v>
      </c>
    </row>
    <row r="11" spans="1:8" ht="12">
      <c r="A11" s="655">
        <v>4</v>
      </c>
      <c r="B11" s="649" t="s">
        <v>133</v>
      </c>
      <c r="E11" s="663">
        <f>SUM(E8:E10)</f>
        <v>459</v>
      </c>
      <c r="F11" s="663">
        <f>SUM(F8:F10)</f>
        <v>0</v>
      </c>
      <c r="G11" s="663">
        <f>SUM(G8:G10)</f>
        <v>459</v>
      </c>
      <c r="H11" s="665" t="str">
        <f>IF(E11=F11+G11," ","ERROR")</f>
        <v> </v>
      </c>
    </row>
    <row r="12" spans="1:8" ht="12">
      <c r="A12" s="655"/>
      <c r="E12" s="663"/>
      <c r="F12" s="663"/>
      <c r="G12" s="663"/>
      <c r="H12" s="665"/>
    </row>
    <row r="13" spans="1:8" ht="12">
      <c r="A13" s="655"/>
      <c r="B13" s="649" t="s">
        <v>74</v>
      </c>
      <c r="E13" s="663"/>
      <c r="F13" s="663"/>
      <c r="G13" s="663"/>
      <c r="H13" s="665"/>
    </row>
    <row r="14" spans="1:8" ht="12">
      <c r="A14" s="655">
        <v>5</v>
      </c>
      <c r="B14" s="649" t="s">
        <v>134</v>
      </c>
      <c r="E14" s="663"/>
      <c r="F14" s="663"/>
      <c r="G14" s="663"/>
      <c r="H14" s="665" t="str">
        <f>IF(E14=F14+G14," ","ERROR")</f>
        <v> </v>
      </c>
    </row>
    <row r="15" spans="1:8" ht="12">
      <c r="A15" s="655"/>
      <c r="B15" s="649" t="s">
        <v>76</v>
      </c>
      <c r="E15" s="663"/>
      <c r="F15" s="663"/>
      <c r="G15" s="663"/>
      <c r="H15" s="665"/>
    </row>
    <row r="16" spans="1:8" ht="12">
      <c r="A16" s="655">
        <v>6</v>
      </c>
      <c r="B16" s="649" t="s">
        <v>135</v>
      </c>
      <c r="E16" s="663"/>
      <c r="F16" s="663"/>
      <c r="G16" s="663"/>
      <c r="H16" s="665" t="str">
        <f>IF(E16=F16+G16," ","ERROR")</f>
        <v> </v>
      </c>
    </row>
    <row r="17" spans="1:8" ht="12">
      <c r="A17" s="655">
        <v>7</v>
      </c>
      <c r="B17" s="649" t="s">
        <v>136</v>
      </c>
      <c r="E17" s="663">
        <f>SUM(F17:G17)</f>
        <v>352</v>
      </c>
      <c r="F17" s="663">
        <v>0</v>
      </c>
      <c r="G17" s="663">
        <v>352</v>
      </c>
      <c r="H17" s="665" t="str">
        <f>IF(E17=F17+G17," ","ERROR")</f>
        <v> </v>
      </c>
    </row>
    <row r="18" spans="1:8" ht="12">
      <c r="A18" s="655">
        <v>8</v>
      </c>
      <c r="B18" s="649" t="s">
        <v>137</v>
      </c>
      <c r="E18" s="666"/>
      <c r="F18" s="666"/>
      <c r="G18" s="666"/>
      <c r="H18" s="665" t="str">
        <f>IF(E18=F18+G18," ","ERROR")</f>
        <v> </v>
      </c>
    </row>
    <row r="19" spans="1:8" ht="12">
      <c r="A19" s="655">
        <v>9</v>
      </c>
      <c r="B19" s="649" t="s">
        <v>138</v>
      </c>
      <c r="E19" s="663">
        <f>SUM(E16:E18)</f>
        <v>352</v>
      </c>
      <c r="F19" s="663">
        <f>SUM(F16:F18)</f>
        <v>0</v>
      </c>
      <c r="G19" s="663">
        <f>SUM(G16:G18)</f>
        <v>352</v>
      </c>
      <c r="H19" s="665" t="str">
        <f>IF(E19=F19+G19," ","ERROR")</f>
        <v> </v>
      </c>
    </row>
    <row r="20" spans="1:8" ht="12">
      <c r="A20" s="655"/>
      <c r="B20" s="649" t="s">
        <v>81</v>
      </c>
      <c r="E20" s="663"/>
      <c r="F20" s="663"/>
      <c r="G20" s="663"/>
      <c r="H20" s="665"/>
    </row>
    <row r="21" spans="1:8" ht="12">
      <c r="A21" s="655">
        <v>10</v>
      </c>
      <c r="B21" s="649" t="s">
        <v>139</v>
      </c>
      <c r="E21" s="663"/>
      <c r="F21" s="663"/>
      <c r="G21" s="663"/>
      <c r="H21" s="665" t="str">
        <f>IF(E21=F21+G21," ","ERROR")</f>
        <v> </v>
      </c>
    </row>
    <row r="22" spans="1:8" ht="12">
      <c r="A22" s="655">
        <v>11</v>
      </c>
      <c r="B22" s="649" t="s">
        <v>140</v>
      </c>
      <c r="E22" s="663"/>
      <c r="F22" s="663"/>
      <c r="G22" s="663"/>
      <c r="H22" s="665" t="str">
        <f>IF(E22=F22+G22," ","ERROR")</f>
        <v> </v>
      </c>
    </row>
    <row r="23" spans="1:8" ht="12">
      <c r="A23" s="655">
        <v>12</v>
      </c>
      <c r="B23" s="649" t="s">
        <v>141</v>
      </c>
      <c r="E23" s="666"/>
      <c r="F23" s="666"/>
      <c r="G23" s="666"/>
      <c r="H23" s="665" t="str">
        <f>IF(E23=F23+G23," ","ERROR")</f>
        <v> </v>
      </c>
    </row>
    <row r="24" spans="1:8" ht="12">
      <c r="A24" s="655">
        <v>13</v>
      </c>
      <c r="B24" s="649" t="s">
        <v>142</v>
      </c>
      <c r="E24" s="663">
        <f>SUM(E21:E23)</f>
        <v>0</v>
      </c>
      <c r="F24" s="663">
        <f>SUM(F21:F23)</f>
        <v>0</v>
      </c>
      <c r="G24" s="663">
        <f>SUM(G21:G23)</f>
        <v>0</v>
      </c>
      <c r="H24" s="665" t="str">
        <f>IF(E24=F24+G24," ","ERROR")</f>
        <v> </v>
      </c>
    </row>
    <row r="25" spans="1:8" ht="12">
      <c r="A25" s="655"/>
      <c r="B25" s="649" t="s">
        <v>85</v>
      </c>
      <c r="E25" s="663"/>
      <c r="F25" s="663"/>
      <c r="G25" s="663"/>
      <c r="H25" s="665"/>
    </row>
    <row r="26" spans="1:8" ht="12">
      <c r="A26" s="655">
        <v>14</v>
      </c>
      <c r="B26" s="649" t="s">
        <v>139</v>
      </c>
      <c r="E26" s="663"/>
      <c r="F26" s="663"/>
      <c r="G26" s="663"/>
      <c r="H26" s="665" t="str">
        <f>IF(E26=F26+G26," ","ERROR")</f>
        <v> </v>
      </c>
    </row>
    <row r="27" spans="1:8" ht="12">
      <c r="A27" s="655">
        <v>15</v>
      </c>
      <c r="B27" s="649" t="s">
        <v>140</v>
      </c>
      <c r="E27" s="663"/>
      <c r="F27" s="663"/>
      <c r="G27" s="663"/>
      <c r="H27" s="665" t="str">
        <f>IF(E27=F27+G27," ","ERROR")</f>
        <v> </v>
      </c>
    </row>
    <row r="28" spans="1:8" ht="12">
      <c r="A28" s="655">
        <v>16</v>
      </c>
      <c r="B28" s="649" t="s">
        <v>141</v>
      </c>
      <c r="E28" s="666">
        <f>F28+G28</f>
        <v>1</v>
      </c>
      <c r="F28" s="666">
        <v>0</v>
      </c>
      <c r="G28" s="667">
        <f>F111</f>
        <v>1</v>
      </c>
      <c r="H28" s="665" t="str">
        <f>IF(E28=F28+G28," ","ERROR")</f>
        <v> </v>
      </c>
    </row>
    <row r="29" spans="1:8" ht="12">
      <c r="A29" s="655">
        <v>17</v>
      </c>
      <c r="B29" s="649" t="s">
        <v>143</v>
      </c>
      <c r="E29" s="663">
        <f>SUM(E26:E28)</f>
        <v>1</v>
      </c>
      <c r="F29" s="663">
        <f>SUM(F26:F28)</f>
        <v>0</v>
      </c>
      <c r="G29" s="663">
        <f>SUM(G26:G28)</f>
        <v>1</v>
      </c>
      <c r="H29" s="665" t="str">
        <f>IF(E29=F29+G29," ","ERROR")</f>
        <v> </v>
      </c>
    </row>
    <row r="30" spans="1:8" ht="12">
      <c r="A30" s="655"/>
      <c r="E30" s="663"/>
      <c r="F30" s="663"/>
      <c r="G30" s="663"/>
      <c r="H30" s="665"/>
    </row>
    <row r="31" spans="1:8" ht="12">
      <c r="A31" s="655">
        <v>18</v>
      </c>
      <c r="B31" s="649" t="s">
        <v>87</v>
      </c>
      <c r="E31" s="668">
        <f>F31+G31</f>
        <v>2</v>
      </c>
      <c r="F31" s="663">
        <v>0</v>
      </c>
      <c r="G31" s="663">
        <v>2</v>
      </c>
      <c r="H31" s="665" t="str">
        <f>IF(E31=F31+G31," ","ERROR")</f>
        <v> </v>
      </c>
    </row>
    <row r="32" spans="1:8" ht="12">
      <c r="A32" s="655">
        <v>19</v>
      </c>
      <c r="B32" s="649" t="s">
        <v>88</v>
      </c>
      <c r="E32" s="663"/>
      <c r="F32" s="663"/>
      <c r="G32" s="663"/>
      <c r="H32" s="665" t="str">
        <f>IF(E32=F32+G32," ","ERROR")</f>
        <v> </v>
      </c>
    </row>
    <row r="33" spans="1:8" ht="12">
      <c r="A33" s="655">
        <v>20</v>
      </c>
      <c r="B33" s="649" t="s">
        <v>144</v>
      </c>
      <c r="E33" s="663"/>
      <c r="F33" s="663"/>
      <c r="G33" s="663"/>
      <c r="H33" s="665" t="str">
        <f>IF(E33=F33+G33," ","ERROR")</f>
        <v> </v>
      </c>
    </row>
    <row r="34" spans="1:8" ht="12">
      <c r="A34" s="655"/>
      <c r="B34" s="649" t="s">
        <v>145</v>
      </c>
      <c r="E34" s="663"/>
      <c r="F34" s="663"/>
      <c r="G34" s="663"/>
      <c r="H34" s="665"/>
    </row>
    <row r="35" spans="1:8" ht="12">
      <c r="A35" s="655">
        <v>21</v>
      </c>
      <c r="B35" s="649" t="s">
        <v>139</v>
      </c>
      <c r="E35" s="663">
        <f>SUM(F35:G35)</f>
        <v>1</v>
      </c>
      <c r="F35" s="663">
        <v>0</v>
      </c>
      <c r="G35" s="663">
        <v>1</v>
      </c>
      <c r="H35" s="665" t="str">
        <f>IF(E35=F35+G35," ","ERROR")</f>
        <v> </v>
      </c>
    </row>
    <row r="36" spans="1:8" ht="12">
      <c r="A36" s="655">
        <v>22</v>
      </c>
      <c r="B36" s="649" t="s">
        <v>140</v>
      </c>
      <c r="E36" s="663"/>
      <c r="F36" s="663"/>
      <c r="G36" s="663"/>
      <c r="H36" s="665" t="str">
        <f>IF(E36=F36+G36," ","ERROR")</f>
        <v> </v>
      </c>
    </row>
    <row r="37" spans="1:8" ht="12">
      <c r="A37" s="655">
        <v>23</v>
      </c>
      <c r="B37" s="649" t="s">
        <v>141</v>
      </c>
      <c r="E37" s="666"/>
      <c r="F37" s="666"/>
      <c r="G37" s="666"/>
      <c r="H37" s="665" t="str">
        <f>IF(E37=F37+G37," ","ERROR")</f>
        <v> </v>
      </c>
    </row>
    <row r="38" spans="1:8" ht="12">
      <c r="A38" s="655">
        <v>24</v>
      </c>
      <c r="B38" s="649" t="s">
        <v>146</v>
      </c>
      <c r="E38" s="666">
        <f>SUM(E35:E37)</f>
        <v>1</v>
      </c>
      <c r="F38" s="666">
        <f>SUM(F35:F37)</f>
        <v>0</v>
      </c>
      <c r="G38" s="666">
        <f>SUM(G35:G37)</f>
        <v>1</v>
      </c>
      <c r="H38" s="665" t="str">
        <f>IF(E38=F38+G38," ","ERROR")</f>
        <v> </v>
      </c>
    </row>
    <row r="39" spans="1:8" ht="12">
      <c r="A39" s="655">
        <v>25</v>
      </c>
      <c r="B39" s="649" t="s">
        <v>92</v>
      </c>
      <c r="E39" s="666">
        <f>E19+E24+E29+E31+E32+E33+E38+E14</f>
        <v>356</v>
      </c>
      <c r="F39" s="666">
        <f>F19+F24+F29+F31+F32+F33+F38+F14</f>
        <v>0</v>
      </c>
      <c r="G39" s="666">
        <f>G19+G24+G29+G31+G32+G33+G38+G14</f>
        <v>356</v>
      </c>
      <c r="H39" s="665" t="str">
        <f>IF(E39=F39+G39," ","ERROR")</f>
        <v> </v>
      </c>
    </row>
    <row r="40" spans="1:8" ht="12">
      <c r="A40" s="655"/>
      <c r="E40" s="663"/>
      <c r="F40" s="663"/>
      <c r="G40" s="663"/>
      <c r="H40" s="665"/>
    </row>
    <row r="41" spans="1:8" ht="12">
      <c r="A41" s="655">
        <v>26</v>
      </c>
      <c r="B41" s="649" t="s">
        <v>147</v>
      </c>
      <c r="E41" s="663">
        <f>E11-E39</f>
        <v>103</v>
      </c>
      <c r="F41" s="663">
        <f>F11-F39</f>
        <v>0</v>
      </c>
      <c r="G41" s="663">
        <f>G11-G39</f>
        <v>103</v>
      </c>
      <c r="H41" s="665" t="str">
        <f>IF(E41=F41+G41," ","ERROR")</f>
        <v> </v>
      </c>
    </row>
    <row r="42" spans="1:8" ht="12">
      <c r="A42" s="655"/>
      <c r="E42" s="663"/>
      <c r="F42" s="663"/>
      <c r="G42" s="663"/>
      <c r="H42" s="665"/>
    </row>
    <row r="43" spans="1:8" ht="12">
      <c r="A43" s="655"/>
      <c r="B43" s="649" t="s">
        <v>148</v>
      </c>
      <c r="E43" s="663"/>
      <c r="F43" s="663"/>
      <c r="G43" s="663"/>
      <c r="H43" s="665"/>
    </row>
    <row r="44" spans="1:8" ht="12">
      <c r="A44" s="655">
        <v>27</v>
      </c>
      <c r="B44" s="669" t="s">
        <v>149</v>
      </c>
      <c r="D44" s="670">
        <v>0.35</v>
      </c>
      <c r="E44" s="663">
        <f>F44+G44</f>
        <v>36</v>
      </c>
      <c r="F44" s="663">
        <f>ROUND(F41*D44,0)</f>
        <v>0</v>
      </c>
      <c r="G44" s="663">
        <f>ROUND(G41*D44,0)</f>
        <v>36</v>
      </c>
      <c r="H44" s="665" t="str">
        <f>IF(E44=F44+G44," ","ERROR")</f>
        <v> </v>
      </c>
    </row>
    <row r="45" spans="1:8" ht="12">
      <c r="A45" s="655">
        <v>28</v>
      </c>
      <c r="B45" s="649" t="s">
        <v>151</v>
      </c>
      <c r="E45" s="663"/>
      <c r="F45" s="663"/>
      <c r="G45" s="663"/>
      <c r="H45" s="665" t="str">
        <f>IF(E45=F45+G45," ","ERROR")</f>
        <v> </v>
      </c>
    </row>
    <row r="46" spans="1:8" ht="12">
      <c r="A46" s="655">
        <v>29</v>
      </c>
      <c r="B46" s="649" t="s">
        <v>150</v>
      </c>
      <c r="E46" s="666"/>
      <c r="F46" s="666"/>
      <c r="G46" s="666"/>
      <c r="H46" s="665" t="str">
        <f>IF(E46=F46+G46," ","ERROR")</f>
        <v> </v>
      </c>
    </row>
    <row r="47" spans="1:8" ht="12">
      <c r="A47" s="655"/>
      <c r="H47" s="665"/>
    </row>
    <row r="48" spans="1:8" ht="12.75" thickBot="1">
      <c r="A48" s="655">
        <v>30</v>
      </c>
      <c r="B48" s="673" t="s">
        <v>98</v>
      </c>
      <c r="E48" s="674">
        <f>E41-(+E44+E45+E46)</f>
        <v>67</v>
      </c>
      <c r="F48" s="674">
        <f>F41-F44+F45+F46</f>
        <v>0</v>
      </c>
      <c r="G48" s="674">
        <f>G41-SUM(G44:G46)</f>
        <v>67</v>
      </c>
      <c r="H48" s="665" t="str">
        <f>IF(E48=F48+G48," ","ERROR")</f>
        <v> </v>
      </c>
    </row>
    <row r="49" spans="1:8" ht="12.75" thickTop="1">
      <c r="A49" s="655"/>
      <c r="H49" s="665"/>
    </row>
    <row r="50" spans="1:8" ht="12">
      <c r="A50" s="655"/>
      <c r="B50" s="669" t="s">
        <v>152</v>
      </c>
      <c r="H50" s="665"/>
    </row>
    <row r="51" spans="1:8" ht="12">
      <c r="A51" s="655"/>
      <c r="B51" s="669" t="s">
        <v>153</v>
      </c>
      <c r="H51" s="665"/>
    </row>
    <row r="52" spans="1:8" ht="12">
      <c r="A52" s="655">
        <v>31</v>
      </c>
      <c r="B52" s="649" t="s">
        <v>154</v>
      </c>
      <c r="E52" s="664"/>
      <c r="F52" s="664"/>
      <c r="G52" s="664"/>
      <c r="H52" s="665" t="str">
        <f aca="true" t="shared" si="0" ref="H52:H63">IF(E52=F52+G52," ","ERROR")</f>
        <v> </v>
      </c>
    </row>
    <row r="53" spans="1:8" ht="12">
      <c r="A53" s="655">
        <v>32</v>
      </c>
      <c r="B53" s="649" t="s">
        <v>155</v>
      </c>
      <c r="E53" s="663"/>
      <c r="F53" s="663"/>
      <c r="G53" s="663"/>
      <c r="H53" s="665" t="str">
        <f t="shared" si="0"/>
        <v> </v>
      </c>
    </row>
    <row r="54" spans="1:8" ht="12">
      <c r="A54" s="655">
        <v>33</v>
      </c>
      <c r="B54" s="649" t="s">
        <v>164</v>
      </c>
      <c r="E54" s="666"/>
      <c r="F54" s="666"/>
      <c r="G54" s="666"/>
      <c r="H54" s="665" t="str">
        <f t="shared" si="0"/>
        <v> </v>
      </c>
    </row>
    <row r="55" spans="1:8" ht="12">
      <c r="A55" s="655">
        <v>34</v>
      </c>
      <c r="B55" s="649" t="s">
        <v>157</v>
      </c>
      <c r="E55" s="663">
        <f>SUM(E52:E54)</f>
        <v>0</v>
      </c>
      <c r="F55" s="663">
        <f>SUM(F52:F54)</f>
        <v>0</v>
      </c>
      <c r="G55" s="663">
        <f>SUM(G52:G54)</f>
        <v>0</v>
      </c>
      <c r="H55" s="665" t="str">
        <f t="shared" si="0"/>
        <v> </v>
      </c>
    </row>
    <row r="56" spans="1:8" ht="12">
      <c r="A56" s="655"/>
      <c r="B56" s="649" t="s">
        <v>103</v>
      </c>
      <c r="E56" s="663"/>
      <c r="F56" s="663"/>
      <c r="G56" s="663"/>
      <c r="H56" s="665" t="str">
        <f t="shared" si="0"/>
        <v> </v>
      </c>
    </row>
    <row r="57" spans="1:8" ht="12">
      <c r="A57" s="655">
        <v>35</v>
      </c>
      <c r="B57" s="649" t="s">
        <v>154</v>
      </c>
      <c r="E57" s="663"/>
      <c r="F57" s="663"/>
      <c r="G57" s="663"/>
      <c r="H57" s="665" t="str">
        <f t="shared" si="0"/>
        <v> </v>
      </c>
    </row>
    <row r="58" spans="1:8" ht="12">
      <c r="A58" s="655">
        <v>36</v>
      </c>
      <c r="B58" s="649" t="s">
        <v>155</v>
      </c>
      <c r="E58" s="663"/>
      <c r="F58" s="663"/>
      <c r="G58" s="663"/>
      <c r="H58" s="665" t="str">
        <f t="shared" si="0"/>
        <v> </v>
      </c>
    </row>
    <row r="59" spans="1:8" ht="12">
      <c r="A59" s="655">
        <v>37</v>
      </c>
      <c r="B59" s="649" t="s">
        <v>164</v>
      </c>
      <c r="E59" s="666"/>
      <c r="F59" s="666"/>
      <c r="G59" s="666"/>
      <c r="H59" s="665" t="str">
        <f t="shared" si="0"/>
        <v> </v>
      </c>
    </row>
    <row r="60" spans="1:8" ht="12">
      <c r="A60" s="655">
        <v>38</v>
      </c>
      <c r="B60" s="649" t="s">
        <v>158</v>
      </c>
      <c r="E60" s="663">
        <f>SUM(E57:E59)</f>
        <v>0</v>
      </c>
      <c r="F60" s="663">
        <f>SUM(F57:F59)</f>
        <v>0</v>
      </c>
      <c r="G60" s="663">
        <f>SUM(G57:G59)</f>
        <v>0</v>
      </c>
      <c r="H60" s="665" t="str">
        <f t="shared" si="0"/>
        <v> </v>
      </c>
    </row>
    <row r="61" spans="1:8" ht="12">
      <c r="A61" s="655">
        <v>39</v>
      </c>
      <c r="B61" s="669" t="s">
        <v>159</v>
      </c>
      <c r="E61" s="663"/>
      <c r="F61" s="663"/>
      <c r="G61" s="663"/>
      <c r="H61" s="665" t="str">
        <f t="shared" si="0"/>
        <v> </v>
      </c>
    </row>
    <row r="62" spans="1:8" ht="12">
      <c r="A62" s="655">
        <v>40</v>
      </c>
      <c r="B62" s="649" t="s">
        <v>106</v>
      </c>
      <c r="E62" s="663"/>
      <c r="F62" s="663"/>
      <c r="G62" s="663"/>
      <c r="H62" s="665" t="str">
        <f t="shared" si="0"/>
        <v> </v>
      </c>
    </row>
    <row r="63" spans="1:8" ht="12">
      <c r="A63" s="655">
        <v>41</v>
      </c>
      <c r="B63" s="669" t="s">
        <v>107</v>
      </c>
      <c r="E63" s="666"/>
      <c r="F63" s="666"/>
      <c r="G63" s="666"/>
      <c r="H63" s="665" t="str">
        <f t="shared" si="0"/>
        <v> </v>
      </c>
    </row>
    <row r="64" spans="1:8" ht="9" customHeight="1">
      <c r="A64" s="655"/>
      <c r="B64" s="649" t="s">
        <v>160</v>
      </c>
      <c r="H64" s="665"/>
    </row>
    <row r="65" spans="1:8" ht="12.75" thickBot="1">
      <c r="A65" s="655">
        <v>42</v>
      </c>
      <c r="B65" s="673" t="s">
        <v>108</v>
      </c>
      <c r="E65" s="674">
        <f>E55-E60+E61+E62+E63</f>
        <v>0</v>
      </c>
      <c r="F65" s="674">
        <f>F55-F60+F61+F62+F63</f>
        <v>0</v>
      </c>
      <c r="G65" s="674">
        <f>G55-G60+G61+G62+G63</f>
        <v>0</v>
      </c>
      <c r="H65" s="665" t="str">
        <f>IF(E65=F65+G65," ","ERROR")</f>
        <v> </v>
      </c>
    </row>
    <row r="66" spans="1:7" ht="10.5" customHeight="1" thickTop="1">
      <c r="A66" s="620" t="str">
        <f>Inputs!$D$6</f>
        <v>AVISTA UTILITIES</v>
      </c>
      <c r="B66" s="620"/>
      <c r="C66" s="620"/>
      <c r="D66" s="621"/>
      <c r="E66" s="639"/>
      <c r="F66" s="640"/>
      <c r="G66" s="621"/>
    </row>
    <row r="67" spans="1:7" ht="10.5" customHeight="1">
      <c r="A67" s="620" t="s">
        <v>168</v>
      </c>
      <c r="B67" s="620"/>
      <c r="C67" s="620"/>
      <c r="D67" s="621"/>
      <c r="E67" s="639"/>
      <c r="F67" s="640"/>
      <c r="G67" s="621"/>
    </row>
    <row r="68" spans="1:7" ht="10.5" customHeight="1">
      <c r="A68" s="620" t="str">
        <f>A3</f>
        <v>TWELVE MONTHS ENDED DECEMBER 31, 2004</v>
      </c>
      <c r="B68" s="620"/>
      <c r="C68" s="620"/>
      <c r="D68" s="621"/>
      <c r="E68" s="639"/>
      <c r="F68" s="624" t="str">
        <f>F2</f>
        <v>UNBILLED REVENUE</v>
      </c>
      <c r="G68" s="621"/>
    </row>
    <row r="69" spans="1:7" ht="10.5" customHeight="1">
      <c r="A69" s="620" t="s">
        <v>169</v>
      </c>
      <c r="B69" s="620"/>
      <c r="C69" s="620"/>
      <c r="D69" s="621"/>
      <c r="E69" s="639"/>
      <c r="F69" s="624" t="str">
        <f>F3</f>
        <v>ADJUSTMENT</v>
      </c>
      <c r="G69" s="621"/>
    </row>
    <row r="70" spans="1:7" ht="10.5" customHeight="1">
      <c r="A70" s="621"/>
      <c r="B70" s="621"/>
      <c r="C70" s="621"/>
      <c r="D70" s="621"/>
      <c r="E70" s="643"/>
      <c r="F70" s="631" t="str">
        <f>F4</f>
        <v>GAS</v>
      </c>
      <c r="G70" s="644"/>
    </row>
    <row r="71" spans="1:6" ht="10.5" customHeight="1">
      <c r="A71" s="627" t="s">
        <v>11</v>
      </c>
      <c r="B71" s="621"/>
      <c r="C71" s="621"/>
      <c r="D71" s="621"/>
      <c r="E71" s="639"/>
      <c r="F71" s="624"/>
    </row>
    <row r="72" spans="1:6" ht="10.5" customHeight="1">
      <c r="A72" s="645" t="s">
        <v>29</v>
      </c>
      <c r="B72" s="629" t="s">
        <v>114</v>
      </c>
      <c r="C72" s="629"/>
      <c r="D72" s="621"/>
      <c r="E72" s="639"/>
      <c r="F72" s="631" t="str">
        <f>G6</f>
        <v>Idaho</v>
      </c>
    </row>
    <row r="73" spans="1:6" ht="10.5" customHeight="1">
      <c r="A73" s="627"/>
      <c r="B73" s="621" t="s">
        <v>69</v>
      </c>
      <c r="C73" s="621"/>
      <c r="D73" s="621"/>
      <c r="E73" s="621"/>
      <c r="F73" s="640"/>
    </row>
    <row r="74" spans="1:6" ht="10.5" customHeight="1">
      <c r="A74" s="627">
        <v>1</v>
      </c>
      <c r="B74" s="621" t="s">
        <v>131</v>
      </c>
      <c r="C74" s="621"/>
      <c r="D74" s="621"/>
      <c r="E74" s="621"/>
      <c r="F74" s="634">
        <f>G8</f>
        <v>459</v>
      </c>
    </row>
    <row r="75" spans="1:6" ht="10.5" customHeight="1">
      <c r="A75" s="627">
        <v>2</v>
      </c>
      <c r="B75" s="621" t="s">
        <v>132</v>
      </c>
      <c r="C75" s="621"/>
      <c r="D75" s="621"/>
      <c r="E75" s="621"/>
      <c r="F75" s="636">
        <f>G9</f>
        <v>0</v>
      </c>
    </row>
    <row r="76" spans="1:6" ht="10.5" customHeight="1">
      <c r="A76" s="627">
        <v>3</v>
      </c>
      <c r="B76" s="621" t="s">
        <v>72</v>
      </c>
      <c r="C76" s="621"/>
      <c r="D76" s="621"/>
      <c r="E76" s="621"/>
      <c r="F76" s="637">
        <f>G10</f>
        <v>0</v>
      </c>
    </row>
    <row r="77" spans="1:6" ht="10.5" customHeight="1">
      <c r="A77" s="627"/>
      <c r="B77" s="621"/>
      <c r="C77" s="621"/>
      <c r="D77" s="621"/>
      <c r="E77" s="621"/>
      <c r="F77" s="636"/>
    </row>
    <row r="78" spans="1:6" ht="10.5" customHeight="1">
      <c r="A78" s="627">
        <v>4</v>
      </c>
      <c r="B78" s="621" t="s">
        <v>133</v>
      </c>
      <c r="C78" s="621"/>
      <c r="D78" s="621"/>
      <c r="E78" s="621"/>
      <c r="F78" s="636">
        <f>F74+F75+F76</f>
        <v>459</v>
      </c>
    </row>
    <row r="79" spans="1:6" ht="10.5" customHeight="1">
      <c r="A79" s="627"/>
      <c r="B79" s="621"/>
      <c r="C79" s="621"/>
      <c r="D79" s="621"/>
      <c r="E79" s="621"/>
      <c r="F79" s="636"/>
    </row>
    <row r="80" spans="1:6" ht="10.5" customHeight="1">
      <c r="A80" s="627"/>
      <c r="B80" s="621" t="s">
        <v>74</v>
      </c>
      <c r="C80" s="621"/>
      <c r="D80" s="621"/>
      <c r="E80" s="621"/>
      <c r="F80" s="636"/>
    </row>
    <row r="81" spans="1:6" ht="10.5" customHeight="1">
      <c r="A81" s="627">
        <v>5</v>
      </c>
      <c r="B81" s="621" t="s">
        <v>134</v>
      </c>
      <c r="C81" s="621"/>
      <c r="D81" s="621"/>
      <c r="E81" s="621"/>
      <c r="F81" s="636">
        <f>G14</f>
        <v>0</v>
      </c>
    </row>
    <row r="82" spans="1:6" ht="10.5" customHeight="1">
      <c r="A82" s="627"/>
      <c r="B82" s="621" t="s">
        <v>76</v>
      </c>
      <c r="C82" s="621"/>
      <c r="D82" s="621"/>
      <c r="E82" s="621"/>
      <c r="F82" s="636"/>
    </row>
    <row r="83" spans="1:6" ht="10.5" customHeight="1">
      <c r="A83" s="627">
        <v>6</v>
      </c>
      <c r="B83" s="621" t="s">
        <v>135</v>
      </c>
      <c r="C83" s="621"/>
      <c r="D83" s="621"/>
      <c r="E83" s="621"/>
      <c r="F83" s="636">
        <f>G16</f>
        <v>0</v>
      </c>
    </row>
    <row r="84" spans="1:6" ht="10.5" customHeight="1">
      <c r="A84" s="627">
        <v>7</v>
      </c>
      <c r="B84" s="621" t="s">
        <v>136</v>
      </c>
      <c r="C84" s="621"/>
      <c r="D84" s="621"/>
      <c r="E84" s="621"/>
      <c r="F84" s="636">
        <f>G17</f>
        <v>352</v>
      </c>
    </row>
    <row r="85" spans="1:6" ht="10.5" customHeight="1">
      <c r="A85" s="627">
        <v>8</v>
      </c>
      <c r="B85" s="621" t="s">
        <v>137</v>
      </c>
      <c r="C85" s="621"/>
      <c r="D85" s="621"/>
      <c r="E85" s="621"/>
      <c r="F85" s="637">
        <f>G18</f>
        <v>0</v>
      </c>
    </row>
    <row r="86" spans="1:6" ht="10.5" customHeight="1">
      <c r="A86" s="627">
        <v>9</v>
      </c>
      <c r="B86" s="621" t="s">
        <v>138</v>
      </c>
      <c r="C86" s="621"/>
      <c r="D86" s="621"/>
      <c r="E86" s="621"/>
      <c r="F86" s="636">
        <f>F83+F84+F85</f>
        <v>352</v>
      </c>
    </row>
    <row r="87" spans="1:6" ht="10.5" customHeight="1">
      <c r="A87" s="627"/>
      <c r="B87" s="621" t="s">
        <v>81</v>
      </c>
      <c r="C87" s="621"/>
      <c r="D87" s="621"/>
      <c r="E87" s="621"/>
      <c r="F87" s="636"/>
    </row>
    <row r="88" spans="1:6" ht="10.5" customHeight="1">
      <c r="A88" s="627">
        <v>10</v>
      </c>
      <c r="B88" s="621" t="s">
        <v>139</v>
      </c>
      <c r="C88" s="621"/>
      <c r="D88" s="621"/>
      <c r="E88" s="621"/>
      <c r="F88" s="636">
        <f>G21</f>
        <v>0</v>
      </c>
    </row>
    <row r="89" spans="1:6" ht="10.5" customHeight="1">
      <c r="A89" s="627">
        <v>11</v>
      </c>
      <c r="B89" s="621" t="s">
        <v>140</v>
      </c>
      <c r="C89" s="621"/>
      <c r="D89" s="621"/>
      <c r="E89" s="621"/>
      <c r="F89" s="636">
        <f>G22</f>
        <v>0</v>
      </c>
    </row>
    <row r="90" spans="1:6" ht="10.5" customHeight="1">
      <c r="A90" s="627">
        <v>12</v>
      </c>
      <c r="B90" s="621" t="s">
        <v>141</v>
      </c>
      <c r="C90" s="621"/>
      <c r="D90" s="621"/>
      <c r="E90" s="621"/>
      <c r="F90" s="637">
        <f>G23</f>
        <v>0</v>
      </c>
    </row>
    <row r="91" spans="1:6" ht="10.5" customHeight="1">
      <c r="A91" s="627">
        <v>13</v>
      </c>
      <c r="B91" s="621" t="s">
        <v>142</v>
      </c>
      <c r="C91" s="621"/>
      <c r="D91" s="621"/>
      <c r="E91" s="621"/>
      <c r="F91" s="636">
        <f>F88+F89+F90</f>
        <v>0</v>
      </c>
    </row>
    <row r="92" spans="1:6" ht="10.5" customHeight="1">
      <c r="A92" s="627"/>
      <c r="B92" s="621" t="s">
        <v>85</v>
      </c>
      <c r="C92" s="621"/>
      <c r="D92" s="621"/>
      <c r="E92" s="621"/>
      <c r="F92" s="636"/>
    </row>
    <row r="93" spans="1:6" ht="10.5" customHeight="1">
      <c r="A93" s="627">
        <v>14</v>
      </c>
      <c r="B93" s="621" t="s">
        <v>139</v>
      </c>
      <c r="C93" s="621"/>
      <c r="D93" s="621"/>
      <c r="E93" s="621"/>
      <c r="F93" s="636">
        <f>G26</f>
        <v>0</v>
      </c>
    </row>
    <row r="94" spans="1:6" ht="10.5" customHeight="1">
      <c r="A94" s="627">
        <v>15</v>
      </c>
      <c r="B94" s="621" t="s">
        <v>140</v>
      </c>
      <c r="C94" s="621"/>
      <c r="D94" s="621"/>
      <c r="E94" s="621"/>
      <c r="F94" s="636">
        <f>G27</f>
        <v>0</v>
      </c>
    </row>
    <row r="95" spans="1:6" ht="10.5" customHeight="1">
      <c r="A95" s="627">
        <v>16</v>
      </c>
      <c r="B95" s="621" t="s">
        <v>141</v>
      </c>
      <c r="C95" s="621"/>
      <c r="D95" s="621"/>
      <c r="E95" s="621"/>
      <c r="F95" s="637"/>
    </row>
    <row r="96" spans="1:6" ht="10.5" customHeight="1">
      <c r="A96" s="627">
        <v>17</v>
      </c>
      <c r="B96" s="621" t="s">
        <v>143</v>
      </c>
      <c r="C96" s="621"/>
      <c r="D96" s="621"/>
      <c r="E96" s="621"/>
      <c r="F96" s="636">
        <f>F93+F94+F95</f>
        <v>0</v>
      </c>
    </row>
    <row r="97" spans="1:6" ht="10.5" customHeight="1">
      <c r="A97" s="627">
        <v>18</v>
      </c>
      <c r="B97" s="621" t="s">
        <v>87</v>
      </c>
      <c r="C97" s="621"/>
      <c r="D97" s="621"/>
      <c r="E97" s="621"/>
      <c r="F97" s="636">
        <f>G31</f>
        <v>2</v>
      </c>
    </row>
    <row r="98" spans="1:6" ht="10.5" customHeight="1">
      <c r="A98" s="627">
        <v>19</v>
      </c>
      <c r="B98" s="621" t="s">
        <v>88</v>
      </c>
      <c r="C98" s="621"/>
      <c r="D98" s="621"/>
      <c r="E98" s="621"/>
      <c r="F98" s="636">
        <f>G32</f>
        <v>0</v>
      </c>
    </row>
    <row r="99" spans="1:6" ht="10.5" customHeight="1">
      <c r="A99" s="627">
        <v>20</v>
      </c>
      <c r="B99" s="621" t="s">
        <v>144</v>
      </c>
      <c r="C99" s="621"/>
      <c r="D99" s="621"/>
      <c r="E99" s="621"/>
      <c r="F99" s="636">
        <f>G33</f>
        <v>0</v>
      </c>
    </row>
    <row r="100" spans="1:6" ht="10.5" customHeight="1">
      <c r="A100" s="627"/>
      <c r="B100" s="621" t="s">
        <v>145</v>
      </c>
      <c r="C100" s="621"/>
      <c r="D100" s="621"/>
      <c r="E100" s="621"/>
      <c r="F100" s="636"/>
    </row>
    <row r="101" spans="1:6" ht="10.5" customHeight="1">
      <c r="A101" s="627">
        <v>21</v>
      </c>
      <c r="B101" s="621" t="s">
        <v>139</v>
      </c>
      <c r="C101" s="621"/>
      <c r="D101" s="621"/>
      <c r="E101" s="621"/>
      <c r="F101" s="636">
        <f>G35</f>
        <v>1</v>
      </c>
    </row>
    <row r="102" spans="1:6" ht="10.5" customHeight="1">
      <c r="A102" s="627">
        <v>22</v>
      </c>
      <c r="B102" s="621" t="s">
        <v>140</v>
      </c>
      <c r="C102" s="621"/>
      <c r="D102" s="621"/>
      <c r="E102" s="621"/>
      <c r="F102" s="636">
        <f>G36</f>
        <v>0</v>
      </c>
    </row>
    <row r="103" spans="1:6" ht="10.5" customHeight="1">
      <c r="A103" s="627">
        <v>23</v>
      </c>
      <c r="B103" s="621" t="s">
        <v>141</v>
      </c>
      <c r="C103" s="621"/>
      <c r="D103" s="621"/>
      <c r="E103" s="621"/>
      <c r="F103" s="637">
        <f>G37</f>
        <v>0</v>
      </c>
    </row>
    <row r="104" spans="1:6" ht="10.5" customHeight="1">
      <c r="A104" s="627">
        <v>24</v>
      </c>
      <c r="B104" s="621" t="s">
        <v>146</v>
      </c>
      <c r="C104" s="621"/>
      <c r="D104" s="621"/>
      <c r="E104" s="621"/>
      <c r="F104" s="637">
        <f>F101+F102+F103</f>
        <v>1</v>
      </c>
    </row>
    <row r="105" spans="1:6" ht="10.5" customHeight="1">
      <c r="A105" s="627"/>
      <c r="B105" s="621"/>
      <c r="C105" s="621"/>
      <c r="D105" s="621"/>
      <c r="E105" s="621"/>
      <c r="F105" s="636"/>
    </row>
    <row r="106" spans="1:6" ht="10.5" customHeight="1">
      <c r="A106" s="627">
        <v>25</v>
      </c>
      <c r="B106" s="621" t="s">
        <v>92</v>
      </c>
      <c r="C106" s="621"/>
      <c r="D106" s="621"/>
      <c r="E106" s="621"/>
      <c r="F106" s="637">
        <f>F104+F99+F98+F97+F96+F91+F86+F81</f>
        <v>355</v>
      </c>
    </row>
    <row r="107" spans="1:6" ht="10.5" customHeight="1">
      <c r="A107" s="627"/>
      <c r="B107" s="621"/>
      <c r="C107" s="621"/>
      <c r="D107" s="621"/>
      <c r="E107" s="621"/>
      <c r="F107" s="636"/>
    </row>
    <row r="108" spans="1:6" ht="10.5" customHeight="1">
      <c r="A108" s="627">
        <v>26</v>
      </c>
      <c r="B108" s="621" t="s">
        <v>170</v>
      </c>
      <c r="C108" s="621"/>
      <c r="D108" s="621"/>
      <c r="E108" s="621"/>
      <c r="F108" s="637">
        <f>F78-F106</f>
        <v>104</v>
      </c>
    </row>
    <row r="109" spans="1:6" ht="10.5" customHeight="1">
      <c r="A109" s="627"/>
      <c r="B109" s="621"/>
      <c r="C109" s="621"/>
      <c r="D109" s="621"/>
      <c r="E109" s="621"/>
      <c r="F109" s="640"/>
    </row>
    <row r="110" spans="1:6" ht="10.5" customHeight="1">
      <c r="A110" s="627">
        <v>27</v>
      </c>
      <c r="B110" s="621" t="s">
        <v>171</v>
      </c>
      <c r="C110" s="621"/>
      <c r="D110" s="621"/>
      <c r="E110" s="639"/>
      <c r="F110" s="640"/>
    </row>
    <row r="111" spans="1:6" ht="10.5" customHeight="1" thickBot="1">
      <c r="A111" s="627"/>
      <c r="B111" s="646" t="s">
        <v>172</v>
      </c>
      <c r="C111" s="647">
        <f>Inputs!$D$4</f>
        <v>0.01065</v>
      </c>
      <c r="D111" s="621"/>
      <c r="E111" s="639"/>
      <c r="F111" s="675">
        <f>ROUND(F108*C111,0)</f>
        <v>1</v>
      </c>
    </row>
    <row r="112" spans="1:6" ht="10.5" customHeight="1" thickTop="1">
      <c r="A112" s="627"/>
      <c r="B112" s="621"/>
      <c r="C112" s="621"/>
      <c r="D112" s="621"/>
      <c r="E112" s="639"/>
      <c r="F112" s="640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2"/>
  <sheetViews>
    <sheetView zoomScale="75" zoomScaleNormal="75" workbookViewId="0" topLeftCell="A33">
      <selection activeCell="H28" sqref="H28"/>
    </sheetView>
  </sheetViews>
  <sheetFormatPr defaultColWidth="9.140625" defaultRowHeight="10.5" customHeight="1"/>
  <cols>
    <col min="1" max="1" width="5.57421875" style="649" customWidth="1"/>
    <col min="2" max="2" width="26.140625" style="649" customWidth="1"/>
    <col min="3" max="3" width="12.421875" style="649" customWidth="1"/>
    <col min="4" max="4" width="6.7109375" style="649" customWidth="1"/>
    <col min="5" max="5" width="12.421875" style="671" customWidth="1"/>
    <col min="6" max="6" width="12.421875" style="672" customWidth="1"/>
    <col min="7" max="7" width="12.421875" style="671" customWidth="1"/>
    <col min="8" max="16384" width="12.421875" style="649" customWidth="1"/>
  </cols>
  <sheetData>
    <row r="1" spans="1:7" ht="12">
      <c r="A1" s="648" t="str">
        <f>Inputs!$D$6</f>
        <v>AVISTA UTILITIES</v>
      </c>
      <c r="B1" s="648"/>
      <c r="C1" s="648"/>
      <c r="E1" s="650"/>
      <c r="F1" s="651"/>
      <c r="G1" s="650"/>
    </row>
    <row r="2" spans="1:7" ht="12">
      <c r="A2" s="648" t="s">
        <v>122</v>
      </c>
      <c r="B2" s="648"/>
      <c r="C2" s="648"/>
      <c r="E2" s="652"/>
      <c r="F2" s="652" t="s">
        <v>292</v>
      </c>
      <c r="G2" s="652"/>
    </row>
    <row r="3" spans="1:7" ht="12">
      <c r="A3" s="648" t="str">
        <f>Inputs!$D$2</f>
        <v>TWELVE MONTHS ENDED DECEMBER 31, 2004</v>
      </c>
      <c r="B3" s="648"/>
      <c r="C3" s="648"/>
      <c r="E3" s="652"/>
      <c r="F3" s="652" t="s">
        <v>173</v>
      </c>
      <c r="G3" s="652"/>
    </row>
    <row r="4" spans="1:7" ht="12">
      <c r="A4" s="648" t="s">
        <v>125</v>
      </c>
      <c r="B4" s="648"/>
      <c r="C4" s="648"/>
      <c r="E4" s="653"/>
      <c r="F4" s="653" t="s">
        <v>126</v>
      </c>
      <c r="G4" s="654"/>
    </row>
    <row r="5" spans="1:7" ht="12">
      <c r="A5" s="655" t="s">
        <v>11</v>
      </c>
      <c r="E5" s="650"/>
      <c r="F5" s="656"/>
      <c r="G5" s="650"/>
    </row>
    <row r="6" spans="1:8" ht="12">
      <c r="A6" s="657" t="s">
        <v>29</v>
      </c>
      <c r="B6" s="658" t="s">
        <v>114</v>
      </c>
      <c r="C6" s="658"/>
      <c r="E6" s="659" t="s">
        <v>127</v>
      </c>
      <c r="F6" s="660" t="s">
        <v>128</v>
      </c>
      <c r="G6" s="659" t="s">
        <v>129</v>
      </c>
      <c r="H6" s="661" t="s">
        <v>130</v>
      </c>
    </row>
    <row r="7" spans="1:7" ht="12">
      <c r="A7" s="655"/>
      <c r="B7" s="649" t="s">
        <v>69</v>
      </c>
      <c r="E7" s="662"/>
      <c r="F7" s="656"/>
      <c r="G7" s="662"/>
    </row>
    <row r="8" spans="1:8" ht="12">
      <c r="A8" s="655">
        <v>1</v>
      </c>
      <c r="B8" s="649" t="s">
        <v>131</v>
      </c>
      <c r="E8" s="663">
        <f>SUM(F8:G8)</f>
        <v>0</v>
      </c>
      <c r="F8" s="664"/>
      <c r="G8" s="664"/>
      <c r="H8" s="665" t="str">
        <f>IF(E8=F8+G8," ","ERROR")</f>
        <v> </v>
      </c>
    </row>
    <row r="9" spans="1:8" ht="12">
      <c r="A9" s="655">
        <v>2</v>
      </c>
      <c r="B9" s="649" t="s">
        <v>132</v>
      </c>
      <c r="E9" s="663"/>
      <c r="F9" s="663"/>
      <c r="G9" s="663"/>
      <c r="H9" s="665" t="str">
        <f>IF(E9=F9+G9," ","ERROR")</f>
        <v> </v>
      </c>
    </row>
    <row r="10" spans="1:8" ht="12">
      <c r="A10" s="655">
        <v>3</v>
      </c>
      <c r="B10" s="649" t="s">
        <v>72</v>
      </c>
      <c r="E10" s="666"/>
      <c r="F10" s="666"/>
      <c r="G10" s="666"/>
      <c r="H10" s="665" t="str">
        <f>IF(E10=F10+G10," ","ERROR")</f>
        <v> </v>
      </c>
    </row>
    <row r="11" spans="1:8" ht="12">
      <c r="A11" s="655">
        <v>4</v>
      </c>
      <c r="B11" s="649" t="s">
        <v>133</v>
      </c>
      <c r="E11" s="663">
        <f>SUM(E8:E10)</f>
        <v>0</v>
      </c>
      <c r="F11" s="663">
        <f>SUM(F8:F10)</f>
        <v>0</v>
      </c>
      <c r="G11" s="663">
        <f>SUM(G8:G10)</f>
        <v>0</v>
      </c>
      <c r="H11" s="665" t="str">
        <f>IF(E11=F11+G11," ","ERROR")</f>
        <v> </v>
      </c>
    </row>
    <row r="12" spans="1:8" ht="12">
      <c r="A12" s="655"/>
      <c r="E12" s="663"/>
      <c r="F12" s="663"/>
      <c r="G12" s="663"/>
      <c r="H12" s="665"/>
    </row>
    <row r="13" spans="1:8" ht="12">
      <c r="A13" s="655"/>
      <c r="B13" s="649" t="s">
        <v>74</v>
      </c>
      <c r="E13" s="663"/>
      <c r="F13" s="663"/>
      <c r="G13" s="663"/>
      <c r="H13" s="665"/>
    </row>
    <row r="14" spans="1:8" ht="12">
      <c r="A14" s="655">
        <v>5</v>
      </c>
      <c r="B14" s="649" t="s">
        <v>134</v>
      </c>
      <c r="E14" s="663"/>
      <c r="F14" s="663"/>
      <c r="G14" s="663"/>
      <c r="H14" s="665" t="str">
        <f>IF(E14=F14+G14," ","ERROR")</f>
        <v> </v>
      </c>
    </row>
    <row r="15" spans="1:8" ht="12">
      <c r="A15" s="655"/>
      <c r="B15" s="649" t="s">
        <v>76</v>
      </c>
      <c r="E15" s="663"/>
      <c r="F15" s="663"/>
      <c r="G15" s="663"/>
      <c r="H15" s="665"/>
    </row>
    <row r="16" spans="1:8" ht="12">
      <c r="A16" s="655">
        <v>6</v>
      </c>
      <c r="B16" s="649" t="s">
        <v>135</v>
      </c>
      <c r="E16" s="663"/>
      <c r="F16" s="663"/>
      <c r="G16" s="663"/>
      <c r="H16" s="665" t="str">
        <f>IF(E16=F16+G16," ","ERROR")</f>
        <v> </v>
      </c>
    </row>
    <row r="17" spans="1:8" ht="12">
      <c r="A17" s="655">
        <v>7</v>
      </c>
      <c r="B17" s="649" t="s">
        <v>136</v>
      </c>
      <c r="E17" s="663"/>
      <c r="F17" s="663"/>
      <c r="G17" s="663"/>
      <c r="H17" s="665" t="str">
        <f>IF(E17=F17+G17," ","ERROR")</f>
        <v> </v>
      </c>
    </row>
    <row r="18" spans="1:8" ht="12">
      <c r="A18" s="655">
        <v>8</v>
      </c>
      <c r="B18" s="649" t="s">
        <v>137</v>
      </c>
      <c r="E18" s="666"/>
      <c r="F18" s="666"/>
      <c r="G18" s="666"/>
      <c r="H18" s="665" t="str">
        <f>IF(E18=F18+G18," ","ERROR")</f>
        <v> </v>
      </c>
    </row>
    <row r="19" spans="1:8" ht="12">
      <c r="A19" s="655">
        <v>9</v>
      </c>
      <c r="B19" s="649" t="s">
        <v>138</v>
      </c>
      <c r="E19" s="663">
        <f>SUM(E16:E18)</f>
        <v>0</v>
      </c>
      <c r="F19" s="663">
        <f>SUM(F16:F18)</f>
        <v>0</v>
      </c>
      <c r="G19" s="663">
        <f>SUM(G16:G18)</f>
        <v>0</v>
      </c>
      <c r="H19" s="665" t="str">
        <f>IF(E19=F19+G19," ","ERROR")</f>
        <v> </v>
      </c>
    </row>
    <row r="20" spans="1:8" ht="12">
      <c r="A20" s="655"/>
      <c r="B20" s="649" t="s">
        <v>81</v>
      </c>
      <c r="E20" s="663"/>
      <c r="F20" s="663"/>
      <c r="G20" s="663"/>
      <c r="H20" s="665"/>
    </row>
    <row r="21" spans="1:8" ht="12">
      <c r="A21" s="655">
        <v>10</v>
      </c>
      <c r="B21" s="649" t="s">
        <v>139</v>
      </c>
      <c r="E21" s="663"/>
      <c r="F21" s="663"/>
      <c r="G21" s="663"/>
      <c r="H21" s="665" t="str">
        <f>IF(E21=F21+G21," ","ERROR")</f>
        <v> </v>
      </c>
    </row>
    <row r="22" spans="1:8" ht="12">
      <c r="A22" s="655">
        <v>11</v>
      </c>
      <c r="B22" s="649" t="s">
        <v>140</v>
      </c>
      <c r="E22" s="663"/>
      <c r="F22" s="663"/>
      <c r="G22" s="663"/>
      <c r="H22" s="665" t="str">
        <f>IF(E22=F22+G22," ","ERROR")</f>
        <v> </v>
      </c>
    </row>
    <row r="23" spans="1:8" ht="12">
      <c r="A23" s="655">
        <v>12</v>
      </c>
      <c r="B23" s="649" t="s">
        <v>141</v>
      </c>
      <c r="E23" s="666"/>
      <c r="F23" s="666"/>
      <c r="G23" s="666"/>
      <c r="H23" s="665" t="str">
        <f>IF(E23=F23+G23," ","ERROR")</f>
        <v> </v>
      </c>
    </row>
    <row r="24" spans="1:8" ht="12">
      <c r="A24" s="655">
        <v>13</v>
      </c>
      <c r="B24" s="649" t="s">
        <v>142</v>
      </c>
      <c r="E24" s="663">
        <f>SUM(E21:E23)</f>
        <v>0</v>
      </c>
      <c r="F24" s="663">
        <f>SUM(F21:F23)</f>
        <v>0</v>
      </c>
      <c r="G24" s="663">
        <f>SUM(G21:G23)</f>
        <v>0</v>
      </c>
      <c r="H24" s="665" t="str">
        <f>IF(E24=F24+G24," ","ERROR")</f>
        <v> </v>
      </c>
    </row>
    <row r="25" spans="1:8" ht="12">
      <c r="A25" s="655"/>
      <c r="B25" s="649" t="s">
        <v>85</v>
      </c>
      <c r="E25" s="663"/>
      <c r="F25" s="663"/>
      <c r="G25" s="663"/>
      <c r="H25" s="665"/>
    </row>
    <row r="26" spans="1:8" ht="12">
      <c r="A26" s="655">
        <v>14</v>
      </c>
      <c r="B26" s="649" t="s">
        <v>139</v>
      </c>
      <c r="E26" s="663"/>
      <c r="F26" s="663"/>
      <c r="G26" s="663"/>
      <c r="H26" s="665" t="str">
        <f>IF(E26=F26+G26," ","ERROR")</f>
        <v> </v>
      </c>
    </row>
    <row r="27" spans="1:8" ht="12">
      <c r="A27" s="655">
        <v>15</v>
      </c>
      <c r="B27" s="649" t="s">
        <v>140</v>
      </c>
      <c r="E27" s="663"/>
      <c r="F27" s="663"/>
      <c r="G27" s="663"/>
      <c r="H27" s="665" t="str">
        <f>IF(E27=F27+G27," ","ERROR")</f>
        <v> </v>
      </c>
    </row>
    <row r="28" spans="1:8" ht="12">
      <c r="A28" s="655">
        <v>16</v>
      </c>
      <c r="B28" s="649" t="s">
        <v>141</v>
      </c>
      <c r="E28" s="666">
        <f>F28+G28</f>
        <v>0</v>
      </c>
      <c r="F28" s="666"/>
      <c r="G28" s="667">
        <v>0</v>
      </c>
      <c r="H28" s="665" t="str">
        <f>IF(E28=F28+G28," ","ERROR")</f>
        <v> </v>
      </c>
    </row>
    <row r="29" spans="1:8" ht="12">
      <c r="A29" s="655">
        <v>17</v>
      </c>
      <c r="B29" s="649" t="s">
        <v>143</v>
      </c>
      <c r="E29" s="663">
        <f>SUM(E26:E28)</f>
        <v>0</v>
      </c>
      <c r="F29" s="663">
        <f>SUM(F26:F28)</f>
        <v>0</v>
      </c>
      <c r="G29" s="663">
        <f>SUM(G26:G28)</f>
        <v>0</v>
      </c>
      <c r="H29" s="665" t="str">
        <f>IF(E29=F29+G29," ","ERROR")</f>
        <v> </v>
      </c>
    </row>
    <row r="30" spans="1:8" ht="12">
      <c r="A30" s="655"/>
      <c r="E30" s="663"/>
      <c r="F30" s="663"/>
      <c r="G30" s="663"/>
      <c r="H30" s="665"/>
    </row>
    <row r="31" spans="1:8" ht="12">
      <c r="A31" s="655">
        <v>18</v>
      </c>
      <c r="B31" s="649" t="s">
        <v>87</v>
      </c>
      <c r="E31" s="668"/>
      <c r="F31" s="663"/>
      <c r="G31" s="663"/>
      <c r="H31" s="665" t="str">
        <f>IF(E31=F31+G31," ","ERROR")</f>
        <v> </v>
      </c>
    </row>
    <row r="32" spans="1:8" ht="12">
      <c r="A32" s="655">
        <v>19</v>
      </c>
      <c r="B32" s="649" t="s">
        <v>88</v>
      </c>
      <c r="E32" s="663"/>
      <c r="F32" s="663"/>
      <c r="G32" s="663"/>
      <c r="H32" s="665" t="str">
        <f>IF(E32=F32+G32," ","ERROR")</f>
        <v> </v>
      </c>
    </row>
    <row r="33" spans="1:8" ht="12">
      <c r="A33" s="655">
        <v>20</v>
      </c>
      <c r="B33" s="649" t="s">
        <v>144</v>
      </c>
      <c r="E33" s="663"/>
      <c r="F33" s="663"/>
      <c r="G33" s="663"/>
      <c r="H33" s="665" t="str">
        <f>IF(E33=F33+G33," ","ERROR")</f>
        <v> </v>
      </c>
    </row>
    <row r="34" spans="1:8" ht="12">
      <c r="A34" s="655"/>
      <c r="B34" s="649" t="s">
        <v>145</v>
      </c>
      <c r="E34" s="663"/>
      <c r="F34" s="663"/>
      <c r="G34" s="663"/>
      <c r="H34" s="665"/>
    </row>
    <row r="35" spans="1:8" ht="12">
      <c r="A35" s="655">
        <v>21</v>
      </c>
      <c r="B35" s="649" t="s">
        <v>139</v>
      </c>
      <c r="E35" s="663"/>
      <c r="F35" s="663"/>
      <c r="G35" s="663"/>
      <c r="H35" s="665" t="str">
        <f>IF(E35=F35+G35," ","ERROR")</f>
        <v> </v>
      </c>
    </row>
    <row r="36" spans="1:8" ht="12">
      <c r="A36" s="655">
        <v>22</v>
      </c>
      <c r="B36" s="649" t="s">
        <v>140</v>
      </c>
      <c r="E36" s="663"/>
      <c r="F36" s="663"/>
      <c r="G36" s="663"/>
      <c r="H36" s="665" t="str">
        <f>IF(E36=F36+G36," ","ERROR")</f>
        <v> </v>
      </c>
    </row>
    <row r="37" spans="1:8" ht="12">
      <c r="A37" s="655">
        <v>23</v>
      </c>
      <c r="B37" s="649" t="s">
        <v>141</v>
      </c>
      <c r="E37" s="666"/>
      <c r="F37" s="666"/>
      <c r="G37" s="666"/>
      <c r="H37" s="665" t="str">
        <f>IF(E37=F37+G37," ","ERROR")</f>
        <v> </v>
      </c>
    </row>
    <row r="38" spans="1:8" ht="12">
      <c r="A38" s="655">
        <v>24</v>
      </c>
      <c r="B38" s="649" t="s">
        <v>146</v>
      </c>
      <c r="E38" s="666">
        <f>SUM(E35:E37)</f>
        <v>0</v>
      </c>
      <c r="F38" s="666">
        <f>SUM(F35:F37)</f>
        <v>0</v>
      </c>
      <c r="G38" s="666">
        <f>SUM(G35:G37)</f>
        <v>0</v>
      </c>
      <c r="H38" s="665" t="str">
        <f>IF(E38=F38+G38," ","ERROR")</f>
        <v> </v>
      </c>
    </row>
    <row r="39" spans="1:8" ht="12">
      <c r="A39" s="655">
        <v>25</v>
      </c>
      <c r="B39" s="649" t="s">
        <v>92</v>
      </c>
      <c r="E39" s="666">
        <f>E19+E24+E29+E31+E32+E33+E38+E14</f>
        <v>0</v>
      </c>
      <c r="F39" s="666">
        <f>F19+F24+F29+F31+F32+F33+F38+F14</f>
        <v>0</v>
      </c>
      <c r="G39" s="666">
        <f>G19+G24+G29+G31+G32+G33+G38+G14</f>
        <v>0</v>
      </c>
      <c r="H39" s="665" t="str">
        <f>IF(E39=F39+G39," ","ERROR")</f>
        <v> </v>
      </c>
    </row>
    <row r="40" spans="1:8" ht="12">
      <c r="A40" s="655"/>
      <c r="E40" s="663"/>
      <c r="F40" s="663"/>
      <c r="G40" s="663"/>
      <c r="H40" s="665"/>
    </row>
    <row r="41" spans="1:8" ht="12">
      <c r="A41" s="655">
        <v>26</v>
      </c>
      <c r="B41" s="649" t="s">
        <v>147</v>
      </c>
      <c r="E41" s="663">
        <f>E11-E39</f>
        <v>0</v>
      </c>
      <c r="F41" s="663">
        <f>F11-F39</f>
        <v>0</v>
      </c>
      <c r="G41" s="663">
        <f>G11-G39</f>
        <v>0</v>
      </c>
      <c r="H41" s="665" t="str">
        <f>IF(E41=F41+G41," ","ERROR")</f>
        <v> </v>
      </c>
    </row>
    <row r="42" spans="1:8" ht="12">
      <c r="A42" s="655"/>
      <c r="E42" s="663"/>
      <c r="F42" s="663"/>
      <c r="G42" s="663"/>
      <c r="H42" s="665"/>
    </row>
    <row r="43" spans="1:8" ht="12">
      <c r="A43" s="655"/>
      <c r="B43" s="649" t="s">
        <v>148</v>
      </c>
      <c r="E43" s="663"/>
      <c r="F43" s="663"/>
      <c r="G43" s="663"/>
      <c r="H43" s="665"/>
    </row>
    <row r="44" spans="1:8" ht="12">
      <c r="A44" s="655">
        <v>27</v>
      </c>
      <c r="B44" s="669" t="s">
        <v>149</v>
      </c>
      <c r="D44" s="670">
        <v>0.35</v>
      </c>
      <c r="E44" s="663">
        <f>F44+G44</f>
        <v>0</v>
      </c>
      <c r="F44" s="663">
        <f>ROUND(F41*D44,0)</f>
        <v>0</v>
      </c>
      <c r="G44" s="663">
        <f>ROUND(G41*D44,0)</f>
        <v>0</v>
      </c>
      <c r="H44" s="665" t="str">
        <f>IF(E44=F44+G44," ","ERROR")</f>
        <v> </v>
      </c>
    </row>
    <row r="45" spans="1:8" ht="12">
      <c r="A45" s="655">
        <v>28</v>
      </c>
      <c r="B45" s="649" t="s">
        <v>151</v>
      </c>
      <c r="E45" s="663"/>
      <c r="F45" s="663"/>
      <c r="G45" s="663"/>
      <c r="H45" s="665" t="str">
        <f>IF(E45=F45+G45," ","ERROR")</f>
        <v> </v>
      </c>
    </row>
    <row r="46" spans="1:8" ht="12">
      <c r="A46" s="655">
        <v>29</v>
      </c>
      <c r="B46" s="649" t="s">
        <v>150</v>
      </c>
      <c r="E46" s="666"/>
      <c r="F46" s="666"/>
      <c r="G46" s="666"/>
      <c r="H46" s="665" t="str">
        <f>IF(E46=F46+G46," ","ERROR")</f>
        <v> </v>
      </c>
    </row>
    <row r="47" spans="1:8" ht="12">
      <c r="A47" s="655"/>
      <c r="H47" s="665"/>
    </row>
    <row r="48" spans="1:8" ht="12.75" thickBot="1">
      <c r="A48" s="655">
        <v>30</v>
      </c>
      <c r="B48" s="673" t="s">
        <v>98</v>
      </c>
      <c r="E48" s="674">
        <f>E41-(+E44+E45+E46)</f>
        <v>0</v>
      </c>
      <c r="F48" s="674">
        <f>F41-F44+F45+F46</f>
        <v>0</v>
      </c>
      <c r="G48" s="674">
        <f>G41-SUM(G44:G46)</f>
        <v>0</v>
      </c>
      <c r="H48" s="665" t="str">
        <f>IF(E48=F48+G48," ","ERROR")</f>
        <v> </v>
      </c>
    </row>
    <row r="49" spans="1:8" ht="12.75" thickTop="1">
      <c r="A49" s="655"/>
      <c r="H49" s="665"/>
    </row>
    <row r="50" spans="1:8" ht="12">
      <c r="A50" s="655"/>
      <c r="B50" s="669" t="s">
        <v>152</v>
      </c>
      <c r="H50" s="665"/>
    </row>
    <row r="51" spans="1:8" ht="12">
      <c r="A51" s="655"/>
      <c r="B51" s="669" t="s">
        <v>153</v>
      </c>
      <c r="H51" s="665"/>
    </row>
    <row r="52" spans="1:8" ht="12">
      <c r="A52" s="655">
        <v>31</v>
      </c>
      <c r="B52" s="649" t="s">
        <v>154</v>
      </c>
      <c r="E52" s="664"/>
      <c r="F52" s="664"/>
      <c r="G52" s="664"/>
      <c r="H52" s="665" t="str">
        <f aca="true" t="shared" si="0" ref="H52:H63">IF(E52=F52+G52," ","ERROR")</f>
        <v> </v>
      </c>
    </row>
    <row r="53" spans="1:8" ht="12">
      <c r="A53" s="655">
        <v>32</v>
      </c>
      <c r="B53" s="649" t="s">
        <v>155</v>
      </c>
      <c r="E53" s="663"/>
      <c r="F53" s="663"/>
      <c r="G53" s="663"/>
      <c r="H53" s="665" t="str">
        <f t="shared" si="0"/>
        <v> </v>
      </c>
    </row>
    <row r="54" spans="1:8" ht="12">
      <c r="A54" s="655">
        <v>33</v>
      </c>
      <c r="B54" s="649" t="s">
        <v>164</v>
      </c>
      <c r="E54" s="666"/>
      <c r="F54" s="666"/>
      <c r="G54" s="666"/>
      <c r="H54" s="665" t="str">
        <f t="shared" si="0"/>
        <v> </v>
      </c>
    </row>
    <row r="55" spans="1:8" ht="12">
      <c r="A55" s="655">
        <v>34</v>
      </c>
      <c r="B55" s="649" t="s">
        <v>157</v>
      </c>
      <c r="E55" s="663">
        <f>SUM(E52:E54)</f>
        <v>0</v>
      </c>
      <c r="F55" s="663">
        <f>SUM(F52:F54)</f>
        <v>0</v>
      </c>
      <c r="G55" s="663">
        <f>SUM(G52:G54)</f>
        <v>0</v>
      </c>
      <c r="H55" s="665" t="str">
        <f t="shared" si="0"/>
        <v> </v>
      </c>
    </row>
    <row r="56" spans="1:8" ht="12">
      <c r="A56" s="655"/>
      <c r="B56" s="649" t="s">
        <v>103</v>
      </c>
      <c r="E56" s="663"/>
      <c r="F56" s="663"/>
      <c r="G56" s="663"/>
      <c r="H56" s="665" t="str">
        <f t="shared" si="0"/>
        <v> </v>
      </c>
    </row>
    <row r="57" spans="1:8" ht="12">
      <c r="A57" s="655">
        <v>35</v>
      </c>
      <c r="B57" s="649" t="s">
        <v>154</v>
      </c>
      <c r="E57" s="663"/>
      <c r="F57" s="663"/>
      <c r="G57" s="663"/>
      <c r="H57" s="665" t="str">
        <f t="shared" si="0"/>
        <v> </v>
      </c>
    </row>
    <row r="58" spans="1:8" ht="12">
      <c r="A58" s="655">
        <v>36</v>
      </c>
      <c r="B58" s="649" t="s">
        <v>155</v>
      </c>
      <c r="E58" s="663"/>
      <c r="F58" s="663"/>
      <c r="G58" s="663"/>
      <c r="H58" s="665" t="str">
        <f t="shared" si="0"/>
        <v> </v>
      </c>
    </row>
    <row r="59" spans="1:8" ht="12">
      <c r="A59" s="655">
        <v>37</v>
      </c>
      <c r="B59" s="649" t="s">
        <v>164</v>
      </c>
      <c r="E59" s="666"/>
      <c r="F59" s="666"/>
      <c r="G59" s="666"/>
      <c r="H59" s="665" t="str">
        <f t="shared" si="0"/>
        <v> </v>
      </c>
    </row>
    <row r="60" spans="1:8" ht="12">
      <c r="A60" s="655">
        <v>38</v>
      </c>
      <c r="B60" s="649" t="s">
        <v>158</v>
      </c>
      <c r="E60" s="663">
        <f>SUM(E57:E59)</f>
        <v>0</v>
      </c>
      <c r="F60" s="663">
        <f>SUM(F57:F59)</f>
        <v>0</v>
      </c>
      <c r="G60" s="663">
        <f>SUM(G57:G59)</f>
        <v>0</v>
      </c>
      <c r="H60" s="665" t="str">
        <f t="shared" si="0"/>
        <v> </v>
      </c>
    </row>
    <row r="61" spans="1:8" ht="12">
      <c r="A61" s="655">
        <v>39</v>
      </c>
      <c r="B61" s="669" t="s">
        <v>159</v>
      </c>
      <c r="E61" s="663"/>
      <c r="F61" s="663"/>
      <c r="G61" s="663"/>
      <c r="H61" s="665" t="str">
        <f t="shared" si="0"/>
        <v> </v>
      </c>
    </row>
    <row r="62" spans="1:8" ht="12">
      <c r="A62" s="655">
        <v>40</v>
      </c>
      <c r="B62" s="649" t="s">
        <v>106</v>
      </c>
      <c r="E62" s="663"/>
      <c r="F62" s="663"/>
      <c r="G62" s="663"/>
      <c r="H62" s="665" t="str">
        <f t="shared" si="0"/>
        <v> </v>
      </c>
    </row>
    <row r="63" spans="1:8" ht="12">
      <c r="A63" s="655">
        <v>41</v>
      </c>
      <c r="B63" s="669" t="s">
        <v>107</v>
      </c>
      <c r="E63" s="666"/>
      <c r="F63" s="666"/>
      <c r="G63" s="666"/>
      <c r="H63" s="665" t="str">
        <f t="shared" si="0"/>
        <v> </v>
      </c>
    </row>
    <row r="64" spans="1:8" ht="9" customHeight="1">
      <c r="A64" s="655"/>
      <c r="B64" s="649" t="s">
        <v>160</v>
      </c>
      <c r="H64" s="665"/>
    </row>
    <row r="65" spans="1:8" ht="12.75" thickBot="1">
      <c r="A65" s="655">
        <v>42</v>
      </c>
      <c r="B65" s="673" t="s">
        <v>108</v>
      </c>
      <c r="E65" s="674">
        <f>E55-E60+E61+E62+E63</f>
        <v>0</v>
      </c>
      <c r="F65" s="674">
        <f>F55-F60+F61+F62+F63</f>
        <v>0</v>
      </c>
      <c r="G65" s="674">
        <f>G55-G60+G61+G62+G63</f>
        <v>0</v>
      </c>
      <c r="H65" s="665" t="str">
        <f>IF(E65=F65+G65," ","ERROR")</f>
        <v> </v>
      </c>
    </row>
    <row r="66" spans="1:7" ht="10.5" customHeight="1" thickTop="1">
      <c r="A66" s="620" t="str">
        <f>Inputs!$D$6</f>
        <v>AVISTA UTILITIES</v>
      </c>
      <c r="B66" s="620"/>
      <c r="C66" s="620"/>
      <c r="D66" s="621"/>
      <c r="E66" s="639"/>
      <c r="F66" s="640"/>
      <c r="G66" s="621"/>
    </row>
    <row r="67" spans="1:7" ht="10.5" customHeight="1">
      <c r="A67" s="620" t="s">
        <v>168</v>
      </c>
      <c r="B67" s="620"/>
      <c r="C67" s="620"/>
      <c r="D67" s="621"/>
      <c r="E67" s="639"/>
      <c r="F67" s="640"/>
      <c r="G67" s="621"/>
    </row>
    <row r="68" spans="1:7" ht="10.5" customHeight="1">
      <c r="A68" s="620" t="str">
        <f>A3</f>
        <v>TWELVE MONTHS ENDED DECEMBER 31, 2004</v>
      </c>
      <c r="B68" s="620"/>
      <c r="C68" s="620"/>
      <c r="D68" s="621"/>
      <c r="E68" s="639"/>
      <c r="F68" s="624" t="str">
        <f>F2</f>
        <v>STATE INCOME TAX</v>
      </c>
      <c r="G68" s="621"/>
    </row>
    <row r="69" spans="1:7" ht="10.5" customHeight="1">
      <c r="A69" s="620" t="s">
        <v>169</v>
      </c>
      <c r="B69" s="620"/>
      <c r="C69" s="620"/>
      <c r="D69" s="621"/>
      <c r="E69" s="639"/>
      <c r="F69" s="624" t="str">
        <f>F3</f>
        <v>ADJUSTMENT</v>
      </c>
      <c r="G69" s="621"/>
    </row>
    <row r="70" spans="1:7" ht="10.5" customHeight="1">
      <c r="A70" s="621"/>
      <c r="B70" s="621"/>
      <c r="C70" s="621"/>
      <c r="D70" s="621"/>
      <c r="E70" s="643"/>
      <c r="F70" s="631" t="str">
        <f>F4</f>
        <v>GAS</v>
      </c>
      <c r="G70" s="644"/>
    </row>
    <row r="71" spans="1:6" ht="10.5" customHeight="1">
      <c r="A71" s="627" t="s">
        <v>11</v>
      </c>
      <c r="B71" s="621"/>
      <c r="C71" s="621"/>
      <c r="D71" s="621"/>
      <c r="E71" s="639"/>
      <c r="F71" s="624"/>
    </row>
    <row r="72" spans="1:6" ht="10.5" customHeight="1">
      <c r="A72" s="645" t="s">
        <v>29</v>
      </c>
      <c r="B72" s="629" t="s">
        <v>114</v>
      </c>
      <c r="C72" s="629"/>
      <c r="D72" s="621"/>
      <c r="E72" s="639"/>
      <c r="F72" s="631" t="str">
        <f>G6</f>
        <v>Idaho</v>
      </c>
    </row>
    <row r="73" spans="1:6" ht="10.5" customHeight="1">
      <c r="A73" s="627"/>
      <c r="B73" s="621" t="s">
        <v>69</v>
      </c>
      <c r="C73" s="621"/>
      <c r="D73" s="621"/>
      <c r="E73" s="621"/>
      <c r="F73" s="640"/>
    </row>
    <row r="74" spans="1:6" ht="10.5" customHeight="1">
      <c r="A74" s="627">
        <v>1</v>
      </c>
      <c r="B74" s="621" t="s">
        <v>131</v>
      </c>
      <c r="C74" s="621"/>
      <c r="D74" s="621"/>
      <c r="E74" s="621"/>
      <c r="F74" s="634">
        <f>G8</f>
        <v>0</v>
      </c>
    </row>
    <row r="75" spans="1:6" ht="10.5" customHeight="1">
      <c r="A75" s="627">
        <v>2</v>
      </c>
      <c r="B75" s="621" t="s">
        <v>132</v>
      </c>
      <c r="C75" s="621"/>
      <c r="D75" s="621"/>
      <c r="E75" s="621"/>
      <c r="F75" s="636">
        <f>G9</f>
        <v>0</v>
      </c>
    </row>
    <row r="76" spans="1:6" ht="10.5" customHeight="1">
      <c r="A76" s="627">
        <v>3</v>
      </c>
      <c r="B76" s="621" t="s">
        <v>72</v>
      </c>
      <c r="C76" s="621"/>
      <c r="D76" s="621"/>
      <c r="E76" s="621"/>
      <c r="F76" s="637">
        <f>G10</f>
        <v>0</v>
      </c>
    </row>
    <row r="77" spans="1:6" ht="10.5" customHeight="1">
      <c r="A77" s="627"/>
      <c r="B77" s="621"/>
      <c r="C77" s="621"/>
      <c r="D77" s="621"/>
      <c r="E77" s="621"/>
      <c r="F77" s="636"/>
    </row>
    <row r="78" spans="1:6" ht="10.5" customHeight="1">
      <c r="A78" s="627">
        <v>4</v>
      </c>
      <c r="B78" s="621" t="s">
        <v>133</v>
      </c>
      <c r="C78" s="621"/>
      <c r="D78" s="621"/>
      <c r="E78" s="621"/>
      <c r="F78" s="636">
        <f>F74+F75+F76</f>
        <v>0</v>
      </c>
    </row>
    <row r="79" spans="1:6" ht="10.5" customHeight="1">
      <c r="A79" s="627"/>
      <c r="B79" s="621"/>
      <c r="C79" s="621"/>
      <c r="D79" s="621"/>
      <c r="E79" s="621"/>
      <c r="F79" s="636"/>
    </row>
    <row r="80" spans="1:6" ht="10.5" customHeight="1">
      <c r="A80" s="627"/>
      <c r="B80" s="621" t="s">
        <v>74</v>
      </c>
      <c r="C80" s="621"/>
      <c r="D80" s="621"/>
      <c r="E80" s="621"/>
      <c r="F80" s="636"/>
    </row>
    <row r="81" spans="1:6" ht="10.5" customHeight="1">
      <c r="A81" s="627">
        <v>5</v>
      </c>
      <c r="B81" s="621" t="s">
        <v>134</v>
      </c>
      <c r="C81" s="621"/>
      <c r="D81" s="621"/>
      <c r="E81" s="621"/>
      <c r="F81" s="636">
        <f>G14</f>
        <v>0</v>
      </c>
    </row>
    <row r="82" spans="1:6" ht="10.5" customHeight="1">
      <c r="A82" s="627"/>
      <c r="B82" s="621" t="s">
        <v>76</v>
      </c>
      <c r="C82" s="621"/>
      <c r="D82" s="621"/>
      <c r="E82" s="621"/>
      <c r="F82" s="636"/>
    </row>
    <row r="83" spans="1:6" ht="10.5" customHeight="1">
      <c r="A83" s="627">
        <v>6</v>
      </c>
      <c r="B83" s="621" t="s">
        <v>135</v>
      </c>
      <c r="C83" s="621"/>
      <c r="D83" s="621"/>
      <c r="E83" s="621"/>
      <c r="F83" s="636">
        <f>G16</f>
        <v>0</v>
      </c>
    </row>
    <row r="84" spans="1:6" ht="10.5" customHeight="1">
      <c r="A84" s="627">
        <v>7</v>
      </c>
      <c r="B84" s="621" t="s">
        <v>136</v>
      </c>
      <c r="C84" s="621"/>
      <c r="D84" s="621"/>
      <c r="E84" s="621"/>
      <c r="F84" s="636">
        <f>G17</f>
        <v>0</v>
      </c>
    </row>
    <row r="85" spans="1:6" ht="10.5" customHeight="1">
      <c r="A85" s="627">
        <v>8</v>
      </c>
      <c r="B85" s="621" t="s">
        <v>137</v>
      </c>
      <c r="C85" s="621"/>
      <c r="D85" s="621"/>
      <c r="E85" s="621"/>
      <c r="F85" s="637">
        <f>G18</f>
        <v>0</v>
      </c>
    </row>
    <row r="86" spans="1:6" ht="10.5" customHeight="1">
      <c r="A86" s="627">
        <v>9</v>
      </c>
      <c r="B86" s="621" t="s">
        <v>138</v>
      </c>
      <c r="C86" s="621"/>
      <c r="D86" s="621"/>
      <c r="E86" s="621"/>
      <c r="F86" s="636">
        <f>F83+F84+F85</f>
        <v>0</v>
      </c>
    </row>
    <row r="87" spans="1:6" ht="10.5" customHeight="1">
      <c r="A87" s="627"/>
      <c r="B87" s="621" t="s">
        <v>81</v>
      </c>
      <c r="C87" s="621"/>
      <c r="D87" s="621"/>
      <c r="E87" s="621"/>
      <c r="F87" s="636"/>
    </row>
    <row r="88" spans="1:6" ht="10.5" customHeight="1">
      <c r="A88" s="627">
        <v>10</v>
      </c>
      <c r="B88" s="621" t="s">
        <v>139</v>
      </c>
      <c r="C88" s="621"/>
      <c r="D88" s="621"/>
      <c r="E88" s="621"/>
      <c r="F88" s="636">
        <f>G21</f>
        <v>0</v>
      </c>
    </row>
    <row r="89" spans="1:6" ht="10.5" customHeight="1">
      <c r="A89" s="627">
        <v>11</v>
      </c>
      <c r="B89" s="621" t="s">
        <v>140</v>
      </c>
      <c r="C89" s="621"/>
      <c r="D89" s="621"/>
      <c r="E89" s="621"/>
      <c r="F89" s="636">
        <f>G22</f>
        <v>0</v>
      </c>
    </row>
    <row r="90" spans="1:6" ht="10.5" customHeight="1">
      <c r="A90" s="627">
        <v>12</v>
      </c>
      <c r="B90" s="621" t="s">
        <v>141</v>
      </c>
      <c r="C90" s="621"/>
      <c r="D90" s="621"/>
      <c r="E90" s="621"/>
      <c r="F90" s="637">
        <f>G23</f>
        <v>0</v>
      </c>
    </row>
    <row r="91" spans="1:6" ht="10.5" customHeight="1">
      <c r="A91" s="627">
        <v>13</v>
      </c>
      <c r="B91" s="621" t="s">
        <v>142</v>
      </c>
      <c r="C91" s="621"/>
      <c r="D91" s="621"/>
      <c r="E91" s="621"/>
      <c r="F91" s="636">
        <f>F88+F89+F90</f>
        <v>0</v>
      </c>
    </row>
    <row r="92" spans="1:6" ht="10.5" customHeight="1">
      <c r="A92" s="627"/>
      <c r="B92" s="621" t="s">
        <v>85</v>
      </c>
      <c r="C92" s="621"/>
      <c r="D92" s="621"/>
      <c r="E92" s="621"/>
      <c r="F92" s="636"/>
    </row>
    <row r="93" spans="1:6" ht="10.5" customHeight="1">
      <c r="A93" s="627">
        <v>14</v>
      </c>
      <c r="B93" s="621" t="s">
        <v>139</v>
      </c>
      <c r="C93" s="621"/>
      <c r="D93" s="621"/>
      <c r="E93" s="621"/>
      <c r="F93" s="636">
        <f>G26</f>
        <v>0</v>
      </c>
    </row>
    <row r="94" spans="1:6" ht="10.5" customHeight="1">
      <c r="A94" s="627">
        <v>15</v>
      </c>
      <c r="B94" s="621" t="s">
        <v>140</v>
      </c>
      <c r="C94" s="621"/>
      <c r="D94" s="621"/>
      <c r="E94" s="621"/>
      <c r="F94" s="636">
        <f>G27</f>
        <v>0</v>
      </c>
    </row>
    <row r="95" spans="1:6" ht="10.5" customHeight="1">
      <c r="A95" s="627">
        <v>16</v>
      </c>
      <c r="B95" s="621" t="s">
        <v>141</v>
      </c>
      <c r="C95" s="621"/>
      <c r="D95" s="621"/>
      <c r="E95" s="621"/>
      <c r="F95" s="637"/>
    </row>
    <row r="96" spans="1:6" ht="10.5" customHeight="1">
      <c r="A96" s="627">
        <v>17</v>
      </c>
      <c r="B96" s="621" t="s">
        <v>143</v>
      </c>
      <c r="C96" s="621"/>
      <c r="D96" s="621"/>
      <c r="E96" s="621"/>
      <c r="F96" s="636">
        <f>F93+F94+F95</f>
        <v>0</v>
      </c>
    </row>
    <row r="97" spans="1:6" ht="10.5" customHeight="1">
      <c r="A97" s="627">
        <v>18</v>
      </c>
      <c r="B97" s="621" t="s">
        <v>87</v>
      </c>
      <c r="C97" s="621"/>
      <c r="D97" s="621"/>
      <c r="E97" s="621"/>
      <c r="F97" s="636">
        <f>G31</f>
        <v>0</v>
      </c>
    </row>
    <row r="98" spans="1:6" ht="10.5" customHeight="1">
      <c r="A98" s="627">
        <v>19</v>
      </c>
      <c r="B98" s="621" t="s">
        <v>88</v>
      </c>
      <c r="C98" s="621"/>
      <c r="D98" s="621"/>
      <c r="E98" s="621"/>
      <c r="F98" s="636">
        <f>G32</f>
        <v>0</v>
      </c>
    </row>
    <row r="99" spans="1:6" ht="10.5" customHeight="1">
      <c r="A99" s="627">
        <v>20</v>
      </c>
      <c r="B99" s="621" t="s">
        <v>144</v>
      </c>
      <c r="C99" s="621"/>
      <c r="D99" s="621"/>
      <c r="E99" s="621"/>
      <c r="F99" s="636">
        <f>G33</f>
        <v>0</v>
      </c>
    </row>
    <row r="100" spans="1:6" ht="10.5" customHeight="1">
      <c r="A100" s="627"/>
      <c r="B100" s="621" t="s">
        <v>145</v>
      </c>
      <c r="C100" s="621"/>
      <c r="D100" s="621"/>
      <c r="E100" s="621"/>
      <c r="F100" s="636"/>
    </row>
    <row r="101" spans="1:6" ht="10.5" customHeight="1">
      <c r="A101" s="627">
        <v>21</v>
      </c>
      <c r="B101" s="621" t="s">
        <v>139</v>
      </c>
      <c r="C101" s="621"/>
      <c r="D101" s="621"/>
      <c r="E101" s="621"/>
      <c r="F101" s="636">
        <f>G35</f>
        <v>0</v>
      </c>
    </row>
    <row r="102" spans="1:6" ht="10.5" customHeight="1">
      <c r="A102" s="627">
        <v>22</v>
      </c>
      <c r="B102" s="621" t="s">
        <v>140</v>
      </c>
      <c r="C102" s="621"/>
      <c r="D102" s="621"/>
      <c r="E102" s="621"/>
      <c r="F102" s="636">
        <f>G36</f>
        <v>0</v>
      </c>
    </row>
    <row r="103" spans="1:6" ht="10.5" customHeight="1">
      <c r="A103" s="627">
        <v>23</v>
      </c>
      <c r="B103" s="621" t="s">
        <v>141</v>
      </c>
      <c r="C103" s="621"/>
      <c r="D103" s="621"/>
      <c r="E103" s="621"/>
      <c r="F103" s="637">
        <f>G37</f>
        <v>0</v>
      </c>
    </row>
    <row r="104" spans="1:6" ht="10.5" customHeight="1">
      <c r="A104" s="627">
        <v>24</v>
      </c>
      <c r="B104" s="621" t="s">
        <v>146</v>
      </c>
      <c r="C104" s="621"/>
      <c r="D104" s="621"/>
      <c r="E104" s="621"/>
      <c r="F104" s="637">
        <f>F101+F102+F103</f>
        <v>0</v>
      </c>
    </row>
    <row r="105" spans="1:6" ht="10.5" customHeight="1">
      <c r="A105" s="627"/>
      <c r="B105" s="621"/>
      <c r="C105" s="621"/>
      <c r="D105" s="621"/>
      <c r="E105" s="621"/>
      <c r="F105" s="636"/>
    </row>
    <row r="106" spans="1:6" ht="10.5" customHeight="1">
      <c r="A106" s="627">
        <v>25</v>
      </c>
      <c r="B106" s="621" t="s">
        <v>92</v>
      </c>
      <c r="C106" s="621"/>
      <c r="D106" s="621"/>
      <c r="E106" s="621"/>
      <c r="F106" s="637">
        <f>F104+F99+F98+F97+F96+F91+F86+F81</f>
        <v>0</v>
      </c>
    </row>
    <row r="107" spans="1:6" ht="10.5" customHeight="1">
      <c r="A107" s="627"/>
      <c r="B107" s="621"/>
      <c r="C107" s="621"/>
      <c r="D107" s="621"/>
      <c r="E107" s="621"/>
      <c r="F107" s="636"/>
    </row>
    <row r="108" spans="1:6" ht="10.5" customHeight="1">
      <c r="A108" s="627">
        <v>26</v>
      </c>
      <c r="B108" s="621" t="s">
        <v>170</v>
      </c>
      <c r="C108" s="621"/>
      <c r="D108" s="621"/>
      <c r="E108" s="621"/>
      <c r="F108" s="637">
        <f>F78-F106</f>
        <v>0</v>
      </c>
    </row>
    <row r="109" spans="1:6" ht="10.5" customHeight="1">
      <c r="A109" s="627"/>
      <c r="B109" s="621"/>
      <c r="C109" s="621"/>
      <c r="D109" s="621"/>
      <c r="E109" s="621"/>
      <c r="F109" s="640"/>
    </row>
    <row r="110" spans="1:6" ht="10.5" customHeight="1">
      <c r="A110" s="627">
        <v>27</v>
      </c>
      <c r="B110" s="621" t="s">
        <v>171</v>
      </c>
      <c r="C110" s="621"/>
      <c r="D110" s="621"/>
      <c r="E110" s="639"/>
      <c r="F110" s="640"/>
    </row>
    <row r="111" spans="1:6" ht="10.5" customHeight="1" thickBot="1">
      <c r="A111" s="627"/>
      <c r="B111" s="646" t="s">
        <v>172</v>
      </c>
      <c r="C111" s="647">
        <f>Inputs!$D$4</f>
        <v>0.01065</v>
      </c>
      <c r="D111" s="621"/>
      <c r="E111" s="639"/>
      <c r="F111" s="675">
        <f>ROUND(F108*C111,0)</f>
        <v>0</v>
      </c>
    </row>
    <row r="112" spans="1:6" ht="10.5" customHeight="1" thickTop="1">
      <c r="A112" s="627"/>
      <c r="B112" s="621"/>
      <c r="C112" s="621"/>
      <c r="D112" s="621"/>
      <c r="E112" s="639"/>
      <c r="F112" s="640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2"/>
  <sheetViews>
    <sheetView zoomScale="75" zoomScaleNormal="75" workbookViewId="0" topLeftCell="A1">
      <selection activeCell="F32" sqref="F32"/>
    </sheetView>
  </sheetViews>
  <sheetFormatPr defaultColWidth="9.140625" defaultRowHeight="10.5" customHeight="1"/>
  <cols>
    <col min="1" max="1" width="5.57421875" style="129" customWidth="1"/>
    <col min="2" max="2" width="26.140625" style="129" customWidth="1"/>
    <col min="3" max="3" width="12.421875" style="129" customWidth="1"/>
    <col min="4" max="4" width="6.7109375" style="129" customWidth="1"/>
    <col min="5" max="5" width="12.421875" style="146" customWidth="1"/>
    <col min="6" max="6" width="12.421875" style="147" customWidth="1"/>
    <col min="7" max="7" width="12.421875" style="146" customWidth="1"/>
    <col min="8" max="16384" width="12.421875" style="129" customWidth="1"/>
  </cols>
  <sheetData>
    <row r="1" spans="1:7" ht="12">
      <c r="A1" s="128" t="str">
        <f>Inputs!$D$6</f>
        <v>AVISTA UTILITIES</v>
      </c>
      <c r="B1" s="128"/>
      <c r="C1" s="128"/>
      <c r="E1" s="130"/>
      <c r="F1" s="131"/>
      <c r="G1" s="130"/>
    </row>
    <row r="2" spans="1:7" ht="12">
      <c r="A2" s="128" t="s">
        <v>122</v>
      </c>
      <c r="B2" s="128"/>
      <c r="C2" s="128"/>
      <c r="E2" s="130"/>
      <c r="F2" s="132" t="s">
        <v>177</v>
      </c>
      <c r="G2" s="130"/>
    </row>
    <row r="3" spans="1:7" ht="12">
      <c r="A3" s="128" t="str">
        <f>Inputs!$D$2</f>
        <v>TWELVE MONTHS ENDED DECEMBER 31, 2004</v>
      </c>
      <c r="B3" s="128"/>
      <c r="C3" s="128"/>
      <c r="E3" s="130"/>
      <c r="F3" s="132" t="s">
        <v>190</v>
      </c>
      <c r="G3" s="129"/>
    </row>
    <row r="4" spans="1:7" ht="12">
      <c r="A4" s="128" t="s">
        <v>125</v>
      </c>
      <c r="B4" s="128"/>
      <c r="C4" s="128"/>
      <c r="E4" s="133"/>
      <c r="F4" s="134" t="s">
        <v>126</v>
      </c>
      <c r="G4" s="133"/>
    </row>
    <row r="5" spans="1:7" ht="12">
      <c r="A5" s="135" t="s">
        <v>11</v>
      </c>
      <c r="E5" s="130"/>
      <c r="F5" s="132"/>
      <c r="G5" s="130"/>
    </row>
    <row r="6" spans="1:7" ht="12">
      <c r="A6" s="136" t="s">
        <v>29</v>
      </c>
      <c r="B6" s="137" t="s">
        <v>114</v>
      </c>
      <c r="C6" s="137"/>
      <c r="E6" s="138" t="s">
        <v>127</v>
      </c>
      <c r="F6" s="139" t="s">
        <v>128</v>
      </c>
      <c r="G6" s="138" t="s">
        <v>129</v>
      </c>
    </row>
    <row r="7" spans="1:7" ht="12">
      <c r="A7" s="135"/>
      <c r="B7" s="129" t="s">
        <v>69</v>
      </c>
      <c r="E7" s="140"/>
      <c r="F7" s="132"/>
      <c r="G7" s="140"/>
    </row>
    <row r="8" spans="1:7" ht="12">
      <c r="A8" s="135">
        <v>1</v>
      </c>
      <c r="B8" s="129" t="s">
        <v>131</v>
      </c>
      <c r="E8" s="141"/>
      <c r="F8" s="141"/>
      <c r="G8" s="141"/>
    </row>
    <row r="9" spans="1:7" ht="12">
      <c r="A9" s="135">
        <v>2</v>
      </c>
      <c r="B9" s="129" t="s">
        <v>132</v>
      </c>
      <c r="E9" s="142"/>
      <c r="F9" s="142"/>
      <c r="G9" s="142"/>
    </row>
    <row r="10" spans="1:7" ht="12">
      <c r="A10" s="135">
        <v>3</v>
      </c>
      <c r="B10" s="129" t="s">
        <v>72</v>
      </c>
      <c r="E10" s="143"/>
      <c r="F10" s="143"/>
      <c r="G10" s="143"/>
    </row>
    <row r="11" spans="1:7" ht="12">
      <c r="A11" s="135">
        <v>4</v>
      </c>
      <c r="B11" s="129" t="s">
        <v>133</v>
      </c>
      <c r="E11" s="142">
        <f>SUM(E8:E10)</f>
        <v>0</v>
      </c>
      <c r="F11" s="142">
        <f>SUM(F8:F10)</f>
        <v>0</v>
      </c>
      <c r="G11" s="142">
        <f>SUM(G8:G10)</f>
        <v>0</v>
      </c>
    </row>
    <row r="12" spans="1:7" ht="12">
      <c r="A12" s="135"/>
      <c r="E12" s="142"/>
      <c r="F12" s="142"/>
      <c r="G12" s="142"/>
    </row>
    <row r="13" spans="1:7" ht="12">
      <c r="A13" s="135"/>
      <c r="B13" s="129" t="s">
        <v>74</v>
      </c>
      <c r="E13" s="142"/>
      <c r="F13" s="142"/>
      <c r="G13" s="142"/>
    </row>
    <row r="14" spans="1:7" ht="12">
      <c r="A14" s="135">
        <v>5</v>
      </c>
      <c r="B14" s="129" t="s">
        <v>134</v>
      </c>
      <c r="E14" s="142"/>
      <c r="F14" s="142"/>
      <c r="G14" s="142"/>
    </row>
    <row r="15" spans="1:7" ht="12">
      <c r="A15" s="135"/>
      <c r="B15" s="129" t="s">
        <v>76</v>
      </c>
      <c r="E15" s="142"/>
      <c r="F15" s="142"/>
      <c r="G15" s="142"/>
    </row>
    <row r="16" spans="1:7" ht="12">
      <c r="A16" s="135">
        <v>6</v>
      </c>
      <c r="B16" s="129" t="s">
        <v>135</v>
      </c>
      <c r="E16" s="142"/>
      <c r="F16" s="142"/>
      <c r="G16" s="142"/>
    </row>
    <row r="17" spans="1:7" ht="12">
      <c r="A17" s="135">
        <v>7</v>
      </c>
      <c r="B17" s="129" t="s">
        <v>136</v>
      </c>
      <c r="E17" s="142"/>
      <c r="F17" s="142"/>
      <c r="G17" s="142"/>
    </row>
    <row r="18" spans="1:7" ht="12">
      <c r="A18" s="135">
        <v>8</v>
      </c>
      <c r="B18" s="129" t="s">
        <v>137</v>
      </c>
      <c r="E18" s="143"/>
      <c r="F18" s="143"/>
      <c r="G18" s="143"/>
    </row>
    <row r="19" spans="1:7" ht="12">
      <c r="A19" s="135">
        <v>9</v>
      </c>
      <c r="B19" s="129" t="s">
        <v>138</v>
      </c>
      <c r="E19" s="142">
        <f>SUM(E16:E18)</f>
        <v>0</v>
      </c>
      <c r="F19" s="142">
        <f>SUM(F16:F18)</f>
        <v>0</v>
      </c>
      <c r="G19" s="142">
        <f>SUM(G16:G18)</f>
        <v>0</v>
      </c>
    </row>
    <row r="20" spans="1:7" ht="12">
      <c r="A20" s="135"/>
      <c r="B20" s="129" t="s">
        <v>81</v>
      </c>
      <c r="E20" s="142"/>
      <c r="F20" s="142"/>
      <c r="G20" s="142"/>
    </row>
    <row r="21" spans="1:7" ht="12">
      <c r="A21" s="135">
        <v>10</v>
      </c>
      <c r="B21" s="129" t="s">
        <v>139</v>
      </c>
      <c r="E21" s="142"/>
      <c r="F21" s="142"/>
      <c r="G21" s="142"/>
    </row>
    <row r="22" spans="1:7" ht="12">
      <c r="A22" s="135">
        <v>11</v>
      </c>
      <c r="B22" s="129" t="s">
        <v>140</v>
      </c>
      <c r="E22" s="142"/>
      <c r="F22" s="142"/>
      <c r="G22" s="142"/>
    </row>
    <row r="23" spans="1:7" ht="12">
      <c r="A23" s="135">
        <v>12</v>
      </c>
      <c r="B23" s="129" t="s">
        <v>141</v>
      </c>
      <c r="E23" s="143"/>
      <c r="F23" s="143"/>
      <c r="G23" s="143"/>
    </row>
    <row r="24" spans="1:7" ht="12">
      <c r="A24" s="135">
        <v>13</v>
      </c>
      <c r="B24" s="129" t="s">
        <v>142</v>
      </c>
      <c r="E24" s="142">
        <f>SUM(E21:E23)</f>
        <v>0</v>
      </c>
      <c r="F24" s="142">
        <f>SUM(F21:F23)</f>
        <v>0</v>
      </c>
      <c r="G24" s="142">
        <f>SUM(G21:G23)</f>
        <v>0</v>
      </c>
    </row>
    <row r="25" spans="1:7" ht="12">
      <c r="A25" s="135"/>
      <c r="B25" s="129" t="s">
        <v>85</v>
      </c>
      <c r="E25" s="142"/>
      <c r="F25" s="142"/>
      <c r="G25" s="142"/>
    </row>
    <row r="26" spans="1:7" ht="12">
      <c r="A26" s="135">
        <v>14</v>
      </c>
      <c r="B26" s="129" t="s">
        <v>139</v>
      </c>
      <c r="E26" s="142"/>
      <c r="F26" s="142"/>
      <c r="G26" s="142"/>
    </row>
    <row r="27" spans="1:7" ht="12">
      <c r="A27" s="135">
        <v>15</v>
      </c>
      <c r="B27" s="129" t="s">
        <v>140</v>
      </c>
      <c r="E27" s="142"/>
      <c r="F27" s="142"/>
      <c r="G27" s="142"/>
    </row>
    <row r="28" spans="1:7" ht="12">
      <c r="A28" s="135">
        <v>16</v>
      </c>
      <c r="B28" s="129" t="s">
        <v>141</v>
      </c>
      <c r="E28" s="143">
        <f>F28+G28</f>
        <v>0</v>
      </c>
      <c r="F28" s="143"/>
      <c r="G28" s="143"/>
    </row>
    <row r="29" spans="1:7" ht="12">
      <c r="A29" s="135">
        <v>17</v>
      </c>
      <c r="B29" s="129" t="s">
        <v>143</v>
      </c>
      <c r="E29" s="142">
        <f>SUM(E26:E28)</f>
        <v>0</v>
      </c>
      <c r="F29" s="142">
        <f>SUM(F26:F28)</f>
        <v>0</v>
      </c>
      <c r="G29" s="142">
        <f>SUM(G26:G28)</f>
        <v>0</v>
      </c>
    </row>
    <row r="30" spans="1:7" ht="12">
      <c r="A30" s="135"/>
      <c r="E30" s="142"/>
      <c r="F30" s="142"/>
      <c r="G30" s="142"/>
    </row>
    <row r="31" spans="1:7" ht="12">
      <c r="A31" s="135">
        <v>18</v>
      </c>
      <c r="B31" s="129" t="s">
        <v>87</v>
      </c>
      <c r="E31" s="142">
        <f>F31+G31</f>
        <v>-126</v>
      </c>
      <c r="F31" s="142">
        <v>-126</v>
      </c>
      <c r="G31" s="142">
        <v>0</v>
      </c>
    </row>
    <row r="32" spans="1:7" ht="12">
      <c r="A32" s="135">
        <v>19</v>
      </c>
      <c r="B32" s="129" t="s">
        <v>88</v>
      </c>
      <c r="E32" s="142"/>
      <c r="F32" s="142"/>
      <c r="G32" s="142"/>
    </row>
    <row r="33" spans="1:7" ht="12">
      <c r="A33" s="135">
        <v>20</v>
      </c>
      <c r="B33" s="129" t="s">
        <v>144</v>
      </c>
      <c r="E33" s="142"/>
      <c r="F33" s="142"/>
      <c r="G33" s="142"/>
    </row>
    <row r="34" spans="1:7" ht="12">
      <c r="A34" s="135"/>
      <c r="B34" s="129" t="s">
        <v>145</v>
      </c>
      <c r="E34" s="142"/>
      <c r="F34" s="142"/>
      <c r="G34" s="142"/>
    </row>
    <row r="35" spans="1:7" ht="12">
      <c r="A35" s="135">
        <v>21</v>
      </c>
      <c r="B35" s="129" t="s">
        <v>139</v>
      </c>
      <c r="E35" s="142"/>
      <c r="F35" s="142"/>
      <c r="G35" s="142"/>
    </row>
    <row r="36" spans="1:7" ht="12">
      <c r="A36" s="135">
        <v>22</v>
      </c>
      <c r="B36" s="129" t="s">
        <v>140</v>
      </c>
      <c r="E36" s="142"/>
      <c r="F36" s="142"/>
      <c r="G36" s="142"/>
    </row>
    <row r="37" spans="1:7" ht="12">
      <c r="A37" s="135">
        <v>23</v>
      </c>
      <c r="B37" s="129" t="s">
        <v>141</v>
      </c>
      <c r="E37" s="143"/>
      <c r="F37" s="143"/>
      <c r="G37" s="143"/>
    </row>
    <row r="38" spans="1:7" ht="12">
      <c r="A38" s="135">
        <v>24</v>
      </c>
      <c r="B38" s="129" t="s">
        <v>146</v>
      </c>
      <c r="E38" s="143">
        <f>SUM(E35:E37)</f>
        <v>0</v>
      </c>
      <c r="F38" s="143">
        <f>SUM(F35:F37)</f>
        <v>0</v>
      </c>
      <c r="G38" s="143">
        <f>SUM(G35:G37)</f>
        <v>0</v>
      </c>
    </row>
    <row r="39" spans="1:7" ht="12">
      <c r="A39" s="135">
        <v>25</v>
      </c>
      <c r="B39" s="129" t="s">
        <v>92</v>
      </c>
      <c r="E39" s="143">
        <f>E19+E24+E29+E31+E32+E33+E38+E14</f>
        <v>-126</v>
      </c>
      <c r="F39" s="143">
        <f>F19+F24+F29+F31+F32+F33+F38+F14</f>
        <v>-126</v>
      </c>
      <c r="G39" s="143">
        <f>G19+G24+G29+G31+G32+G33+G38+G14</f>
        <v>0</v>
      </c>
    </row>
    <row r="40" spans="1:7" ht="12">
      <c r="A40" s="135"/>
      <c r="E40" s="142"/>
      <c r="F40" s="142"/>
      <c r="G40" s="142"/>
    </row>
    <row r="41" spans="1:7" ht="12">
      <c r="A41" s="135">
        <v>26</v>
      </c>
      <c r="B41" s="129" t="s">
        <v>147</v>
      </c>
      <c r="E41" s="142">
        <f>E11-E39</f>
        <v>126</v>
      </c>
      <c r="F41" s="142">
        <f>F11-F39</f>
        <v>126</v>
      </c>
      <c r="G41" s="142">
        <f>G11-G39</f>
        <v>0</v>
      </c>
    </row>
    <row r="42" spans="1:7" ht="12">
      <c r="A42" s="135"/>
      <c r="E42" s="142"/>
      <c r="F42" s="142"/>
      <c r="G42" s="142"/>
    </row>
    <row r="43" spans="1:7" ht="12">
      <c r="A43" s="135"/>
      <c r="B43" s="129" t="s">
        <v>148</v>
      </c>
      <c r="E43" s="142"/>
      <c r="F43" s="142"/>
      <c r="G43" s="142"/>
    </row>
    <row r="44" spans="1:7" ht="12">
      <c r="A44" s="135">
        <v>27</v>
      </c>
      <c r="B44" s="144" t="s">
        <v>149</v>
      </c>
      <c r="D44" s="145">
        <v>0.35</v>
      </c>
      <c r="E44" s="142">
        <f>F44+G44</f>
        <v>44</v>
      </c>
      <c r="F44" s="142">
        <f>ROUND(F41*D44,0)</f>
        <v>44</v>
      </c>
      <c r="G44" s="142">
        <f>ROUND(G41*D44,0)</f>
        <v>0</v>
      </c>
    </row>
    <row r="45" spans="1:7" ht="12">
      <c r="A45" s="135">
        <v>28</v>
      </c>
      <c r="B45" s="129" t="s">
        <v>151</v>
      </c>
      <c r="E45" s="142"/>
      <c r="F45" s="142"/>
      <c r="G45" s="142"/>
    </row>
    <row r="46" spans="1:7" ht="12">
      <c r="A46" s="135">
        <v>29</v>
      </c>
      <c r="B46" s="129" t="s">
        <v>150</v>
      </c>
      <c r="E46" s="143"/>
      <c r="F46" s="143"/>
      <c r="G46" s="143"/>
    </row>
    <row r="47" ht="12">
      <c r="A47" s="135"/>
    </row>
    <row r="48" spans="1:7" ht="12.75" thickBot="1">
      <c r="A48" s="135">
        <v>30</v>
      </c>
      <c r="B48" s="148" t="s">
        <v>98</v>
      </c>
      <c r="E48" s="149">
        <f>E41-(+E44+E45+E46)</f>
        <v>82</v>
      </c>
      <c r="F48" s="149">
        <f>F41-F44+F45+F46</f>
        <v>82</v>
      </c>
      <c r="G48" s="149">
        <f>G41-SUM(G44:G46)</f>
        <v>0</v>
      </c>
    </row>
    <row r="49" ht="12.75" thickTop="1">
      <c r="A49" s="135"/>
    </row>
    <row r="50" spans="1:2" ht="12">
      <c r="A50" s="135"/>
      <c r="B50" s="144" t="s">
        <v>152</v>
      </c>
    </row>
    <row r="51" spans="1:2" ht="12">
      <c r="A51" s="135"/>
      <c r="B51" s="144" t="s">
        <v>153</v>
      </c>
    </row>
    <row r="52" spans="1:7" ht="12">
      <c r="A52" s="135">
        <v>31</v>
      </c>
      <c r="B52" s="129" t="s">
        <v>154</v>
      </c>
      <c r="E52" s="141"/>
      <c r="F52" s="141"/>
      <c r="G52" s="141"/>
    </row>
    <row r="53" spans="1:7" ht="12">
      <c r="A53" s="135">
        <v>32</v>
      </c>
      <c r="B53" s="129" t="s">
        <v>155</v>
      </c>
      <c r="E53" s="142"/>
      <c r="F53" s="142"/>
      <c r="G53" s="142"/>
    </row>
    <row r="54" spans="1:7" ht="12">
      <c r="A54" s="135">
        <v>33</v>
      </c>
      <c r="B54" s="129" t="s">
        <v>164</v>
      </c>
      <c r="E54" s="143"/>
      <c r="F54" s="143"/>
      <c r="G54" s="143"/>
    </row>
    <row r="55" spans="1:7" ht="12">
      <c r="A55" s="135">
        <v>34</v>
      </c>
      <c r="B55" s="129" t="s">
        <v>157</v>
      </c>
      <c r="E55" s="142">
        <f>SUM(E52:E54)</f>
        <v>0</v>
      </c>
      <c r="F55" s="142">
        <f>SUM(F52:F54)</f>
        <v>0</v>
      </c>
      <c r="G55" s="142">
        <f>SUM(G52:G54)</f>
        <v>0</v>
      </c>
    </row>
    <row r="56" spans="1:7" ht="12">
      <c r="A56" s="135"/>
      <c r="B56" s="129" t="s">
        <v>103</v>
      </c>
      <c r="E56" s="142"/>
      <c r="F56" s="142"/>
      <c r="G56" s="142"/>
    </row>
    <row r="57" spans="1:7" ht="12">
      <c r="A57" s="135">
        <v>35</v>
      </c>
      <c r="B57" s="129" t="s">
        <v>154</v>
      </c>
      <c r="E57" s="142"/>
      <c r="F57" s="142"/>
      <c r="G57" s="142"/>
    </row>
    <row r="58" spans="1:7" ht="12">
      <c r="A58" s="135">
        <v>36</v>
      </c>
      <c r="B58" s="129" t="s">
        <v>155</v>
      </c>
      <c r="E58" s="142"/>
      <c r="F58" s="142"/>
      <c r="G58" s="142"/>
    </row>
    <row r="59" spans="1:7" ht="12">
      <c r="A59" s="135">
        <v>37</v>
      </c>
      <c r="B59" s="129" t="s">
        <v>164</v>
      </c>
      <c r="E59" s="143"/>
      <c r="F59" s="143"/>
      <c r="G59" s="143"/>
    </row>
    <row r="60" spans="1:7" ht="12">
      <c r="A60" s="135">
        <v>38</v>
      </c>
      <c r="B60" s="129" t="s">
        <v>158</v>
      </c>
      <c r="E60" s="142">
        <f>SUM(E57:E59)</f>
        <v>0</v>
      </c>
      <c r="F60" s="142">
        <f>SUM(F57:F59)</f>
        <v>0</v>
      </c>
      <c r="G60" s="142">
        <f>SUM(G57:G59)</f>
        <v>0</v>
      </c>
    </row>
    <row r="61" spans="1:7" ht="12">
      <c r="A61" s="135">
        <v>39</v>
      </c>
      <c r="B61" s="144" t="s">
        <v>159</v>
      </c>
      <c r="E61" s="142"/>
      <c r="F61" s="142"/>
      <c r="G61" s="142"/>
    </row>
    <row r="62" spans="1:9" ht="12">
      <c r="A62" s="135">
        <v>40</v>
      </c>
      <c r="B62" s="129" t="s">
        <v>106</v>
      </c>
      <c r="E62" s="142"/>
      <c r="F62" s="142"/>
      <c r="G62" s="142"/>
      <c r="I62" s="129">
        <f>G62+F62</f>
        <v>0</v>
      </c>
    </row>
    <row r="63" spans="1:7" ht="12">
      <c r="A63" s="135">
        <v>41</v>
      </c>
      <c r="B63" s="144" t="s">
        <v>107</v>
      </c>
      <c r="E63" s="143"/>
      <c r="F63" s="143"/>
      <c r="G63" s="143"/>
    </row>
    <row r="64" spans="1:2" ht="9" customHeight="1">
      <c r="A64" s="135"/>
      <c r="B64" s="129" t="s">
        <v>160</v>
      </c>
    </row>
    <row r="65" spans="1:7" ht="12.75" thickBot="1">
      <c r="A65" s="135">
        <v>42</v>
      </c>
      <c r="B65" s="148" t="s">
        <v>108</v>
      </c>
      <c r="E65" s="149">
        <f>E55-E60+E61+E62+E63</f>
        <v>0</v>
      </c>
      <c r="F65" s="149">
        <f>F55-F60+F61+F62+F63</f>
        <v>0</v>
      </c>
      <c r="G65" s="149">
        <f>G55-G60+G61+G62+G63</f>
        <v>0</v>
      </c>
    </row>
    <row r="66" spans="1:7" ht="10.5" customHeight="1" thickTop="1">
      <c r="A66" s="150"/>
      <c r="B66" s="150"/>
      <c r="C66" s="150"/>
      <c r="D66" s="151"/>
      <c r="E66" s="152"/>
      <c r="F66" s="153"/>
      <c r="G66" s="152"/>
    </row>
    <row r="67" spans="1:7" ht="10.5" customHeight="1">
      <c r="A67" s="150"/>
      <c r="B67" s="150"/>
      <c r="C67" s="150"/>
      <c r="D67" s="151"/>
      <c r="E67" s="152"/>
      <c r="F67" s="153"/>
      <c r="G67" s="152"/>
    </row>
    <row r="68" spans="1:7" ht="10.5" customHeight="1">
      <c r="A68" s="150"/>
      <c r="B68" s="150"/>
      <c r="C68" s="150"/>
      <c r="D68" s="151"/>
      <c r="E68" s="152"/>
      <c r="F68" s="153"/>
      <c r="G68" s="152"/>
    </row>
    <row r="69" spans="1:7" ht="10.5" customHeight="1">
      <c r="A69" s="150"/>
      <c r="B69" s="150"/>
      <c r="C69" s="150"/>
      <c r="D69" s="151"/>
      <c r="E69" s="152"/>
      <c r="F69" s="153"/>
      <c r="G69" s="152"/>
    </row>
    <row r="70" spans="1:7" ht="10.5" customHeight="1">
      <c r="A70" s="151"/>
      <c r="B70" s="151"/>
      <c r="C70" s="151"/>
      <c r="D70" s="151"/>
      <c r="E70" s="152"/>
      <c r="F70" s="153"/>
      <c r="G70" s="152"/>
    </row>
    <row r="71" spans="1:7" ht="10.5" customHeight="1">
      <c r="A71" s="136"/>
      <c r="B71" s="151"/>
      <c r="C71" s="151"/>
      <c r="D71" s="151"/>
      <c r="E71" s="152"/>
      <c r="F71" s="153"/>
      <c r="G71" s="152"/>
    </row>
    <row r="72" spans="1:7" ht="10.5" customHeight="1">
      <c r="A72" s="136"/>
      <c r="B72" s="150"/>
      <c r="C72" s="150"/>
      <c r="D72" s="151"/>
      <c r="E72" s="152"/>
      <c r="F72" s="153"/>
      <c r="G72" s="152"/>
    </row>
    <row r="73" spans="1:7" ht="10.5" customHeight="1">
      <c r="A73" s="136"/>
      <c r="B73" s="151"/>
      <c r="C73" s="151"/>
      <c r="D73" s="151"/>
      <c r="E73" s="152"/>
      <c r="F73" s="153"/>
      <c r="G73" s="152"/>
    </row>
    <row r="74" spans="1:7" ht="10.5" customHeight="1">
      <c r="A74" s="136"/>
      <c r="B74" s="151"/>
      <c r="C74" s="151"/>
      <c r="D74" s="151"/>
      <c r="E74" s="152"/>
      <c r="F74" s="153"/>
      <c r="G74" s="152"/>
    </row>
    <row r="75" spans="1:7" ht="10.5" customHeight="1">
      <c r="A75" s="136"/>
      <c r="B75" s="151"/>
      <c r="C75" s="151"/>
      <c r="D75" s="151"/>
      <c r="E75" s="152"/>
      <c r="F75" s="153"/>
      <c r="G75" s="152"/>
    </row>
    <row r="76" spans="1:7" ht="10.5" customHeight="1">
      <c r="A76" s="136"/>
      <c r="B76" s="151"/>
      <c r="C76" s="151"/>
      <c r="D76" s="151"/>
      <c r="E76" s="152"/>
      <c r="F76" s="153"/>
      <c r="G76" s="152"/>
    </row>
    <row r="77" spans="1:7" ht="10.5" customHeight="1">
      <c r="A77" s="136"/>
      <c r="B77" s="151"/>
      <c r="C77" s="151"/>
      <c r="D77" s="151"/>
      <c r="E77" s="152"/>
      <c r="F77" s="153"/>
      <c r="G77" s="152"/>
    </row>
    <row r="78" spans="1:7" ht="10.5" customHeight="1">
      <c r="A78" s="136"/>
      <c r="B78" s="151"/>
      <c r="C78" s="151"/>
      <c r="D78" s="151"/>
      <c r="E78" s="152"/>
      <c r="F78" s="153"/>
      <c r="G78" s="152"/>
    </row>
    <row r="79" spans="1:7" ht="10.5" customHeight="1">
      <c r="A79" s="136"/>
      <c r="B79" s="151"/>
      <c r="C79" s="151"/>
      <c r="D79" s="151"/>
      <c r="E79" s="152"/>
      <c r="F79" s="153"/>
      <c r="G79" s="152"/>
    </row>
    <row r="80" spans="1:7" ht="10.5" customHeight="1">
      <c r="A80" s="136"/>
      <c r="B80" s="151"/>
      <c r="C80" s="151"/>
      <c r="D80" s="151"/>
      <c r="E80" s="152"/>
      <c r="F80" s="153"/>
      <c r="G80" s="152"/>
    </row>
    <row r="81" spans="1:7" ht="10.5" customHeight="1">
      <c r="A81" s="136"/>
      <c r="B81" s="151"/>
      <c r="C81" s="151"/>
      <c r="D81" s="151"/>
      <c r="E81" s="152"/>
      <c r="F81" s="153"/>
      <c r="G81" s="152"/>
    </row>
    <row r="82" spans="1:7" ht="10.5" customHeight="1">
      <c r="A82" s="136"/>
      <c r="B82" s="151"/>
      <c r="C82" s="151"/>
      <c r="D82" s="151"/>
      <c r="E82" s="152"/>
      <c r="F82" s="153"/>
      <c r="G82" s="152"/>
    </row>
    <row r="83" spans="1:7" ht="10.5" customHeight="1">
      <c r="A83" s="136"/>
      <c r="B83" s="151"/>
      <c r="C83" s="151"/>
      <c r="D83" s="151"/>
      <c r="E83" s="152"/>
      <c r="F83" s="153"/>
      <c r="G83" s="152"/>
    </row>
    <row r="84" spans="1:7" ht="10.5" customHeight="1">
      <c r="A84" s="136"/>
      <c r="B84" s="151"/>
      <c r="C84" s="151"/>
      <c r="D84" s="151"/>
      <c r="E84" s="152"/>
      <c r="F84" s="153"/>
      <c r="G84" s="152"/>
    </row>
    <row r="85" spans="1:7" ht="10.5" customHeight="1">
      <c r="A85" s="136"/>
      <c r="B85" s="151"/>
      <c r="C85" s="151"/>
      <c r="D85" s="151"/>
      <c r="E85" s="152"/>
      <c r="F85" s="153"/>
      <c r="G85" s="152"/>
    </row>
    <row r="86" spans="1:7" ht="10.5" customHeight="1">
      <c r="A86" s="136"/>
      <c r="B86" s="151"/>
      <c r="C86" s="151"/>
      <c r="D86" s="151"/>
      <c r="E86" s="152"/>
      <c r="F86" s="153"/>
      <c r="G86" s="152"/>
    </row>
    <row r="87" spans="1:7" ht="10.5" customHeight="1">
      <c r="A87" s="136"/>
      <c r="B87" s="151"/>
      <c r="C87" s="151"/>
      <c r="D87" s="151"/>
      <c r="E87" s="152"/>
      <c r="F87" s="153"/>
      <c r="G87" s="152"/>
    </row>
    <row r="88" spans="1:7" ht="10.5" customHeight="1">
      <c r="A88" s="136"/>
      <c r="B88" s="151"/>
      <c r="C88" s="151"/>
      <c r="D88" s="151"/>
      <c r="E88" s="152"/>
      <c r="F88" s="153"/>
      <c r="G88" s="152"/>
    </row>
    <row r="89" spans="1:7" ht="10.5" customHeight="1">
      <c r="A89" s="136"/>
      <c r="B89" s="151"/>
      <c r="C89" s="151"/>
      <c r="D89" s="151"/>
      <c r="E89" s="152"/>
      <c r="F89" s="153"/>
      <c r="G89" s="152"/>
    </row>
    <row r="90" spans="1:7" ht="10.5" customHeight="1">
      <c r="A90" s="136"/>
      <c r="B90" s="151"/>
      <c r="C90" s="151"/>
      <c r="D90" s="151"/>
      <c r="E90" s="152"/>
      <c r="F90" s="153"/>
      <c r="G90" s="152"/>
    </row>
    <row r="91" spans="1:7" ht="10.5" customHeight="1">
      <c r="A91" s="136"/>
      <c r="B91" s="151"/>
      <c r="C91" s="151"/>
      <c r="D91" s="151"/>
      <c r="E91" s="152"/>
      <c r="F91" s="153"/>
      <c r="G91" s="152"/>
    </row>
    <row r="92" spans="1:7" ht="10.5" customHeight="1">
      <c r="A92" s="136"/>
      <c r="B92" s="151"/>
      <c r="C92" s="151"/>
      <c r="D92" s="151"/>
      <c r="E92" s="152"/>
      <c r="F92" s="153"/>
      <c r="G92" s="152"/>
    </row>
    <row r="93" spans="1:7" ht="10.5" customHeight="1">
      <c r="A93" s="136"/>
      <c r="B93" s="151"/>
      <c r="C93" s="151"/>
      <c r="D93" s="151"/>
      <c r="E93" s="152"/>
      <c r="F93" s="153"/>
      <c r="G93" s="152"/>
    </row>
    <row r="94" spans="1:7" ht="10.5" customHeight="1">
      <c r="A94" s="136"/>
      <c r="B94" s="151"/>
      <c r="C94" s="151"/>
      <c r="D94" s="151"/>
      <c r="E94" s="152"/>
      <c r="F94" s="153"/>
      <c r="G94" s="152"/>
    </row>
    <row r="95" spans="1:7" ht="10.5" customHeight="1">
      <c r="A95" s="136"/>
      <c r="B95" s="151"/>
      <c r="C95" s="151"/>
      <c r="D95" s="151"/>
      <c r="E95" s="152"/>
      <c r="F95" s="153"/>
      <c r="G95" s="152"/>
    </row>
    <row r="96" spans="1:7" ht="10.5" customHeight="1">
      <c r="A96" s="136"/>
      <c r="B96" s="151"/>
      <c r="C96" s="151"/>
      <c r="D96" s="151"/>
      <c r="E96" s="152"/>
      <c r="F96" s="153"/>
      <c r="G96" s="152"/>
    </row>
    <row r="97" spans="1:7" ht="10.5" customHeight="1">
      <c r="A97" s="136"/>
      <c r="B97" s="151"/>
      <c r="C97" s="151"/>
      <c r="D97" s="151"/>
      <c r="E97" s="152"/>
      <c r="F97" s="153"/>
      <c r="G97" s="152"/>
    </row>
    <row r="98" spans="1:7" ht="10.5" customHeight="1">
      <c r="A98" s="136"/>
      <c r="B98" s="151"/>
      <c r="C98" s="151"/>
      <c r="D98" s="151"/>
      <c r="E98" s="152"/>
      <c r="F98" s="153"/>
      <c r="G98" s="152"/>
    </row>
    <row r="99" spans="1:7" ht="10.5" customHeight="1">
      <c r="A99" s="136"/>
      <c r="B99" s="151"/>
      <c r="C99" s="151"/>
      <c r="D99" s="151"/>
      <c r="E99" s="152"/>
      <c r="F99" s="153"/>
      <c r="G99" s="152"/>
    </row>
    <row r="100" spans="1:7" ht="10.5" customHeight="1">
      <c r="A100" s="136"/>
      <c r="B100" s="151"/>
      <c r="C100" s="151"/>
      <c r="D100" s="151"/>
      <c r="E100" s="152"/>
      <c r="F100" s="153"/>
      <c r="G100" s="152"/>
    </row>
    <row r="101" spans="1:7" ht="10.5" customHeight="1">
      <c r="A101" s="136"/>
      <c r="B101" s="151"/>
      <c r="C101" s="151"/>
      <c r="D101" s="151"/>
      <c r="E101" s="152"/>
      <c r="F101" s="153"/>
      <c r="G101" s="152"/>
    </row>
    <row r="102" spans="1:7" ht="10.5" customHeight="1">
      <c r="A102" s="136"/>
      <c r="B102" s="151"/>
      <c r="C102" s="151"/>
      <c r="D102" s="151"/>
      <c r="E102" s="152"/>
      <c r="F102" s="153"/>
      <c r="G102" s="152"/>
    </row>
    <row r="103" spans="1:7" ht="10.5" customHeight="1">
      <c r="A103" s="136"/>
      <c r="B103" s="151"/>
      <c r="C103" s="151"/>
      <c r="D103" s="151"/>
      <c r="E103" s="152"/>
      <c r="F103" s="153"/>
      <c r="G103" s="152"/>
    </row>
    <row r="104" spans="1:7" ht="10.5" customHeight="1">
      <c r="A104" s="136"/>
      <c r="B104" s="151"/>
      <c r="C104" s="151"/>
      <c r="D104" s="151"/>
      <c r="E104" s="152"/>
      <c r="F104" s="153"/>
      <c r="G104" s="152"/>
    </row>
    <row r="105" spans="1:7" ht="10.5" customHeight="1">
      <c r="A105" s="136"/>
      <c r="B105" s="151"/>
      <c r="C105" s="151"/>
      <c r="D105" s="151"/>
      <c r="E105" s="152"/>
      <c r="F105" s="153"/>
      <c r="G105" s="152"/>
    </row>
    <row r="106" spans="1:7" ht="10.5" customHeight="1">
      <c r="A106" s="136"/>
      <c r="B106" s="151"/>
      <c r="C106" s="151"/>
      <c r="D106" s="151"/>
      <c r="E106" s="152"/>
      <c r="F106" s="153"/>
      <c r="G106" s="152"/>
    </row>
    <row r="107" spans="1:7" ht="10.5" customHeight="1">
      <c r="A107" s="136"/>
      <c r="B107" s="151"/>
      <c r="C107" s="151"/>
      <c r="D107" s="151"/>
      <c r="E107" s="152"/>
      <c r="F107" s="153"/>
      <c r="G107" s="152"/>
    </row>
    <row r="108" spans="1:7" ht="10.5" customHeight="1">
      <c r="A108" s="136"/>
      <c r="B108" s="151"/>
      <c r="C108" s="151"/>
      <c r="D108" s="151"/>
      <c r="E108" s="152"/>
      <c r="F108" s="153"/>
      <c r="G108" s="152"/>
    </row>
    <row r="109" spans="1:7" ht="10.5" customHeight="1">
      <c r="A109" s="136"/>
      <c r="B109" s="151"/>
      <c r="C109" s="151"/>
      <c r="D109" s="151"/>
      <c r="E109" s="152"/>
      <c r="F109" s="153"/>
      <c r="G109" s="152"/>
    </row>
    <row r="110" spans="1:7" ht="10.5" customHeight="1">
      <c r="A110" s="136"/>
      <c r="B110" s="151"/>
      <c r="C110" s="151"/>
      <c r="D110" s="151"/>
      <c r="E110" s="152"/>
      <c r="F110" s="153"/>
      <c r="G110" s="152"/>
    </row>
    <row r="111" spans="1:7" ht="10.5" customHeight="1">
      <c r="A111" s="136"/>
      <c r="B111" s="154"/>
      <c r="C111" s="155"/>
      <c r="D111" s="151"/>
      <c r="E111" s="152"/>
      <c r="F111" s="153"/>
      <c r="G111" s="152"/>
    </row>
    <row r="112" ht="10.5" customHeight="1">
      <c r="A112" s="135"/>
    </row>
  </sheetData>
  <printOptions horizontalCentered="1"/>
  <pageMargins left="1" right="1" top="0.5" bottom="0.5" header="0.5" footer="0.5"/>
  <pageSetup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9">
      <selection activeCell="G35" sqref="G35"/>
    </sheetView>
  </sheetViews>
  <sheetFormatPr defaultColWidth="9.140625" defaultRowHeight="10.5" customHeight="1"/>
  <cols>
    <col min="1" max="1" width="5.57421875" style="157" customWidth="1"/>
    <col min="2" max="2" width="26.140625" style="157" customWidth="1"/>
    <col min="3" max="3" width="12.421875" style="157" customWidth="1"/>
    <col min="4" max="4" width="6.7109375" style="157" customWidth="1"/>
    <col min="5" max="5" width="12.421875" style="177" customWidth="1"/>
    <col min="6" max="6" width="12.421875" style="178" customWidth="1"/>
    <col min="7" max="7" width="12.421875" style="177" customWidth="1"/>
    <col min="8" max="16384" width="12.421875" style="157" customWidth="1"/>
  </cols>
  <sheetData>
    <row r="1" spans="1:7" ht="12">
      <c r="A1" s="156" t="str">
        <f>Inputs!$D$6</f>
        <v>AVISTA UTILITIES</v>
      </c>
      <c r="B1" s="156"/>
      <c r="C1" s="156"/>
      <c r="E1" s="158"/>
      <c r="F1" s="159"/>
      <c r="G1" s="158"/>
    </row>
    <row r="2" spans="1:7" ht="12">
      <c r="A2" s="156" t="s">
        <v>122</v>
      </c>
      <c r="B2" s="156"/>
      <c r="C2" s="156"/>
      <c r="E2" s="160" t="s">
        <v>191</v>
      </c>
      <c r="F2" s="160"/>
      <c r="G2" s="160"/>
    </row>
    <row r="3" spans="1:7" ht="12">
      <c r="A3" s="156" t="str">
        <f>Inputs!$D$2</f>
        <v>TWELVE MONTHS ENDED DECEMBER 31, 2004</v>
      </c>
      <c r="B3" s="156"/>
      <c r="C3" s="156"/>
      <c r="E3" s="160" t="s">
        <v>192</v>
      </c>
      <c r="F3" s="160"/>
      <c r="G3" s="160"/>
    </row>
    <row r="4" spans="1:7" ht="12">
      <c r="A4" s="156" t="s">
        <v>125</v>
      </c>
      <c r="B4" s="156"/>
      <c r="C4" s="156"/>
      <c r="E4" s="161" t="s">
        <v>126</v>
      </c>
      <c r="F4" s="161"/>
      <c r="G4" s="162"/>
    </row>
    <row r="5" spans="1:7" ht="12">
      <c r="A5" s="163" t="s">
        <v>11</v>
      </c>
      <c r="E5" s="158"/>
      <c r="F5" s="164"/>
      <c r="G5" s="158"/>
    </row>
    <row r="6" spans="1:8" ht="12">
      <c r="A6" s="165" t="s">
        <v>29</v>
      </c>
      <c r="B6" s="166" t="s">
        <v>114</v>
      </c>
      <c r="C6" s="166"/>
      <c r="E6" s="167" t="s">
        <v>127</v>
      </c>
      <c r="F6" s="168" t="s">
        <v>128</v>
      </c>
      <c r="G6" s="167" t="s">
        <v>129</v>
      </c>
      <c r="H6" s="169" t="s">
        <v>130</v>
      </c>
    </row>
    <row r="7" spans="1:7" ht="12">
      <c r="A7" s="163"/>
      <c r="B7" s="157" t="s">
        <v>69</v>
      </c>
      <c r="E7" s="170"/>
      <c r="F7" s="164"/>
      <c r="G7" s="170"/>
    </row>
    <row r="8" spans="1:8" ht="12">
      <c r="A8" s="163">
        <v>1</v>
      </c>
      <c r="B8" s="157" t="s">
        <v>131</v>
      </c>
      <c r="E8" s="171"/>
      <c r="F8" s="171"/>
      <c r="G8" s="171"/>
      <c r="H8" s="172" t="str">
        <f>IF(E8=F8+G8," ","ERROR")</f>
        <v> </v>
      </c>
    </row>
    <row r="9" spans="1:8" ht="12">
      <c r="A9" s="163">
        <v>2</v>
      </c>
      <c r="B9" s="157" t="s">
        <v>132</v>
      </c>
      <c r="E9" s="173"/>
      <c r="F9" s="173"/>
      <c r="G9" s="173"/>
      <c r="H9" s="172" t="str">
        <f>IF(E9=F9+G9," ","ERROR")</f>
        <v> </v>
      </c>
    </row>
    <row r="10" spans="1:8" ht="12">
      <c r="A10" s="163">
        <v>3</v>
      </c>
      <c r="B10" s="157" t="s">
        <v>72</v>
      </c>
      <c r="E10" s="174"/>
      <c r="F10" s="174"/>
      <c r="G10" s="174"/>
      <c r="H10" s="172" t="str">
        <f>IF(E10=F10+G10," ","ERROR")</f>
        <v> </v>
      </c>
    </row>
    <row r="11" spans="1:8" ht="12">
      <c r="A11" s="163">
        <v>4</v>
      </c>
      <c r="B11" s="157" t="s">
        <v>133</v>
      </c>
      <c r="E11" s="173">
        <f>SUM(E8:E10)</f>
        <v>0</v>
      </c>
      <c r="F11" s="173">
        <f>SUM(F8:F10)</f>
        <v>0</v>
      </c>
      <c r="G11" s="173">
        <f>SUM(G8:G10)</f>
        <v>0</v>
      </c>
      <c r="H11" s="172" t="str">
        <f>IF(E11=F11+G11," ","ERROR")</f>
        <v> </v>
      </c>
    </row>
    <row r="12" spans="1:8" ht="12">
      <c r="A12" s="163"/>
      <c r="E12" s="173"/>
      <c r="F12" s="173"/>
      <c r="G12" s="173"/>
      <c r="H12" s="172"/>
    </row>
    <row r="13" spans="1:8" ht="12">
      <c r="A13" s="163"/>
      <c r="B13" s="157" t="s">
        <v>74</v>
      </c>
      <c r="E13" s="173"/>
      <c r="F13" s="173"/>
      <c r="G13" s="173"/>
      <c r="H13" s="172"/>
    </row>
    <row r="14" spans="1:8" ht="12">
      <c r="A14" s="163">
        <v>5</v>
      </c>
      <c r="B14" s="157" t="s">
        <v>134</v>
      </c>
      <c r="E14" s="173"/>
      <c r="F14" s="173"/>
      <c r="G14" s="173"/>
      <c r="H14" s="172" t="str">
        <f>IF(E14=F14+G14," ","ERROR")</f>
        <v> </v>
      </c>
    </row>
    <row r="15" spans="1:8" ht="12">
      <c r="A15" s="163"/>
      <c r="B15" s="157" t="s">
        <v>76</v>
      </c>
      <c r="E15" s="173"/>
      <c r="F15" s="173"/>
      <c r="G15" s="173"/>
      <c r="H15" s="172"/>
    </row>
    <row r="16" spans="1:8" ht="12">
      <c r="A16" s="163">
        <v>6</v>
      </c>
      <c r="B16" s="157" t="s">
        <v>135</v>
      </c>
      <c r="E16" s="173"/>
      <c r="F16" s="173"/>
      <c r="G16" s="173"/>
      <c r="H16" s="172" t="str">
        <f>IF(E16=F16+G16," ","ERROR")</f>
        <v> </v>
      </c>
    </row>
    <row r="17" spans="1:8" ht="12">
      <c r="A17" s="163">
        <v>7</v>
      </c>
      <c r="B17" s="157" t="s">
        <v>136</v>
      </c>
      <c r="E17" s="173"/>
      <c r="F17" s="173"/>
      <c r="G17" s="173"/>
      <c r="H17" s="172" t="str">
        <f>IF(E17=F17+G17," ","ERROR")</f>
        <v> </v>
      </c>
    </row>
    <row r="18" spans="1:8" ht="12">
      <c r="A18" s="163">
        <v>8</v>
      </c>
      <c r="B18" s="157" t="s">
        <v>137</v>
      </c>
      <c r="E18" s="174"/>
      <c r="F18" s="174"/>
      <c r="G18" s="174"/>
      <c r="H18" s="172" t="str">
        <f>IF(E18=F18+G18," ","ERROR")</f>
        <v> </v>
      </c>
    </row>
    <row r="19" spans="1:8" ht="12">
      <c r="A19" s="163">
        <v>9</v>
      </c>
      <c r="B19" s="157" t="s">
        <v>138</v>
      </c>
      <c r="E19" s="173">
        <f>SUM(E16:E18)</f>
        <v>0</v>
      </c>
      <c r="F19" s="173">
        <f>SUM(F16:F18)</f>
        <v>0</v>
      </c>
      <c r="G19" s="173">
        <f>SUM(G16:G18)</f>
        <v>0</v>
      </c>
      <c r="H19" s="172" t="str">
        <f>IF(E19=F19+G19," ","ERROR")</f>
        <v> </v>
      </c>
    </row>
    <row r="20" spans="1:8" ht="12">
      <c r="A20" s="163"/>
      <c r="B20" s="157" t="s">
        <v>81</v>
      </c>
      <c r="E20" s="173"/>
      <c r="F20" s="173"/>
      <c r="G20" s="173"/>
      <c r="H20" s="172"/>
    </row>
    <row r="21" spans="1:8" ht="12">
      <c r="A21" s="163">
        <v>10</v>
      </c>
      <c r="B21" s="157" t="s">
        <v>139</v>
      </c>
      <c r="E21" s="173"/>
      <c r="F21" s="173"/>
      <c r="G21" s="173"/>
      <c r="H21" s="172" t="str">
        <f>IF(E21=F21+G21," ","ERROR")</f>
        <v> </v>
      </c>
    </row>
    <row r="22" spans="1:8" ht="12">
      <c r="A22" s="163">
        <v>11</v>
      </c>
      <c r="B22" s="157" t="s">
        <v>140</v>
      </c>
      <c r="E22" s="173"/>
      <c r="F22" s="173"/>
      <c r="G22" s="173"/>
      <c r="H22" s="172" t="str">
        <f>IF(E22=F22+G22," ","ERROR")</f>
        <v> </v>
      </c>
    </row>
    <row r="23" spans="1:8" ht="12">
      <c r="A23" s="163">
        <v>12</v>
      </c>
      <c r="B23" s="157" t="s">
        <v>141</v>
      </c>
      <c r="E23" s="174"/>
      <c r="F23" s="174"/>
      <c r="G23" s="174"/>
      <c r="H23" s="172" t="str">
        <f>IF(E23=F23+G23," ","ERROR")</f>
        <v> </v>
      </c>
    </row>
    <row r="24" spans="1:8" ht="12">
      <c r="A24" s="163">
        <v>13</v>
      </c>
      <c r="B24" s="157" t="s">
        <v>142</v>
      </c>
      <c r="E24" s="173">
        <f>SUM(E21:E23)</f>
        <v>0</v>
      </c>
      <c r="F24" s="173">
        <f>SUM(F21:F23)</f>
        <v>0</v>
      </c>
      <c r="G24" s="173">
        <f>SUM(G21:G23)</f>
        <v>0</v>
      </c>
      <c r="H24" s="172" t="str">
        <f>IF(E24=F24+G24," ","ERROR")</f>
        <v> </v>
      </c>
    </row>
    <row r="25" spans="1:8" ht="12">
      <c r="A25" s="163"/>
      <c r="B25" s="157" t="s">
        <v>85</v>
      </c>
      <c r="E25" s="173"/>
      <c r="F25" s="173"/>
      <c r="G25" s="173"/>
      <c r="H25" s="172"/>
    </row>
    <row r="26" spans="1:8" ht="12">
      <c r="A26" s="163">
        <v>14</v>
      </c>
      <c r="B26" s="157" t="s">
        <v>139</v>
      </c>
      <c r="E26" s="173"/>
      <c r="F26" s="173"/>
      <c r="G26" s="173"/>
      <c r="H26" s="172" t="str">
        <f>IF(E26=F26+G26," ","ERROR")</f>
        <v> </v>
      </c>
    </row>
    <row r="27" spans="1:8" ht="12">
      <c r="A27" s="163">
        <v>15</v>
      </c>
      <c r="B27" s="157" t="s">
        <v>140</v>
      </c>
      <c r="E27" s="173"/>
      <c r="F27" s="173"/>
      <c r="G27" s="173"/>
      <c r="H27" s="172" t="str">
        <f>IF(E27=F27+G27," ","ERROR")</f>
        <v> </v>
      </c>
    </row>
    <row r="28" spans="1:8" ht="12">
      <c r="A28" s="163">
        <v>16</v>
      </c>
      <c r="B28" s="157" t="s">
        <v>141</v>
      </c>
      <c r="E28" s="174">
        <f>F28+G28</f>
        <v>0</v>
      </c>
      <c r="F28" s="174"/>
      <c r="G28" s="174"/>
      <c r="H28" s="172" t="str">
        <f>IF(E28=F28+G28," ","ERROR")</f>
        <v> </v>
      </c>
    </row>
    <row r="29" spans="1:8" ht="12">
      <c r="A29" s="163">
        <v>17</v>
      </c>
      <c r="B29" s="157" t="s">
        <v>143</v>
      </c>
      <c r="E29" s="173">
        <f>SUM(E26:E28)</f>
        <v>0</v>
      </c>
      <c r="F29" s="173">
        <f>SUM(F26:F28)</f>
        <v>0</v>
      </c>
      <c r="G29" s="173">
        <f>SUM(G26:G28)</f>
        <v>0</v>
      </c>
      <c r="H29" s="172" t="str">
        <f>IF(E29=F29+G29," ","ERROR")</f>
        <v> </v>
      </c>
    </row>
    <row r="30" spans="1:8" ht="12">
      <c r="A30" s="163"/>
      <c r="E30" s="173"/>
      <c r="F30" s="173"/>
      <c r="G30" s="173"/>
      <c r="H30" s="172"/>
    </row>
    <row r="31" spans="1:8" ht="12">
      <c r="A31" s="163">
        <v>18</v>
      </c>
      <c r="B31" s="157" t="s">
        <v>87</v>
      </c>
      <c r="E31" s="173"/>
      <c r="F31" s="173"/>
      <c r="G31" s="173"/>
      <c r="H31" s="172" t="str">
        <f>IF(E31=F31+G31," ","ERROR")</f>
        <v> </v>
      </c>
    </row>
    <row r="32" spans="1:8" ht="12">
      <c r="A32" s="163">
        <v>19</v>
      </c>
      <c r="B32" s="157" t="s">
        <v>88</v>
      </c>
      <c r="E32" s="173"/>
      <c r="F32" s="173"/>
      <c r="G32" s="173"/>
      <c r="H32" s="172" t="str">
        <f>IF(E32=F32+G32," ","ERROR")</f>
        <v> </v>
      </c>
    </row>
    <row r="33" spans="1:8" ht="12">
      <c r="A33" s="163">
        <v>20</v>
      </c>
      <c r="B33" s="157" t="s">
        <v>144</v>
      </c>
      <c r="E33" s="173"/>
      <c r="F33" s="173"/>
      <c r="G33" s="173"/>
      <c r="H33" s="172" t="str">
        <f>IF(E33=F33+G33," ","ERROR")</f>
        <v> </v>
      </c>
    </row>
    <row r="34" spans="1:8" ht="12">
      <c r="A34" s="163"/>
      <c r="B34" s="157" t="s">
        <v>145</v>
      </c>
      <c r="E34" s="173"/>
      <c r="F34" s="173"/>
      <c r="G34" s="173"/>
      <c r="H34" s="172"/>
    </row>
    <row r="35" spans="1:8" ht="12">
      <c r="A35" s="163">
        <v>21</v>
      </c>
      <c r="B35" s="157" t="s">
        <v>139</v>
      </c>
      <c r="E35" s="173">
        <f>SUM(F35:G35)</f>
        <v>-7</v>
      </c>
      <c r="F35" s="173">
        <v>-7</v>
      </c>
      <c r="G35" s="663"/>
      <c r="H35" s="172" t="str">
        <f>IF(E35=F35+G35," ","ERROR")</f>
        <v> </v>
      </c>
    </row>
    <row r="36" spans="1:8" ht="12">
      <c r="A36" s="163">
        <v>22</v>
      </c>
      <c r="B36" s="157" t="s">
        <v>140</v>
      </c>
      <c r="E36" s="173"/>
      <c r="F36" s="173"/>
      <c r="G36" s="173"/>
      <c r="H36" s="172" t="str">
        <f>IF(E36=F36+G36," ","ERROR")</f>
        <v> </v>
      </c>
    </row>
    <row r="37" spans="1:8" ht="12">
      <c r="A37" s="163">
        <v>23</v>
      </c>
      <c r="B37" s="157" t="s">
        <v>141</v>
      </c>
      <c r="E37" s="174"/>
      <c r="F37" s="174"/>
      <c r="G37" s="174"/>
      <c r="H37" s="172" t="str">
        <f>IF(E37=F37+G37," ","ERROR")</f>
        <v> </v>
      </c>
    </row>
    <row r="38" spans="1:8" ht="12">
      <c r="A38" s="163">
        <v>24</v>
      </c>
      <c r="B38" s="157" t="s">
        <v>146</v>
      </c>
      <c r="E38" s="174">
        <f>SUM(E35:E37)</f>
        <v>-7</v>
      </c>
      <c r="F38" s="174">
        <f>SUM(F35:F37)</f>
        <v>-7</v>
      </c>
      <c r="G38" s="174">
        <f>SUM(G35:G37)</f>
        <v>0</v>
      </c>
      <c r="H38" s="172" t="str">
        <f>IF(E38=F38+G38," ","ERROR")</f>
        <v> </v>
      </c>
    </row>
    <row r="39" spans="1:8" ht="12">
      <c r="A39" s="163">
        <v>25</v>
      </c>
      <c r="B39" s="157" t="s">
        <v>92</v>
      </c>
      <c r="E39" s="174">
        <f>E19+E24+E29+E31+E32+E33+E38+E14</f>
        <v>-7</v>
      </c>
      <c r="F39" s="174">
        <f>F19+F24+F29+F31+F32+F33+F38+F14</f>
        <v>-7</v>
      </c>
      <c r="G39" s="174">
        <f>G19+G24+G29+G31+G32+G33+G38+G14</f>
        <v>0</v>
      </c>
      <c r="H39" s="172" t="str">
        <f>IF(E39=F39+G39," ","ERROR")</f>
        <v> </v>
      </c>
    </row>
    <row r="40" spans="1:8" ht="12">
      <c r="A40" s="163"/>
      <c r="E40" s="173"/>
      <c r="F40" s="173"/>
      <c r="G40" s="173"/>
      <c r="H40" s="172"/>
    </row>
    <row r="41" spans="1:8" ht="12">
      <c r="A41" s="163">
        <v>26</v>
      </c>
      <c r="B41" s="157" t="s">
        <v>147</v>
      </c>
      <c r="E41" s="173">
        <f>E11-E39</f>
        <v>7</v>
      </c>
      <c r="F41" s="173">
        <f>F11-F39</f>
        <v>7</v>
      </c>
      <c r="G41" s="173">
        <f>G11-G39</f>
        <v>0</v>
      </c>
      <c r="H41" s="172" t="str">
        <f>IF(E41=F41+G41," ","ERROR")</f>
        <v> </v>
      </c>
    </row>
    <row r="42" spans="1:8" ht="12">
      <c r="A42" s="163"/>
      <c r="E42" s="173"/>
      <c r="F42" s="173"/>
      <c r="G42" s="173"/>
      <c r="H42" s="172"/>
    </row>
    <row r="43" spans="1:8" ht="12">
      <c r="A43" s="163"/>
      <c r="B43" s="157" t="s">
        <v>148</v>
      </c>
      <c r="E43" s="173"/>
      <c r="F43" s="173"/>
      <c r="G43" s="173"/>
      <c r="H43" s="172"/>
    </row>
    <row r="44" spans="1:8" ht="12">
      <c r="A44" s="163">
        <v>27</v>
      </c>
      <c r="B44" s="175" t="s">
        <v>149</v>
      </c>
      <c r="D44" s="176">
        <v>0.35</v>
      </c>
      <c r="E44" s="173">
        <f>F44+G44</f>
        <v>2</v>
      </c>
      <c r="F44" s="173">
        <f>ROUND(F41*D44,0)</f>
        <v>2</v>
      </c>
      <c r="G44" s="173">
        <f>ROUND(G41*D44,0)</f>
        <v>0</v>
      </c>
      <c r="H44" s="172" t="str">
        <f>IF(E44=F44+G44," ","ERROR")</f>
        <v> </v>
      </c>
    </row>
    <row r="45" spans="1:8" ht="12">
      <c r="A45" s="163">
        <v>28</v>
      </c>
      <c r="B45" s="157" t="s">
        <v>151</v>
      </c>
      <c r="E45" s="173"/>
      <c r="F45" s="173"/>
      <c r="G45" s="173"/>
      <c r="H45" s="172" t="str">
        <f>IF(E45=F45+G45," ","ERROR")</f>
        <v> </v>
      </c>
    </row>
    <row r="46" spans="1:8" ht="12">
      <c r="A46" s="163">
        <v>29</v>
      </c>
      <c r="B46" s="157" t="s">
        <v>150</v>
      </c>
      <c r="E46" s="174"/>
      <c r="F46" s="174"/>
      <c r="G46" s="174"/>
      <c r="H46" s="172" t="str">
        <f>IF(E46=F46+G46," ","ERROR")</f>
        <v> </v>
      </c>
    </row>
    <row r="47" spans="1:8" ht="12">
      <c r="A47" s="163"/>
      <c r="H47" s="172"/>
    </row>
    <row r="48" spans="1:8" ht="12.75" thickBot="1">
      <c r="A48" s="163">
        <v>30</v>
      </c>
      <c r="B48" s="179" t="s">
        <v>98</v>
      </c>
      <c r="E48" s="180">
        <f>E41-(+E44+E45+E46)</f>
        <v>5</v>
      </c>
      <c r="F48" s="180">
        <f>F41-F44+F45+F46</f>
        <v>5</v>
      </c>
      <c r="G48" s="180">
        <f>G41-SUM(G44:G46)</f>
        <v>0</v>
      </c>
      <c r="H48" s="172" t="str">
        <f>IF(E48=F48+G48," ","ERROR")</f>
        <v> </v>
      </c>
    </row>
    <row r="49" spans="1:8" ht="12.75" thickTop="1">
      <c r="A49" s="163"/>
      <c r="H49" s="172"/>
    </row>
    <row r="50" spans="1:8" ht="12">
      <c r="A50" s="163"/>
      <c r="B50" s="175" t="s">
        <v>152</v>
      </c>
      <c r="H50" s="172"/>
    </row>
    <row r="51" spans="1:8" ht="12">
      <c r="A51" s="163"/>
      <c r="B51" s="175" t="s">
        <v>153</v>
      </c>
      <c r="H51" s="172"/>
    </row>
    <row r="52" spans="1:8" ht="12">
      <c r="A52" s="163">
        <v>31</v>
      </c>
      <c r="B52" s="157" t="s">
        <v>154</v>
      </c>
      <c r="E52" s="171"/>
      <c r="F52" s="171"/>
      <c r="G52" s="171"/>
      <c r="H52" s="172" t="str">
        <f aca="true" t="shared" si="0" ref="H52:H63">IF(E52=F52+G52," ","ERROR")</f>
        <v> </v>
      </c>
    </row>
    <row r="53" spans="1:8" ht="12">
      <c r="A53" s="163">
        <v>32</v>
      </c>
      <c r="B53" s="157" t="s">
        <v>155</v>
      </c>
      <c r="E53" s="173"/>
      <c r="F53" s="173"/>
      <c r="G53" s="173"/>
      <c r="H53" s="172" t="str">
        <f t="shared" si="0"/>
        <v> </v>
      </c>
    </row>
    <row r="54" spans="1:8" ht="12">
      <c r="A54" s="163">
        <v>33</v>
      </c>
      <c r="B54" s="157" t="s">
        <v>164</v>
      </c>
      <c r="E54" s="174"/>
      <c r="F54" s="174"/>
      <c r="G54" s="174"/>
      <c r="H54" s="172" t="str">
        <f t="shared" si="0"/>
        <v> </v>
      </c>
    </row>
    <row r="55" spans="1:8" ht="12">
      <c r="A55" s="163">
        <v>34</v>
      </c>
      <c r="B55" s="157" t="s">
        <v>157</v>
      </c>
      <c r="E55" s="173">
        <f>SUM(E52:E54)</f>
        <v>0</v>
      </c>
      <c r="F55" s="173">
        <f>SUM(F52:F54)</f>
        <v>0</v>
      </c>
      <c r="G55" s="173">
        <f>SUM(G52:G54)</f>
        <v>0</v>
      </c>
      <c r="H55" s="172" t="str">
        <f t="shared" si="0"/>
        <v> </v>
      </c>
    </row>
    <row r="56" spans="1:8" ht="12">
      <c r="A56" s="163"/>
      <c r="B56" s="157" t="s">
        <v>103</v>
      </c>
      <c r="E56" s="173"/>
      <c r="F56" s="173"/>
      <c r="G56" s="173"/>
      <c r="H56" s="172" t="str">
        <f t="shared" si="0"/>
        <v> </v>
      </c>
    </row>
    <row r="57" spans="1:8" ht="12">
      <c r="A57" s="163">
        <v>35</v>
      </c>
      <c r="B57" s="157" t="s">
        <v>154</v>
      </c>
      <c r="E57" s="173"/>
      <c r="F57" s="173"/>
      <c r="G57" s="173"/>
      <c r="H57" s="172" t="str">
        <f t="shared" si="0"/>
        <v> </v>
      </c>
    </row>
    <row r="58" spans="1:8" ht="12">
      <c r="A58" s="163">
        <v>36</v>
      </c>
      <c r="B58" s="157" t="s">
        <v>155</v>
      </c>
      <c r="E58" s="173"/>
      <c r="F58" s="173"/>
      <c r="G58" s="173"/>
      <c r="H58" s="172" t="str">
        <f t="shared" si="0"/>
        <v> </v>
      </c>
    </row>
    <row r="59" spans="1:8" ht="12">
      <c r="A59" s="163">
        <v>37</v>
      </c>
      <c r="B59" s="157" t="s">
        <v>164</v>
      </c>
      <c r="E59" s="174"/>
      <c r="F59" s="174"/>
      <c r="G59" s="174"/>
      <c r="H59" s="172" t="str">
        <f t="shared" si="0"/>
        <v> </v>
      </c>
    </row>
    <row r="60" spans="1:8" ht="12">
      <c r="A60" s="163">
        <v>38</v>
      </c>
      <c r="B60" s="157" t="s">
        <v>158</v>
      </c>
      <c r="E60" s="173">
        <f>SUM(E57:E59)</f>
        <v>0</v>
      </c>
      <c r="F60" s="173">
        <f>SUM(F57:F59)</f>
        <v>0</v>
      </c>
      <c r="G60" s="173">
        <f>SUM(G57:G59)</f>
        <v>0</v>
      </c>
      <c r="H60" s="172" t="str">
        <f t="shared" si="0"/>
        <v> </v>
      </c>
    </row>
    <row r="61" spans="1:8" ht="12">
      <c r="A61" s="163">
        <v>39</v>
      </c>
      <c r="B61" s="175" t="s">
        <v>159</v>
      </c>
      <c r="E61" s="173"/>
      <c r="F61" s="173"/>
      <c r="G61" s="173"/>
      <c r="H61" s="172" t="str">
        <f t="shared" si="0"/>
        <v> </v>
      </c>
    </row>
    <row r="62" spans="1:8" ht="12">
      <c r="A62" s="163">
        <v>40</v>
      </c>
      <c r="B62" s="157" t="s">
        <v>106</v>
      </c>
      <c r="E62" s="173"/>
      <c r="F62" s="173"/>
      <c r="G62" s="173"/>
      <c r="H62" s="172" t="str">
        <f t="shared" si="0"/>
        <v> </v>
      </c>
    </row>
    <row r="63" spans="1:8" ht="12">
      <c r="A63" s="163">
        <v>41</v>
      </c>
      <c r="B63" s="175" t="s">
        <v>107</v>
      </c>
      <c r="E63" s="174"/>
      <c r="F63" s="174"/>
      <c r="G63" s="174"/>
      <c r="H63" s="172" t="str">
        <f t="shared" si="0"/>
        <v> </v>
      </c>
    </row>
    <row r="64" spans="1:8" ht="9" customHeight="1">
      <c r="A64" s="163"/>
      <c r="B64" s="157" t="s">
        <v>160</v>
      </c>
      <c r="H64" s="172"/>
    </row>
    <row r="65" spans="1:8" ht="12.75" thickBot="1">
      <c r="A65" s="163">
        <v>42</v>
      </c>
      <c r="B65" s="179" t="s">
        <v>108</v>
      </c>
      <c r="E65" s="180">
        <f>E55-E60+E61+E62+E63</f>
        <v>0</v>
      </c>
      <c r="F65" s="180">
        <f>F55-F60+F61+F62+F63</f>
        <v>0</v>
      </c>
      <c r="G65" s="180">
        <f>G55-G60+G61+G62+G63</f>
        <v>0</v>
      </c>
      <c r="H65" s="172" t="str">
        <f>IF(E65=F65+G65," ","ERROR")</f>
        <v> </v>
      </c>
    </row>
    <row r="66" spans="1:3" ht="10.5" customHeight="1" thickTop="1">
      <c r="A66" s="156" t="str">
        <f>Inputs!$D$6</f>
        <v>AVISTA UTILITIES</v>
      </c>
      <c r="B66" s="156"/>
      <c r="C66" s="156"/>
    </row>
    <row r="67" spans="1:3" ht="10.5" customHeight="1">
      <c r="A67" s="156" t="s">
        <v>168</v>
      </c>
      <c r="B67" s="156"/>
      <c r="C67" s="156"/>
    </row>
    <row r="68" spans="1:3" ht="10.5" customHeight="1">
      <c r="A68" s="156" t="str">
        <f>A3</f>
        <v>TWELVE MONTHS ENDED DECEMBER 31, 2004</v>
      </c>
      <c r="B68" s="156"/>
      <c r="C68" s="156"/>
    </row>
    <row r="69" spans="1:3" ht="10.5" customHeight="1">
      <c r="A69" s="156" t="s">
        <v>169</v>
      </c>
      <c r="B69" s="156"/>
      <c r="C69" s="156"/>
    </row>
    <row r="71" ht="10.5" customHeight="1">
      <c r="A71" s="163" t="s">
        <v>11</v>
      </c>
    </row>
    <row r="72" spans="1:3" ht="10.5" customHeight="1">
      <c r="A72" s="181" t="s">
        <v>29</v>
      </c>
      <c r="B72" s="166" t="s">
        <v>114</v>
      </c>
      <c r="C72" s="166"/>
    </row>
    <row r="73" spans="1:2" ht="10.5" customHeight="1">
      <c r="A73" s="163"/>
      <c r="B73" s="157" t="s">
        <v>69</v>
      </c>
    </row>
    <row r="74" spans="1:2" ht="10.5" customHeight="1">
      <c r="A74" s="163">
        <v>1</v>
      </c>
      <c r="B74" s="157" t="s">
        <v>131</v>
      </c>
    </row>
    <row r="75" spans="1:2" ht="10.5" customHeight="1">
      <c r="A75" s="163">
        <v>2</v>
      </c>
      <c r="B75" s="157" t="s">
        <v>132</v>
      </c>
    </row>
    <row r="76" spans="1:2" ht="10.5" customHeight="1">
      <c r="A76" s="163">
        <v>3</v>
      </c>
      <c r="B76" s="157" t="s">
        <v>72</v>
      </c>
    </row>
    <row r="77" ht="10.5" customHeight="1">
      <c r="A77" s="163"/>
    </row>
    <row r="78" spans="1:2" ht="10.5" customHeight="1">
      <c r="A78" s="163">
        <v>4</v>
      </c>
      <c r="B78" s="157" t="s">
        <v>133</v>
      </c>
    </row>
    <row r="79" ht="10.5" customHeight="1">
      <c r="A79" s="163"/>
    </row>
    <row r="80" spans="1:2" ht="10.5" customHeight="1">
      <c r="A80" s="163"/>
      <c r="B80" s="157" t="s">
        <v>74</v>
      </c>
    </row>
    <row r="81" spans="1:2" ht="10.5" customHeight="1">
      <c r="A81" s="163">
        <v>5</v>
      </c>
      <c r="B81" s="157" t="s">
        <v>134</v>
      </c>
    </row>
    <row r="82" spans="1:2" ht="10.5" customHeight="1">
      <c r="A82" s="163"/>
      <c r="B82" s="157" t="s">
        <v>76</v>
      </c>
    </row>
    <row r="83" spans="1:2" ht="10.5" customHeight="1">
      <c r="A83" s="163">
        <v>6</v>
      </c>
      <c r="B83" s="157" t="s">
        <v>135</v>
      </c>
    </row>
    <row r="84" spans="1:2" ht="10.5" customHeight="1">
      <c r="A84" s="163">
        <v>7</v>
      </c>
      <c r="B84" s="157" t="s">
        <v>136</v>
      </c>
    </row>
    <row r="85" spans="1:2" ht="10.5" customHeight="1">
      <c r="A85" s="163">
        <v>8</v>
      </c>
      <c r="B85" s="157" t="s">
        <v>137</v>
      </c>
    </row>
    <row r="86" spans="1:2" ht="10.5" customHeight="1">
      <c r="A86" s="163">
        <v>9</v>
      </c>
      <c r="B86" s="157" t="s">
        <v>138</v>
      </c>
    </row>
    <row r="87" spans="1:2" ht="10.5" customHeight="1">
      <c r="A87" s="163"/>
      <c r="B87" s="157" t="s">
        <v>81</v>
      </c>
    </row>
    <row r="88" spans="1:2" ht="10.5" customHeight="1">
      <c r="A88" s="163">
        <v>10</v>
      </c>
      <c r="B88" s="157" t="s">
        <v>139</v>
      </c>
    </row>
    <row r="89" spans="1:2" ht="10.5" customHeight="1">
      <c r="A89" s="163">
        <v>11</v>
      </c>
      <c r="B89" s="157" t="s">
        <v>140</v>
      </c>
    </row>
    <row r="90" spans="1:2" ht="10.5" customHeight="1">
      <c r="A90" s="163">
        <v>12</v>
      </c>
      <c r="B90" s="157" t="s">
        <v>141</v>
      </c>
    </row>
    <row r="91" spans="1:2" ht="10.5" customHeight="1">
      <c r="A91" s="163">
        <v>13</v>
      </c>
      <c r="B91" s="157" t="s">
        <v>142</v>
      </c>
    </row>
    <row r="92" spans="1:2" ht="10.5" customHeight="1">
      <c r="A92" s="163"/>
      <c r="B92" s="157" t="s">
        <v>85</v>
      </c>
    </row>
    <row r="93" spans="1:2" ht="10.5" customHeight="1">
      <c r="A93" s="163">
        <v>14</v>
      </c>
      <c r="B93" s="157" t="s">
        <v>139</v>
      </c>
    </row>
    <row r="94" spans="1:2" ht="10.5" customHeight="1">
      <c r="A94" s="163">
        <v>15</v>
      </c>
      <c r="B94" s="157" t="s">
        <v>140</v>
      </c>
    </row>
    <row r="95" spans="1:2" ht="10.5" customHeight="1">
      <c r="A95" s="163">
        <v>16</v>
      </c>
      <c r="B95" s="157" t="s">
        <v>141</v>
      </c>
    </row>
    <row r="96" spans="1:2" ht="10.5" customHeight="1">
      <c r="A96" s="163">
        <v>17</v>
      </c>
      <c r="B96" s="157" t="s">
        <v>143</v>
      </c>
    </row>
    <row r="97" spans="1:2" ht="10.5" customHeight="1">
      <c r="A97" s="163">
        <v>18</v>
      </c>
      <c r="B97" s="157" t="s">
        <v>87</v>
      </c>
    </row>
    <row r="98" spans="1:2" ht="10.5" customHeight="1">
      <c r="A98" s="163">
        <v>19</v>
      </c>
      <c r="B98" s="157" t="s">
        <v>88</v>
      </c>
    </row>
    <row r="99" spans="1:2" ht="10.5" customHeight="1">
      <c r="A99" s="163">
        <v>20</v>
      </c>
      <c r="B99" s="157" t="s">
        <v>144</v>
      </c>
    </row>
    <row r="100" spans="1:2" ht="10.5" customHeight="1">
      <c r="A100" s="163"/>
      <c r="B100" s="157" t="s">
        <v>145</v>
      </c>
    </row>
    <row r="101" spans="1:2" ht="10.5" customHeight="1">
      <c r="A101" s="163">
        <v>21</v>
      </c>
      <c r="B101" s="157" t="s">
        <v>139</v>
      </c>
    </row>
    <row r="102" spans="1:2" ht="10.5" customHeight="1">
      <c r="A102" s="163">
        <v>22</v>
      </c>
      <c r="B102" s="157" t="s">
        <v>140</v>
      </c>
    </row>
    <row r="103" spans="1:2" ht="10.5" customHeight="1">
      <c r="A103" s="163">
        <v>23</v>
      </c>
      <c r="B103" s="157" t="s">
        <v>141</v>
      </c>
    </row>
    <row r="104" spans="1:2" ht="10.5" customHeight="1">
      <c r="A104" s="163">
        <v>24</v>
      </c>
      <c r="B104" s="157" t="s">
        <v>146</v>
      </c>
    </row>
    <row r="105" ht="10.5" customHeight="1">
      <c r="A105" s="163"/>
    </row>
    <row r="106" spans="1:2" ht="10.5" customHeight="1">
      <c r="A106" s="163">
        <v>25</v>
      </c>
      <c r="B106" s="157" t="s">
        <v>92</v>
      </c>
    </row>
    <row r="107" ht="10.5" customHeight="1">
      <c r="A107" s="163"/>
    </row>
    <row r="108" spans="1:2" ht="10.5" customHeight="1">
      <c r="A108" s="163">
        <v>26</v>
      </c>
      <c r="B108" s="157" t="s">
        <v>170</v>
      </c>
    </row>
    <row r="109" ht="10.5" customHeight="1">
      <c r="A109" s="163"/>
    </row>
    <row r="110" spans="1:2" ht="10.5" customHeight="1">
      <c r="A110" s="163">
        <v>27</v>
      </c>
      <c r="B110" s="157" t="s">
        <v>171</v>
      </c>
    </row>
    <row r="111" spans="1:3" ht="10.5" customHeight="1">
      <c r="A111" s="163"/>
      <c r="B111" s="182" t="s">
        <v>172</v>
      </c>
      <c r="C111" s="183">
        <f>Inputs!$D$4</f>
        <v>0.01065</v>
      </c>
    </row>
    <row r="112" ht="10.5" customHeight="1">
      <c r="A112" s="163"/>
    </row>
  </sheetData>
  <printOptions horizontalCentered="1"/>
  <pageMargins left="1" right="1" top="0.5" bottom="0.5" header="0.5" footer="0.5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8">
      <selection activeCell="F35" sqref="F35"/>
    </sheetView>
  </sheetViews>
  <sheetFormatPr defaultColWidth="9.140625" defaultRowHeight="12" customHeight="1"/>
  <cols>
    <col min="1" max="1" width="4.57421875" style="200" customWidth="1"/>
    <col min="2" max="2" width="28.57421875" style="200" customWidth="1"/>
    <col min="3" max="3" width="10.00390625" style="200" customWidth="1"/>
    <col min="4" max="4" width="9.140625" style="200" customWidth="1"/>
    <col min="5" max="5" width="11.8515625" style="200" customWidth="1"/>
    <col min="6" max="6" width="12.8515625" style="200" customWidth="1"/>
    <col min="7" max="7" width="11.140625" style="200" customWidth="1"/>
    <col min="8" max="16384" width="9.140625" style="200" customWidth="1"/>
  </cols>
  <sheetData>
    <row r="1" spans="1:7" ht="12" customHeight="1">
      <c r="A1" s="676" t="str">
        <f>Inputs!$D$6</f>
        <v>AVISTA UTILITIES</v>
      </c>
      <c r="B1" s="676"/>
      <c r="C1" s="676"/>
      <c r="D1" s="676"/>
      <c r="E1" s="677"/>
      <c r="F1" s="678"/>
      <c r="G1" s="677"/>
    </row>
    <row r="2" spans="1:7" ht="12" customHeight="1">
      <c r="A2" s="676" t="s">
        <v>122</v>
      </c>
      <c r="B2" s="676"/>
      <c r="C2" s="676"/>
      <c r="D2" s="676"/>
      <c r="E2" s="677"/>
      <c r="F2" s="679" t="s">
        <v>193</v>
      </c>
      <c r="G2" s="677"/>
    </row>
    <row r="3" spans="1:6" ht="12" customHeight="1">
      <c r="A3" s="676" t="str">
        <f>Inputs!$D$2</f>
        <v>TWELVE MONTHS ENDED DECEMBER 31, 2004</v>
      </c>
      <c r="B3" s="676"/>
      <c r="C3" s="676"/>
      <c r="D3" s="676"/>
      <c r="E3" s="677"/>
      <c r="F3" s="679" t="s">
        <v>194</v>
      </c>
    </row>
    <row r="4" spans="1:7" ht="12" customHeight="1">
      <c r="A4" s="676" t="s">
        <v>125</v>
      </c>
      <c r="B4" s="676"/>
      <c r="C4" s="676"/>
      <c r="D4" s="676"/>
      <c r="E4" s="680"/>
      <c r="F4" s="681" t="s">
        <v>126</v>
      </c>
      <c r="G4" s="680"/>
    </row>
    <row r="5" spans="1:7" ht="12" customHeight="1">
      <c r="A5" s="223" t="s">
        <v>11</v>
      </c>
      <c r="E5" s="677"/>
      <c r="F5" s="679"/>
      <c r="G5" s="677"/>
    </row>
    <row r="6" spans="1:8" ht="12" customHeight="1">
      <c r="A6" s="682" t="s">
        <v>29</v>
      </c>
      <c r="B6" s="683" t="s">
        <v>114</v>
      </c>
      <c r="C6" s="683"/>
      <c r="E6" s="684" t="s">
        <v>127</v>
      </c>
      <c r="F6" s="685" t="s">
        <v>128</v>
      </c>
      <c r="G6" s="684" t="s">
        <v>129</v>
      </c>
      <c r="H6" s="686" t="s">
        <v>130</v>
      </c>
    </row>
    <row r="7" spans="1:7" ht="12" customHeight="1">
      <c r="A7" s="223"/>
      <c r="B7" s="200" t="s">
        <v>69</v>
      </c>
      <c r="E7" s="687"/>
      <c r="F7" s="679"/>
      <c r="G7" s="687"/>
    </row>
    <row r="8" spans="1:8" ht="12" customHeight="1">
      <c r="A8" s="223">
        <v>1</v>
      </c>
      <c r="B8" s="200" t="s">
        <v>131</v>
      </c>
      <c r="E8" s="688"/>
      <c r="F8" s="688"/>
      <c r="G8" s="688"/>
      <c r="H8" s="689" t="str">
        <f>IF(E8=F8+G8," ","ERROR")</f>
        <v> </v>
      </c>
    </row>
    <row r="9" spans="1:8" ht="12" customHeight="1">
      <c r="A9" s="223">
        <v>2</v>
      </c>
      <c r="B9" s="200" t="s">
        <v>132</v>
      </c>
      <c r="E9" s="688"/>
      <c r="F9" s="688"/>
      <c r="G9" s="688"/>
      <c r="H9" s="689" t="str">
        <f>IF(E9=F9+G9," ","ERROR")</f>
        <v> </v>
      </c>
    </row>
    <row r="10" spans="1:8" ht="12" customHeight="1">
      <c r="A10" s="223">
        <v>3</v>
      </c>
      <c r="B10" s="200" t="s">
        <v>72</v>
      </c>
      <c r="E10" s="690"/>
      <c r="F10" s="690"/>
      <c r="G10" s="690"/>
      <c r="H10" s="689" t="str">
        <f>IF(E10=F10+G10," ","ERROR")</f>
        <v> </v>
      </c>
    </row>
    <row r="11" spans="1:8" ht="12" customHeight="1">
      <c r="A11" s="223">
        <v>4</v>
      </c>
      <c r="B11" s="200" t="s">
        <v>133</v>
      </c>
      <c r="E11" s="688">
        <f>SUM(E8:E10)</f>
        <v>0</v>
      </c>
      <c r="F11" s="688">
        <f>SUM(F8:F10)</f>
        <v>0</v>
      </c>
      <c r="G11" s="688">
        <f>SUM(G8:G10)</f>
        <v>0</v>
      </c>
      <c r="H11" s="689" t="str">
        <f>IF(E11=F11+G11," ","ERROR")</f>
        <v> </v>
      </c>
    </row>
    <row r="12" spans="1:8" ht="12" customHeight="1">
      <c r="A12" s="223"/>
      <c r="E12" s="688"/>
      <c r="F12" s="688"/>
      <c r="G12" s="688"/>
      <c r="H12" s="689"/>
    </row>
    <row r="13" spans="1:8" ht="12" customHeight="1">
      <c r="A13" s="223"/>
      <c r="B13" s="200" t="s">
        <v>74</v>
      </c>
      <c r="E13" s="688"/>
      <c r="F13" s="688"/>
      <c r="G13" s="688"/>
      <c r="H13" s="689"/>
    </row>
    <row r="14" spans="1:8" ht="12" customHeight="1">
      <c r="A14" s="223">
        <v>5</v>
      </c>
      <c r="B14" s="200" t="s">
        <v>134</v>
      </c>
      <c r="E14" s="688"/>
      <c r="F14" s="688"/>
      <c r="G14" s="688"/>
      <c r="H14" s="689" t="str">
        <f>IF(E14=F14+G14," ","ERROR")</f>
        <v> </v>
      </c>
    </row>
    <row r="15" spans="1:8" ht="12" customHeight="1">
      <c r="A15" s="223"/>
      <c r="B15" s="200" t="s">
        <v>76</v>
      </c>
      <c r="E15" s="688"/>
      <c r="F15" s="688"/>
      <c r="G15" s="688"/>
      <c r="H15" s="689"/>
    </row>
    <row r="16" spans="1:8" ht="12" customHeight="1">
      <c r="A16" s="223">
        <v>6</v>
      </c>
      <c r="B16" s="200" t="s">
        <v>135</v>
      </c>
      <c r="E16" s="688"/>
      <c r="F16" s="688"/>
      <c r="G16" s="688"/>
      <c r="H16" s="689" t="str">
        <f>IF(E16=F16+G16," ","ERROR")</f>
        <v> </v>
      </c>
    </row>
    <row r="17" spans="1:8" ht="12" customHeight="1">
      <c r="A17" s="223">
        <v>7</v>
      </c>
      <c r="B17" s="200" t="s">
        <v>136</v>
      </c>
      <c r="E17" s="688"/>
      <c r="F17" s="688"/>
      <c r="G17" s="688"/>
      <c r="H17" s="689" t="str">
        <f>IF(E17=F17+G17," ","ERROR")</f>
        <v> </v>
      </c>
    </row>
    <row r="18" spans="1:8" ht="12" customHeight="1">
      <c r="A18" s="223">
        <v>8</v>
      </c>
      <c r="B18" s="200" t="s">
        <v>137</v>
      </c>
      <c r="E18" s="690"/>
      <c r="F18" s="690"/>
      <c r="G18" s="690"/>
      <c r="H18" s="689" t="str">
        <f>IF(E18=F18+G18," ","ERROR")</f>
        <v> </v>
      </c>
    </row>
    <row r="19" spans="1:8" ht="12" customHeight="1">
      <c r="A19" s="223">
        <v>9</v>
      </c>
      <c r="B19" s="200" t="s">
        <v>138</v>
      </c>
      <c r="E19" s="688">
        <f>SUM(E16:E18)</f>
        <v>0</v>
      </c>
      <c r="F19" s="688">
        <f>SUM(F16:F18)</f>
        <v>0</v>
      </c>
      <c r="G19" s="688">
        <f>SUM(G16:G18)</f>
        <v>0</v>
      </c>
      <c r="H19" s="689" t="str">
        <f>IF(E19=F19+G19," ","ERROR")</f>
        <v> </v>
      </c>
    </row>
    <row r="20" spans="1:8" ht="12" customHeight="1">
      <c r="A20" s="223"/>
      <c r="B20" s="200" t="s">
        <v>81</v>
      </c>
      <c r="E20" s="688"/>
      <c r="F20" s="688"/>
      <c r="G20" s="688"/>
      <c r="H20" s="689"/>
    </row>
    <row r="21" spans="1:8" ht="12" customHeight="1">
      <c r="A21" s="223">
        <v>10</v>
      </c>
      <c r="B21" s="200" t="s">
        <v>139</v>
      </c>
      <c r="E21" s="688"/>
      <c r="F21" s="688"/>
      <c r="G21" s="688"/>
      <c r="H21" s="689" t="str">
        <f>IF(E21=F21+G21," ","ERROR")</f>
        <v> </v>
      </c>
    </row>
    <row r="22" spans="1:8" ht="12" customHeight="1">
      <c r="A22" s="223">
        <v>11</v>
      </c>
      <c r="B22" s="200" t="s">
        <v>140</v>
      </c>
      <c r="E22" s="688"/>
      <c r="F22" s="688"/>
      <c r="G22" s="688"/>
      <c r="H22" s="689" t="str">
        <f>IF(E22=F22+G22," ","ERROR")</f>
        <v> </v>
      </c>
    </row>
    <row r="23" spans="1:8" ht="12" customHeight="1">
      <c r="A23" s="223">
        <v>12</v>
      </c>
      <c r="B23" s="200" t="s">
        <v>141</v>
      </c>
      <c r="E23" s="690"/>
      <c r="F23" s="690"/>
      <c r="G23" s="690"/>
      <c r="H23" s="689" t="str">
        <f>IF(E23=F23+G23," ","ERROR")</f>
        <v> </v>
      </c>
    </row>
    <row r="24" spans="1:8" ht="12" customHeight="1">
      <c r="A24" s="223">
        <v>13</v>
      </c>
      <c r="B24" s="200" t="s">
        <v>142</v>
      </c>
      <c r="E24" s="688">
        <f>SUM(E21:E23)</f>
        <v>0</v>
      </c>
      <c r="F24" s="688">
        <f>SUM(F21:F23)</f>
        <v>0</v>
      </c>
      <c r="G24" s="688">
        <f>SUM(G21:G23)</f>
        <v>0</v>
      </c>
      <c r="H24" s="689" t="str">
        <f>IF(E24=F24+G24," ","ERROR")</f>
        <v> </v>
      </c>
    </row>
    <row r="25" spans="1:8" ht="12" customHeight="1">
      <c r="A25" s="223"/>
      <c r="B25" s="200" t="s">
        <v>85</v>
      </c>
      <c r="E25" s="688"/>
      <c r="F25" s="688"/>
      <c r="G25" s="688"/>
      <c r="H25" s="689"/>
    </row>
    <row r="26" spans="1:8" ht="12" customHeight="1">
      <c r="A26" s="223">
        <v>14</v>
      </c>
      <c r="B26" s="200" t="s">
        <v>139</v>
      </c>
      <c r="E26" s="688"/>
      <c r="F26" s="688"/>
      <c r="G26" s="688"/>
      <c r="H26" s="689" t="str">
        <f>IF(E26=F26+G26," ","ERROR")</f>
        <v> </v>
      </c>
    </row>
    <row r="27" spans="1:8" ht="12" customHeight="1">
      <c r="A27" s="223">
        <v>15</v>
      </c>
      <c r="B27" s="200" t="s">
        <v>140</v>
      </c>
      <c r="E27" s="688"/>
      <c r="F27" s="688"/>
      <c r="G27" s="688"/>
      <c r="H27" s="689" t="str">
        <f>IF(E27=F27+G27," ","ERROR")</f>
        <v> </v>
      </c>
    </row>
    <row r="28" spans="1:8" ht="12" customHeight="1">
      <c r="A28" s="223">
        <v>16</v>
      </c>
      <c r="B28" s="200" t="s">
        <v>141</v>
      </c>
      <c r="E28" s="228">
        <f>F28+G28</f>
        <v>169</v>
      </c>
      <c r="F28" s="229">
        <v>169</v>
      </c>
      <c r="G28" s="228">
        <v>0</v>
      </c>
      <c r="H28" s="689" t="str">
        <f>IF(E28=F28+G28," ","ERROR")</f>
        <v> </v>
      </c>
    </row>
    <row r="29" spans="1:8" ht="12" customHeight="1">
      <c r="A29" s="223">
        <v>17</v>
      </c>
      <c r="B29" s="200" t="s">
        <v>143</v>
      </c>
      <c r="E29" s="756">
        <f>SUM(E26:E28)</f>
        <v>169</v>
      </c>
      <c r="F29" s="757">
        <f>SUM(F26:F28)</f>
        <v>169</v>
      </c>
      <c r="G29" s="756">
        <f>SUM(G26:G28)</f>
        <v>0</v>
      </c>
      <c r="H29" s="689" t="str">
        <f>IF(E29=F29+G29," ","ERROR")</f>
        <v> </v>
      </c>
    </row>
    <row r="30" spans="1:8" ht="12" customHeight="1">
      <c r="A30" s="223"/>
      <c r="E30" s="691"/>
      <c r="F30" s="691"/>
      <c r="G30" s="691"/>
      <c r="H30" s="689"/>
    </row>
    <row r="31" spans="1:8" ht="12" customHeight="1">
      <c r="A31" s="223">
        <v>18</v>
      </c>
      <c r="B31" s="200" t="s">
        <v>87</v>
      </c>
      <c r="E31" s="691"/>
      <c r="F31" s="691"/>
      <c r="G31" s="691"/>
      <c r="H31" s="689" t="str">
        <f>IF(E31=F31+G31," ","ERROR")</f>
        <v> </v>
      </c>
    </row>
    <row r="32" spans="1:8" ht="12" customHeight="1">
      <c r="A32" s="223">
        <v>19</v>
      </c>
      <c r="B32" s="200" t="s">
        <v>88</v>
      </c>
      <c r="E32" s="229">
        <f>F32+G32</f>
        <v>-419</v>
      </c>
      <c r="F32" s="229">
        <v>-419</v>
      </c>
      <c r="G32" s="691">
        <v>0</v>
      </c>
      <c r="H32" s="689" t="str">
        <f>IF(E32=F32+G32," ","ERROR")</f>
        <v> </v>
      </c>
    </row>
    <row r="33" spans="1:8" ht="12" customHeight="1">
      <c r="A33" s="223">
        <v>20</v>
      </c>
      <c r="B33" s="200" t="s">
        <v>144</v>
      </c>
      <c r="E33" s="691"/>
      <c r="F33" s="691"/>
      <c r="G33" s="691"/>
      <c r="H33" s="689" t="str">
        <f>IF(E33=F33+G33," ","ERROR")</f>
        <v> </v>
      </c>
    </row>
    <row r="34" spans="1:8" ht="12" customHeight="1">
      <c r="A34" s="223"/>
      <c r="B34" s="200" t="s">
        <v>145</v>
      </c>
      <c r="E34" s="691"/>
      <c r="F34" s="691"/>
      <c r="G34" s="691"/>
      <c r="H34" s="689"/>
    </row>
    <row r="35" spans="1:8" ht="12" customHeight="1">
      <c r="A35" s="223">
        <v>21</v>
      </c>
      <c r="B35" s="200" t="s">
        <v>139</v>
      </c>
      <c r="E35" s="688">
        <f>F35+G35</f>
        <v>-902</v>
      </c>
      <c r="F35" s="688">
        <v>-902</v>
      </c>
      <c r="G35" s="688"/>
      <c r="H35" s="689" t="str">
        <f>IF(E35=F35+G35," ","ERROR")</f>
        <v> </v>
      </c>
    </row>
    <row r="36" spans="1:8" ht="12" customHeight="1">
      <c r="A36" s="223">
        <v>22</v>
      </c>
      <c r="B36" s="200" t="s">
        <v>140</v>
      </c>
      <c r="E36" s="691"/>
      <c r="F36" s="691"/>
      <c r="G36" s="691"/>
      <c r="H36" s="689" t="str">
        <f>IF(E36=F36+G36," ","ERROR")</f>
        <v> </v>
      </c>
    </row>
    <row r="37" spans="1:8" ht="12" customHeight="1">
      <c r="A37" s="223">
        <v>23</v>
      </c>
      <c r="B37" s="200" t="s">
        <v>141</v>
      </c>
      <c r="E37" s="692"/>
      <c r="F37" s="692"/>
      <c r="G37" s="692"/>
      <c r="H37" s="689" t="str">
        <f>IF(E37=F37+G37," ","ERROR")</f>
        <v> </v>
      </c>
    </row>
    <row r="38" spans="1:8" ht="12" customHeight="1">
      <c r="A38" s="223">
        <v>24</v>
      </c>
      <c r="B38" s="200" t="s">
        <v>146</v>
      </c>
      <c r="E38" s="690">
        <f>SUM(E35:E37)</f>
        <v>-902</v>
      </c>
      <c r="F38" s="690">
        <f>SUM(F35:F37)</f>
        <v>-902</v>
      </c>
      <c r="G38" s="690">
        <f>SUM(G35:G37)</f>
        <v>0</v>
      </c>
      <c r="H38" s="689" t="str">
        <f>IF(E38=F38+G38," ","ERROR")</f>
        <v> </v>
      </c>
    </row>
    <row r="39" spans="1:8" ht="12" customHeight="1">
      <c r="A39" s="223">
        <v>25</v>
      </c>
      <c r="B39" s="200" t="s">
        <v>92</v>
      </c>
      <c r="E39" s="690">
        <f>E19+E24+E29+E31+E32+E33+E38+E14</f>
        <v>-1152</v>
      </c>
      <c r="F39" s="690">
        <f>F19+F24+F29+F31+F32+F33+F38+F14</f>
        <v>-1152</v>
      </c>
      <c r="G39" s="690">
        <f>G19+G24+G29+G31+G32+G33+G38+G14</f>
        <v>0</v>
      </c>
      <c r="H39" s="689" t="str">
        <f>IF(E39=F39+G39," ","ERROR")</f>
        <v> </v>
      </c>
    </row>
    <row r="40" spans="1:8" ht="12" customHeight="1">
      <c r="A40" s="223"/>
      <c r="E40" s="688"/>
      <c r="F40" s="688"/>
      <c r="G40" s="688"/>
      <c r="H40" s="689"/>
    </row>
    <row r="41" spans="1:8" ht="12" customHeight="1">
      <c r="A41" s="223">
        <v>26</v>
      </c>
      <c r="B41" s="200" t="s">
        <v>147</v>
      </c>
      <c r="E41" s="688">
        <f>E11-E39</f>
        <v>1152</v>
      </c>
      <c r="F41" s="688">
        <f>F11-F39</f>
        <v>1152</v>
      </c>
      <c r="G41" s="688">
        <f>G11-G39</f>
        <v>0</v>
      </c>
      <c r="H41" s="689" t="str">
        <f>IF(E41=F41+G41," ","ERROR")</f>
        <v> </v>
      </c>
    </row>
    <row r="42" spans="1:8" ht="12" customHeight="1">
      <c r="A42" s="223"/>
      <c r="E42" s="688"/>
      <c r="F42" s="688"/>
      <c r="G42" s="688"/>
      <c r="H42" s="689"/>
    </row>
    <row r="43" spans="1:8" ht="12" customHeight="1">
      <c r="A43" s="223"/>
      <c r="B43" s="200" t="s">
        <v>148</v>
      </c>
      <c r="E43" s="688"/>
      <c r="F43" s="688"/>
      <c r="G43" s="688"/>
      <c r="H43" s="689"/>
    </row>
    <row r="44" spans="1:8" ht="12" customHeight="1">
      <c r="A44" s="223">
        <v>27</v>
      </c>
      <c r="B44" s="693" t="s">
        <v>163</v>
      </c>
      <c r="E44" s="688">
        <f>F44+G44</f>
        <v>403</v>
      </c>
      <c r="F44" s="688">
        <f>ROUND(F41*0.35,0)</f>
        <v>403</v>
      </c>
      <c r="G44" s="688">
        <f>ROUND(G41*0.35,0)</f>
        <v>0</v>
      </c>
      <c r="H44" s="689" t="str">
        <f>IF(E44=F44+G44," ","ERROR")</f>
        <v> </v>
      </c>
    </row>
    <row r="45" spans="1:8" ht="12" customHeight="1">
      <c r="A45" s="223">
        <v>28</v>
      </c>
      <c r="B45" s="200" t="s">
        <v>151</v>
      </c>
      <c r="E45" s="688"/>
      <c r="F45" s="688"/>
      <c r="G45" s="688"/>
      <c r="H45" s="689" t="str">
        <f>IF(E45=F45+G45," ","ERROR")</f>
        <v> </v>
      </c>
    </row>
    <row r="46" spans="1:8" ht="12" customHeight="1">
      <c r="A46" s="223">
        <v>29</v>
      </c>
      <c r="B46" s="200" t="s">
        <v>150</v>
      </c>
      <c r="E46" s="690"/>
      <c r="F46" s="690"/>
      <c r="G46" s="690"/>
      <c r="H46" s="689" t="str">
        <f>IF(E46=F46+G46," ","ERROR")</f>
        <v> </v>
      </c>
    </row>
    <row r="47" spans="1:8" ht="12" customHeight="1">
      <c r="A47" s="223"/>
      <c r="E47" s="688"/>
      <c r="F47" s="688"/>
      <c r="G47" s="688"/>
      <c r="H47" s="689"/>
    </row>
    <row r="48" spans="1:8" ht="12" customHeight="1">
      <c r="A48" s="223">
        <v>30</v>
      </c>
      <c r="B48" s="694" t="s">
        <v>98</v>
      </c>
      <c r="E48" s="688">
        <f>E41-(+E44+E45+E46)</f>
        <v>749</v>
      </c>
      <c r="F48" s="688">
        <f>F41-F44+F45+F46</f>
        <v>749</v>
      </c>
      <c r="G48" s="688">
        <f>G41-SUM(G44:G46)</f>
        <v>0</v>
      </c>
      <c r="H48" s="689" t="str">
        <f>IF(E48=F48+G48," ","ERROR")</f>
        <v> </v>
      </c>
    </row>
    <row r="49" spans="1:8" ht="12" customHeight="1">
      <c r="A49" s="223"/>
      <c r="E49" s="688"/>
      <c r="F49" s="688"/>
      <c r="G49" s="688"/>
      <c r="H49" s="689"/>
    </row>
    <row r="50" spans="1:8" ht="12" customHeight="1">
      <c r="A50" s="223"/>
      <c r="B50" s="693" t="s">
        <v>152</v>
      </c>
      <c r="E50" s="688"/>
      <c r="F50" s="688"/>
      <c r="G50" s="688"/>
      <c r="H50" s="689"/>
    </row>
    <row r="51" spans="1:8" ht="12" customHeight="1">
      <c r="A51" s="223"/>
      <c r="B51" s="693" t="s">
        <v>153</v>
      </c>
      <c r="E51" s="688"/>
      <c r="F51" s="688"/>
      <c r="G51" s="688"/>
      <c r="H51" s="689"/>
    </row>
    <row r="52" spans="1:8" ht="12" customHeight="1">
      <c r="A52" s="223">
        <v>31</v>
      </c>
      <c r="B52" s="200" t="s">
        <v>154</v>
      </c>
      <c r="E52" s="688"/>
      <c r="F52" s="688"/>
      <c r="G52" s="688"/>
      <c r="H52" s="689" t="str">
        <f aca="true" t="shared" si="0" ref="H52:H63">IF(E52=F52+G52," ","ERROR")</f>
        <v> </v>
      </c>
    </row>
    <row r="53" spans="1:8" ht="12" customHeight="1">
      <c r="A53" s="223">
        <v>32</v>
      </c>
      <c r="B53" s="200" t="s">
        <v>155</v>
      </c>
      <c r="E53" s="688"/>
      <c r="F53" s="688"/>
      <c r="G53" s="688"/>
      <c r="H53" s="689" t="str">
        <f t="shared" si="0"/>
        <v> </v>
      </c>
    </row>
    <row r="54" spans="1:8" ht="12" customHeight="1">
      <c r="A54" s="223">
        <v>33</v>
      </c>
      <c r="B54" s="200" t="s">
        <v>164</v>
      </c>
      <c r="E54" s="690"/>
      <c r="F54" s="690"/>
      <c r="G54" s="690"/>
      <c r="H54" s="689" t="str">
        <f t="shared" si="0"/>
        <v> </v>
      </c>
    </row>
    <row r="55" spans="1:8" ht="12" customHeight="1">
      <c r="A55" s="223">
        <v>34</v>
      </c>
      <c r="B55" s="200" t="s">
        <v>157</v>
      </c>
      <c r="E55" s="688">
        <f>SUM(E52:E54)</f>
        <v>0</v>
      </c>
      <c r="F55" s="688">
        <f>SUM(F52:F54)</f>
        <v>0</v>
      </c>
      <c r="G55" s="688">
        <f>SUM(G52:G54)</f>
        <v>0</v>
      </c>
      <c r="H55" s="689" t="str">
        <f t="shared" si="0"/>
        <v> </v>
      </c>
    </row>
    <row r="56" spans="1:8" ht="12" customHeight="1">
      <c r="A56" s="223"/>
      <c r="B56" s="200" t="s">
        <v>103</v>
      </c>
      <c r="E56" s="688"/>
      <c r="F56" s="688"/>
      <c r="G56" s="688"/>
      <c r="H56" s="689" t="str">
        <f t="shared" si="0"/>
        <v> </v>
      </c>
    </row>
    <row r="57" spans="1:8" ht="12" customHeight="1">
      <c r="A57" s="223">
        <v>35</v>
      </c>
      <c r="B57" s="200" t="s">
        <v>154</v>
      </c>
      <c r="E57" s="688"/>
      <c r="F57" s="688"/>
      <c r="G57" s="688"/>
      <c r="H57" s="689" t="str">
        <f t="shared" si="0"/>
        <v> </v>
      </c>
    </row>
    <row r="58" spans="1:8" ht="12" customHeight="1">
      <c r="A58" s="223">
        <v>36</v>
      </c>
      <c r="B58" s="200" t="s">
        <v>155</v>
      </c>
      <c r="E58" s="688"/>
      <c r="F58" s="688"/>
      <c r="G58" s="688"/>
      <c r="H58" s="689" t="str">
        <f t="shared" si="0"/>
        <v> </v>
      </c>
    </row>
    <row r="59" spans="1:8" ht="12" customHeight="1">
      <c r="A59" s="223">
        <v>37</v>
      </c>
      <c r="B59" s="200" t="s">
        <v>164</v>
      </c>
      <c r="E59" s="690"/>
      <c r="F59" s="690"/>
      <c r="G59" s="690"/>
      <c r="H59" s="689" t="str">
        <f t="shared" si="0"/>
        <v> </v>
      </c>
    </row>
    <row r="60" spans="1:8" ht="12" customHeight="1">
      <c r="A60" s="223">
        <v>38</v>
      </c>
      <c r="B60" s="200" t="s">
        <v>158</v>
      </c>
      <c r="E60" s="688">
        <f>SUM(E57:E59)</f>
        <v>0</v>
      </c>
      <c r="F60" s="688">
        <f>SUM(F57:F59)</f>
        <v>0</v>
      </c>
      <c r="G60" s="688">
        <f>SUM(G57:G59)</f>
        <v>0</v>
      </c>
      <c r="H60" s="689" t="str">
        <f t="shared" si="0"/>
        <v> </v>
      </c>
    </row>
    <row r="61" spans="1:8" ht="12" customHeight="1">
      <c r="A61" s="223">
        <v>39</v>
      </c>
      <c r="B61" s="693" t="s">
        <v>159</v>
      </c>
      <c r="E61" s="688"/>
      <c r="F61" s="688"/>
      <c r="G61" s="688"/>
      <c r="H61" s="689" t="str">
        <f t="shared" si="0"/>
        <v> </v>
      </c>
    </row>
    <row r="62" spans="1:8" ht="12" customHeight="1">
      <c r="A62" s="223">
        <v>40</v>
      </c>
      <c r="B62" s="200" t="s">
        <v>106</v>
      </c>
      <c r="E62" s="688"/>
      <c r="F62" s="688"/>
      <c r="G62" s="688"/>
      <c r="H62" s="689" t="str">
        <f t="shared" si="0"/>
        <v> </v>
      </c>
    </row>
    <row r="63" spans="1:8" ht="12" customHeight="1">
      <c r="A63" s="223">
        <v>41</v>
      </c>
      <c r="B63" s="693" t="s">
        <v>107</v>
      </c>
      <c r="E63" s="690"/>
      <c r="F63" s="690"/>
      <c r="G63" s="690"/>
      <c r="H63" s="689" t="str">
        <f t="shared" si="0"/>
        <v> </v>
      </c>
    </row>
    <row r="64" spans="1:8" ht="12" customHeight="1">
      <c r="A64" s="223"/>
      <c r="B64" s="200" t="s">
        <v>160</v>
      </c>
      <c r="E64" s="688"/>
      <c r="F64" s="688"/>
      <c r="G64" s="688"/>
      <c r="H64" s="689"/>
    </row>
    <row r="65" spans="1:8" ht="12" customHeight="1" thickBot="1">
      <c r="A65" s="223">
        <v>42</v>
      </c>
      <c r="B65" s="694" t="s">
        <v>108</v>
      </c>
      <c r="E65" s="695">
        <f>E55-E60+E61+E62+E63</f>
        <v>0</v>
      </c>
      <c r="F65" s="695">
        <f>F55-F60+F61+F62+F63</f>
        <v>0</v>
      </c>
      <c r="G65" s="695">
        <f>G55-G60+G61+G62+G63</f>
        <v>0</v>
      </c>
      <c r="H65" s="689" t="str">
        <f>IF(E65=F65+G65," ","ERROR")</f>
        <v> </v>
      </c>
    </row>
    <row r="66" spans="1:7" ht="12" customHeight="1" thickTop="1">
      <c r="A66" s="223"/>
      <c r="E66" s="688"/>
      <c r="F66" s="688"/>
      <c r="G66" s="688"/>
    </row>
  </sheetData>
  <printOptions horizontalCentered="1"/>
  <pageMargins left="1" right="0.75" top="0.5" bottom="0.5" header="0.66" footer="0.45"/>
  <pageSetup horizontalDpi="300" verticalDpi="300" orientation="portrait" scale="90" r:id="rId1"/>
  <rowBreaks count="1" manualBreakCount="1">
    <brk id="65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workbookViewId="0" topLeftCell="A21">
      <selection activeCell="F36" sqref="F36"/>
    </sheetView>
  </sheetViews>
  <sheetFormatPr defaultColWidth="9.140625" defaultRowHeight="10.5" customHeight="1"/>
  <cols>
    <col min="1" max="1" width="5.57421875" style="697" customWidth="1"/>
    <col min="2" max="2" width="26.140625" style="697" customWidth="1"/>
    <col min="3" max="3" width="12.421875" style="697" customWidth="1"/>
    <col min="4" max="4" width="6.7109375" style="697" customWidth="1"/>
    <col min="5" max="5" width="12.421875" style="716" customWidth="1"/>
    <col min="6" max="6" width="12.421875" style="717" customWidth="1"/>
    <col min="7" max="7" width="12.421875" style="716" customWidth="1"/>
    <col min="8" max="16384" width="12.421875" style="697" customWidth="1"/>
  </cols>
  <sheetData>
    <row r="1" spans="1:7" ht="12">
      <c r="A1" s="696" t="str">
        <f>Inputs!$D$6</f>
        <v>AVISTA UTILITIES</v>
      </c>
      <c r="B1" s="696"/>
      <c r="C1" s="696"/>
      <c r="E1" s="698"/>
      <c r="F1" s="699"/>
      <c r="G1" s="698"/>
    </row>
    <row r="2" spans="1:7" ht="12">
      <c r="A2" s="696" t="s">
        <v>122</v>
      </c>
      <c r="B2" s="696"/>
      <c r="C2" s="696"/>
      <c r="E2" s="698"/>
      <c r="F2" s="700" t="s">
        <v>195</v>
      </c>
      <c r="G2" s="698"/>
    </row>
    <row r="3" spans="1:7" ht="12">
      <c r="A3" s="696" t="str">
        <f>Inputs!$D$2</f>
        <v>TWELVE MONTHS ENDED DECEMBER 31, 2004</v>
      </c>
      <c r="B3" s="696"/>
      <c r="C3" s="696"/>
      <c r="E3" s="698"/>
      <c r="F3" s="700" t="s">
        <v>173</v>
      </c>
      <c r="G3" s="697"/>
    </row>
    <row r="4" spans="1:7" ht="12">
      <c r="A4" s="696" t="s">
        <v>125</v>
      </c>
      <c r="B4" s="696"/>
      <c r="C4" s="696"/>
      <c r="E4" s="701"/>
      <c r="F4" s="702" t="s">
        <v>126</v>
      </c>
      <c r="G4" s="701"/>
    </row>
    <row r="5" spans="1:7" ht="12">
      <c r="A5" s="703" t="s">
        <v>11</v>
      </c>
      <c r="E5" s="698"/>
      <c r="F5" s="700"/>
      <c r="G5" s="698"/>
    </row>
    <row r="6" spans="1:8" ht="12">
      <c r="A6" s="704" t="s">
        <v>29</v>
      </c>
      <c r="B6" s="705" t="s">
        <v>114</v>
      </c>
      <c r="C6" s="705"/>
      <c r="E6" s="706" t="s">
        <v>127</v>
      </c>
      <c r="F6" s="707" t="s">
        <v>128</v>
      </c>
      <c r="G6" s="706" t="s">
        <v>129</v>
      </c>
      <c r="H6" s="708" t="s">
        <v>130</v>
      </c>
    </row>
    <row r="7" spans="1:7" ht="12">
      <c r="A7" s="703"/>
      <c r="B7" s="697" t="s">
        <v>69</v>
      </c>
      <c r="E7" s="709"/>
      <c r="F7" s="700"/>
      <c r="G7" s="709"/>
    </row>
    <row r="8" spans="1:8" ht="12">
      <c r="A8" s="703">
        <v>1</v>
      </c>
      <c r="B8" s="697" t="s">
        <v>131</v>
      </c>
      <c r="E8" s="710"/>
      <c r="F8" s="710"/>
      <c r="G8" s="710"/>
      <c r="H8" s="711" t="str">
        <f>IF(E8=F8+G8," ","ERROR")</f>
        <v> </v>
      </c>
    </row>
    <row r="9" spans="1:8" ht="12">
      <c r="A9" s="703">
        <v>2</v>
      </c>
      <c r="B9" s="697" t="s">
        <v>132</v>
      </c>
      <c r="E9" s="712"/>
      <c r="F9" s="712"/>
      <c r="G9" s="712"/>
      <c r="H9" s="711" t="str">
        <f>IF(E9=F9+G9," ","ERROR")</f>
        <v> </v>
      </c>
    </row>
    <row r="10" spans="1:8" ht="12">
      <c r="A10" s="703">
        <v>3</v>
      </c>
      <c r="B10" s="697" t="s">
        <v>72</v>
      </c>
      <c r="E10" s="713"/>
      <c r="F10" s="713"/>
      <c r="G10" s="713"/>
      <c r="H10" s="711" t="str">
        <f>IF(E10=F10+G10," ","ERROR")</f>
        <v> </v>
      </c>
    </row>
    <row r="11" spans="1:8" ht="12">
      <c r="A11" s="703">
        <v>4</v>
      </c>
      <c r="B11" s="697" t="s">
        <v>133</v>
      </c>
      <c r="E11" s="712">
        <f>SUM(E8:E10)</f>
        <v>0</v>
      </c>
      <c r="F11" s="712">
        <f>SUM(F8:F10)</f>
        <v>0</v>
      </c>
      <c r="G11" s="712">
        <f>SUM(G8:G10)</f>
        <v>0</v>
      </c>
      <c r="H11" s="711" t="str">
        <f>IF(E11=F11+G11," ","ERROR")</f>
        <v> </v>
      </c>
    </row>
    <row r="12" spans="1:8" ht="12">
      <c r="A12" s="703"/>
      <c r="E12" s="712"/>
      <c r="F12" s="712"/>
      <c r="G12" s="712"/>
      <c r="H12" s="711"/>
    </row>
    <row r="13" spans="1:8" ht="12">
      <c r="A13" s="703"/>
      <c r="B13" s="697" t="s">
        <v>74</v>
      </c>
      <c r="E13" s="712"/>
      <c r="F13" s="712"/>
      <c r="G13" s="712"/>
      <c r="H13" s="711"/>
    </row>
    <row r="14" spans="1:8" ht="12">
      <c r="A14" s="703">
        <v>5</v>
      </c>
      <c r="B14" s="697" t="s">
        <v>134</v>
      </c>
      <c r="E14" s="712"/>
      <c r="F14" s="712"/>
      <c r="G14" s="712"/>
      <c r="H14" s="711" t="str">
        <f>IF(E14=F14+G14," ","ERROR")</f>
        <v> </v>
      </c>
    </row>
    <row r="15" spans="1:8" ht="12">
      <c r="A15" s="703"/>
      <c r="B15" s="697" t="s">
        <v>76</v>
      </c>
      <c r="E15" s="712"/>
      <c r="F15" s="712"/>
      <c r="G15" s="712"/>
      <c r="H15" s="711"/>
    </row>
    <row r="16" spans="1:8" ht="12">
      <c r="A16" s="703">
        <v>6</v>
      </c>
      <c r="B16" s="697" t="s">
        <v>135</v>
      </c>
      <c r="E16" s="712"/>
      <c r="F16" s="712"/>
      <c r="G16" s="712"/>
      <c r="H16" s="711" t="str">
        <f>IF(E16=F16+G16," ","ERROR")</f>
        <v> </v>
      </c>
    </row>
    <row r="17" spans="1:8" ht="12">
      <c r="A17" s="703">
        <v>7</v>
      </c>
      <c r="B17" s="697" t="s">
        <v>136</v>
      </c>
      <c r="E17" s="712"/>
      <c r="F17" s="712"/>
      <c r="G17" s="712"/>
      <c r="H17" s="711" t="str">
        <f>IF(E17=F17+G17," ","ERROR")</f>
        <v> </v>
      </c>
    </row>
    <row r="18" spans="1:8" ht="12">
      <c r="A18" s="703">
        <v>8</v>
      </c>
      <c r="B18" s="697" t="s">
        <v>137</v>
      </c>
      <c r="E18" s="713"/>
      <c r="F18" s="713"/>
      <c r="G18" s="713"/>
      <c r="H18" s="711" t="str">
        <f>IF(E18=F18+G18," ","ERROR")</f>
        <v> </v>
      </c>
    </row>
    <row r="19" spans="1:8" ht="12">
      <c r="A19" s="703">
        <v>9</v>
      </c>
      <c r="B19" s="697" t="s">
        <v>138</v>
      </c>
      <c r="E19" s="712">
        <f>SUM(E16:E18)</f>
        <v>0</v>
      </c>
      <c r="F19" s="712">
        <f>SUM(F16:F18)</f>
        <v>0</v>
      </c>
      <c r="G19" s="712">
        <f>SUM(G16:G18)</f>
        <v>0</v>
      </c>
      <c r="H19" s="711" t="str">
        <f>IF(E19=F19+G19," ","ERROR")</f>
        <v> </v>
      </c>
    </row>
    <row r="20" spans="1:8" ht="12">
      <c r="A20" s="703"/>
      <c r="B20" s="697" t="s">
        <v>81</v>
      </c>
      <c r="E20" s="712"/>
      <c r="F20" s="712"/>
      <c r="G20" s="712"/>
      <c r="H20" s="711"/>
    </row>
    <row r="21" spans="1:8" ht="12">
      <c r="A21" s="703">
        <v>10</v>
      </c>
      <c r="B21" s="697" t="s">
        <v>139</v>
      </c>
      <c r="E21" s="712"/>
      <c r="F21" s="712"/>
      <c r="G21" s="712"/>
      <c r="H21" s="711" t="str">
        <f>IF(E21=F21+G21," ","ERROR")</f>
        <v> </v>
      </c>
    </row>
    <row r="22" spans="1:8" ht="12">
      <c r="A22" s="703">
        <v>11</v>
      </c>
      <c r="B22" s="697" t="s">
        <v>140</v>
      </c>
      <c r="E22" s="712"/>
      <c r="F22" s="712"/>
      <c r="G22" s="712"/>
      <c r="H22" s="711" t="str">
        <f>IF(E22=F22+G22," ","ERROR")</f>
        <v> </v>
      </c>
    </row>
    <row r="23" spans="1:8" ht="12">
      <c r="A23" s="703">
        <v>12</v>
      </c>
      <c r="B23" s="697" t="s">
        <v>141</v>
      </c>
      <c r="E23" s="713"/>
      <c r="F23" s="713"/>
      <c r="G23" s="713"/>
      <c r="H23" s="711" t="str">
        <f>IF(E23=F23+G23," ","ERROR")</f>
        <v> </v>
      </c>
    </row>
    <row r="24" spans="1:8" ht="12">
      <c r="A24" s="703">
        <v>13</v>
      </c>
      <c r="B24" s="697" t="s">
        <v>142</v>
      </c>
      <c r="E24" s="712">
        <f>SUM(E21:E23)</f>
        <v>0</v>
      </c>
      <c r="F24" s="712">
        <f>SUM(F21:F23)</f>
        <v>0</v>
      </c>
      <c r="G24" s="712">
        <f>SUM(G21:G23)</f>
        <v>0</v>
      </c>
      <c r="H24" s="711" t="str">
        <f>IF(E24=F24+G24," ","ERROR")</f>
        <v> </v>
      </c>
    </row>
    <row r="25" spans="1:8" ht="12">
      <c r="A25" s="703"/>
      <c r="B25" s="697" t="s">
        <v>85</v>
      </c>
      <c r="E25" s="712"/>
      <c r="F25" s="712"/>
      <c r="G25" s="712"/>
      <c r="H25" s="711"/>
    </row>
    <row r="26" spans="1:8" ht="12">
      <c r="A26" s="703">
        <v>14</v>
      </c>
      <c r="B26" s="697" t="s">
        <v>139</v>
      </c>
      <c r="E26" s="712"/>
      <c r="F26" s="712"/>
      <c r="G26" s="712"/>
      <c r="H26" s="711" t="str">
        <f>IF(E26=F26+G26," ","ERROR")</f>
        <v> </v>
      </c>
    </row>
    <row r="27" spans="1:8" ht="12">
      <c r="A27" s="703">
        <v>15</v>
      </c>
      <c r="B27" s="697" t="s">
        <v>140</v>
      </c>
      <c r="E27" s="712"/>
      <c r="F27" s="712"/>
      <c r="G27" s="712"/>
      <c r="H27" s="711" t="str">
        <f>IF(E27=F27+G27," ","ERROR")</f>
        <v> </v>
      </c>
    </row>
    <row r="28" spans="1:8" ht="12">
      <c r="A28" s="703">
        <v>16</v>
      </c>
      <c r="B28" s="697" t="s">
        <v>141</v>
      </c>
      <c r="E28" s="713">
        <f>F28+G28</f>
        <v>0</v>
      </c>
      <c r="F28" s="713"/>
      <c r="G28" s="713"/>
      <c r="H28" s="711" t="str">
        <f>IF(E28=F28+G28," ","ERROR")</f>
        <v> </v>
      </c>
    </row>
    <row r="29" spans="1:8" ht="12">
      <c r="A29" s="703">
        <v>17</v>
      </c>
      <c r="B29" s="697" t="s">
        <v>143</v>
      </c>
      <c r="E29" s="712">
        <f>SUM(E26:E28)</f>
        <v>0</v>
      </c>
      <c r="F29" s="712">
        <f>SUM(F26:F28)</f>
        <v>0</v>
      </c>
      <c r="G29" s="712">
        <f>SUM(G26:G28)</f>
        <v>0</v>
      </c>
      <c r="H29" s="711" t="str">
        <f>IF(E29=F29+G29," ","ERROR")</f>
        <v> </v>
      </c>
    </row>
    <row r="30" spans="1:8" ht="12">
      <c r="A30" s="703"/>
      <c r="E30" s="712"/>
      <c r="F30" s="712"/>
      <c r="G30" s="712"/>
      <c r="H30" s="711"/>
    </row>
    <row r="31" spans="1:8" ht="12">
      <c r="A31" s="703">
        <v>18</v>
      </c>
      <c r="B31" s="697" t="s">
        <v>87</v>
      </c>
      <c r="E31" s="712"/>
      <c r="F31" s="712"/>
      <c r="G31" s="712"/>
      <c r="H31" s="711" t="str">
        <f>IF(E31=F31+G31," ","ERROR")</f>
        <v> </v>
      </c>
    </row>
    <row r="32" spans="1:8" ht="12">
      <c r="A32" s="703">
        <v>19</v>
      </c>
      <c r="B32" s="697" t="s">
        <v>88</v>
      </c>
      <c r="E32" s="712"/>
      <c r="F32" s="712"/>
      <c r="G32" s="712"/>
      <c r="H32" s="711" t="str">
        <f>IF(E32=F32+G32," ","ERROR")</f>
        <v> </v>
      </c>
    </row>
    <row r="33" spans="1:8" ht="12">
      <c r="A33" s="703">
        <v>20</v>
      </c>
      <c r="B33" s="697" t="s">
        <v>144</v>
      </c>
      <c r="E33" s="712"/>
      <c r="F33" s="712"/>
      <c r="G33" s="712"/>
      <c r="H33" s="711" t="str">
        <f>IF(E33=F33+G33," ","ERROR")</f>
        <v> </v>
      </c>
    </row>
    <row r="34" spans="1:8" ht="12">
      <c r="A34" s="703"/>
      <c r="B34" s="697" t="s">
        <v>145</v>
      </c>
      <c r="E34" s="712"/>
      <c r="F34" s="712"/>
      <c r="G34" s="712"/>
      <c r="H34" s="711"/>
    </row>
    <row r="35" spans="1:8" ht="12">
      <c r="A35" s="703">
        <v>21</v>
      </c>
      <c r="B35" s="697" t="s">
        <v>139</v>
      </c>
      <c r="E35" s="712">
        <f>F35+G35</f>
        <v>30</v>
      </c>
      <c r="F35" s="712">
        <v>30</v>
      </c>
      <c r="G35" s="712"/>
      <c r="H35" s="711" t="str">
        <f>IF(E35=F35+G35," ","ERROR")</f>
        <v> </v>
      </c>
    </row>
    <row r="36" spans="1:8" ht="12">
      <c r="A36" s="703">
        <v>22</v>
      </c>
      <c r="B36" s="697" t="s">
        <v>140</v>
      </c>
      <c r="E36" s="712"/>
      <c r="F36" s="712"/>
      <c r="G36" s="712"/>
      <c r="H36" s="711" t="str">
        <f>IF(E36=F36+G36," ","ERROR")</f>
        <v> </v>
      </c>
    </row>
    <row r="37" spans="1:8" ht="12">
      <c r="A37" s="703">
        <v>23</v>
      </c>
      <c r="B37" s="697" t="s">
        <v>141</v>
      </c>
      <c r="E37" s="713"/>
      <c r="F37" s="713"/>
      <c r="G37" s="713"/>
      <c r="H37" s="711" t="str">
        <f>IF(E37=F37+G37," ","ERROR")</f>
        <v> </v>
      </c>
    </row>
    <row r="38" spans="1:8" ht="12">
      <c r="A38" s="703">
        <v>24</v>
      </c>
      <c r="B38" s="697" t="s">
        <v>146</v>
      </c>
      <c r="E38" s="713">
        <f>SUM(E35:E37)</f>
        <v>30</v>
      </c>
      <c r="F38" s="713">
        <f>SUM(F35:F37)</f>
        <v>30</v>
      </c>
      <c r="G38" s="713">
        <f>SUM(G35:G37)</f>
        <v>0</v>
      </c>
      <c r="H38" s="711" t="str">
        <f>IF(E38=F38+G38," ","ERROR")</f>
        <v> </v>
      </c>
    </row>
    <row r="39" spans="1:8" ht="12">
      <c r="A39" s="703">
        <v>25</v>
      </c>
      <c r="B39" s="697" t="s">
        <v>92</v>
      </c>
      <c r="E39" s="713">
        <f>E19+E24+E29+E31+E32+E33+E38+E14</f>
        <v>30</v>
      </c>
      <c r="F39" s="713">
        <f>F19+F24+F29+F31+F32+F33+F38+F14</f>
        <v>30</v>
      </c>
      <c r="G39" s="713">
        <f>G19+G24+G29+G31+G32+G33+G38+G14</f>
        <v>0</v>
      </c>
      <c r="H39" s="711" t="str">
        <f>IF(E39=F39+G39," ","ERROR")</f>
        <v> </v>
      </c>
    </row>
    <row r="40" spans="1:8" ht="12">
      <c r="A40" s="703"/>
      <c r="E40" s="712"/>
      <c r="F40" s="712"/>
      <c r="G40" s="712"/>
      <c r="H40" s="711"/>
    </row>
    <row r="41" spans="1:8" ht="12">
      <c r="A41" s="703">
        <v>26</v>
      </c>
      <c r="B41" s="697" t="s">
        <v>147</v>
      </c>
      <c r="E41" s="712">
        <f>E11-E39</f>
        <v>-30</v>
      </c>
      <c r="F41" s="712">
        <f>F11-F39</f>
        <v>-30</v>
      </c>
      <c r="G41" s="712">
        <f>G11-G39</f>
        <v>0</v>
      </c>
      <c r="H41" s="711" t="str">
        <f>IF(E41=F41+G41," ","ERROR")</f>
        <v> </v>
      </c>
    </row>
    <row r="42" spans="1:8" ht="12">
      <c r="A42" s="703"/>
      <c r="E42" s="712"/>
      <c r="F42" s="712"/>
      <c r="G42" s="712"/>
      <c r="H42" s="711"/>
    </row>
    <row r="43" spans="1:8" ht="12">
      <c r="A43" s="703"/>
      <c r="B43" s="697" t="s">
        <v>148</v>
      </c>
      <c r="E43" s="712"/>
      <c r="F43" s="712"/>
      <c r="G43" s="712"/>
      <c r="H43" s="711"/>
    </row>
    <row r="44" spans="1:8" ht="12">
      <c r="A44" s="703">
        <v>27</v>
      </c>
      <c r="B44" s="714" t="s">
        <v>149</v>
      </c>
      <c r="D44" s="715">
        <v>0.35</v>
      </c>
      <c r="E44" s="712">
        <f>F44+G44</f>
        <v>-11</v>
      </c>
      <c r="F44" s="712">
        <f>ROUND(F41*D44,0)</f>
        <v>-11</v>
      </c>
      <c r="G44" s="712">
        <f>ROUND(G41*D44,0)</f>
        <v>0</v>
      </c>
      <c r="H44" s="711" t="str">
        <f>IF(E44=F44+G44," ","ERROR")</f>
        <v> </v>
      </c>
    </row>
    <row r="45" spans="1:8" ht="12">
      <c r="A45" s="703">
        <v>28</v>
      </c>
      <c r="B45" s="697" t="s">
        <v>151</v>
      </c>
      <c r="E45" s="712"/>
      <c r="F45" s="712"/>
      <c r="G45" s="712"/>
      <c r="H45" s="711" t="str">
        <f>IF(E45=F45+G45," ","ERROR")</f>
        <v> </v>
      </c>
    </row>
    <row r="46" spans="1:8" ht="12">
      <c r="A46" s="703">
        <v>29</v>
      </c>
      <c r="B46" s="697" t="s">
        <v>150</v>
      </c>
      <c r="E46" s="713"/>
      <c r="F46" s="713"/>
      <c r="G46" s="713"/>
      <c r="H46" s="711" t="str">
        <f>IF(E46=F46+G46," ","ERROR")</f>
        <v> </v>
      </c>
    </row>
    <row r="47" spans="1:8" ht="12">
      <c r="A47" s="703"/>
      <c r="H47" s="711"/>
    </row>
    <row r="48" spans="1:8" ht="12.75" thickBot="1">
      <c r="A48" s="703">
        <v>30</v>
      </c>
      <c r="B48" s="718" t="s">
        <v>98</v>
      </c>
      <c r="E48" s="719">
        <f>E41-(+E44+E45+E46)</f>
        <v>-19</v>
      </c>
      <c r="F48" s="719">
        <f>F41-F44+F45+F46</f>
        <v>-19</v>
      </c>
      <c r="G48" s="719">
        <f>G41-SUM(G44:G46)</f>
        <v>0</v>
      </c>
      <c r="H48" s="711" t="str">
        <f>IF(E48=F48+G48," ","ERROR")</f>
        <v> </v>
      </c>
    </row>
    <row r="49" spans="1:8" ht="12.75" thickTop="1">
      <c r="A49" s="703"/>
      <c r="H49" s="711"/>
    </row>
    <row r="50" spans="1:8" ht="12">
      <c r="A50" s="703"/>
      <c r="B50" s="714" t="s">
        <v>152</v>
      </c>
      <c r="H50" s="711"/>
    </row>
    <row r="51" spans="1:8" ht="12">
      <c r="A51" s="703"/>
      <c r="B51" s="714" t="s">
        <v>153</v>
      </c>
      <c r="H51" s="711"/>
    </row>
    <row r="52" spans="1:8" ht="12">
      <c r="A52" s="703">
        <v>31</v>
      </c>
      <c r="B52" s="697" t="s">
        <v>154</v>
      </c>
      <c r="E52" s="710"/>
      <c r="F52" s="710"/>
      <c r="G52" s="710"/>
      <c r="H52" s="711" t="str">
        <f aca="true" t="shared" si="0" ref="H52:H63">IF(E52=F52+G52," ","ERROR")</f>
        <v> </v>
      </c>
    </row>
    <row r="53" spans="1:8" ht="12">
      <c r="A53" s="703">
        <v>32</v>
      </c>
      <c r="B53" s="697" t="s">
        <v>155</v>
      </c>
      <c r="E53" s="712"/>
      <c r="F53" s="712"/>
      <c r="G53" s="712"/>
      <c r="H53" s="711" t="str">
        <f t="shared" si="0"/>
        <v> </v>
      </c>
    </row>
    <row r="54" spans="1:8" ht="12">
      <c r="A54" s="703">
        <v>33</v>
      </c>
      <c r="B54" s="697" t="s">
        <v>164</v>
      </c>
      <c r="E54" s="713"/>
      <c r="F54" s="713"/>
      <c r="G54" s="713"/>
      <c r="H54" s="711" t="str">
        <f t="shared" si="0"/>
        <v> </v>
      </c>
    </row>
    <row r="55" spans="1:8" ht="12">
      <c r="A55" s="703">
        <v>34</v>
      </c>
      <c r="B55" s="697" t="s">
        <v>157</v>
      </c>
      <c r="E55" s="712">
        <f>SUM(E52:E54)</f>
        <v>0</v>
      </c>
      <c r="F55" s="712">
        <f>SUM(F52:F54)</f>
        <v>0</v>
      </c>
      <c r="G55" s="712">
        <f>SUM(G52:G54)</f>
        <v>0</v>
      </c>
      <c r="H55" s="711" t="str">
        <f t="shared" si="0"/>
        <v> </v>
      </c>
    </row>
    <row r="56" spans="1:8" ht="12">
      <c r="A56" s="703"/>
      <c r="B56" s="697" t="s">
        <v>103</v>
      </c>
      <c r="E56" s="712"/>
      <c r="F56" s="712"/>
      <c r="G56" s="712"/>
      <c r="H56" s="711" t="str">
        <f t="shared" si="0"/>
        <v> </v>
      </c>
    </row>
    <row r="57" spans="1:8" ht="12">
      <c r="A57" s="703">
        <v>35</v>
      </c>
      <c r="B57" s="697" t="s">
        <v>154</v>
      </c>
      <c r="E57" s="712"/>
      <c r="F57" s="712"/>
      <c r="G57" s="712"/>
      <c r="H57" s="711" t="str">
        <f t="shared" si="0"/>
        <v> </v>
      </c>
    </row>
    <row r="58" spans="1:8" ht="12">
      <c r="A58" s="703">
        <v>36</v>
      </c>
      <c r="B58" s="697" t="s">
        <v>155</v>
      </c>
      <c r="E58" s="712"/>
      <c r="F58" s="712"/>
      <c r="G58" s="712"/>
      <c r="H58" s="711" t="str">
        <f t="shared" si="0"/>
        <v> </v>
      </c>
    </row>
    <row r="59" spans="1:8" ht="12">
      <c r="A59" s="703">
        <v>37</v>
      </c>
      <c r="B59" s="697" t="s">
        <v>164</v>
      </c>
      <c r="E59" s="713"/>
      <c r="F59" s="713"/>
      <c r="G59" s="713"/>
      <c r="H59" s="711" t="str">
        <f t="shared" si="0"/>
        <v> </v>
      </c>
    </row>
    <row r="60" spans="1:8" ht="12">
      <c r="A60" s="703">
        <v>38</v>
      </c>
      <c r="B60" s="697" t="s">
        <v>158</v>
      </c>
      <c r="E60" s="712">
        <f>SUM(E57:E59)</f>
        <v>0</v>
      </c>
      <c r="F60" s="712">
        <f>SUM(F57:F59)</f>
        <v>0</v>
      </c>
      <c r="G60" s="712">
        <f>SUM(G57:G59)</f>
        <v>0</v>
      </c>
      <c r="H60" s="711" t="str">
        <f t="shared" si="0"/>
        <v> </v>
      </c>
    </row>
    <row r="61" spans="1:8" ht="12">
      <c r="A61" s="703">
        <v>39</v>
      </c>
      <c r="B61" s="714" t="s">
        <v>159</v>
      </c>
      <c r="E61" s="712"/>
      <c r="F61" s="712"/>
      <c r="G61" s="712"/>
      <c r="H61" s="711" t="str">
        <f t="shared" si="0"/>
        <v> </v>
      </c>
    </row>
    <row r="62" spans="1:8" ht="12">
      <c r="A62" s="703">
        <v>40</v>
      </c>
      <c r="B62" s="697" t="s">
        <v>106</v>
      </c>
      <c r="E62" s="712"/>
      <c r="F62" s="712"/>
      <c r="G62" s="712"/>
      <c r="H62" s="711" t="str">
        <f t="shared" si="0"/>
        <v> </v>
      </c>
    </row>
    <row r="63" spans="1:8" ht="12">
      <c r="A63" s="703">
        <v>41</v>
      </c>
      <c r="B63" s="714" t="s">
        <v>107</v>
      </c>
      <c r="E63" s="713"/>
      <c r="F63" s="713"/>
      <c r="G63" s="713"/>
      <c r="H63" s="711" t="str">
        <f t="shared" si="0"/>
        <v> </v>
      </c>
    </row>
    <row r="64" spans="1:8" ht="9" customHeight="1">
      <c r="A64" s="703"/>
      <c r="B64" s="697" t="s">
        <v>160</v>
      </c>
      <c r="H64" s="711"/>
    </row>
    <row r="65" spans="1:8" ht="12.75" thickBot="1">
      <c r="A65" s="703">
        <v>42</v>
      </c>
      <c r="B65" s="718" t="s">
        <v>108</v>
      </c>
      <c r="E65" s="719">
        <f>E55-E60+E61+E62+E63</f>
        <v>0</v>
      </c>
      <c r="F65" s="719">
        <f>F55-F60+F61+F62+F63</f>
        <v>0</v>
      </c>
      <c r="G65" s="719">
        <f>G55-G60+G61+G62+G63</f>
        <v>0</v>
      </c>
      <c r="H65" s="711" t="str">
        <f>IF(E65=F65+G65," ","ERROR")</f>
        <v> </v>
      </c>
    </row>
    <row r="66" spans="1:4" ht="10.5" customHeight="1" thickTop="1">
      <c r="A66" s="720"/>
      <c r="B66" s="720"/>
      <c r="C66" s="720"/>
      <c r="D66" s="721"/>
    </row>
    <row r="67" spans="1:4" ht="10.5" customHeight="1">
      <c r="A67" s="720"/>
      <c r="B67" s="720"/>
      <c r="C67" s="720"/>
      <c r="D67" s="721"/>
    </row>
    <row r="68" spans="1:4" ht="10.5" customHeight="1">
      <c r="A68" s="720"/>
      <c r="B68" s="720"/>
      <c r="C68" s="720"/>
      <c r="D68" s="721"/>
    </row>
    <row r="69" spans="1:4" ht="10.5" customHeight="1">
      <c r="A69" s="720"/>
      <c r="B69" s="720"/>
      <c r="C69" s="720"/>
      <c r="D69" s="721"/>
    </row>
    <row r="70" spans="1:4" ht="10.5" customHeight="1">
      <c r="A70" s="721"/>
      <c r="B70" s="721"/>
      <c r="C70" s="721"/>
      <c r="D70" s="721"/>
    </row>
    <row r="71" spans="1:4" ht="10.5" customHeight="1">
      <c r="A71" s="704"/>
      <c r="B71" s="721"/>
      <c r="C71" s="721"/>
      <c r="D71" s="721"/>
    </row>
    <row r="72" spans="1:4" ht="10.5" customHeight="1">
      <c r="A72" s="704"/>
      <c r="B72" s="720"/>
      <c r="C72" s="720"/>
      <c r="D72" s="721"/>
    </row>
    <row r="73" spans="1:4" ht="10.5" customHeight="1">
      <c r="A73" s="704"/>
      <c r="B73" s="721"/>
      <c r="C73" s="721"/>
      <c r="D73" s="721"/>
    </row>
    <row r="74" spans="1:4" ht="10.5" customHeight="1">
      <c r="A74" s="704"/>
      <c r="B74" s="721"/>
      <c r="C74" s="721"/>
      <c r="D74" s="721"/>
    </row>
    <row r="75" spans="1:4" ht="10.5" customHeight="1">
      <c r="A75" s="704"/>
      <c r="B75" s="721"/>
      <c r="C75" s="721"/>
      <c r="D75" s="721"/>
    </row>
    <row r="76" spans="1:4" ht="10.5" customHeight="1">
      <c r="A76" s="704"/>
      <c r="B76" s="721"/>
      <c r="C76" s="721"/>
      <c r="D76" s="721"/>
    </row>
    <row r="77" spans="1:4" ht="10.5" customHeight="1">
      <c r="A77" s="704"/>
      <c r="B77" s="721"/>
      <c r="C77" s="721"/>
      <c r="D77" s="721"/>
    </row>
    <row r="78" spans="1:4" ht="10.5" customHeight="1">
      <c r="A78" s="704"/>
      <c r="B78" s="721"/>
      <c r="C78" s="721"/>
      <c r="D78" s="721"/>
    </row>
    <row r="79" spans="1:4" ht="10.5" customHeight="1">
      <c r="A79" s="704"/>
      <c r="B79" s="721"/>
      <c r="C79" s="721"/>
      <c r="D79" s="721"/>
    </row>
    <row r="80" spans="1:4" ht="10.5" customHeight="1">
      <c r="A80" s="704"/>
      <c r="B80" s="721"/>
      <c r="C80" s="721"/>
      <c r="D80" s="721"/>
    </row>
    <row r="81" spans="1:4" ht="10.5" customHeight="1">
      <c r="A81" s="704"/>
      <c r="B81" s="721"/>
      <c r="C81" s="721"/>
      <c r="D81" s="721"/>
    </row>
    <row r="82" spans="1:4" ht="10.5" customHeight="1">
      <c r="A82" s="704"/>
      <c r="B82" s="721"/>
      <c r="C82" s="721"/>
      <c r="D82" s="721"/>
    </row>
    <row r="83" spans="1:4" ht="10.5" customHeight="1">
      <c r="A83" s="704"/>
      <c r="B83" s="721"/>
      <c r="C83" s="721"/>
      <c r="D83" s="721"/>
    </row>
    <row r="84" spans="1:4" ht="10.5" customHeight="1">
      <c r="A84" s="704"/>
      <c r="B84" s="721"/>
      <c r="C84" s="721"/>
      <c r="D84" s="721"/>
    </row>
    <row r="85" spans="1:4" ht="10.5" customHeight="1">
      <c r="A85" s="704"/>
      <c r="B85" s="721"/>
      <c r="C85" s="721"/>
      <c r="D85" s="721"/>
    </row>
    <row r="86" spans="1:4" ht="10.5" customHeight="1">
      <c r="A86" s="704"/>
      <c r="B86" s="721"/>
      <c r="C86" s="721"/>
      <c r="D86" s="721"/>
    </row>
    <row r="87" spans="1:4" ht="10.5" customHeight="1">
      <c r="A87" s="704"/>
      <c r="B87" s="721"/>
      <c r="C87" s="721"/>
      <c r="D87" s="721"/>
    </row>
    <row r="88" spans="1:4" ht="10.5" customHeight="1">
      <c r="A88" s="704"/>
      <c r="B88" s="721"/>
      <c r="C88" s="721"/>
      <c r="D88" s="721"/>
    </row>
    <row r="89" spans="1:4" ht="10.5" customHeight="1">
      <c r="A89" s="704"/>
      <c r="B89" s="721"/>
      <c r="C89" s="721"/>
      <c r="D89" s="721"/>
    </row>
    <row r="90" spans="1:4" ht="10.5" customHeight="1">
      <c r="A90" s="704"/>
      <c r="B90" s="721"/>
      <c r="C90" s="721"/>
      <c r="D90" s="721"/>
    </row>
    <row r="91" spans="1:4" ht="10.5" customHeight="1">
      <c r="A91" s="704"/>
      <c r="B91" s="721"/>
      <c r="C91" s="721"/>
      <c r="D91" s="721"/>
    </row>
    <row r="92" spans="1:4" ht="10.5" customHeight="1">
      <c r="A92" s="704"/>
      <c r="B92" s="721"/>
      <c r="C92" s="721"/>
      <c r="D92" s="721"/>
    </row>
    <row r="93" spans="1:4" ht="10.5" customHeight="1">
      <c r="A93" s="704"/>
      <c r="B93" s="721"/>
      <c r="C93" s="721"/>
      <c r="D93" s="721"/>
    </row>
    <row r="94" spans="1:4" ht="10.5" customHeight="1">
      <c r="A94" s="704"/>
      <c r="B94" s="721"/>
      <c r="C94" s="721"/>
      <c r="D94" s="721"/>
    </row>
    <row r="95" spans="1:4" ht="10.5" customHeight="1">
      <c r="A95" s="704"/>
      <c r="B95" s="721"/>
      <c r="C95" s="721"/>
      <c r="D95" s="721"/>
    </row>
    <row r="96" spans="1:4" ht="10.5" customHeight="1">
      <c r="A96" s="704"/>
      <c r="B96" s="721"/>
      <c r="C96" s="721"/>
      <c r="D96" s="721"/>
    </row>
    <row r="97" spans="1:4" ht="10.5" customHeight="1">
      <c r="A97" s="704"/>
      <c r="B97" s="721"/>
      <c r="C97" s="721"/>
      <c r="D97" s="721"/>
    </row>
    <row r="98" spans="1:4" ht="10.5" customHeight="1">
      <c r="A98" s="704"/>
      <c r="B98" s="721"/>
      <c r="C98" s="721"/>
      <c r="D98" s="721"/>
    </row>
    <row r="99" spans="1:4" ht="10.5" customHeight="1">
      <c r="A99" s="704"/>
      <c r="B99" s="721"/>
      <c r="C99" s="721"/>
      <c r="D99" s="721"/>
    </row>
    <row r="100" spans="1:4" ht="10.5" customHeight="1">
      <c r="A100" s="704"/>
      <c r="B100" s="721"/>
      <c r="C100" s="721"/>
      <c r="D100" s="721"/>
    </row>
    <row r="101" spans="1:4" ht="10.5" customHeight="1">
      <c r="A101" s="704"/>
      <c r="B101" s="721"/>
      <c r="C101" s="721"/>
      <c r="D101" s="721"/>
    </row>
    <row r="102" spans="1:4" ht="10.5" customHeight="1">
      <c r="A102" s="704"/>
      <c r="B102" s="721"/>
      <c r="C102" s="721"/>
      <c r="D102" s="721"/>
    </row>
    <row r="103" spans="1:4" ht="10.5" customHeight="1">
      <c r="A103" s="704"/>
      <c r="B103" s="721"/>
      <c r="C103" s="721"/>
      <c r="D103" s="721"/>
    </row>
    <row r="104" spans="1:4" ht="10.5" customHeight="1">
      <c r="A104" s="704"/>
      <c r="B104" s="721"/>
      <c r="C104" s="721"/>
      <c r="D104" s="721"/>
    </row>
    <row r="105" spans="1:4" ht="10.5" customHeight="1">
      <c r="A105" s="704"/>
      <c r="B105" s="721"/>
      <c r="C105" s="721"/>
      <c r="D105" s="721"/>
    </row>
    <row r="106" spans="1:4" ht="10.5" customHeight="1">
      <c r="A106" s="704"/>
      <c r="B106" s="721"/>
      <c r="C106" s="721"/>
      <c r="D106" s="721"/>
    </row>
    <row r="107" spans="1:4" ht="10.5" customHeight="1">
      <c r="A107" s="704"/>
      <c r="B107" s="721"/>
      <c r="C107" s="721"/>
      <c r="D107" s="721"/>
    </row>
    <row r="108" spans="1:4" ht="10.5" customHeight="1">
      <c r="A108" s="704"/>
      <c r="B108" s="721"/>
      <c r="C108" s="721"/>
      <c r="D108" s="721"/>
    </row>
    <row r="109" spans="1:4" ht="10.5" customHeight="1">
      <c r="A109" s="704"/>
      <c r="B109" s="721"/>
      <c r="C109" s="721"/>
      <c r="D109" s="721"/>
    </row>
    <row r="110" spans="1:4" ht="10.5" customHeight="1">
      <c r="A110" s="704"/>
      <c r="B110" s="721"/>
      <c r="C110" s="721"/>
      <c r="D110" s="721"/>
    </row>
    <row r="111" spans="1:4" ht="10.5" customHeight="1">
      <c r="A111" s="704"/>
      <c r="B111" s="722"/>
      <c r="C111" s="723"/>
      <c r="D111" s="721"/>
    </row>
    <row r="112" spans="1:4" ht="10.5" customHeight="1">
      <c r="A112" s="704"/>
      <c r="B112" s="721"/>
      <c r="C112" s="721"/>
      <c r="D112" s="721"/>
    </row>
  </sheetData>
  <printOptions/>
  <pageMargins left="1" right="0.5" top="0.5" bottom="0.5" header="0.5" footer="0.5"/>
  <pageSetup fitToHeight="1" fitToWidth="1" horizontalDpi="300" verticalDpi="3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2">
      <selection activeCell="F60" sqref="F60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89" t="s">
        <v>343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/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>
        <f>SUM(F16:G16)</f>
        <v>0</v>
      </c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/>
      <c r="F17" s="423"/>
      <c r="G17" s="423"/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0</v>
      </c>
      <c r="F19" s="423">
        <f>SUM(F16:F18)</f>
        <v>0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>
        <f>SUM(F22:G22)</f>
        <v>-4</v>
      </c>
      <c r="F22" s="423">
        <v>-4</v>
      </c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-4</v>
      </c>
      <c r="F24" s="423">
        <f>SUM(F21:F23)</f>
        <v>-4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>
        <v>0</v>
      </c>
      <c r="G26" s="423">
        <v>0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>
        <f>SUM(F27:G27)</f>
        <v>8</v>
      </c>
      <c r="F27" s="423">
        <v>8</v>
      </c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/>
      <c r="F28" s="424"/>
      <c r="G28" s="877"/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8</v>
      </c>
      <c r="F29" s="423">
        <f>SUM(F26:F28)</f>
        <v>8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>
        <v>0</v>
      </c>
      <c r="G31" s="423">
        <v>0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>
        <v>0</v>
      </c>
      <c r="G32" s="423">
        <v>0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>
        <v>0</v>
      </c>
      <c r="G33" s="423">
        <v>0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0</v>
      </c>
      <c r="F35" s="423">
        <v>0</v>
      </c>
      <c r="G35" s="423">
        <v>0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>
        <f>SUM(F36:G36)</f>
        <v>478</v>
      </c>
      <c r="F36" s="423">
        <f>382+96</f>
        <v>478</v>
      </c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478</v>
      </c>
      <c r="F38" s="424">
        <f>SUM(F35:F37)</f>
        <v>478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482</v>
      </c>
      <c r="F39" s="424">
        <f>F19+F24+F29+F31+F32+F33+F38+F14</f>
        <v>482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-482</v>
      </c>
      <c r="F41" s="423">
        <f>F11-F39</f>
        <v>-482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-169</v>
      </c>
      <c r="F44" s="423">
        <f>ROUND(F41*D44,0)</f>
        <v>-169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-313</v>
      </c>
      <c r="F48" s="430">
        <f>F41-F44+F45+F46</f>
        <v>-313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>
        <f>F57+G57</f>
        <v>2</v>
      </c>
      <c r="F57" s="423">
        <v>2</v>
      </c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>
        <f>F58+G58</f>
        <v>6</v>
      </c>
      <c r="F58" s="423">
        <v>6</v>
      </c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>
        <f>F59+G59</f>
        <v>-55</v>
      </c>
      <c r="F59" s="424">
        <v>-55</v>
      </c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-47</v>
      </c>
      <c r="F60" s="423">
        <f>SUM(F57:F59)</f>
        <v>-47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47</v>
      </c>
      <c r="F65" s="430">
        <f>F55-F60+F61+F62+F63</f>
        <v>47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ht="12" customHeight="1"/>
  </sheetData>
  <printOptions/>
  <pageMargins left="1" right="0.75" top="0.5" bottom="0.5" header="0.5" footer="0.5"/>
  <pageSetup horizontalDpi="600" verticalDpi="600" orientation="portrait" scale="90" r:id="rId1"/>
  <headerFooter alignWithMargins="0"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6">
      <selection activeCell="G35" sqref="G35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345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352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/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0</v>
      </c>
      <c r="F17" s="423">
        <v>0</v>
      </c>
      <c r="G17" s="423"/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0</v>
      </c>
      <c r="F19" s="423">
        <f>SUM(F16:F18)</f>
        <v>0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>
        <v>0</v>
      </c>
      <c r="G26" s="423">
        <v>0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0</v>
      </c>
      <c r="F28" s="424"/>
      <c r="G28" s="877">
        <f>F113</f>
        <v>0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0</v>
      </c>
      <c r="F29" s="423">
        <f>SUM(F26:F28)</f>
        <v>0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>
        <v>0</v>
      </c>
      <c r="G31" s="423">
        <v>0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>
        <v>0</v>
      </c>
      <c r="G32" s="423">
        <v>0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>
        <v>0</v>
      </c>
      <c r="G33" s="423">
        <v>0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14</v>
      </c>
      <c r="F35" s="423">
        <v>14</v>
      </c>
      <c r="G35" s="423"/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14</v>
      </c>
      <c r="F38" s="424">
        <f>SUM(F35:F37)</f>
        <v>14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14</v>
      </c>
      <c r="F39" s="424">
        <f>F19+F24+F29+F31+F32+F33+F38+F14</f>
        <v>14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-14</v>
      </c>
      <c r="F41" s="423">
        <f>F11-F39</f>
        <v>-14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-5</v>
      </c>
      <c r="F44" s="423">
        <f>ROUND(F41*D44,0)</f>
        <v>-5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-9</v>
      </c>
      <c r="F48" s="430">
        <f>F41-F44+F45+F46</f>
        <v>-9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ADJUST INCENTIVES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AND OTHER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0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0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0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0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0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0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0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0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0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0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0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0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D4" sqref="D4"/>
    </sheetView>
  </sheetViews>
  <sheetFormatPr defaultColWidth="9.140625" defaultRowHeight="12.75"/>
  <cols>
    <col min="1" max="1" width="18.00390625" style="194" customWidth="1"/>
    <col min="2" max="2" width="9.140625" style="194" customWidth="1"/>
    <col min="3" max="3" width="9.28125" style="194" customWidth="1"/>
    <col min="4" max="16384" width="9.140625" style="194" customWidth="1"/>
  </cols>
  <sheetData>
    <row r="2" spans="1:4" ht="12.75">
      <c r="A2" s="193" t="s">
        <v>196</v>
      </c>
      <c r="D2" s="197" t="s">
        <v>348</v>
      </c>
    </row>
    <row r="4" spans="1:4" ht="12.75">
      <c r="A4" s="193" t="s">
        <v>197</v>
      </c>
      <c r="B4" s="193"/>
      <c r="D4" s="931">
        <v>0.01065</v>
      </c>
    </row>
    <row r="5" ht="12.75">
      <c r="A5" s="195"/>
    </row>
    <row r="6" spans="1:4" ht="12.75">
      <c r="A6" s="196" t="s">
        <v>198</v>
      </c>
      <c r="D6" s="198" t="s">
        <v>199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74"/>
  <sheetViews>
    <sheetView showGridLines="0" zoomScale="75" zoomScaleNormal="75" workbookViewId="0" topLeftCell="A1">
      <selection activeCell="F1" sqref="F1:AD16384"/>
    </sheetView>
  </sheetViews>
  <sheetFormatPr defaultColWidth="9.140625" defaultRowHeight="12.75"/>
  <cols>
    <col min="1" max="1" width="5.7109375" style="55" customWidth="1"/>
    <col min="2" max="4" width="1.7109375" style="26" customWidth="1"/>
    <col min="5" max="5" width="28.7109375" style="26" customWidth="1"/>
    <col min="6" max="6" width="11.7109375" style="27" customWidth="1"/>
    <col min="7" max="7" width="11.7109375" style="28" customWidth="1"/>
    <col min="8" max="8" width="12.8515625" style="28" customWidth="1"/>
    <col min="9" max="9" width="11.7109375" style="28" customWidth="1"/>
    <col min="10" max="10" width="15.00390625" style="28" customWidth="1"/>
    <col min="11" max="11" width="11.7109375" style="28" customWidth="1"/>
    <col min="12" max="12" width="11.7109375" style="27" customWidth="1"/>
    <col min="13" max="13" width="16.57421875" style="28" customWidth="1"/>
    <col min="14" max="15" width="11.7109375" style="28" customWidth="1"/>
    <col min="16" max="16" width="12.421875" style="28" customWidth="1"/>
    <col min="17" max="25" width="11.7109375" style="28" customWidth="1"/>
    <col min="26" max="26" width="12.28125" style="28" customWidth="1"/>
    <col min="27" max="30" width="11.7109375" style="27" customWidth="1"/>
    <col min="31" max="16384" width="10.7109375" style="26" customWidth="1"/>
  </cols>
  <sheetData>
    <row r="1" ht="12">
      <c r="A1" s="25" t="str">
        <f>Inputs!$D$6</f>
        <v>AVISTA UTILITIES</v>
      </c>
    </row>
    <row r="2" ht="12">
      <c r="A2" s="25" t="s">
        <v>0</v>
      </c>
    </row>
    <row r="3" ht="12">
      <c r="A3" s="25" t="s">
        <v>119</v>
      </c>
    </row>
    <row r="4" ht="12">
      <c r="A4" s="25" t="str">
        <f>Inputs!$D$2</f>
        <v>TWELVE MONTHS ENDED DECEMBER 31, 2004</v>
      </c>
    </row>
    <row r="5" ht="12">
      <c r="A5" s="25" t="s">
        <v>2</v>
      </c>
    </row>
    <row r="6" spans="1:30" s="186" customFormat="1" ht="12">
      <c r="A6" s="18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9" customFormat="1" ht="12" customHeight="1">
      <c r="A7" s="31"/>
      <c r="B7" s="32"/>
      <c r="C7" s="33"/>
      <c r="D7" s="33"/>
      <c r="E7" s="34"/>
      <c r="F7" s="35"/>
      <c r="G7" s="36"/>
      <c r="H7" s="36"/>
      <c r="I7" s="36"/>
      <c r="J7" s="36"/>
      <c r="K7" s="36"/>
      <c r="L7" s="35"/>
      <c r="M7" s="35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29" customFormat="1" ht="12">
      <c r="A8" s="37" t="s">
        <v>11</v>
      </c>
      <c r="B8" s="38"/>
      <c r="C8" s="39"/>
      <c r="D8" s="39"/>
      <c r="E8" s="40"/>
      <c r="F8" s="41"/>
      <c r="G8" s="42"/>
      <c r="H8" s="42"/>
      <c r="I8" s="42"/>
      <c r="J8" s="42"/>
      <c r="K8" s="42"/>
      <c r="L8" s="41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s="29" customFormat="1" ht="12">
      <c r="A9" s="43" t="s">
        <v>29</v>
      </c>
      <c r="B9" s="44"/>
      <c r="C9" s="45"/>
      <c r="D9" s="45"/>
      <c r="E9" s="46" t="s">
        <v>30</v>
      </c>
      <c r="F9" s="47"/>
      <c r="G9" s="48"/>
      <c r="H9" s="48"/>
      <c r="I9" s="48"/>
      <c r="J9" s="48"/>
      <c r="K9" s="48"/>
      <c r="L9" s="47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s="50" customFormat="1" ht="12">
      <c r="A10" s="49"/>
      <c r="E10" s="51" t="s">
        <v>46</v>
      </c>
      <c r="F10" s="52"/>
      <c r="G10" s="53"/>
      <c r="H10" s="53"/>
      <c r="I10" s="53"/>
      <c r="J10" s="53"/>
      <c r="K10" s="53"/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4"/>
      <c r="X10" s="53"/>
      <c r="Y10" s="53"/>
      <c r="Z10" s="53"/>
      <c r="AA10" s="52"/>
      <c r="AB10" s="52"/>
      <c r="AC10" s="52"/>
      <c r="AD10" s="52"/>
    </row>
    <row r="11" ht="12">
      <c r="W11" s="56"/>
    </row>
    <row r="12" spans="2:29" ht="12">
      <c r="B12" s="26" t="s">
        <v>69</v>
      </c>
      <c r="AA12" s="28"/>
      <c r="AB12" s="28"/>
      <c r="AC12" s="28"/>
    </row>
    <row r="13" spans="1:30" s="57" customFormat="1" ht="12">
      <c r="A13" s="55">
        <v>1</v>
      </c>
      <c r="C13" s="57" t="s">
        <v>70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</row>
    <row r="14" spans="1:30" ht="12">
      <c r="A14" s="55">
        <v>2</v>
      </c>
      <c r="C14" s="58" t="s">
        <v>71</v>
      </c>
      <c r="D14" s="58"/>
      <c r="E14" s="58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12">
      <c r="A15" s="55">
        <v>3</v>
      </c>
      <c r="C15" s="58" t="s">
        <v>72</v>
      </c>
      <c r="D15" s="58"/>
      <c r="E15" s="58"/>
      <c r="F15" s="90"/>
      <c r="G15" s="93"/>
      <c r="H15" s="93"/>
      <c r="I15" s="93"/>
      <c r="J15" s="93"/>
      <c r="K15" s="93"/>
      <c r="L15" s="90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">
      <c r="A16" s="55">
        <v>4</v>
      </c>
      <c r="B16" s="26" t="s">
        <v>73</v>
      </c>
      <c r="C16" s="58"/>
      <c r="D16" s="58"/>
      <c r="E16" s="58"/>
      <c r="F16" s="89"/>
      <c r="G16" s="94"/>
      <c r="H16" s="94"/>
      <c r="I16" s="94"/>
      <c r="J16" s="94"/>
      <c r="K16" s="94"/>
      <c r="L16" s="89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3:30" ht="12">
      <c r="C17" s="58"/>
      <c r="D17" s="58"/>
      <c r="E17" s="58"/>
      <c r="F17" s="89"/>
      <c r="G17" s="94"/>
      <c r="H17" s="94"/>
      <c r="I17" s="94"/>
      <c r="J17" s="94"/>
      <c r="K17" s="94"/>
      <c r="L17" s="89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</row>
    <row r="18" spans="2:30" ht="12">
      <c r="B18" s="26" t="s">
        <v>74</v>
      </c>
      <c r="C18" s="58"/>
      <c r="D18" s="58"/>
      <c r="E18" s="58"/>
      <c r="F18" s="89"/>
      <c r="G18" s="94"/>
      <c r="H18" s="94"/>
      <c r="I18" s="94"/>
      <c r="J18" s="94"/>
      <c r="K18" s="94"/>
      <c r="L18" s="89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</row>
    <row r="19" spans="1:30" ht="12">
      <c r="A19" s="55">
        <v>5</v>
      </c>
      <c r="C19" s="58" t="s">
        <v>75</v>
      </c>
      <c r="D19" s="58"/>
      <c r="E19" s="58"/>
      <c r="F19" s="89"/>
      <c r="G19" s="94"/>
      <c r="H19" s="94"/>
      <c r="I19" s="94"/>
      <c r="J19" s="94"/>
      <c r="K19" s="94"/>
      <c r="L19" s="89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</row>
    <row r="20" spans="3:30" ht="12">
      <c r="C20" s="58" t="s">
        <v>76</v>
      </c>
      <c r="D20" s="58"/>
      <c r="E20" s="58"/>
      <c r="F20" s="89"/>
      <c r="G20" s="94"/>
      <c r="H20" s="94"/>
      <c r="I20" s="94"/>
      <c r="J20" s="94"/>
      <c r="K20" s="94"/>
      <c r="L20" s="89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0" ht="12">
      <c r="A21" s="55">
        <v>6</v>
      </c>
      <c r="C21" s="58"/>
      <c r="D21" s="58" t="s">
        <v>77</v>
      </c>
      <c r="E21" s="58"/>
      <c r="F21" s="89"/>
      <c r="G21" s="94"/>
      <c r="H21" s="94"/>
      <c r="I21" s="94"/>
      <c r="J21" s="94"/>
      <c r="K21" s="94"/>
      <c r="L21" s="89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</row>
    <row r="22" spans="1:30" ht="12">
      <c r="A22" s="55">
        <v>7</v>
      </c>
      <c r="C22" s="58"/>
      <c r="D22" s="58" t="s">
        <v>78</v>
      </c>
      <c r="E22" s="58"/>
      <c r="F22" s="89"/>
      <c r="G22" s="94"/>
      <c r="H22" s="94"/>
      <c r="I22" s="94"/>
      <c r="J22" s="94"/>
      <c r="K22" s="94"/>
      <c r="L22" s="89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1:30" ht="12">
      <c r="A23" s="55">
        <v>8</v>
      </c>
      <c r="C23" s="58"/>
      <c r="D23" s="58" t="s">
        <v>79</v>
      </c>
      <c r="E23" s="58"/>
      <c r="F23" s="90"/>
      <c r="G23" s="93"/>
      <c r="H23" s="93"/>
      <c r="I23" s="93"/>
      <c r="J23" s="93"/>
      <c r="K23" s="93"/>
      <c r="L23" s="90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">
      <c r="A24" s="55">
        <v>9</v>
      </c>
      <c r="C24" s="58"/>
      <c r="D24" s="58"/>
      <c r="E24" s="58" t="s">
        <v>80</v>
      </c>
      <c r="F24" s="89"/>
      <c r="G24" s="94"/>
      <c r="H24" s="94"/>
      <c r="I24" s="94"/>
      <c r="J24" s="94"/>
      <c r="K24" s="94"/>
      <c r="L24" s="89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</row>
    <row r="25" spans="3:30" ht="12">
      <c r="C25" s="58" t="s">
        <v>81</v>
      </c>
      <c r="D25" s="58"/>
      <c r="E25" s="58"/>
      <c r="F25" s="89"/>
      <c r="G25" s="94"/>
      <c r="H25" s="94"/>
      <c r="I25" s="94"/>
      <c r="J25" s="94"/>
      <c r="K25" s="94"/>
      <c r="L25" s="89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</row>
    <row r="26" spans="1:30" ht="12">
      <c r="A26" s="55">
        <v>10</v>
      </c>
      <c r="C26" s="58"/>
      <c r="D26" s="58" t="s">
        <v>82</v>
      </c>
      <c r="E26" s="58"/>
      <c r="F26" s="89"/>
      <c r="G26" s="94"/>
      <c r="H26" s="94"/>
      <c r="I26" s="94"/>
      <c r="J26" s="94"/>
      <c r="K26" s="94"/>
      <c r="L26" s="89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</row>
    <row r="27" spans="1:30" ht="12">
      <c r="A27" s="55">
        <v>11</v>
      </c>
      <c r="C27" s="58"/>
      <c r="D27" s="58" t="s">
        <v>83</v>
      </c>
      <c r="E27" s="58"/>
      <c r="F27" s="89"/>
      <c r="G27" s="94"/>
      <c r="H27" s="94"/>
      <c r="I27" s="94"/>
      <c r="J27" s="94"/>
      <c r="K27" s="94"/>
      <c r="L27" s="89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30" ht="12">
      <c r="A28" s="55">
        <v>12</v>
      </c>
      <c r="C28" s="58"/>
      <c r="D28" s="58" t="s">
        <v>39</v>
      </c>
      <c r="E28" s="58"/>
      <c r="F28" s="90"/>
      <c r="G28" s="93"/>
      <c r="H28" s="93"/>
      <c r="I28" s="93"/>
      <c r="J28" s="93"/>
      <c r="K28" s="93"/>
      <c r="L28" s="90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">
      <c r="A29" s="55">
        <v>13</v>
      </c>
      <c r="C29" s="58"/>
      <c r="D29" s="58"/>
      <c r="E29" s="58" t="s">
        <v>84</v>
      </c>
      <c r="F29" s="89"/>
      <c r="G29" s="94"/>
      <c r="H29" s="94"/>
      <c r="I29" s="94"/>
      <c r="J29" s="94"/>
      <c r="K29" s="94"/>
      <c r="L29" s="89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</row>
    <row r="30" spans="3:30" ht="12">
      <c r="C30" s="58" t="s">
        <v>85</v>
      </c>
      <c r="D30" s="58"/>
      <c r="E30" s="58"/>
      <c r="F30" s="89"/>
      <c r="G30" s="94"/>
      <c r="H30" s="94"/>
      <c r="I30" s="94"/>
      <c r="J30" s="94"/>
      <c r="K30" s="94"/>
      <c r="L30" s="89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</row>
    <row r="31" spans="1:30" ht="12">
      <c r="A31" s="55">
        <v>14</v>
      </c>
      <c r="C31" s="58"/>
      <c r="D31" s="58" t="s">
        <v>82</v>
      </c>
      <c r="E31" s="58"/>
      <c r="F31" s="89"/>
      <c r="G31" s="94"/>
      <c r="H31" s="94"/>
      <c r="I31" s="94"/>
      <c r="J31" s="94"/>
      <c r="K31" s="94"/>
      <c r="L31" s="89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</row>
    <row r="32" spans="1:30" ht="12">
      <c r="A32" s="55">
        <v>15</v>
      </c>
      <c r="C32" s="58"/>
      <c r="D32" s="58" t="s">
        <v>83</v>
      </c>
      <c r="E32" s="58"/>
      <c r="F32" s="89"/>
      <c r="G32" s="94"/>
      <c r="H32" s="94"/>
      <c r="I32" s="94"/>
      <c r="J32" s="94"/>
      <c r="K32" s="94"/>
      <c r="L32" s="89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0" ht="12">
      <c r="A33" s="55">
        <v>16</v>
      </c>
      <c r="C33" s="58"/>
      <c r="D33" s="58" t="s">
        <v>39</v>
      </c>
      <c r="E33" s="58"/>
      <c r="F33" s="90"/>
      <c r="G33" s="93"/>
      <c r="H33" s="93"/>
      <c r="I33" s="93"/>
      <c r="J33" s="93"/>
      <c r="K33" s="93"/>
      <c r="L33" s="90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</row>
    <row r="34" spans="1:30" ht="12">
      <c r="A34" s="55">
        <v>17</v>
      </c>
      <c r="C34" s="58"/>
      <c r="D34" s="58"/>
      <c r="E34" s="58" t="s">
        <v>86</v>
      </c>
      <c r="F34" s="89"/>
      <c r="G34" s="94"/>
      <c r="H34" s="94"/>
      <c r="I34" s="94"/>
      <c r="J34" s="94"/>
      <c r="K34" s="94"/>
      <c r="L34" s="89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3:30" ht="12">
      <c r="C35" s="58"/>
      <c r="D35" s="58"/>
      <c r="E35" s="58"/>
      <c r="F35" s="89"/>
      <c r="G35" s="94"/>
      <c r="H35" s="94"/>
      <c r="I35" s="94"/>
      <c r="J35" s="94"/>
      <c r="K35" s="94"/>
      <c r="L35" s="89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</row>
    <row r="36" spans="1:30" ht="12">
      <c r="A36" s="55">
        <v>18</v>
      </c>
      <c r="B36" s="26" t="s">
        <v>87</v>
      </c>
      <c r="C36" s="58"/>
      <c r="D36" s="58"/>
      <c r="E36" s="5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1:30" ht="12">
      <c r="A37" s="55">
        <v>19</v>
      </c>
      <c r="B37" s="26" t="s">
        <v>88</v>
      </c>
      <c r="C37" s="58"/>
      <c r="D37" s="58"/>
      <c r="E37" s="58"/>
      <c r="F37" s="89"/>
      <c r="G37" s="94"/>
      <c r="H37" s="94"/>
      <c r="I37" s="94"/>
      <c r="J37" s="94"/>
      <c r="K37" s="94"/>
      <c r="L37" s="8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</row>
    <row r="38" spans="1:30" ht="12">
      <c r="A38" s="55">
        <v>20</v>
      </c>
      <c r="B38" s="26" t="s">
        <v>89</v>
      </c>
      <c r="C38" s="58"/>
      <c r="D38" s="58"/>
      <c r="E38" s="58"/>
      <c r="F38" s="89"/>
      <c r="G38" s="94"/>
      <c r="H38" s="94"/>
      <c r="I38" s="94"/>
      <c r="J38" s="94"/>
      <c r="K38" s="94"/>
      <c r="L38" s="89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2:30" ht="12">
      <c r="B39" s="26" t="s">
        <v>90</v>
      </c>
      <c r="C39" s="58"/>
      <c r="D39" s="58"/>
      <c r="E39" s="58"/>
      <c r="F39" s="89"/>
      <c r="G39" s="94"/>
      <c r="H39" s="94"/>
      <c r="I39" s="94"/>
      <c r="J39" s="94"/>
      <c r="K39" s="94"/>
      <c r="L39" s="89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</row>
    <row r="40" spans="1:30" ht="12">
      <c r="A40" s="55">
        <v>21</v>
      </c>
      <c r="C40" s="58" t="s">
        <v>82</v>
      </c>
      <c r="D40" s="58"/>
      <c r="E40" s="58"/>
      <c r="F40" s="89"/>
      <c r="G40" s="94"/>
      <c r="H40" s="94"/>
      <c r="I40" s="94"/>
      <c r="J40" s="94"/>
      <c r="K40" s="94"/>
      <c r="L40" s="89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</row>
    <row r="41" spans="1:30" ht="12">
      <c r="A41" s="55">
        <v>22</v>
      </c>
      <c r="C41" s="58" t="s">
        <v>83</v>
      </c>
      <c r="D41" s="58"/>
      <c r="E41" s="58"/>
      <c r="F41" s="89"/>
      <c r="G41" s="94"/>
      <c r="H41" s="94"/>
      <c r="I41" s="94"/>
      <c r="J41" s="94"/>
      <c r="K41" s="94"/>
      <c r="L41" s="8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ht="12">
      <c r="A42" s="55">
        <v>23</v>
      </c>
      <c r="C42" s="58" t="s">
        <v>39</v>
      </c>
      <c r="D42" s="58"/>
      <c r="E42" s="58"/>
      <c r="F42" s="90"/>
      <c r="G42" s="93"/>
      <c r="H42" s="93"/>
      <c r="I42" s="93"/>
      <c r="J42" s="93"/>
      <c r="K42" s="93"/>
      <c r="L42" s="90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</row>
    <row r="43" spans="1:30" ht="12">
      <c r="A43" s="55">
        <v>24</v>
      </c>
      <c r="C43" s="58"/>
      <c r="D43" s="58"/>
      <c r="E43" s="58" t="s">
        <v>91</v>
      </c>
      <c r="F43" s="90"/>
      <c r="G43" s="93"/>
      <c r="H43" s="93"/>
      <c r="I43" s="93"/>
      <c r="J43" s="93"/>
      <c r="K43" s="93"/>
      <c r="L43" s="90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</row>
    <row r="44" spans="1:30" ht="12">
      <c r="A44" s="55">
        <v>25</v>
      </c>
      <c r="B44" s="26" t="s">
        <v>92</v>
      </c>
      <c r="C44" s="58"/>
      <c r="D44" s="58"/>
      <c r="E44" s="58"/>
      <c r="F44" s="90"/>
      <c r="G44" s="93"/>
      <c r="H44" s="93"/>
      <c r="I44" s="93"/>
      <c r="J44" s="93"/>
      <c r="K44" s="93"/>
      <c r="L44" s="90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</row>
    <row r="45" spans="3:30" ht="12">
      <c r="C45" s="58"/>
      <c r="D45" s="58"/>
      <c r="E45" s="58"/>
      <c r="F45" s="89"/>
      <c r="G45" s="94"/>
      <c r="H45" s="94"/>
      <c r="I45" s="94"/>
      <c r="J45" s="94"/>
      <c r="K45" s="94"/>
      <c r="L45" s="89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</row>
    <row r="46" spans="1:30" ht="12">
      <c r="A46" s="55">
        <v>26</v>
      </c>
      <c r="B46" s="26" t="s">
        <v>93</v>
      </c>
      <c r="C46" s="58"/>
      <c r="D46" s="58"/>
      <c r="E46" s="58"/>
      <c r="F46" s="89"/>
      <c r="G46" s="94"/>
      <c r="H46" s="94"/>
      <c r="I46" s="94"/>
      <c r="J46" s="94"/>
      <c r="K46" s="94"/>
      <c r="L46" s="89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spans="2:30" ht="12">
      <c r="B47" s="26" t="s">
        <v>94</v>
      </c>
      <c r="C47" s="58"/>
      <c r="D47" s="58"/>
      <c r="E47" s="58"/>
      <c r="F47" s="89"/>
      <c r="G47" s="94"/>
      <c r="H47" s="94"/>
      <c r="I47" s="94"/>
      <c r="J47" s="94"/>
      <c r="K47" s="94"/>
      <c r="L47" s="89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</row>
    <row r="48" spans="1:30" ht="12">
      <c r="A48" s="55">
        <v>27</v>
      </c>
      <c r="C48" s="58" t="s">
        <v>95</v>
      </c>
      <c r="D48" s="58"/>
      <c r="E48" s="58"/>
      <c r="F48" s="89"/>
      <c r="G48" s="94"/>
      <c r="H48" s="94"/>
      <c r="I48" s="94"/>
      <c r="J48" s="94"/>
      <c r="K48" s="94"/>
      <c r="L48" s="89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30" ht="12">
      <c r="A49" s="55">
        <v>28</v>
      </c>
      <c r="C49" s="58" t="s">
        <v>96</v>
      </c>
      <c r="D49" s="58"/>
      <c r="E49" s="58"/>
      <c r="F49" s="89"/>
      <c r="G49" s="94"/>
      <c r="H49" s="94"/>
      <c r="I49" s="94"/>
      <c r="J49" s="94"/>
      <c r="K49" s="94"/>
      <c r="L49" s="89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spans="1:30" ht="12">
      <c r="A50" s="55">
        <v>29</v>
      </c>
      <c r="C50" s="58" t="s">
        <v>97</v>
      </c>
      <c r="D50" s="58"/>
      <c r="E50" s="58"/>
      <c r="F50" s="90"/>
      <c r="G50" s="93"/>
      <c r="H50" s="93"/>
      <c r="I50" s="93"/>
      <c r="J50" s="93"/>
      <c r="K50" s="93"/>
      <c r="L50" s="90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6:30" ht="12">
      <c r="F51" s="89"/>
      <c r="G51" s="94"/>
      <c r="H51" s="94"/>
      <c r="I51" s="94"/>
      <c r="J51" s="94"/>
      <c r="K51" s="94"/>
      <c r="L51" s="89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</row>
    <row r="52" spans="1:30" s="57" customFormat="1" ht="12.75" customHeight="1" thickBot="1">
      <c r="A52" s="55">
        <v>30</v>
      </c>
      <c r="B52" s="57" t="s">
        <v>98</v>
      </c>
      <c r="F52" s="98"/>
      <c r="G52" s="99"/>
      <c r="H52" s="99"/>
      <c r="I52" s="99"/>
      <c r="J52" s="99"/>
      <c r="K52" s="99"/>
      <c r="L52" s="98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</row>
    <row r="53" spans="6:30" ht="6" customHeight="1" thickTop="1">
      <c r="F53" s="89"/>
      <c r="G53" s="94"/>
      <c r="H53" s="94"/>
      <c r="I53" s="94"/>
      <c r="J53" s="94"/>
      <c r="K53" s="94"/>
      <c r="L53" s="89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</row>
    <row r="54" spans="6:30" ht="6" customHeight="1"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2:30" ht="12">
      <c r="B55" s="26" t="s">
        <v>99</v>
      </c>
      <c r="F55" s="89"/>
      <c r="G55" s="94"/>
      <c r="H55" s="94"/>
      <c r="I55" s="94"/>
      <c r="J55" s="94"/>
      <c r="K55" s="94"/>
      <c r="L55" s="89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spans="1:30" ht="12">
      <c r="A56" s="55">
        <v>31</v>
      </c>
      <c r="B56" s="58"/>
      <c r="C56" s="58" t="s">
        <v>81</v>
      </c>
      <c r="D56" s="58"/>
      <c r="E56" s="58"/>
      <c r="F56" s="97"/>
      <c r="G56" s="100"/>
      <c r="H56" s="100"/>
      <c r="I56" s="100"/>
      <c r="J56" s="100"/>
      <c r="K56" s="100"/>
      <c r="L56" s="97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</row>
    <row r="57" spans="1:30" ht="12">
      <c r="A57" s="55">
        <v>32</v>
      </c>
      <c r="B57" s="58"/>
      <c r="C57" s="58" t="s">
        <v>100</v>
      </c>
      <c r="D57" s="58"/>
      <c r="E57" s="58"/>
      <c r="F57" s="89"/>
      <c r="G57" s="94"/>
      <c r="H57" s="94"/>
      <c r="I57" s="94"/>
      <c r="J57" s="94"/>
      <c r="K57" s="94"/>
      <c r="L57" s="89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</row>
    <row r="58" spans="1:30" ht="12">
      <c r="A58" s="55">
        <v>33</v>
      </c>
      <c r="B58" s="58"/>
      <c r="C58" s="58" t="s">
        <v>101</v>
      </c>
      <c r="D58" s="58"/>
      <c r="E58" s="58"/>
      <c r="F58" s="90"/>
      <c r="G58" s="93"/>
      <c r="H58" s="93"/>
      <c r="I58" s="93"/>
      <c r="J58" s="93"/>
      <c r="K58" s="93"/>
      <c r="L58" s="90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1:30" ht="12">
      <c r="A59" s="55">
        <v>34</v>
      </c>
      <c r="B59" s="58"/>
      <c r="C59" s="58"/>
      <c r="D59" s="58"/>
      <c r="E59" s="58" t="s">
        <v>102</v>
      </c>
      <c r="F59" s="89"/>
      <c r="G59" s="94"/>
      <c r="H59" s="94"/>
      <c r="I59" s="94"/>
      <c r="J59" s="94"/>
      <c r="K59" s="94"/>
      <c r="L59" s="89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spans="2:30" ht="12">
      <c r="B60" s="58" t="s">
        <v>103</v>
      </c>
      <c r="C60" s="58"/>
      <c r="D60" s="58"/>
      <c r="E60" s="58"/>
      <c r="F60" s="89"/>
      <c r="G60" s="94"/>
      <c r="H60" s="94"/>
      <c r="I60" s="94"/>
      <c r="J60" s="94"/>
      <c r="K60" s="94"/>
      <c r="L60" s="89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</row>
    <row r="61" spans="1:30" ht="12">
      <c r="A61" s="55">
        <v>35</v>
      </c>
      <c r="B61" s="58"/>
      <c r="C61" s="58" t="s">
        <v>81</v>
      </c>
      <c r="D61" s="58"/>
      <c r="E61" s="58"/>
      <c r="F61" s="89"/>
      <c r="G61" s="94"/>
      <c r="H61" s="94"/>
      <c r="I61" s="94"/>
      <c r="J61" s="94"/>
      <c r="K61" s="94"/>
      <c r="L61" s="89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spans="1:30" ht="12">
      <c r="A62" s="55">
        <v>36</v>
      </c>
      <c r="B62" s="58"/>
      <c r="C62" s="58" t="s">
        <v>100</v>
      </c>
      <c r="D62" s="58"/>
      <c r="E62" s="58"/>
      <c r="F62" s="89"/>
      <c r="G62" s="94"/>
      <c r="H62" s="94"/>
      <c r="I62" s="94"/>
      <c r="J62" s="94"/>
      <c r="K62" s="94"/>
      <c r="L62" s="89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</row>
    <row r="63" spans="1:30" ht="12">
      <c r="A63" s="55">
        <v>37</v>
      </c>
      <c r="B63" s="58"/>
      <c r="C63" s="58" t="s">
        <v>101</v>
      </c>
      <c r="D63" s="58"/>
      <c r="E63" s="58"/>
      <c r="F63" s="89"/>
      <c r="G63" s="94"/>
      <c r="H63" s="94"/>
      <c r="I63" s="94"/>
      <c r="J63" s="94"/>
      <c r="K63" s="94"/>
      <c r="L63" s="89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30" ht="12">
      <c r="A64" s="55">
        <v>38</v>
      </c>
      <c r="B64" s="58"/>
      <c r="C64" s="58"/>
      <c r="D64" s="58"/>
      <c r="E64" s="58" t="s">
        <v>104</v>
      </c>
      <c r="F64" s="91"/>
      <c r="G64" s="96"/>
      <c r="H64" s="96"/>
      <c r="I64" s="96"/>
      <c r="J64" s="96"/>
      <c r="K64" s="96"/>
      <c r="L64" s="91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:30" s="61" customFormat="1" ht="18" customHeight="1">
      <c r="A65" s="59">
        <v>39</v>
      </c>
      <c r="B65" s="60" t="s">
        <v>105</v>
      </c>
      <c r="C65" s="60"/>
      <c r="D65" s="60"/>
      <c r="E65" s="60"/>
      <c r="F65" s="92"/>
      <c r="G65" s="95"/>
      <c r="H65" s="95"/>
      <c r="I65" s="95"/>
      <c r="J65" s="95"/>
      <c r="K65" s="95"/>
      <c r="L65" s="92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2">
      <c r="A66" s="55">
        <v>40</v>
      </c>
      <c r="B66" s="58" t="s">
        <v>106</v>
      </c>
      <c r="C66" s="58"/>
      <c r="D66" s="58"/>
      <c r="E66" s="58"/>
      <c r="F66" s="89"/>
      <c r="G66" s="94"/>
      <c r="H66" s="94"/>
      <c r="I66" s="94"/>
      <c r="J66" s="94"/>
      <c r="K66" s="94"/>
      <c r="L66" s="92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</row>
    <row r="67" spans="1:30" ht="12">
      <c r="A67" s="55">
        <v>41</v>
      </c>
      <c r="B67" s="58" t="s">
        <v>107</v>
      </c>
      <c r="C67" s="58"/>
      <c r="D67" s="58"/>
      <c r="E67" s="58"/>
      <c r="F67" s="90"/>
      <c r="G67" s="93"/>
      <c r="H67" s="93"/>
      <c r="I67" s="93"/>
      <c r="J67" s="93"/>
      <c r="K67" s="93"/>
      <c r="L67" s="90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</row>
    <row r="68" spans="6:30" ht="12">
      <c r="F68" s="89"/>
      <c r="G68" s="94"/>
      <c r="H68" s="94"/>
      <c r="I68" s="94"/>
      <c r="J68" s="94"/>
      <c r="K68" s="94"/>
      <c r="L68" s="89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</row>
    <row r="69" spans="1:30" s="57" customFormat="1" ht="12.75" thickBot="1">
      <c r="A69" s="55">
        <v>42</v>
      </c>
      <c r="B69" s="57" t="s">
        <v>108</v>
      </c>
      <c r="F69" s="98"/>
      <c r="G69" s="99"/>
      <c r="H69" s="99"/>
      <c r="I69" s="99"/>
      <c r="J69" s="99"/>
      <c r="K69" s="99"/>
      <c r="L69" s="98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:30" ht="18" customHeight="1" thickTop="1">
      <c r="A70" s="55">
        <v>43</v>
      </c>
      <c r="B70" s="26" t="s">
        <v>109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6:30" ht="12">
      <c r="F71" s="62"/>
      <c r="L71" s="62"/>
      <c r="AB71" s="62"/>
      <c r="AD71" s="62"/>
    </row>
    <row r="73" spans="7:26" ht="12">
      <c r="G73" s="27"/>
      <c r="H73" s="27"/>
      <c r="I73" s="27"/>
      <c r="J73" s="27"/>
      <c r="K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7:26" ht="12">
      <c r="G74" s="27"/>
      <c r="H74" s="27"/>
      <c r="I74" s="27"/>
      <c r="J74" s="27"/>
      <c r="K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</sheetData>
  <printOptions/>
  <pageMargins left="1" right="0.75" top="0.75" bottom="0.5" header="0.5" footer="0.5"/>
  <pageSetup horizontalDpi="300" verticalDpi="300" orientation="portrait" scale="80" r:id="rId1"/>
  <headerFooter alignWithMargins="0">
    <oddHeader>&amp;L&amp;"Times,Regular"&amp;9KM  File: &amp;F&amp;R&amp;"Times,Regular"&amp;9Page &amp;P of &amp;N  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workbookViewId="0" topLeftCell="A1">
      <selection activeCell="I13" sqref="I13"/>
    </sheetView>
  </sheetViews>
  <sheetFormatPr defaultColWidth="9.140625" defaultRowHeight="12.75"/>
  <cols>
    <col min="1" max="1" width="5.7109375" style="225" customWidth="1"/>
    <col min="2" max="4" width="1.7109375" style="200" customWidth="1"/>
    <col min="5" max="5" width="28.7109375" style="200" customWidth="1"/>
    <col min="6" max="7" width="11.7109375" style="201" customWidth="1"/>
    <col min="8" max="8" width="1.7109375" style="200" customWidth="1"/>
    <col min="9" max="10" width="11.7109375" style="201" customWidth="1"/>
    <col min="11" max="11" width="1.7109375" style="200" customWidth="1"/>
    <col min="12" max="13" width="11.7109375" style="201" customWidth="1"/>
    <col min="14" max="14" width="1.7109375" style="200" customWidth="1"/>
    <col min="15" max="16" width="11.7109375" style="201" customWidth="1"/>
    <col min="17" max="17" width="1.7109375" style="200" customWidth="1"/>
    <col min="18" max="19" width="11.7109375" style="201" customWidth="1"/>
    <col min="20" max="20" width="1.7109375" style="200" customWidth="1"/>
    <col min="21" max="22" width="11.7109375" style="201" customWidth="1"/>
    <col min="23" max="16384" width="9.140625" style="200" customWidth="1"/>
  </cols>
  <sheetData>
    <row r="1" ht="12">
      <c r="A1" s="199" t="str">
        <f>Inputs!D6</f>
        <v>AVISTA UTILITIES</v>
      </c>
    </row>
    <row r="2" ht="12">
      <c r="A2" s="199" t="s">
        <v>0</v>
      </c>
    </row>
    <row r="3" ht="12">
      <c r="A3" s="199" t="s">
        <v>1</v>
      </c>
    </row>
    <row r="4" ht="12">
      <c r="A4" s="199" t="s">
        <v>200</v>
      </c>
    </row>
    <row r="5" ht="12">
      <c r="A5" s="199" t="s">
        <v>2</v>
      </c>
    </row>
    <row r="6" spans="1:22" ht="12">
      <c r="A6" s="202"/>
      <c r="B6" s="203"/>
      <c r="C6" s="203"/>
      <c r="D6" s="203"/>
      <c r="E6" s="203"/>
      <c r="F6" s="204">
        <v>36341</v>
      </c>
      <c r="G6" s="205"/>
      <c r="I6" s="204">
        <v>36160</v>
      </c>
      <c r="J6" s="205"/>
      <c r="L6" s="204">
        <v>35976</v>
      </c>
      <c r="M6" s="205"/>
      <c r="O6" s="204">
        <v>35795</v>
      </c>
      <c r="P6" s="205"/>
      <c r="R6" s="204" t="s">
        <v>201</v>
      </c>
      <c r="S6" s="205"/>
      <c r="U6" s="204" t="s">
        <v>202</v>
      </c>
      <c r="V6" s="205"/>
    </row>
    <row r="7" spans="1:22" ht="12">
      <c r="A7" s="206"/>
      <c r="B7" s="207"/>
      <c r="C7" s="208"/>
      <c r="D7" s="208"/>
      <c r="E7" s="209"/>
      <c r="F7" s="210" t="s">
        <v>3</v>
      </c>
      <c r="G7" s="210"/>
      <c r="I7" s="210" t="s">
        <v>3</v>
      </c>
      <c r="J7" s="210"/>
      <c r="L7" s="210" t="s">
        <v>3</v>
      </c>
      <c r="M7" s="210"/>
      <c r="O7" s="210" t="s">
        <v>3</v>
      </c>
      <c r="P7" s="210"/>
      <c r="R7" s="210" t="s">
        <v>3</v>
      </c>
      <c r="S7" s="210"/>
      <c r="U7" s="210" t="s">
        <v>3</v>
      </c>
      <c r="V7" s="210"/>
    </row>
    <row r="8" spans="1:22" ht="12">
      <c r="A8" s="211" t="s">
        <v>11</v>
      </c>
      <c r="B8" s="212"/>
      <c r="C8" s="213"/>
      <c r="D8" s="213"/>
      <c r="E8" s="214"/>
      <c r="F8" s="215" t="s">
        <v>12</v>
      </c>
      <c r="G8" s="215" t="s">
        <v>27</v>
      </c>
      <c r="I8" s="215" t="s">
        <v>12</v>
      </c>
      <c r="J8" s="215" t="s">
        <v>27</v>
      </c>
      <c r="L8" s="215" t="s">
        <v>12</v>
      </c>
      <c r="M8" s="215" t="s">
        <v>27</v>
      </c>
      <c r="O8" s="215" t="s">
        <v>12</v>
      </c>
      <c r="P8" s="215" t="s">
        <v>27</v>
      </c>
      <c r="R8" s="215" t="s">
        <v>12</v>
      </c>
      <c r="S8" s="215" t="s">
        <v>27</v>
      </c>
      <c r="U8" s="215" t="s">
        <v>12</v>
      </c>
      <c r="V8" s="215" t="s">
        <v>27</v>
      </c>
    </row>
    <row r="9" spans="1:22" ht="12">
      <c r="A9" s="216" t="s">
        <v>29</v>
      </c>
      <c r="B9" s="217"/>
      <c r="C9" s="218"/>
      <c r="D9" s="218"/>
      <c r="E9" s="219" t="s">
        <v>30</v>
      </c>
      <c r="F9" s="220" t="s">
        <v>31</v>
      </c>
      <c r="G9" s="220" t="s">
        <v>45</v>
      </c>
      <c r="I9" s="220" t="s">
        <v>31</v>
      </c>
      <c r="J9" s="220" t="s">
        <v>45</v>
      </c>
      <c r="L9" s="220" t="s">
        <v>31</v>
      </c>
      <c r="M9" s="220" t="s">
        <v>45</v>
      </c>
      <c r="O9" s="220" t="s">
        <v>31</v>
      </c>
      <c r="P9" s="220" t="s">
        <v>45</v>
      </c>
      <c r="R9" s="220" t="s">
        <v>31</v>
      </c>
      <c r="S9" s="220" t="s">
        <v>45</v>
      </c>
      <c r="U9" s="220" t="s">
        <v>31</v>
      </c>
      <c r="V9" s="220" t="s">
        <v>45</v>
      </c>
    </row>
    <row r="10" spans="1:22" ht="12">
      <c r="A10" s="221"/>
      <c r="B10" s="222"/>
      <c r="C10" s="222"/>
      <c r="D10" s="222"/>
      <c r="E10" s="223" t="s">
        <v>46</v>
      </c>
      <c r="F10" s="224" t="s">
        <v>47</v>
      </c>
      <c r="G10" s="224" t="s">
        <v>53</v>
      </c>
      <c r="I10" s="224" t="s">
        <v>47</v>
      </c>
      <c r="J10" s="224" t="s">
        <v>53</v>
      </c>
      <c r="L10" s="224" t="s">
        <v>47</v>
      </c>
      <c r="M10" s="224" t="s">
        <v>53</v>
      </c>
      <c r="O10" s="224" t="s">
        <v>47</v>
      </c>
      <c r="P10" s="224" t="s">
        <v>53</v>
      </c>
      <c r="R10" s="224" t="s">
        <v>47</v>
      </c>
      <c r="S10" s="224" t="s">
        <v>53</v>
      </c>
      <c r="U10" s="224" t="s">
        <v>47</v>
      </c>
      <c r="V10" s="224" t="s">
        <v>53</v>
      </c>
    </row>
    <row r="12" ht="12">
      <c r="B12" s="200" t="s">
        <v>69</v>
      </c>
    </row>
    <row r="13" spans="1:22" ht="12">
      <c r="A13" s="225">
        <v>1</v>
      </c>
      <c r="B13" s="226"/>
      <c r="C13" s="226" t="s">
        <v>70</v>
      </c>
      <c r="D13" s="226"/>
      <c r="E13" s="226"/>
      <c r="F13" s="78">
        <f>ResultSumGas!F8</f>
        <v>145940</v>
      </c>
      <c r="G13" s="78">
        <f>WAGas12_04!AC13</f>
        <v>159265</v>
      </c>
      <c r="I13" s="78">
        <v>67226</v>
      </c>
      <c r="J13" s="78">
        <v>72351</v>
      </c>
      <c r="L13" s="78">
        <v>60870</v>
      </c>
      <c r="M13" s="78">
        <v>65232</v>
      </c>
      <c r="O13" s="226">
        <v>59881</v>
      </c>
      <c r="P13" s="226">
        <v>60410</v>
      </c>
      <c r="R13" s="226">
        <f aca="true" t="shared" si="0" ref="R13:S16">F13-O13</f>
        <v>86059</v>
      </c>
      <c r="S13" s="226">
        <f t="shared" si="0"/>
        <v>98855</v>
      </c>
      <c r="U13" s="227">
        <f aca="true" t="shared" si="1" ref="U13:V16">ROUND(R13/O13,4)</f>
        <v>1.4372</v>
      </c>
      <c r="V13" s="227">
        <f t="shared" si="1"/>
        <v>1.6364</v>
      </c>
    </row>
    <row r="14" spans="1:22" ht="12">
      <c r="A14" s="225">
        <v>2</v>
      </c>
      <c r="C14" s="188" t="s">
        <v>71</v>
      </c>
      <c r="D14" s="188"/>
      <c r="E14" s="188"/>
      <c r="F14" s="80">
        <f>ResultSumGas!F9</f>
        <v>3643</v>
      </c>
      <c r="G14" s="80">
        <f>WAGas12_04!AC14</f>
        <v>2842</v>
      </c>
      <c r="I14" s="80">
        <v>5294</v>
      </c>
      <c r="J14" s="80">
        <v>5218</v>
      </c>
      <c r="L14" s="80">
        <v>5449</v>
      </c>
      <c r="M14" s="80">
        <v>5372</v>
      </c>
      <c r="O14" s="188">
        <v>4946</v>
      </c>
      <c r="P14" s="188">
        <v>4876</v>
      </c>
      <c r="R14" s="188">
        <f t="shared" si="0"/>
        <v>-1303</v>
      </c>
      <c r="S14" s="188">
        <f t="shared" si="0"/>
        <v>-2034</v>
      </c>
      <c r="U14" s="227">
        <f t="shared" si="1"/>
        <v>-0.2634</v>
      </c>
      <c r="V14" s="227">
        <f t="shared" si="1"/>
        <v>-0.4171</v>
      </c>
    </row>
    <row r="15" spans="1:22" ht="12">
      <c r="A15" s="225">
        <v>3</v>
      </c>
      <c r="C15" s="188" t="s">
        <v>72</v>
      </c>
      <c r="D15" s="188"/>
      <c r="E15" s="188"/>
      <c r="F15" s="81">
        <f>ResultSumGas!F10</f>
        <v>2168</v>
      </c>
      <c r="G15" s="81">
        <f>WAGas12_04!AC15</f>
        <v>2168</v>
      </c>
      <c r="I15" s="81">
        <v>12629</v>
      </c>
      <c r="J15" s="81">
        <v>12629</v>
      </c>
      <c r="L15" s="81">
        <v>11275</v>
      </c>
      <c r="M15" s="81">
        <v>11275</v>
      </c>
      <c r="O15" s="228">
        <v>9493</v>
      </c>
      <c r="P15" s="228">
        <v>9493</v>
      </c>
      <c r="R15" s="228">
        <f t="shared" si="0"/>
        <v>-7325</v>
      </c>
      <c r="S15" s="228">
        <f t="shared" si="0"/>
        <v>-7325</v>
      </c>
      <c r="U15" s="227">
        <f t="shared" si="1"/>
        <v>-0.7716</v>
      </c>
      <c r="V15" s="227">
        <f t="shared" si="1"/>
        <v>-0.7716</v>
      </c>
    </row>
    <row r="16" spans="1:22" ht="12">
      <c r="A16" s="225">
        <v>4</v>
      </c>
      <c r="B16" s="200" t="s">
        <v>73</v>
      </c>
      <c r="C16" s="188"/>
      <c r="D16" s="188"/>
      <c r="E16" s="188"/>
      <c r="F16" s="80">
        <f>SUM(F13:F15)</f>
        <v>151751</v>
      </c>
      <c r="G16" s="80">
        <f>SUM(G13:G15)</f>
        <v>164275</v>
      </c>
      <c r="I16" s="80">
        <v>85149</v>
      </c>
      <c r="J16" s="80">
        <v>90198</v>
      </c>
      <c r="L16" s="80">
        <v>77594</v>
      </c>
      <c r="M16" s="80">
        <v>81879</v>
      </c>
      <c r="O16" s="188">
        <v>74320</v>
      </c>
      <c r="P16" s="188">
        <v>74779</v>
      </c>
      <c r="R16" s="188">
        <f t="shared" si="0"/>
        <v>77431</v>
      </c>
      <c r="S16" s="188">
        <f t="shared" si="0"/>
        <v>89496</v>
      </c>
      <c r="U16" s="227">
        <f t="shared" si="1"/>
        <v>1.0419</v>
      </c>
      <c r="V16" s="227">
        <f t="shared" si="1"/>
        <v>1.1968</v>
      </c>
    </row>
    <row r="17" spans="3:22" ht="12">
      <c r="C17" s="188"/>
      <c r="D17" s="188"/>
      <c r="E17" s="188"/>
      <c r="F17" s="80"/>
      <c r="G17" s="80"/>
      <c r="I17" s="80"/>
      <c r="J17" s="80"/>
      <c r="L17" s="80"/>
      <c r="M17" s="80"/>
      <c r="O17" s="188"/>
      <c r="P17" s="188"/>
      <c r="R17" s="188"/>
      <c r="S17" s="188"/>
      <c r="U17" s="227"/>
      <c r="V17" s="227"/>
    </row>
    <row r="18" spans="2:22" ht="12">
      <c r="B18" s="200" t="s">
        <v>74</v>
      </c>
      <c r="C18" s="188"/>
      <c r="D18" s="188"/>
      <c r="E18" s="188"/>
      <c r="F18" s="80"/>
      <c r="G18" s="80"/>
      <c r="I18" s="80"/>
      <c r="J18" s="80"/>
      <c r="L18" s="80"/>
      <c r="M18" s="80"/>
      <c r="O18" s="188"/>
      <c r="P18" s="188"/>
      <c r="R18" s="188"/>
      <c r="S18" s="188"/>
      <c r="U18" s="227"/>
      <c r="V18" s="227"/>
    </row>
    <row r="19" spans="1:22" ht="12">
      <c r="A19" s="225">
        <v>5</v>
      </c>
      <c r="C19" s="188" t="s">
        <v>75</v>
      </c>
      <c r="D19" s="188"/>
      <c r="E19" s="188"/>
      <c r="F19" s="80">
        <f>ResultSumGas!F14</f>
        <v>0</v>
      </c>
      <c r="G19" s="80">
        <f>WAGas12_04!AC19</f>
        <v>0</v>
      </c>
      <c r="I19" s="80">
        <v>0</v>
      </c>
      <c r="J19" s="80">
        <v>0</v>
      </c>
      <c r="L19" s="80">
        <v>0</v>
      </c>
      <c r="M19" s="80">
        <v>0</v>
      </c>
      <c r="O19" s="188">
        <v>0</v>
      </c>
      <c r="P19" s="188">
        <v>0</v>
      </c>
      <c r="R19" s="188">
        <f>F19-O19</f>
        <v>0</v>
      </c>
      <c r="S19" s="188">
        <f>G19-P19</f>
        <v>0</v>
      </c>
      <c r="U19" s="227"/>
      <c r="V19" s="227"/>
    </row>
    <row r="20" spans="3:22" ht="12">
      <c r="C20" s="188" t="s">
        <v>76</v>
      </c>
      <c r="D20" s="188"/>
      <c r="E20" s="188"/>
      <c r="F20" s="80"/>
      <c r="G20" s="80"/>
      <c r="I20" s="80"/>
      <c r="J20" s="80"/>
      <c r="L20" s="80"/>
      <c r="M20" s="80"/>
      <c r="O20" s="188"/>
      <c r="P20" s="188"/>
      <c r="R20" s="188"/>
      <c r="S20" s="188"/>
      <c r="U20" s="227"/>
      <c r="V20" s="227"/>
    </row>
    <row r="21" spans="1:22" ht="12">
      <c r="A21" s="225">
        <v>6</v>
      </c>
      <c r="C21" s="188"/>
      <c r="D21" s="188" t="s">
        <v>77</v>
      </c>
      <c r="E21" s="188"/>
      <c r="F21" s="80">
        <f>ResultSumGas!F16</f>
        <v>100951</v>
      </c>
      <c r="G21" s="80">
        <f>WAGas12_04!AC21</f>
        <v>114371</v>
      </c>
      <c r="I21" s="80">
        <v>49265</v>
      </c>
      <c r="J21" s="80">
        <v>53479</v>
      </c>
      <c r="L21" s="80">
        <v>43653</v>
      </c>
      <c r="M21" s="80">
        <v>47886</v>
      </c>
      <c r="O21" s="188">
        <v>44989</v>
      </c>
      <c r="P21" s="188">
        <v>46442</v>
      </c>
      <c r="R21" s="188">
        <f aca="true" t="shared" si="2" ref="R21:S24">F21-O21</f>
        <v>55962</v>
      </c>
      <c r="S21" s="188">
        <f t="shared" si="2"/>
        <v>67929</v>
      </c>
      <c r="U21" s="227">
        <f aca="true" t="shared" si="3" ref="U21:V24">ROUND(R21/O21,4)</f>
        <v>1.2439</v>
      </c>
      <c r="V21" s="227">
        <f t="shared" si="3"/>
        <v>1.4627</v>
      </c>
    </row>
    <row r="22" spans="1:22" ht="12">
      <c r="A22" s="225">
        <v>7</v>
      </c>
      <c r="C22" s="188"/>
      <c r="D22" s="188" t="s">
        <v>78</v>
      </c>
      <c r="E22" s="188"/>
      <c r="F22" s="80">
        <f>ResultSumGas!F17</f>
        <v>329</v>
      </c>
      <c r="G22" s="80">
        <f>WAGas12_04!AC22</f>
        <v>369</v>
      </c>
      <c r="I22" s="80">
        <v>117</v>
      </c>
      <c r="J22" s="80">
        <v>-101</v>
      </c>
      <c r="L22" s="80">
        <v>-68</v>
      </c>
      <c r="M22" s="80">
        <v>-580</v>
      </c>
      <c r="O22" s="188">
        <v>246</v>
      </c>
      <c r="P22" s="188">
        <v>246</v>
      </c>
      <c r="R22" s="188">
        <f t="shared" si="2"/>
        <v>83</v>
      </c>
      <c r="S22" s="188">
        <f t="shared" si="2"/>
        <v>123</v>
      </c>
      <c r="U22" s="227">
        <f t="shared" si="3"/>
        <v>0.3374</v>
      </c>
      <c r="V22" s="227">
        <f t="shared" si="3"/>
        <v>0.5</v>
      </c>
    </row>
    <row r="23" spans="1:22" ht="12">
      <c r="A23" s="225">
        <v>8</v>
      </c>
      <c r="C23" s="188"/>
      <c r="D23" s="188" t="s">
        <v>79</v>
      </c>
      <c r="E23" s="188"/>
      <c r="F23" s="81">
        <f>ResultSumGas!F18</f>
        <v>0</v>
      </c>
      <c r="G23" s="81">
        <f>WAGas12_04!AC23</f>
        <v>0</v>
      </c>
      <c r="I23" s="81">
        <v>-1017</v>
      </c>
      <c r="J23" s="81">
        <v>-1017</v>
      </c>
      <c r="L23" s="81">
        <v>321</v>
      </c>
      <c r="M23" s="81">
        <v>321</v>
      </c>
      <c r="O23" s="228">
        <v>-2074</v>
      </c>
      <c r="P23" s="228">
        <v>-2074</v>
      </c>
      <c r="R23" s="228">
        <f t="shared" si="2"/>
        <v>2074</v>
      </c>
      <c r="S23" s="228">
        <f t="shared" si="2"/>
        <v>2074</v>
      </c>
      <c r="U23" s="227">
        <f t="shared" si="3"/>
        <v>-1</v>
      </c>
      <c r="V23" s="227">
        <f t="shared" si="3"/>
        <v>-1</v>
      </c>
    </row>
    <row r="24" spans="1:22" ht="12">
      <c r="A24" s="225">
        <v>9</v>
      </c>
      <c r="C24" s="188"/>
      <c r="D24" s="188"/>
      <c r="E24" s="188" t="s">
        <v>80</v>
      </c>
      <c r="F24" s="80">
        <f>SUM(F21:F23)</f>
        <v>101280</v>
      </c>
      <c r="G24" s="80">
        <f>SUM(G21:G23)</f>
        <v>114740</v>
      </c>
      <c r="I24" s="80">
        <v>48365</v>
      </c>
      <c r="J24" s="80">
        <v>52361</v>
      </c>
      <c r="L24" s="80">
        <v>43906</v>
      </c>
      <c r="M24" s="80">
        <v>47627</v>
      </c>
      <c r="O24" s="188">
        <v>43161</v>
      </c>
      <c r="P24" s="188">
        <v>44614</v>
      </c>
      <c r="R24" s="188">
        <f t="shared" si="2"/>
        <v>58119</v>
      </c>
      <c r="S24" s="188">
        <f t="shared" si="2"/>
        <v>70126</v>
      </c>
      <c r="U24" s="227">
        <f t="shared" si="3"/>
        <v>1.3466</v>
      </c>
      <c r="V24" s="227">
        <f t="shared" si="3"/>
        <v>1.5718</v>
      </c>
    </row>
    <row r="25" spans="3:22" ht="12">
      <c r="C25" s="188" t="s">
        <v>81</v>
      </c>
      <c r="D25" s="188"/>
      <c r="E25" s="188"/>
      <c r="F25" s="80"/>
      <c r="G25" s="80"/>
      <c r="I25" s="80"/>
      <c r="J25" s="80"/>
      <c r="L25" s="80"/>
      <c r="M25" s="80"/>
      <c r="O25" s="188"/>
      <c r="P25" s="188"/>
      <c r="R25" s="188"/>
      <c r="S25" s="188"/>
      <c r="U25" s="227"/>
      <c r="V25" s="227"/>
    </row>
    <row r="26" spans="1:22" ht="12">
      <c r="A26" s="225">
        <v>10</v>
      </c>
      <c r="C26" s="188"/>
      <c r="D26" s="188" t="s">
        <v>82</v>
      </c>
      <c r="E26" s="188"/>
      <c r="F26" s="80">
        <f>ResultSumGas!F21</f>
        <v>381</v>
      </c>
      <c r="G26" s="80">
        <f>WAGas12_04!AC26</f>
        <v>381</v>
      </c>
      <c r="I26" s="80">
        <v>319</v>
      </c>
      <c r="J26" s="80">
        <v>319</v>
      </c>
      <c r="L26" s="80">
        <v>365</v>
      </c>
      <c r="M26" s="80">
        <v>365</v>
      </c>
      <c r="O26" s="188">
        <v>333</v>
      </c>
      <c r="P26" s="188">
        <v>333</v>
      </c>
      <c r="R26" s="188">
        <f aca="true" t="shared" si="4" ref="R26:S29">F26-O26</f>
        <v>48</v>
      </c>
      <c r="S26" s="188">
        <f t="shared" si="4"/>
        <v>48</v>
      </c>
      <c r="U26" s="227">
        <f aca="true" t="shared" si="5" ref="U26:V29">ROUND(R26/O26,4)</f>
        <v>0.1441</v>
      </c>
      <c r="V26" s="227">
        <f t="shared" si="5"/>
        <v>0.1441</v>
      </c>
    </row>
    <row r="27" spans="1:22" ht="12">
      <c r="A27" s="225">
        <v>11</v>
      </c>
      <c r="C27" s="188"/>
      <c r="D27" s="188" t="s">
        <v>83</v>
      </c>
      <c r="E27" s="188"/>
      <c r="F27" s="80">
        <f>ResultSumGas!F22</f>
        <v>313</v>
      </c>
      <c r="G27" s="80">
        <f>WAGas12_04!AC27</f>
        <v>309</v>
      </c>
      <c r="I27" s="80">
        <v>325</v>
      </c>
      <c r="J27" s="80">
        <v>325</v>
      </c>
      <c r="L27" s="80">
        <v>322</v>
      </c>
      <c r="M27" s="80">
        <v>322</v>
      </c>
      <c r="O27" s="188">
        <v>328</v>
      </c>
      <c r="P27" s="188">
        <v>328</v>
      </c>
      <c r="R27" s="188">
        <f t="shared" si="4"/>
        <v>-15</v>
      </c>
      <c r="S27" s="188">
        <f t="shared" si="4"/>
        <v>-19</v>
      </c>
      <c r="U27" s="227">
        <f t="shared" si="5"/>
        <v>-0.0457</v>
      </c>
      <c r="V27" s="227">
        <f t="shared" si="5"/>
        <v>-0.0579</v>
      </c>
    </row>
    <row r="28" spans="1:22" ht="12">
      <c r="A28" s="225">
        <v>12</v>
      </c>
      <c r="C28" s="188"/>
      <c r="D28" s="188" t="s">
        <v>39</v>
      </c>
      <c r="E28" s="188"/>
      <c r="F28" s="81">
        <f>ResultSumGas!F23</f>
        <v>124</v>
      </c>
      <c r="G28" s="81">
        <f>WAGas12_04!AC28</f>
        <v>120</v>
      </c>
      <c r="I28" s="81">
        <v>103</v>
      </c>
      <c r="J28" s="81">
        <v>103</v>
      </c>
      <c r="L28" s="81">
        <v>133</v>
      </c>
      <c r="M28" s="81">
        <v>118</v>
      </c>
      <c r="O28" s="228">
        <v>138</v>
      </c>
      <c r="P28" s="228">
        <v>152</v>
      </c>
      <c r="R28" s="228">
        <f t="shared" si="4"/>
        <v>-14</v>
      </c>
      <c r="S28" s="228">
        <f t="shared" si="4"/>
        <v>-32</v>
      </c>
      <c r="U28" s="227">
        <f t="shared" si="5"/>
        <v>-0.1014</v>
      </c>
      <c r="V28" s="227">
        <f t="shared" si="5"/>
        <v>-0.2105</v>
      </c>
    </row>
    <row r="29" spans="1:22" ht="12">
      <c r="A29" s="225">
        <v>13</v>
      </c>
      <c r="C29" s="188"/>
      <c r="D29" s="188"/>
      <c r="E29" s="188" t="s">
        <v>84</v>
      </c>
      <c r="F29" s="80">
        <f>SUM(F26:F28)</f>
        <v>818</v>
      </c>
      <c r="G29" s="80">
        <f>SUM(G26:G28)</f>
        <v>810</v>
      </c>
      <c r="I29" s="80">
        <v>747</v>
      </c>
      <c r="J29" s="80">
        <v>747</v>
      </c>
      <c r="L29" s="80">
        <v>820</v>
      </c>
      <c r="M29" s="80">
        <v>805</v>
      </c>
      <c r="O29" s="188">
        <v>799</v>
      </c>
      <c r="P29" s="188">
        <v>813</v>
      </c>
      <c r="R29" s="188">
        <f t="shared" si="4"/>
        <v>19</v>
      </c>
      <c r="S29" s="188">
        <f t="shared" si="4"/>
        <v>-3</v>
      </c>
      <c r="U29" s="227">
        <f t="shared" si="5"/>
        <v>0.0238</v>
      </c>
      <c r="V29" s="227">
        <f t="shared" si="5"/>
        <v>-0.0037</v>
      </c>
    </row>
    <row r="30" spans="3:22" ht="12">
      <c r="C30" s="188" t="s">
        <v>85</v>
      </c>
      <c r="D30" s="188"/>
      <c r="E30" s="188"/>
      <c r="F30" s="80"/>
      <c r="G30" s="80"/>
      <c r="I30" s="80"/>
      <c r="J30" s="80"/>
      <c r="L30" s="80"/>
      <c r="M30" s="80"/>
      <c r="O30" s="188"/>
      <c r="P30" s="188"/>
      <c r="R30" s="188"/>
      <c r="S30" s="188"/>
      <c r="U30" s="227"/>
      <c r="V30" s="227"/>
    </row>
    <row r="31" spans="1:22" ht="12">
      <c r="A31" s="225">
        <v>14</v>
      </c>
      <c r="C31" s="188"/>
      <c r="D31" s="188" t="s">
        <v>82</v>
      </c>
      <c r="E31" s="188"/>
      <c r="F31" s="80">
        <f>ResultSumGas!F26</f>
        <v>6116</v>
      </c>
      <c r="G31" s="80">
        <f>WAGas12_04!AC31</f>
        <v>5958</v>
      </c>
      <c r="I31" s="80">
        <v>3905</v>
      </c>
      <c r="J31" s="80">
        <v>3905</v>
      </c>
      <c r="L31" s="80">
        <v>3870</v>
      </c>
      <c r="M31" s="80">
        <v>3870</v>
      </c>
      <c r="O31" s="188">
        <v>3902</v>
      </c>
      <c r="P31" s="188">
        <v>3902</v>
      </c>
      <c r="R31" s="188">
        <f aca="true" t="shared" si="6" ref="R31:S34">F31-O31</f>
        <v>2214</v>
      </c>
      <c r="S31" s="188">
        <f t="shared" si="6"/>
        <v>2056</v>
      </c>
      <c r="U31" s="227">
        <f aca="true" t="shared" si="7" ref="U31:V34">ROUND(R31/O31,4)</f>
        <v>0.5674</v>
      </c>
      <c r="V31" s="227">
        <f t="shared" si="7"/>
        <v>0.5269</v>
      </c>
    </row>
    <row r="32" spans="1:22" ht="12">
      <c r="A32" s="225">
        <v>15</v>
      </c>
      <c r="C32" s="188"/>
      <c r="D32" s="188" t="s">
        <v>83</v>
      </c>
      <c r="E32" s="188"/>
      <c r="F32" s="80">
        <f>ResultSumGas!F27</f>
        <v>4894</v>
      </c>
      <c r="G32" s="80">
        <f>WAGas12_04!AC32</f>
        <v>4902</v>
      </c>
      <c r="I32" s="80">
        <v>3738</v>
      </c>
      <c r="J32" s="80">
        <v>3738</v>
      </c>
      <c r="L32" s="80">
        <v>3639</v>
      </c>
      <c r="M32" s="80">
        <v>3639</v>
      </c>
      <c r="O32" s="188">
        <v>3539</v>
      </c>
      <c r="P32" s="188">
        <v>3539</v>
      </c>
      <c r="R32" s="188">
        <f t="shared" si="6"/>
        <v>1355</v>
      </c>
      <c r="S32" s="188">
        <f t="shared" si="6"/>
        <v>1363</v>
      </c>
      <c r="U32" s="227">
        <f t="shared" si="7"/>
        <v>0.3829</v>
      </c>
      <c r="V32" s="227">
        <f t="shared" si="7"/>
        <v>0.3851</v>
      </c>
    </row>
    <row r="33" spans="1:22" ht="12">
      <c r="A33" s="225">
        <v>16</v>
      </c>
      <c r="C33" s="188"/>
      <c r="D33" s="188" t="s">
        <v>39</v>
      </c>
      <c r="E33" s="188"/>
      <c r="F33" s="81">
        <f>ResultSumGas!F28</f>
        <v>12657</v>
      </c>
      <c r="G33" s="81">
        <f>WAGas12_04!AC33</f>
        <v>8213</v>
      </c>
      <c r="I33" s="81">
        <v>4956</v>
      </c>
      <c r="J33" s="81">
        <v>4081</v>
      </c>
      <c r="L33" s="81">
        <v>5352</v>
      </c>
      <c r="M33" s="81">
        <v>4106</v>
      </c>
      <c r="O33" s="228">
        <v>5753</v>
      </c>
      <c r="P33" s="228">
        <v>4281</v>
      </c>
      <c r="R33" s="228">
        <f t="shared" si="6"/>
        <v>6904</v>
      </c>
      <c r="S33" s="228">
        <f t="shared" si="6"/>
        <v>3932</v>
      </c>
      <c r="U33" s="227">
        <f t="shared" si="7"/>
        <v>1.2001</v>
      </c>
      <c r="V33" s="227">
        <f t="shared" si="7"/>
        <v>0.9185</v>
      </c>
    </row>
    <row r="34" spans="1:22" ht="12">
      <c r="A34" s="225">
        <v>17</v>
      </c>
      <c r="C34" s="188"/>
      <c r="D34" s="188"/>
      <c r="E34" s="188" t="s">
        <v>86</v>
      </c>
      <c r="F34" s="80">
        <f>SUM(F31:F33)</f>
        <v>23667</v>
      </c>
      <c r="G34" s="80">
        <f>SUM(G31:G33)</f>
        <v>19073</v>
      </c>
      <c r="I34" s="80">
        <v>12599</v>
      </c>
      <c r="J34" s="80">
        <v>11724</v>
      </c>
      <c r="L34" s="80">
        <v>12861</v>
      </c>
      <c r="M34" s="80">
        <v>11615</v>
      </c>
      <c r="O34" s="188">
        <v>13194</v>
      </c>
      <c r="P34" s="188">
        <v>11722</v>
      </c>
      <c r="R34" s="188">
        <f t="shared" si="6"/>
        <v>10473</v>
      </c>
      <c r="S34" s="188">
        <f t="shared" si="6"/>
        <v>7351</v>
      </c>
      <c r="U34" s="227">
        <f t="shared" si="7"/>
        <v>0.7938</v>
      </c>
      <c r="V34" s="227">
        <f t="shared" si="7"/>
        <v>0.6271</v>
      </c>
    </row>
    <row r="35" spans="3:22" ht="12">
      <c r="C35" s="188"/>
      <c r="D35" s="188"/>
      <c r="E35" s="188"/>
      <c r="F35" s="80"/>
      <c r="G35" s="80"/>
      <c r="I35" s="80"/>
      <c r="J35" s="80"/>
      <c r="L35" s="80"/>
      <c r="M35" s="80"/>
      <c r="O35" s="188"/>
      <c r="P35" s="188"/>
      <c r="R35" s="188"/>
      <c r="S35" s="188"/>
      <c r="U35" s="227"/>
      <c r="V35" s="227"/>
    </row>
    <row r="36" spans="1:22" ht="12">
      <c r="A36" s="225">
        <v>18</v>
      </c>
      <c r="B36" s="200" t="s">
        <v>87</v>
      </c>
      <c r="C36" s="188"/>
      <c r="D36" s="188"/>
      <c r="E36" s="188"/>
      <c r="F36" s="80">
        <f>ResultSumGas!F31</f>
        <v>4726</v>
      </c>
      <c r="G36" s="80">
        <f>WAGas12_04!AC36</f>
        <v>4337</v>
      </c>
      <c r="I36" s="80">
        <v>3322</v>
      </c>
      <c r="J36" s="80">
        <v>2875</v>
      </c>
      <c r="L36" s="80">
        <v>3163</v>
      </c>
      <c r="M36" s="80">
        <v>2872</v>
      </c>
      <c r="O36" s="188">
        <v>3208</v>
      </c>
      <c r="P36" s="188">
        <v>2841</v>
      </c>
      <c r="R36" s="188">
        <f aca="true" t="shared" si="8" ref="R36:S38">F36-O36</f>
        <v>1518</v>
      </c>
      <c r="S36" s="188">
        <f t="shared" si="8"/>
        <v>1496</v>
      </c>
      <c r="U36" s="227">
        <f aca="true" t="shared" si="9" ref="U36:V38">ROUND(R36/O36,4)</f>
        <v>0.4732</v>
      </c>
      <c r="V36" s="227">
        <f t="shared" si="9"/>
        <v>0.5266</v>
      </c>
    </row>
    <row r="37" spans="1:22" ht="12">
      <c r="A37" s="225">
        <v>19</v>
      </c>
      <c r="B37" s="200" t="s">
        <v>88</v>
      </c>
      <c r="C37" s="188"/>
      <c r="D37" s="188"/>
      <c r="E37" s="188"/>
      <c r="F37" s="80">
        <f>ResultSumGas!F32</f>
        <v>4199</v>
      </c>
      <c r="G37" s="80">
        <f>WAGas12_04!AC37</f>
        <v>480</v>
      </c>
      <c r="I37" s="80">
        <v>585</v>
      </c>
      <c r="J37" s="80">
        <v>585</v>
      </c>
      <c r="L37" s="80">
        <v>565</v>
      </c>
      <c r="M37" s="80">
        <v>565</v>
      </c>
      <c r="O37" s="188">
        <v>594</v>
      </c>
      <c r="P37" s="188">
        <v>594</v>
      </c>
      <c r="R37" s="188">
        <f t="shared" si="8"/>
        <v>3605</v>
      </c>
      <c r="S37" s="188">
        <f t="shared" si="8"/>
        <v>-114</v>
      </c>
      <c r="U37" s="227">
        <f t="shared" si="9"/>
        <v>6.069</v>
      </c>
      <c r="V37" s="227">
        <f t="shared" si="9"/>
        <v>-0.1919</v>
      </c>
    </row>
    <row r="38" spans="1:22" ht="12">
      <c r="A38" s="225">
        <v>20</v>
      </c>
      <c r="B38" s="200" t="s">
        <v>89</v>
      </c>
      <c r="C38" s="188"/>
      <c r="D38" s="188"/>
      <c r="E38" s="188"/>
      <c r="F38" s="80">
        <f>ResultSumGas!F33</f>
        <v>438</v>
      </c>
      <c r="G38" s="80">
        <f>WAGas12_04!AC38</f>
        <v>427</v>
      </c>
      <c r="I38" s="80">
        <v>474</v>
      </c>
      <c r="J38" s="80">
        <v>474</v>
      </c>
      <c r="L38" s="80">
        <v>443</v>
      </c>
      <c r="M38" s="80">
        <v>443</v>
      </c>
      <c r="O38" s="188">
        <v>437</v>
      </c>
      <c r="P38" s="188">
        <v>437</v>
      </c>
      <c r="R38" s="188">
        <f t="shared" si="8"/>
        <v>1</v>
      </c>
      <c r="S38" s="188">
        <f t="shared" si="8"/>
        <v>-10</v>
      </c>
      <c r="U38" s="227">
        <f t="shared" si="9"/>
        <v>0.0023</v>
      </c>
      <c r="V38" s="227">
        <f t="shared" si="9"/>
        <v>-0.0229</v>
      </c>
    </row>
    <row r="39" spans="2:22" ht="12">
      <c r="B39" s="200" t="s">
        <v>90</v>
      </c>
      <c r="C39" s="188"/>
      <c r="D39" s="188"/>
      <c r="E39" s="188"/>
      <c r="F39" s="80"/>
      <c r="G39" s="80"/>
      <c r="I39" s="80"/>
      <c r="J39" s="80"/>
      <c r="L39" s="80"/>
      <c r="M39" s="80"/>
      <c r="O39" s="188"/>
      <c r="P39" s="188"/>
      <c r="R39" s="188"/>
      <c r="S39" s="188"/>
      <c r="U39" s="227"/>
      <c r="V39" s="227"/>
    </row>
    <row r="40" spans="1:22" ht="12">
      <c r="A40" s="225">
        <v>21</v>
      </c>
      <c r="C40" s="188" t="s">
        <v>82</v>
      </c>
      <c r="D40" s="188"/>
      <c r="E40" s="188"/>
      <c r="F40" s="80">
        <f>ResultSumGas!F35</f>
        <v>9044</v>
      </c>
      <c r="G40" s="80">
        <f>WAGas12_04!AC40</f>
        <v>8911</v>
      </c>
      <c r="I40" s="80">
        <v>8195</v>
      </c>
      <c r="J40" s="80">
        <v>8281</v>
      </c>
      <c r="L40" s="80">
        <v>7359</v>
      </c>
      <c r="M40" s="80">
        <v>7346</v>
      </c>
      <c r="O40" s="188">
        <v>7319</v>
      </c>
      <c r="P40" s="188">
        <v>7248</v>
      </c>
      <c r="R40" s="188">
        <f aca="true" t="shared" si="10" ref="R40:S42">F40-O40</f>
        <v>1725</v>
      </c>
      <c r="S40" s="188">
        <f t="shared" si="10"/>
        <v>1663</v>
      </c>
      <c r="U40" s="227">
        <f aca="true" t="shared" si="11" ref="U40:V44">ROUND(R40/O40,4)</f>
        <v>0.2357</v>
      </c>
      <c r="V40" s="227">
        <f t="shared" si="11"/>
        <v>0.2294</v>
      </c>
    </row>
    <row r="41" spans="1:22" ht="12">
      <c r="A41" s="225">
        <v>22</v>
      </c>
      <c r="C41" s="188" t="s">
        <v>83</v>
      </c>
      <c r="D41" s="188"/>
      <c r="E41" s="188"/>
      <c r="F41" s="80">
        <f>ResultSumGas!F36</f>
        <v>871</v>
      </c>
      <c r="G41" s="80">
        <f>WAGas12_04!AC41</f>
        <v>1349</v>
      </c>
      <c r="I41" s="80">
        <v>818</v>
      </c>
      <c r="J41" s="80">
        <v>818</v>
      </c>
      <c r="L41" s="80">
        <v>725</v>
      </c>
      <c r="M41" s="80">
        <v>725</v>
      </c>
      <c r="O41" s="229">
        <v>668</v>
      </c>
      <c r="P41" s="229">
        <v>668</v>
      </c>
      <c r="R41" s="229">
        <f t="shared" si="10"/>
        <v>203</v>
      </c>
      <c r="S41" s="229">
        <f t="shared" si="10"/>
        <v>681</v>
      </c>
      <c r="U41" s="227">
        <f t="shared" si="11"/>
        <v>0.3039</v>
      </c>
      <c r="V41" s="227">
        <f t="shared" si="11"/>
        <v>1.0195</v>
      </c>
    </row>
    <row r="42" spans="1:22" ht="12">
      <c r="A42" s="225">
        <v>23</v>
      </c>
      <c r="C42" s="188" t="s">
        <v>39</v>
      </c>
      <c r="D42" s="188"/>
      <c r="E42" s="188"/>
      <c r="F42" s="81">
        <f>ResultSumGas!F37</f>
        <v>24</v>
      </c>
      <c r="G42" s="81">
        <f>WAGas12_04!AC42</f>
        <v>24</v>
      </c>
      <c r="I42" s="81">
        <v>15</v>
      </c>
      <c r="J42" s="81">
        <v>15</v>
      </c>
      <c r="L42" s="81">
        <v>15</v>
      </c>
      <c r="M42" s="81">
        <v>14</v>
      </c>
      <c r="O42" s="228">
        <v>16</v>
      </c>
      <c r="P42" s="228">
        <v>18</v>
      </c>
      <c r="R42" s="228">
        <f t="shared" si="10"/>
        <v>8</v>
      </c>
      <c r="S42" s="228">
        <f t="shared" si="10"/>
        <v>6</v>
      </c>
      <c r="U42" s="227">
        <f t="shared" si="11"/>
        <v>0.5</v>
      </c>
      <c r="V42" s="227">
        <f t="shared" si="11"/>
        <v>0.3333</v>
      </c>
    </row>
    <row r="43" spans="1:22" ht="12">
      <c r="A43" s="225">
        <v>24</v>
      </c>
      <c r="C43" s="188"/>
      <c r="D43" s="188"/>
      <c r="E43" s="188" t="s">
        <v>91</v>
      </c>
      <c r="F43" s="81">
        <f>SUM(F40:F42)</f>
        <v>9939</v>
      </c>
      <c r="G43" s="81">
        <f>SUM(G40:G42)</f>
        <v>10284</v>
      </c>
      <c r="I43" s="81">
        <v>9028</v>
      </c>
      <c r="J43" s="81">
        <v>9114</v>
      </c>
      <c r="L43" s="81">
        <v>8099</v>
      </c>
      <c r="M43" s="81">
        <v>8085</v>
      </c>
      <c r="O43" s="228">
        <v>8003</v>
      </c>
      <c r="P43" s="228">
        <v>7934</v>
      </c>
      <c r="R43" s="228">
        <f>F44-O43</f>
        <v>137064</v>
      </c>
      <c r="S43" s="228">
        <f>G43-P43</f>
        <v>2350</v>
      </c>
      <c r="U43" s="227">
        <f t="shared" si="11"/>
        <v>17.1266</v>
      </c>
      <c r="V43" s="227">
        <f t="shared" si="11"/>
        <v>0.2962</v>
      </c>
    </row>
    <row r="44" spans="1:22" ht="12">
      <c r="A44" s="225">
        <v>25</v>
      </c>
      <c r="B44" s="200" t="s">
        <v>92</v>
      </c>
      <c r="C44" s="188"/>
      <c r="D44" s="188"/>
      <c r="E44" s="188"/>
      <c r="F44" s="81">
        <f>F24+F29+F34+F36+F37+F38+F43+F19</f>
        <v>145067</v>
      </c>
      <c r="G44" s="81">
        <f>G24+G29+G34+G36+G37+G38+G43+G19</f>
        <v>150151</v>
      </c>
      <c r="I44" s="81">
        <v>75120</v>
      </c>
      <c r="J44" s="81">
        <v>77880</v>
      </c>
      <c r="L44" s="81">
        <v>69857</v>
      </c>
      <c r="M44" s="81">
        <v>72012</v>
      </c>
      <c r="O44" s="230">
        <v>69396</v>
      </c>
      <c r="P44" s="230">
        <v>68955</v>
      </c>
      <c r="R44" s="230">
        <f>F44-O44</f>
        <v>75671</v>
      </c>
      <c r="S44" s="230">
        <f>G44-P44</f>
        <v>81196</v>
      </c>
      <c r="U44" s="227">
        <f t="shared" si="11"/>
        <v>1.0904</v>
      </c>
      <c r="V44" s="227">
        <f t="shared" si="11"/>
        <v>1.1775</v>
      </c>
    </row>
    <row r="45" spans="3:22" ht="12">
      <c r="C45" s="188"/>
      <c r="D45" s="188"/>
      <c r="E45" s="188"/>
      <c r="F45" s="80"/>
      <c r="G45" s="80"/>
      <c r="I45" s="80"/>
      <c r="J45" s="80"/>
      <c r="L45" s="80"/>
      <c r="M45" s="80"/>
      <c r="O45" s="188"/>
      <c r="P45" s="188"/>
      <c r="R45" s="188"/>
      <c r="S45" s="188"/>
      <c r="U45" s="227"/>
      <c r="V45" s="227"/>
    </row>
    <row r="46" spans="1:22" ht="12">
      <c r="A46" s="225">
        <v>26</v>
      </c>
      <c r="B46" s="200" t="s">
        <v>93</v>
      </c>
      <c r="C46" s="188"/>
      <c r="D46" s="188"/>
      <c r="E46" s="188"/>
      <c r="F46" s="188">
        <f>F16-F44</f>
        <v>6684</v>
      </c>
      <c r="G46" s="188">
        <f>G16-G44</f>
        <v>14124</v>
      </c>
      <c r="I46" s="188">
        <v>10029</v>
      </c>
      <c r="J46" s="188">
        <v>12318</v>
      </c>
      <c r="L46" s="188">
        <v>7737</v>
      </c>
      <c r="M46" s="188">
        <v>9867</v>
      </c>
      <c r="O46" s="188">
        <v>4924</v>
      </c>
      <c r="P46" s="188">
        <v>5824</v>
      </c>
      <c r="R46" s="188">
        <f>F46-O46</f>
        <v>1760</v>
      </c>
      <c r="S46" s="188">
        <f>G46-P46</f>
        <v>8300</v>
      </c>
      <c r="U46" s="227">
        <f>ROUND(R46/O46,4)</f>
        <v>0.3574</v>
      </c>
      <c r="V46" s="227">
        <f>ROUND(S46/P46,4)</f>
        <v>1.4251</v>
      </c>
    </row>
    <row r="47" spans="2:22" ht="12">
      <c r="B47" s="200" t="s">
        <v>94</v>
      </c>
      <c r="C47" s="188"/>
      <c r="D47" s="188"/>
      <c r="E47" s="188"/>
      <c r="F47" s="80"/>
      <c r="G47" s="80"/>
      <c r="I47" s="80"/>
      <c r="J47" s="80"/>
      <c r="L47" s="80"/>
      <c r="M47" s="80"/>
      <c r="O47" s="188"/>
      <c r="P47" s="188"/>
      <c r="R47" s="188"/>
      <c r="S47" s="188"/>
      <c r="U47" s="227"/>
      <c r="V47" s="227"/>
    </row>
    <row r="48" spans="3:22" ht="12">
      <c r="C48" s="188"/>
      <c r="D48" s="188"/>
      <c r="E48" s="188"/>
      <c r="F48" s="80"/>
      <c r="G48" s="80"/>
      <c r="I48" s="80"/>
      <c r="J48" s="80"/>
      <c r="L48" s="80"/>
      <c r="M48" s="80"/>
      <c r="O48" s="188"/>
      <c r="P48" s="188"/>
      <c r="R48" s="188"/>
      <c r="S48" s="188"/>
      <c r="U48" s="227"/>
      <c r="V48" s="227"/>
    </row>
    <row r="49" spans="1:22" ht="12">
      <c r="A49" s="225">
        <v>27</v>
      </c>
      <c r="C49" s="188" t="s">
        <v>95</v>
      </c>
      <c r="D49" s="188"/>
      <c r="E49" s="188"/>
      <c r="F49" s="80">
        <f>ResultSumGas!F44</f>
        <v>-3884</v>
      </c>
      <c r="G49" s="80">
        <f>WAGas12_04!AC48</f>
        <v>654.9087164710695</v>
      </c>
      <c r="I49" s="80">
        <v>-651</v>
      </c>
      <c r="J49" s="80">
        <v>717</v>
      </c>
      <c r="L49" s="80">
        <v>-778</v>
      </c>
      <c r="M49" s="80">
        <v>497</v>
      </c>
      <c r="O49" s="188">
        <v>-2149</v>
      </c>
      <c r="P49" s="188">
        <v>-2162</v>
      </c>
      <c r="R49" s="188">
        <f aca="true" t="shared" si="12" ref="R49:S51">F49-O49</f>
        <v>-1735</v>
      </c>
      <c r="S49" s="188">
        <f t="shared" si="12"/>
        <v>2816.9087164710695</v>
      </c>
      <c r="U49" s="227">
        <f aca="true" t="shared" si="13" ref="U49:V51">ROUND(R49/O49,4)</f>
        <v>0.8074</v>
      </c>
      <c r="V49" s="227">
        <f t="shared" si="13"/>
        <v>-1.3029</v>
      </c>
    </row>
    <row r="50" spans="1:22" ht="12">
      <c r="A50" s="225">
        <v>28</v>
      </c>
      <c r="C50" s="188" t="s">
        <v>96</v>
      </c>
      <c r="D50" s="188"/>
      <c r="E50" s="188"/>
      <c r="F50" s="80">
        <f>ResultSumGas!F45</f>
        <v>3728</v>
      </c>
      <c r="G50" s="80">
        <f>WAGas12_04!AC49</f>
        <v>2340</v>
      </c>
      <c r="I50" s="80">
        <v>2229</v>
      </c>
      <c r="J50" s="80">
        <v>2093</v>
      </c>
      <c r="L50" s="80">
        <v>1755</v>
      </c>
      <c r="M50" s="80">
        <v>1725</v>
      </c>
      <c r="O50" s="80">
        <v>3029</v>
      </c>
      <c r="P50" s="80">
        <v>3040</v>
      </c>
      <c r="R50" s="80">
        <f t="shared" si="12"/>
        <v>699</v>
      </c>
      <c r="S50" s="80">
        <f t="shared" si="12"/>
        <v>-700</v>
      </c>
      <c r="U50" s="227">
        <f t="shared" si="13"/>
        <v>0.2308</v>
      </c>
      <c r="V50" s="227">
        <f t="shared" si="13"/>
        <v>-0.2303</v>
      </c>
    </row>
    <row r="51" spans="1:22" ht="12">
      <c r="A51" s="225">
        <v>29</v>
      </c>
      <c r="C51" s="188" t="s">
        <v>97</v>
      </c>
      <c r="D51" s="188"/>
      <c r="E51" s="188"/>
      <c r="F51" s="81">
        <f>ResultSumGas!F46</f>
        <v>-31</v>
      </c>
      <c r="G51" s="81">
        <f>WAGas12_04!AC50</f>
        <v>-31</v>
      </c>
      <c r="I51" s="81">
        <v>-31</v>
      </c>
      <c r="J51" s="81">
        <v>-31</v>
      </c>
      <c r="L51" s="81">
        <v>-30</v>
      </c>
      <c r="M51" s="81">
        <v>-30</v>
      </c>
      <c r="O51" s="81">
        <v>-31</v>
      </c>
      <c r="P51" s="81">
        <v>-31</v>
      </c>
      <c r="R51" s="81">
        <f t="shared" si="12"/>
        <v>0</v>
      </c>
      <c r="S51" s="81">
        <f t="shared" si="12"/>
        <v>0</v>
      </c>
      <c r="U51" s="227">
        <f t="shared" si="13"/>
        <v>0</v>
      </c>
      <c r="V51" s="227">
        <f t="shared" si="13"/>
        <v>0</v>
      </c>
    </row>
    <row r="52" spans="6:22" ht="1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7"/>
      <c r="V52" s="227"/>
    </row>
    <row r="53" spans="1:22" ht="12.75" thickBot="1">
      <c r="A53" s="225">
        <v>30</v>
      </c>
      <c r="B53" s="226" t="s">
        <v>98</v>
      </c>
      <c r="C53" s="226"/>
      <c r="D53" s="226"/>
      <c r="E53" s="226"/>
      <c r="F53" s="189">
        <f>F46-(F49+F50+F51)</f>
        <v>6871</v>
      </c>
      <c r="G53" s="189">
        <f>G46-(G49+G50+G51)</f>
        <v>11160.091283528931</v>
      </c>
      <c r="I53" s="189">
        <v>8482</v>
      </c>
      <c r="J53" s="189">
        <v>9539</v>
      </c>
      <c r="L53" s="189">
        <v>6790</v>
      </c>
      <c r="M53" s="189">
        <v>7675</v>
      </c>
      <c r="O53" s="189">
        <v>4075</v>
      </c>
      <c r="P53" s="189">
        <v>4977</v>
      </c>
      <c r="R53" s="189">
        <f>F53-O53</f>
        <v>2796</v>
      </c>
      <c r="S53" s="189">
        <f>G53-P53</f>
        <v>6183.091283528931</v>
      </c>
      <c r="U53" s="227">
        <f>ROUND(R53/O53,4)</f>
        <v>0.6861</v>
      </c>
      <c r="V53" s="227">
        <f>ROUND(S53/P53,4)</f>
        <v>1.2423</v>
      </c>
    </row>
    <row r="54" spans="6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7"/>
      <c r="V54" s="227"/>
    </row>
    <row r="55" spans="6:22" ht="12">
      <c r="F55" s="85"/>
      <c r="G55" s="85"/>
      <c r="I55" s="85"/>
      <c r="J55" s="85"/>
      <c r="L55" s="85"/>
      <c r="M55" s="85"/>
      <c r="U55" s="227"/>
      <c r="V55" s="227"/>
    </row>
    <row r="56" spans="2:22" ht="12">
      <c r="B56" s="200" t="s">
        <v>99</v>
      </c>
      <c r="F56" s="85"/>
      <c r="G56" s="85"/>
      <c r="I56" s="85"/>
      <c r="J56" s="85"/>
      <c r="L56" s="85"/>
      <c r="M56" s="85"/>
      <c r="O56" s="188"/>
      <c r="P56" s="188"/>
      <c r="R56" s="188"/>
      <c r="S56" s="188"/>
      <c r="U56" s="227"/>
      <c r="V56" s="227"/>
    </row>
    <row r="57" spans="1:22" ht="12">
      <c r="A57" s="225">
        <v>31</v>
      </c>
      <c r="B57" s="188"/>
      <c r="C57" s="188" t="s">
        <v>81</v>
      </c>
      <c r="D57" s="188"/>
      <c r="E57" s="188"/>
      <c r="F57" s="78">
        <f>ResultSumGas!F52</f>
        <v>13632</v>
      </c>
      <c r="G57" s="78">
        <f>WAGas12_04!AC56</f>
        <v>13632</v>
      </c>
      <c r="I57" s="78">
        <v>14091</v>
      </c>
      <c r="J57" s="78">
        <v>14091</v>
      </c>
      <c r="L57" s="78">
        <v>14053</v>
      </c>
      <c r="M57" s="78">
        <v>14053</v>
      </c>
      <c r="O57" s="188">
        <v>13958</v>
      </c>
      <c r="P57" s="188">
        <v>13958</v>
      </c>
      <c r="R57" s="188">
        <f aca="true" t="shared" si="14" ref="R57:S60">F57-O57</f>
        <v>-326</v>
      </c>
      <c r="S57" s="188">
        <f t="shared" si="14"/>
        <v>-326</v>
      </c>
      <c r="U57" s="227">
        <f aca="true" t="shared" si="15" ref="U57:V60">ROUND(R57/O57,4)</f>
        <v>-0.0234</v>
      </c>
      <c r="V57" s="227">
        <f t="shared" si="15"/>
        <v>-0.0234</v>
      </c>
    </row>
    <row r="58" spans="1:22" ht="12">
      <c r="A58" s="225">
        <v>32</v>
      </c>
      <c r="B58" s="188"/>
      <c r="C58" s="188" t="s">
        <v>100</v>
      </c>
      <c r="D58" s="188"/>
      <c r="E58" s="188"/>
      <c r="F58" s="80">
        <f>ResultSumGas!F53</f>
        <v>200079</v>
      </c>
      <c r="G58" s="80">
        <f>WAGas12_04!AC57</f>
        <v>201198</v>
      </c>
      <c r="I58" s="80">
        <v>150325</v>
      </c>
      <c r="J58" s="80">
        <v>154669</v>
      </c>
      <c r="L58" s="80">
        <v>145223</v>
      </c>
      <c r="M58" s="80">
        <v>149785</v>
      </c>
      <c r="O58" s="228">
        <v>140409</v>
      </c>
      <c r="P58" s="228">
        <v>145185</v>
      </c>
      <c r="R58" s="228">
        <f t="shared" si="14"/>
        <v>59670</v>
      </c>
      <c r="S58" s="228">
        <f t="shared" si="14"/>
        <v>56013</v>
      </c>
      <c r="U58" s="227">
        <f t="shared" si="15"/>
        <v>0.425</v>
      </c>
      <c r="V58" s="227">
        <f t="shared" si="15"/>
        <v>0.3858</v>
      </c>
    </row>
    <row r="59" spans="1:22" ht="12">
      <c r="A59" s="225">
        <v>33</v>
      </c>
      <c r="B59" s="188"/>
      <c r="C59" s="188" t="s">
        <v>101</v>
      </c>
      <c r="D59" s="188"/>
      <c r="E59" s="188"/>
      <c r="F59" s="81">
        <f>ResultSumGas!F54</f>
        <v>16499</v>
      </c>
      <c r="G59" s="81">
        <f>WAGas12_04!AC58</f>
        <v>16499</v>
      </c>
      <c r="I59" s="81">
        <v>12868</v>
      </c>
      <c r="J59" s="81">
        <v>12868</v>
      </c>
      <c r="L59" s="81">
        <v>12720</v>
      </c>
      <c r="M59" s="81">
        <v>12720</v>
      </c>
      <c r="O59" s="81">
        <v>11816</v>
      </c>
      <c r="P59" s="81">
        <v>11816</v>
      </c>
      <c r="R59" s="81">
        <f t="shared" si="14"/>
        <v>4683</v>
      </c>
      <c r="S59" s="81">
        <f t="shared" si="14"/>
        <v>4683</v>
      </c>
      <c r="U59" s="227">
        <f t="shared" si="15"/>
        <v>0.3963</v>
      </c>
      <c r="V59" s="227">
        <f t="shared" si="15"/>
        <v>0.3963</v>
      </c>
    </row>
    <row r="60" spans="1:22" ht="12">
      <c r="A60" s="225">
        <v>34</v>
      </c>
      <c r="B60" s="188"/>
      <c r="C60" s="188"/>
      <c r="D60" s="188"/>
      <c r="E60" s="188" t="s">
        <v>102</v>
      </c>
      <c r="F60" s="80">
        <f>SUM(F57:F59)</f>
        <v>230210</v>
      </c>
      <c r="G60" s="80">
        <f>SUM(G57:G59)</f>
        <v>231329</v>
      </c>
      <c r="I60" s="80">
        <v>177284</v>
      </c>
      <c r="J60" s="80">
        <v>181628</v>
      </c>
      <c r="L60" s="80">
        <v>171996</v>
      </c>
      <c r="M60" s="80">
        <v>176558</v>
      </c>
      <c r="O60" s="80">
        <v>166183</v>
      </c>
      <c r="P60" s="80">
        <v>170959</v>
      </c>
      <c r="R60" s="80">
        <f t="shared" si="14"/>
        <v>64027</v>
      </c>
      <c r="S60" s="80">
        <f t="shared" si="14"/>
        <v>60370</v>
      </c>
      <c r="U60" s="227">
        <f t="shared" si="15"/>
        <v>0.3853</v>
      </c>
      <c r="V60" s="227">
        <f t="shared" si="15"/>
        <v>0.3531</v>
      </c>
    </row>
    <row r="61" spans="2:22" ht="12">
      <c r="B61" s="188" t="s">
        <v>103</v>
      </c>
      <c r="C61" s="188"/>
      <c r="D61" s="188"/>
      <c r="E61" s="188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7"/>
      <c r="V61" s="227"/>
    </row>
    <row r="62" spans="1:22" ht="12">
      <c r="A62" s="225">
        <v>35</v>
      </c>
      <c r="B62" s="188"/>
      <c r="C62" s="188" t="s">
        <v>81</v>
      </c>
      <c r="D62" s="188"/>
      <c r="E62" s="188"/>
      <c r="F62" s="80">
        <f>ResultSumGas!F57</f>
        <v>6657</v>
      </c>
      <c r="G62" s="80">
        <f>WAGas12_04!AC61</f>
        <v>6659</v>
      </c>
      <c r="I62" s="80">
        <v>5936</v>
      </c>
      <c r="J62" s="80">
        <v>5936</v>
      </c>
      <c r="L62" s="80">
        <v>5775</v>
      </c>
      <c r="M62" s="80">
        <v>5775</v>
      </c>
      <c r="O62" s="80">
        <v>5603</v>
      </c>
      <c r="P62" s="80">
        <v>5603</v>
      </c>
      <c r="R62" s="80">
        <f aca="true" t="shared" si="16" ref="R62:S65">F62-O62</f>
        <v>1054</v>
      </c>
      <c r="S62" s="80">
        <f t="shared" si="16"/>
        <v>1056</v>
      </c>
      <c r="U62" s="227">
        <f aca="true" t="shared" si="17" ref="U62:V65">ROUND(R62/O62,4)</f>
        <v>0.1881</v>
      </c>
      <c r="V62" s="227">
        <f t="shared" si="17"/>
        <v>0.1885</v>
      </c>
    </row>
    <row r="63" spans="1:22" ht="12">
      <c r="A63" s="225">
        <v>36</v>
      </c>
      <c r="B63" s="188"/>
      <c r="C63" s="188" t="s">
        <v>100</v>
      </c>
      <c r="D63" s="188"/>
      <c r="E63" s="188"/>
      <c r="F63" s="80">
        <f>ResultSumGas!F58</f>
        <v>64811</v>
      </c>
      <c r="G63" s="80">
        <f>WAGas12_04!AC62</f>
        <v>64817</v>
      </c>
      <c r="I63" s="80">
        <v>40779</v>
      </c>
      <c r="J63" s="80">
        <v>40779</v>
      </c>
      <c r="L63" s="80">
        <v>39525</v>
      </c>
      <c r="M63" s="80">
        <v>39525</v>
      </c>
      <c r="O63" s="80">
        <v>38317</v>
      </c>
      <c r="P63" s="80">
        <v>38317</v>
      </c>
      <c r="R63" s="80">
        <f t="shared" si="16"/>
        <v>26494</v>
      </c>
      <c r="S63" s="80">
        <f t="shared" si="16"/>
        <v>26500</v>
      </c>
      <c r="U63" s="227">
        <f t="shared" si="17"/>
        <v>0.6914</v>
      </c>
      <c r="V63" s="227">
        <f t="shared" si="17"/>
        <v>0.6916</v>
      </c>
    </row>
    <row r="64" spans="1:22" ht="12">
      <c r="A64" s="225">
        <v>37</v>
      </c>
      <c r="B64" s="188"/>
      <c r="C64" s="188" t="s">
        <v>101</v>
      </c>
      <c r="D64" s="188"/>
      <c r="E64" s="188"/>
      <c r="F64" s="81">
        <f>ResultSumGas!F59</f>
        <v>7039</v>
      </c>
      <c r="G64" s="81">
        <f>WAGas12_04!AC63</f>
        <v>6984</v>
      </c>
      <c r="I64" s="81">
        <v>5028</v>
      </c>
      <c r="J64" s="81">
        <v>5028</v>
      </c>
      <c r="L64" s="81">
        <v>4930</v>
      </c>
      <c r="M64" s="81">
        <v>4930</v>
      </c>
      <c r="O64" s="81">
        <v>4538</v>
      </c>
      <c r="P64" s="81">
        <v>4538</v>
      </c>
      <c r="R64" s="81">
        <f t="shared" si="16"/>
        <v>2501</v>
      </c>
      <c r="S64" s="81">
        <f t="shared" si="16"/>
        <v>2446</v>
      </c>
      <c r="U64" s="227">
        <f t="shared" si="17"/>
        <v>0.5511</v>
      </c>
      <c r="V64" s="227">
        <f t="shared" si="17"/>
        <v>0.539</v>
      </c>
    </row>
    <row r="65" spans="1:22" ht="12">
      <c r="A65" s="225">
        <v>38</v>
      </c>
      <c r="B65" s="188"/>
      <c r="C65" s="188"/>
      <c r="D65" s="188"/>
      <c r="E65" s="188" t="s">
        <v>104</v>
      </c>
      <c r="F65" s="80">
        <f>SUM(F62:F64)</f>
        <v>78507</v>
      </c>
      <c r="G65" s="80">
        <f>SUM(G62:G64)</f>
        <v>78460</v>
      </c>
      <c r="I65" s="80">
        <v>51743</v>
      </c>
      <c r="J65" s="80">
        <v>51743</v>
      </c>
      <c r="L65" s="80">
        <v>50230</v>
      </c>
      <c r="M65" s="80">
        <v>50230</v>
      </c>
      <c r="O65" s="80">
        <v>48458</v>
      </c>
      <c r="P65" s="80">
        <v>48458</v>
      </c>
      <c r="R65" s="80">
        <f t="shared" si="16"/>
        <v>30049</v>
      </c>
      <c r="S65" s="80">
        <f t="shared" si="16"/>
        <v>30002</v>
      </c>
      <c r="U65" s="227">
        <f t="shared" si="17"/>
        <v>0.6201</v>
      </c>
      <c r="V65" s="227">
        <f t="shared" si="17"/>
        <v>0.6191</v>
      </c>
    </row>
    <row r="66" spans="1:22" ht="12">
      <c r="A66" s="231">
        <v>39</v>
      </c>
      <c r="B66" s="229" t="s">
        <v>105</v>
      </c>
      <c r="C66" s="229"/>
      <c r="D66" s="229"/>
      <c r="E66" s="229"/>
      <c r="F66" s="80"/>
      <c r="G66" s="80">
        <f>WAGas12_04!AC65</f>
        <v>-26715</v>
      </c>
      <c r="I66" s="80"/>
      <c r="J66" s="80">
        <v>-10034</v>
      </c>
      <c r="L66" s="80"/>
      <c r="M66" s="80">
        <v>-9317</v>
      </c>
      <c r="O66" s="80">
        <v>0</v>
      </c>
      <c r="P66" s="80">
        <v>-8584</v>
      </c>
      <c r="R66" s="80"/>
      <c r="S66" s="80">
        <f>G66-P66</f>
        <v>-18131</v>
      </c>
      <c r="U66" s="227"/>
      <c r="V66" s="227">
        <f>ROUND(S66/P66,4)</f>
        <v>2.1122</v>
      </c>
    </row>
    <row r="67" spans="1:22" ht="12">
      <c r="A67" s="225">
        <v>40</v>
      </c>
      <c r="B67" s="188" t="s">
        <v>106</v>
      </c>
      <c r="C67" s="188"/>
      <c r="D67" s="188"/>
      <c r="E67" s="188"/>
      <c r="F67" s="80"/>
      <c r="G67" s="80">
        <f>WAGas12_04!AC66</f>
        <v>4807</v>
      </c>
      <c r="I67" s="80"/>
      <c r="J67" s="80">
        <v>1458</v>
      </c>
      <c r="L67" s="80"/>
      <c r="M67" s="80">
        <v>1430</v>
      </c>
      <c r="O67" s="80">
        <v>0</v>
      </c>
      <c r="P67" s="80">
        <v>1481</v>
      </c>
      <c r="R67" s="80"/>
      <c r="S67" s="80">
        <f>G67-P67</f>
        <v>3326</v>
      </c>
      <c r="U67" s="227"/>
      <c r="V67" s="227">
        <f>ROUND(S67/P67,4)</f>
        <v>2.2458</v>
      </c>
    </row>
    <row r="68" spans="1:22" ht="12">
      <c r="A68" s="225">
        <v>41</v>
      </c>
      <c r="B68" s="188" t="s">
        <v>107</v>
      </c>
      <c r="C68" s="188"/>
      <c r="D68" s="188"/>
      <c r="E68" s="188"/>
      <c r="F68" s="80"/>
      <c r="G68" s="80">
        <f>WAGas12_04!AC67</f>
        <v>-243</v>
      </c>
      <c r="I68" s="80"/>
      <c r="J68" s="80">
        <v>-615</v>
      </c>
      <c r="L68" s="80"/>
      <c r="M68" s="80">
        <v>-641</v>
      </c>
      <c r="O68" s="80">
        <v>0</v>
      </c>
      <c r="P68" s="80">
        <v>-667</v>
      </c>
      <c r="R68" s="80"/>
      <c r="S68" s="80">
        <f>G68-P68</f>
        <v>424</v>
      </c>
      <c r="U68" s="227"/>
      <c r="V68" s="227">
        <f>ROUND(S68/P68,4)</f>
        <v>-0.6357</v>
      </c>
    </row>
    <row r="69" spans="6:22" ht="1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7"/>
      <c r="V69" s="227"/>
    </row>
    <row r="70" spans="1:22" ht="12.75" thickBot="1">
      <c r="A70" s="225">
        <v>42</v>
      </c>
      <c r="B70" s="226" t="s">
        <v>108</v>
      </c>
      <c r="C70" s="226"/>
      <c r="D70" s="226"/>
      <c r="E70" s="226"/>
      <c r="F70" s="87">
        <f>F60-F65+F66+F67+F68</f>
        <v>151703</v>
      </c>
      <c r="G70" s="87">
        <f>G60-G65+G66+G67+G68</f>
        <v>130718</v>
      </c>
      <c r="I70" s="87">
        <v>125541</v>
      </c>
      <c r="J70" s="87">
        <v>120694</v>
      </c>
      <c r="L70" s="87">
        <v>121766</v>
      </c>
      <c r="M70" s="87">
        <v>117800</v>
      </c>
      <c r="O70" s="87">
        <v>117725</v>
      </c>
      <c r="P70" s="87">
        <v>114731</v>
      </c>
      <c r="R70" s="87">
        <f>F70-O70</f>
        <v>33978</v>
      </c>
      <c r="S70" s="87">
        <f>G70-P70</f>
        <v>15987</v>
      </c>
      <c r="U70" s="227">
        <f>ROUND(R70/O70,4)</f>
        <v>0.2886</v>
      </c>
      <c r="V70" s="227">
        <f>ROUND(S70/P70,4)</f>
        <v>0.1393</v>
      </c>
    </row>
    <row r="71" spans="1:22" ht="12.75" thickTop="1">
      <c r="A71" s="225">
        <v>43</v>
      </c>
      <c r="B71" s="200" t="s">
        <v>109</v>
      </c>
      <c r="F71" s="200"/>
      <c r="G71" s="200"/>
      <c r="I71" s="200"/>
      <c r="J71" s="200"/>
      <c r="L71" s="200"/>
      <c r="M71" s="200"/>
      <c r="O71" s="200"/>
      <c r="P71" s="200"/>
      <c r="R71" s="200"/>
      <c r="S71" s="200"/>
      <c r="U71" s="24"/>
      <c r="V71" s="24"/>
    </row>
    <row r="72" spans="6:21" ht="12">
      <c r="F72" s="24">
        <f>ROUND(F53/F70,4)</f>
        <v>0.0453</v>
      </c>
      <c r="G72" s="24">
        <f>ROUND(G53/G70,4)</f>
        <v>0.0854</v>
      </c>
      <c r="I72" s="24">
        <v>0.0676</v>
      </c>
      <c r="J72" s="24">
        <v>0.079</v>
      </c>
      <c r="L72" s="24">
        <v>0.0558</v>
      </c>
      <c r="M72" s="24">
        <v>0.0652</v>
      </c>
      <c r="O72" s="24">
        <f>ROUND(O53/O70,4)</f>
        <v>0.0346</v>
      </c>
      <c r="P72" s="24">
        <f>ROUND(P53/P70,4)</f>
        <v>0.0434</v>
      </c>
      <c r="R72" s="24"/>
      <c r="U72" s="24"/>
    </row>
  </sheetData>
  <printOptions/>
  <pageMargins left="0.5" right="0.5" top="0.5" bottom="0.5" header="0.5" footer="0.5"/>
  <pageSetup fitToHeight="1" fitToWidth="1" horizontalDpi="300" verticalDpi="300" orientation="portrait" scale="7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workbookViewId="0" topLeftCell="A1">
      <pane xSplit="5" ySplit="10" topLeftCell="F5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77" sqref="G77"/>
    </sheetView>
  </sheetViews>
  <sheetFormatPr defaultColWidth="9.140625" defaultRowHeight="12.75"/>
  <cols>
    <col min="1" max="1" width="5.7109375" style="225" customWidth="1"/>
    <col min="2" max="4" width="1.7109375" style="200" customWidth="1"/>
    <col min="5" max="5" width="28.7109375" style="200" customWidth="1"/>
    <col min="6" max="7" width="11.7109375" style="201" customWidth="1"/>
    <col min="8" max="8" width="1.7109375" style="200" customWidth="1"/>
    <col min="9" max="10" width="11.7109375" style="201" customWidth="1"/>
    <col min="11" max="11" width="1.7109375" style="200" customWidth="1"/>
    <col min="12" max="13" width="11.7109375" style="201" customWidth="1"/>
    <col min="14" max="14" width="1.7109375" style="200" customWidth="1"/>
    <col min="15" max="16" width="11.7109375" style="201" customWidth="1"/>
    <col min="17" max="17" width="1.7109375" style="200" customWidth="1"/>
    <col min="18" max="19" width="11.7109375" style="201" customWidth="1"/>
    <col min="20" max="20" width="1.7109375" style="200" customWidth="1"/>
    <col min="21" max="22" width="11.7109375" style="201" customWidth="1"/>
    <col min="23" max="16384" width="9.140625" style="200" customWidth="1"/>
  </cols>
  <sheetData>
    <row r="1" ht="12">
      <c r="A1" s="199" t="str">
        <f>Inputs!D6</f>
        <v>AVISTA UTILITIES</v>
      </c>
    </row>
    <row r="2" ht="12">
      <c r="A2" s="199" t="s">
        <v>0</v>
      </c>
    </row>
    <row r="3" ht="12">
      <c r="A3" s="199" t="s">
        <v>110</v>
      </c>
    </row>
    <row r="4" ht="12">
      <c r="A4" s="199" t="s">
        <v>200</v>
      </c>
    </row>
    <row r="5" ht="12">
      <c r="A5" s="199" t="s">
        <v>2</v>
      </c>
    </row>
    <row r="6" spans="1:22" ht="12">
      <c r="A6" s="202"/>
      <c r="B6" s="203"/>
      <c r="C6" s="203"/>
      <c r="D6" s="203"/>
      <c r="E6" s="203"/>
      <c r="F6" s="204">
        <v>36341</v>
      </c>
      <c r="G6" s="205"/>
      <c r="I6" s="204">
        <v>36160</v>
      </c>
      <c r="J6" s="205"/>
      <c r="L6" s="204">
        <v>35976</v>
      </c>
      <c r="M6" s="205"/>
      <c r="O6" s="204">
        <v>35795</v>
      </c>
      <c r="P6" s="205"/>
      <c r="R6" s="204" t="s">
        <v>201</v>
      </c>
      <c r="S6" s="205"/>
      <c r="U6" s="204" t="s">
        <v>202</v>
      </c>
      <c r="V6" s="205"/>
    </row>
    <row r="7" spans="1:22" ht="12">
      <c r="A7" s="206"/>
      <c r="B7" s="207"/>
      <c r="C7" s="208"/>
      <c r="D7" s="208"/>
      <c r="E7" s="209"/>
      <c r="F7" s="210" t="s">
        <v>3</v>
      </c>
      <c r="G7" s="210"/>
      <c r="I7" s="210" t="s">
        <v>3</v>
      </c>
      <c r="J7" s="210"/>
      <c r="L7" s="210" t="s">
        <v>3</v>
      </c>
      <c r="M7" s="210"/>
      <c r="O7" s="210" t="s">
        <v>3</v>
      </c>
      <c r="P7" s="210"/>
      <c r="R7" s="210" t="s">
        <v>3</v>
      </c>
      <c r="S7" s="210"/>
      <c r="U7" s="210" t="s">
        <v>3</v>
      </c>
      <c r="V7" s="210"/>
    </row>
    <row r="8" spans="1:22" ht="12">
      <c r="A8" s="211" t="s">
        <v>11</v>
      </c>
      <c r="B8" s="212"/>
      <c r="C8" s="213"/>
      <c r="D8" s="213"/>
      <c r="E8" s="214"/>
      <c r="F8" s="215" t="s">
        <v>12</v>
      </c>
      <c r="G8" s="215" t="s">
        <v>27</v>
      </c>
      <c r="I8" s="215" t="s">
        <v>12</v>
      </c>
      <c r="J8" s="215" t="s">
        <v>27</v>
      </c>
      <c r="L8" s="215" t="s">
        <v>12</v>
      </c>
      <c r="M8" s="215" t="s">
        <v>27</v>
      </c>
      <c r="O8" s="215" t="s">
        <v>12</v>
      </c>
      <c r="P8" s="215" t="s">
        <v>27</v>
      </c>
      <c r="R8" s="215" t="s">
        <v>12</v>
      </c>
      <c r="S8" s="215" t="s">
        <v>27</v>
      </c>
      <c r="U8" s="215" t="s">
        <v>12</v>
      </c>
      <c r="V8" s="215" t="s">
        <v>27</v>
      </c>
    </row>
    <row r="9" spans="1:22" ht="12">
      <c r="A9" s="216" t="s">
        <v>29</v>
      </c>
      <c r="B9" s="217"/>
      <c r="C9" s="218"/>
      <c r="D9" s="218"/>
      <c r="E9" s="219" t="s">
        <v>30</v>
      </c>
      <c r="F9" s="220" t="s">
        <v>31</v>
      </c>
      <c r="G9" s="220" t="s">
        <v>45</v>
      </c>
      <c r="I9" s="220" t="s">
        <v>31</v>
      </c>
      <c r="J9" s="220" t="s">
        <v>45</v>
      </c>
      <c r="L9" s="220" t="s">
        <v>31</v>
      </c>
      <c r="M9" s="220" t="s">
        <v>45</v>
      </c>
      <c r="O9" s="220" t="s">
        <v>31</v>
      </c>
      <c r="P9" s="220" t="s">
        <v>45</v>
      </c>
      <c r="R9" s="220" t="s">
        <v>31</v>
      </c>
      <c r="S9" s="220" t="s">
        <v>45</v>
      </c>
      <c r="U9" s="220" t="s">
        <v>31</v>
      </c>
      <c r="V9" s="220" t="s">
        <v>45</v>
      </c>
    </row>
    <row r="10" spans="1:22" ht="12">
      <c r="A10" s="221"/>
      <c r="B10" s="222"/>
      <c r="C10" s="222"/>
      <c r="D10" s="222"/>
      <c r="E10" s="223" t="s">
        <v>46</v>
      </c>
      <c r="F10" s="224" t="s">
        <v>47</v>
      </c>
      <c r="G10" s="224" t="s">
        <v>53</v>
      </c>
      <c r="I10" s="224" t="s">
        <v>47</v>
      </c>
      <c r="J10" s="224" t="s">
        <v>53</v>
      </c>
      <c r="L10" s="224" t="s">
        <v>47</v>
      </c>
      <c r="M10" s="224" t="s">
        <v>53</v>
      </c>
      <c r="O10" s="224" t="s">
        <v>47</v>
      </c>
      <c r="P10" s="224" t="s">
        <v>53</v>
      </c>
      <c r="R10" s="224" t="s">
        <v>47</v>
      </c>
      <c r="S10" s="224" t="s">
        <v>53</v>
      </c>
      <c r="U10" s="224" t="s">
        <v>47</v>
      </c>
      <c r="V10" s="224" t="s">
        <v>53</v>
      </c>
    </row>
    <row r="12" ht="12">
      <c r="B12" s="200" t="s">
        <v>69</v>
      </c>
    </row>
    <row r="13" spans="1:22" ht="12">
      <c r="A13" s="225">
        <v>1</v>
      </c>
      <c r="B13" s="226"/>
      <c r="C13" s="226" t="s">
        <v>70</v>
      </c>
      <c r="D13" s="226"/>
      <c r="E13" s="226"/>
      <c r="F13" s="78">
        <f>ResultSumGas!G8</f>
        <v>58761</v>
      </c>
      <c r="G13" s="78" t="e">
        <f>#REF!</f>
        <v>#REF!</v>
      </c>
      <c r="I13" s="78">
        <v>29295</v>
      </c>
      <c r="J13" s="78">
        <v>31501</v>
      </c>
      <c r="L13" s="78">
        <v>26349</v>
      </c>
      <c r="M13" s="78">
        <v>28092</v>
      </c>
      <c r="O13" s="226">
        <v>23908</v>
      </c>
      <c r="P13" s="226">
        <v>24445</v>
      </c>
      <c r="R13" s="226">
        <f aca="true" t="shared" si="0" ref="R13:S16">F13-O13</f>
        <v>34853</v>
      </c>
      <c r="S13" s="226" t="e">
        <f t="shared" si="0"/>
        <v>#REF!</v>
      </c>
      <c r="U13" s="227">
        <f aca="true" t="shared" si="1" ref="U13:V16">ROUND(R13/O13,4)</f>
        <v>1.4578</v>
      </c>
      <c r="V13" s="227" t="e">
        <f t="shared" si="1"/>
        <v>#REF!</v>
      </c>
    </row>
    <row r="14" spans="1:22" ht="12">
      <c r="A14" s="225">
        <v>2</v>
      </c>
      <c r="C14" s="188" t="s">
        <v>71</v>
      </c>
      <c r="D14" s="188"/>
      <c r="E14" s="188"/>
      <c r="F14" s="80">
        <f>ResultSumGas!G9</f>
        <v>927</v>
      </c>
      <c r="G14" s="80" t="e">
        <f>#REF!</f>
        <v>#REF!</v>
      </c>
      <c r="I14" s="80">
        <v>1960</v>
      </c>
      <c r="J14" s="80">
        <v>1956</v>
      </c>
      <c r="L14" s="80">
        <v>2095</v>
      </c>
      <c r="M14" s="80">
        <v>2092</v>
      </c>
      <c r="O14" s="188">
        <v>1996</v>
      </c>
      <c r="P14" s="188">
        <v>1993</v>
      </c>
      <c r="R14" s="188">
        <f t="shared" si="0"/>
        <v>-1069</v>
      </c>
      <c r="S14" s="188" t="e">
        <f t="shared" si="0"/>
        <v>#REF!</v>
      </c>
      <c r="U14" s="227">
        <f t="shared" si="1"/>
        <v>-0.5356</v>
      </c>
      <c r="V14" s="227" t="e">
        <f t="shared" si="1"/>
        <v>#REF!</v>
      </c>
    </row>
    <row r="15" spans="1:22" ht="12">
      <c r="A15" s="225">
        <v>3</v>
      </c>
      <c r="C15" s="188" t="s">
        <v>72</v>
      </c>
      <c r="D15" s="188"/>
      <c r="E15" s="188"/>
      <c r="F15" s="81">
        <f>ResultSumGas!G10</f>
        <v>807</v>
      </c>
      <c r="G15" s="81" t="e">
        <f>#REF!</f>
        <v>#REF!</v>
      </c>
      <c r="I15" s="81">
        <v>5155</v>
      </c>
      <c r="J15" s="81">
        <v>5155</v>
      </c>
      <c r="L15" s="81">
        <v>4546</v>
      </c>
      <c r="M15" s="81">
        <v>4546</v>
      </c>
      <c r="O15" s="228">
        <v>3498</v>
      </c>
      <c r="P15" s="228">
        <v>3498</v>
      </c>
      <c r="R15" s="228">
        <f t="shared" si="0"/>
        <v>-2691</v>
      </c>
      <c r="S15" s="228" t="e">
        <f t="shared" si="0"/>
        <v>#REF!</v>
      </c>
      <c r="U15" s="227">
        <f t="shared" si="1"/>
        <v>-0.7693</v>
      </c>
      <c r="V15" s="227" t="e">
        <f t="shared" si="1"/>
        <v>#REF!</v>
      </c>
    </row>
    <row r="16" spans="1:22" ht="12">
      <c r="A16" s="225">
        <v>4</v>
      </c>
      <c r="B16" s="200" t="s">
        <v>73</v>
      </c>
      <c r="C16" s="188"/>
      <c r="D16" s="188"/>
      <c r="E16" s="188"/>
      <c r="F16" s="80">
        <f>SUM(F13:F15)</f>
        <v>60495</v>
      </c>
      <c r="G16" s="80" t="e">
        <f>SUM(G13:G15)</f>
        <v>#REF!</v>
      </c>
      <c r="I16" s="80">
        <v>36410</v>
      </c>
      <c r="J16" s="80">
        <v>38612</v>
      </c>
      <c r="L16" s="80">
        <v>32990</v>
      </c>
      <c r="M16" s="80">
        <v>34730</v>
      </c>
      <c r="O16" s="188">
        <v>29402</v>
      </c>
      <c r="P16" s="188">
        <v>29936</v>
      </c>
      <c r="R16" s="188">
        <f t="shared" si="0"/>
        <v>31093</v>
      </c>
      <c r="S16" s="188" t="e">
        <f t="shared" si="0"/>
        <v>#REF!</v>
      </c>
      <c r="U16" s="227">
        <f t="shared" si="1"/>
        <v>1.0575</v>
      </c>
      <c r="V16" s="227" t="e">
        <f t="shared" si="1"/>
        <v>#REF!</v>
      </c>
    </row>
    <row r="17" spans="3:22" ht="12">
      <c r="C17" s="188"/>
      <c r="D17" s="188"/>
      <c r="E17" s="188"/>
      <c r="F17" s="80"/>
      <c r="G17" s="80"/>
      <c r="I17" s="80"/>
      <c r="J17" s="80"/>
      <c r="L17" s="80"/>
      <c r="M17" s="80"/>
      <c r="O17" s="188"/>
      <c r="P17" s="188"/>
      <c r="R17" s="188"/>
      <c r="S17" s="188"/>
      <c r="U17" s="227"/>
      <c r="V17" s="227"/>
    </row>
    <row r="18" spans="2:22" ht="12">
      <c r="B18" s="200" t="s">
        <v>74</v>
      </c>
      <c r="C18" s="188"/>
      <c r="D18" s="188"/>
      <c r="E18" s="188"/>
      <c r="F18" s="80"/>
      <c r="G18" s="80"/>
      <c r="I18" s="80"/>
      <c r="J18" s="80"/>
      <c r="L18" s="80"/>
      <c r="M18" s="80"/>
      <c r="O18" s="188"/>
      <c r="P18" s="188"/>
      <c r="R18" s="188"/>
      <c r="S18" s="188"/>
      <c r="U18" s="227"/>
      <c r="V18" s="227"/>
    </row>
    <row r="19" spans="1:22" ht="12">
      <c r="A19" s="225">
        <v>5</v>
      </c>
      <c r="C19" s="188" t="s">
        <v>75</v>
      </c>
      <c r="D19" s="188"/>
      <c r="E19" s="188"/>
      <c r="F19" s="80">
        <f>ResultSumGas!G14</f>
        <v>0</v>
      </c>
      <c r="G19" s="80" t="e">
        <f>#REF!</f>
        <v>#REF!</v>
      </c>
      <c r="I19" s="80">
        <v>0</v>
      </c>
      <c r="J19" s="80">
        <v>0</v>
      </c>
      <c r="L19" s="80">
        <v>0</v>
      </c>
      <c r="M19" s="80">
        <v>0</v>
      </c>
      <c r="O19" s="188">
        <v>0</v>
      </c>
      <c r="P19" s="188">
        <v>0</v>
      </c>
      <c r="R19" s="188">
        <f>F19-O19</f>
        <v>0</v>
      </c>
      <c r="S19" s="188" t="e">
        <f>G19-P19</f>
        <v>#REF!</v>
      </c>
      <c r="U19" s="227"/>
      <c r="V19" s="227"/>
    </row>
    <row r="20" spans="3:22" ht="12">
      <c r="C20" s="188" t="s">
        <v>76</v>
      </c>
      <c r="D20" s="188"/>
      <c r="E20" s="188"/>
      <c r="F20" s="80"/>
      <c r="G20" s="80"/>
      <c r="I20" s="80"/>
      <c r="J20" s="80"/>
      <c r="L20" s="80"/>
      <c r="M20" s="80"/>
      <c r="O20" s="188"/>
      <c r="P20" s="188"/>
      <c r="R20" s="188"/>
      <c r="S20" s="188"/>
      <c r="U20" s="227"/>
      <c r="V20" s="227"/>
    </row>
    <row r="21" spans="1:22" ht="12">
      <c r="A21" s="225">
        <v>6</v>
      </c>
      <c r="C21" s="188"/>
      <c r="D21" s="188" t="s">
        <v>77</v>
      </c>
      <c r="E21" s="188"/>
      <c r="F21" s="80">
        <f>ResultSumGas!G16</f>
        <v>41178</v>
      </c>
      <c r="G21" s="80" t="e">
        <f>#REF!</f>
        <v>#REF!</v>
      </c>
      <c r="I21" s="80">
        <v>21416</v>
      </c>
      <c r="J21" s="80">
        <v>22893</v>
      </c>
      <c r="L21" s="80">
        <v>17303</v>
      </c>
      <c r="M21" s="80">
        <v>18600</v>
      </c>
      <c r="O21" s="188">
        <v>14823</v>
      </c>
      <c r="P21" s="188">
        <v>15279</v>
      </c>
      <c r="R21" s="188">
        <f aca="true" t="shared" si="2" ref="R21:S24">F21-O21</f>
        <v>26355</v>
      </c>
      <c r="S21" s="188" t="e">
        <f t="shared" si="2"/>
        <v>#REF!</v>
      </c>
      <c r="U21" s="227">
        <f aca="true" t="shared" si="3" ref="U21:V24">ROUND(R21/O21,4)</f>
        <v>1.778</v>
      </c>
      <c r="V21" s="227" t="e">
        <f t="shared" si="3"/>
        <v>#REF!</v>
      </c>
    </row>
    <row r="22" spans="1:22" ht="12">
      <c r="A22" s="225">
        <v>7</v>
      </c>
      <c r="C22" s="188"/>
      <c r="D22" s="188" t="s">
        <v>78</v>
      </c>
      <c r="E22" s="188"/>
      <c r="F22" s="80">
        <f>ResultSumGas!G17</f>
        <v>171</v>
      </c>
      <c r="G22" s="80" t="e">
        <f>#REF!</f>
        <v>#REF!</v>
      </c>
      <c r="I22" s="80">
        <v>67</v>
      </c>
      <c r="J22" s="80">
        <v>-17</v>
      </c>
      <c r="L22" s="80">
        <v>-37</v>
      </c>
      <c r="M22" s="80">
        <v>-240</v>
      </c>
      <c r="O22" s="188">
        <v>134</v>
      </c>
      <c r="P22" s="188">
        <v>134</v>
      </c>
      <c r="R22" s="188">
        <f t="shared" si="2"/>
        <v>37</v>
      </c>
      <c r="S22" s="188" t="e">
        <f t="shared" si="2"/>
        <v>#REF!</v>
      </c>
      <c r="U22" s="227">
        <f t="shared" si="3"/>
        <v>0.2761</v>
      </c>
      <c r="V22" s="227" t="e">
        <f t="shared" si="3"/>
        <v>#REF!</v>
      </c>
    </row>
    <row r="23" spans="1:22" ht="12">
      <c r="A23" s="225">
        <v>8</v>
      </c>
      <c r="C23" s="188"/>
      <c r="D23" s="188" t="s">
        <v>79</v>
      </c>
      <c r="E23" s="188"/>
      <c r="F23" s="81">
        <f>ResultSumGas!G18</f>
        <v>0</v>
      </c>
      <c r="G23" s="81" t="e">
        <f>#REF!</f>
        <v>#REF!</v>
      </c>
      <c r="I23" s="81">
        <v>-428</v>
      </c>
      <c r="J23" s="81">
        <v>-428</v>
      </c>
      <c r="L23" s="81">
        <v>134</v>
      </c>
      <c r="M23" s="81">
        <v>134</v>
      </c>
      <c r="O23" s="228">
        <v>-778</v>
      </c>
      <c r="P23" s="228">
        <v>-778</v>
      </c>
      <c r="R23" s="228">
        <f t="shared" si="2"/>
        <v>778</v>
      </c>
      <c r="S23" s="228" t="e">
        <f t="shared" si="2"/>
        <v>#REF!</v>
      </c>
      <c r="U23" s="227">
        <f t="shared" si="3"/>
        <v>-1</v>
      </c>
      <c r="V23" s="227" t="e">
        <f t="shared" si="3"/>
        <v>#REF!</v>
      </c>
    </row>
    <row r="24" spans="1:22" ht="12">
      <c r="A24" s="225">
        <v>9</v>
      </c>
      <c r="C24" s="188"/>
      <c r="D24" s="188"/>
      <c r="E24" s="188" t="s">
        <v>80</v>
      </c>
      <c r="F24" s="80">
        <f>SUM(F21:F23)</f>
        <v>41349</v>
      </c>
      <c r="G24" s="80" t="e">
        <f>SUM(G21:G23)</f>
        <v>#REF!</v>
      </c>
      <c r="I24" s="80">
        <v>21055</v>
      </c>
      <c r="J24" s="80">
        <v>22448</v>
      </c>
      <c r="L24" s="80">
        <v>17400</v>
      </c>
      <c r="M24" s="80">
        <v>18494</v>
      </c>
      <c r="O24" s="188">
        <v>14179</v>
      </c>
      <c r="P24" s="188">
        <v>14635</v>
      </c>
      <c r="R24" s="188">
        <f t="shared" si="2"/>
        <v>27170</v>
      </c>
      <c r="S24" s="188" t="e">
        <f t="shared" si="2"/>
        <v>#REF!</v>
      </c>
      <c r="U24" s="227">
        <f t="shared" si="3"/>
        <v>1.9162</v>
      </c>
      <c r="V24" s="227" t="e">
        <f t="shared" si="3"/>
        <v>#REF!</v>
      </c>
    </row>
    <row r="25" spans="3:22" ht="12">
      <c r="C25" s="188" t="s">
        <v>81</v>
      </c>
      <c r="D25" s="188"/>
      <c r="E25" s="188"/>
      <c r="F25" s="80"/>
      <c r="G25" s="80"/>
      <c r="I25" s="80"/>
      <c r="J25" s="80"/>
      <c r="L25" s="80"/>
      <c r="M25" s="80"/>
      <c r="O25" s="188"/>
      <c r="P25" s="188"/>
      <c r="R25" s="188"/>
      <c r="S25" s="188"/>
      <c r="U25" s="227"/>
      <c r="V25" s="227"/>
    </row>
    <row r="26" spans="1:22" ht="12">
      <c r="A26" s="225">
        <v>10</v>
      </c>
      <c r="C26" s="188"/>
      <c r="D26" s="188" t="s">
        <v>82</v>
      </c>
      <c r="E26" s="188"/>
      <c r="F26" s="80">
        <f>ResultSumGas!G21</f>
        <v>142</v>
      </c>
      <c r="G26" s="80" t="e">
        <f>#REF!</f>
        <v>#REF!</v>
      </c>
      <c r="I26" s="80">
        <v>110</v>
      </c>
      <c r="J26" s="80">
        <v>110</v>
      </c>
      <c r="L26" s="80">
        <v>126</v>
      </c>
      <c r="M26" s="80">
        <v>126</v>
      </c>
      <c r="O26" s="188">
        <v>116</v>
      </c>
      <c r="P26" s="188">
        <v>116</v>
      </c>
      <c r="R26" s="188">
        <f aca="true" t="shared" si="4" ref="R26:S29">F26-O26</f>
        <v>26</v>
      </c>
      <c r="S26" s="188" t="e">
        <f t="shared" si="4"/>
        <v>#REF!</v>
      </c>
      <c r="U26" s="227">
        <f aca="true" t="shared" si="5" ref="U26:V29">ROUND(R26/O26,4)</f>
        <v>0.2241</v>
      </c>
      <c r="V26" s="227" t="e">
        <f t="shared" si="5"/>
        <v>#REF!</v>
      </c>
    </row>
    <row r="27" spans="1:22" ht="12">
      <c r="A27" s="225">
        <v>11</v>
      </c>
      <c r="C27" s="188"/>
      <c r="D27" s="188" t="s">
        <v>83</v>
      </c>
      <c r="E27" s="188"/>
      <c r="F27" s="80">
        <f>ResultSumGas!G22</f>
        <v>116</v>
      </c>
      <c r="G27" s="80" t="e">
        <f>#REF!</f>
        <v>#REF!</v>
      </c>
      <c r="I27" s="80">
        <v>112</v>
      </c>
      <c r="J27" s="80">
        <v>112</v>
      </c>
      <c r="L27" s="80">
        <v>111</v>
      </c>
      <c r="M27" s="80">
        <v>111</v>
      </c>
      <c r="O27" s="188">
        <v>114</v>
      </c>
      <c r="P27" s="188">
        <v>114</v>
      </c>
      <c r="R27" s="188">
        <f t="shared" si="4"/>
        <v>2</v>
      </c>
      <c r="S27" s="188" t="e">
        <f t="shared" si="4"/>
        <v>#REF!</v>
      </c>
      <c r="U27" s="227">
        <f t="shared" si="5"/>
        <v>0.0175</v>
      </c>
      <c r="V27" s="227" t="e">
        <f t="shared" si="5"/>
        <v>#REF!</v>
      </c>
    </row>
    <row r="28" spans="1:22" ht="12">
      <c r="A28" s="225">
        <v>12</v>
      </c>
      <c r="C28" s="188"/>
      <c r="D28" s="188" t="s">
        <v>39</v>
      </c>
      <c r="E28" s="188"/>
      <c r="F28" s="81">
        <f>ResultSumGas!G23</f>
        <v>46</v>
      </c>
      <c r="G28" s="81" t="e">
        <f>#REF!</f>
        <v>#REF!</v>
      </c>
      <c r="I28" s="81">
        <v>36</v>
      </c>
      <c r="J28" s="81">
        <v>36</v>
      </c>
      <c r="L28" s="81">
        <v>46</v>
      </c>
      <c r="M28" s="81">
        <v>40</v>
      </c>
      <c r="O28" s="228">
        <v>48</v>
      </c>
      <c r="P28" s="228">
        <v>53</v>
      </c>
      <c r="R28" s="228">
        <f t="shared" si="4"/>
        <v>-2</v>
      </c>
      <c r="S28" s="228" t="e">
        <f t="shared" si="4"/>
        <v>#REF!</v>
      </c>
      <c r="U28" s="227">
        <f t="shared" si="5"/>
        <v>-0.0417</v>
      </c>
      <c r="V28" s="227" t="e">
        <f t="shared" si="5"/>
        <v>#REF!</v>
      </c>
    </row>
    <row r="29" spans="1:22" ht="12">
      <c r="A29" s="225">
        <v>13</v>
      </c>
      <c r="C29" s="188"/>
      <c r="D29" s="188"/>
      <c r="E29" s="188" t="s">
        <v>84</v>
      </c>
      <c r="F29" s="80">
        <f>SUM(F26:F28)</f>
        <v>304</v>
      </c>
      <c r="G29" s="80" t="e">
        <f>SUM(G26:G28)</f>
        <v>#REF!</v>
      </c>
      <c r="I29" s="80">
        <v>258</v>
      </c>
      <c r="J29" s="80">
        <v>258</v>
      </c>
      <c r="L29" s="80">
        <v>283</v>
      </c>
      <c r="M29" s="80">
        <v>277</v>
      </c>
      <c r="O29" s="188">
        <v>278</v>
      </c>
      <c r="P29" s="188">
        <v>283</v>
      </c>
      <c r="R29" s="188">
        <f t="shared" si="4"/>
        <v>26</v>
      </c>
      <c r="S29" s="188" t="e">
        <f t="shared" si="4"/>
        <v>#REF!</v>
      </c>
      <c r="U29" s="227">
        <f t="shared" si="5"/>
        <v>0.0935</v>
      </c>
      <c r="V29" s="227" t="e">
        <f t="shared" si="5"/>
        <v>#REF!</v>
      </c>
    </row>
    <row r="30" spans="3:22" ht="12">
      <c r="C30" s="188" t="s">
        <v>85</v>
      </c>
      <c r="D30" s="188"/>
      <c r="E30" s="188"/>
      <c r="F30" s="80"/>
      <c r="G30" s="80"/>
      <c r="I30" s="80"/>
      <c r="J30" s="80"/>
      <c r="L30" s="80"/>
      <c r="M30" s="80"/>
      <c r="O30" s="188"/>
      <c r="P30" s="188"/>
      <c r="R30" s="188"/>
      <c r="S30" s="188"/>
      <c r="U30" s="227"/>
      <c r="V30" s="227"/>
    </row>
    <row r="31" spans="1:22" ht="12">
      <c r="A31" s="225">
        <v>14</v>
      </c>
      <c r="C31" s="188"/>
      <c r="D31" s="188" t="s">
        <v>82</v>
      </c>
      <c r="E31" s="188"/>
      <c r="F31" s="80">
        <f>ResultSumGas!G26</f>
        <v>2444</v>
      </c>
      <c r="G31" s="80" t="e">
        <f>#REF!</f>
        <v>#REF!</v>
      </c>
      <c r="I31" s="80">
        <v>1673</v>
      </c>
      <c r="J31" s="80">
        <v>1673</v>
      </c>
      <c r="L31" s="80">
        <v>1654</v>
      </c>
      <c r="M31" s="80">
        <v>1654</v>
      </c>
      <c r="O31" s="188">
        <v>1563</v>
      </c>
      <c r="P31" s="188">
        <v>1563</v>
      </c>
      <c r="R31" s="188">
        <f aca="true" t="shared" si="6" ref="R31:S34">F31-O31</f>
        <v>881</v>
      </c>
      <c r="S31" s="188" t="e">
        <f t="shared" si="6"/>
        <v>#REF!</v>
      </c>
      <c r="U31" s="227">
        <f aca="true" t="shared" si="7" ref="U31:V34">ROUND(R31/O31,4)</f>
        <v>0.5637</v>
      </c>
      <c r="V31" s="227" t="e">
        <f t="shared" si="7"/>
        <v>#REF!</v>
      </c>
    </row>
    <row r="32" spans="1:22" ht="12">
      <c r="A32" s="225">
        <v>15</v>
      </c>
      <c r="C32" s="188"/>
      <c r="D32" s="188" t="s">
        <v>83</v>
      </c>
      <c r="E32" s="188"/>
      <c r="F32" s="80">
        <f>ResultSumGas!G27</f>
        <v>2305</v>
      </c>
      <c r="G32" s="80" t="e">
        <f>#REF!</f>
        <v>#REF!</v>
      </c>
      <c r="I32" s="80">
        <v>1802</v>
      </c>
      <c r="J32" s="80">
        <v>1802</v>
      </c>
      <c r="L32" s="80">
        <v>1722</v>
      </c>
      <c r="M32" s="80">
        <v>1722</v>
      </c>
      <c r="O32" s="188">
        <v>1629</v>
      </c>
      <c r="P32" s="188">
        <v>1629</v>
      </c>
      <c r="R32" s="188">
        <f t="shared" si="6"/>
        <v>676</v>
      </c>
      <c r="S32" s="188" t="e">
        <f t="shared" si="6"/>
        <v>#REF!</v>
      </c>
      <c r="U32" s="227">
        <f t="shared" si="7"/>
        <v>0.415</v>
      </c>
      <c r="V32" s="227" t="e">
        <f t="shared" si="7"/>
        <v>#REF!</v>
      </c>
    </row>
    <row r="33" spans="1:22" ht="12">
      <c r="A33" s="225">
        <v>16</v>
      </c>
      <c r="C33" s="188"/>
      <c r="D33" s="188" t="s">
        <v>39</v>
      </c>
      <c r="E33" s="188"/>
      <c r="F33" s="81">
        <f>ResultSumGas!G28</f>
        <v>1936</v>
      </c>
      <c r="G33" s="81" t="e">
        <f>#REF!</f>
        <v>#REF!</v>
      </c>
      <c r="I33" s="81">
        <v>758</v>
      </c>
      <c r="J33" s="81">
        <v>802</v>
      </c>
      <c r="L33" s="81">
        <v>672</v>
      </c>
      <c r="M33" s="81">
        <v>689</v>
      </c>
      <c r="O33" s="228">
        <v>718</v>
      </c>
      <c r="P33" s="228">
        <v>784</v>
      </c>
      <c r="R33" s="228">
        <f t="shared" si="6"/>
        <v>1218</v>
      </c>
      <c r="S33" s="228" t="e">
        <f t="shared" si="6"/>
        <v>#REF!</v>
      </c>
      <c r="U33" s="227">
        <f t="shared" si="7"/>
        <v>1.6964</v>
      </c>
      <c r="V33" s="227" t="e">
        <f t="shared" si="7"/>
        <v>#REF!</v>
      </c>
    </row>
    <row r="34" spans="1:22" ht="12">
      <c r="A34" s="225">
        <v>17</v>
      </c>
      <c r="C34" s="188"/>
      <c r="D34" s="188"/>
      <c r="E34" s="188" t="s">
        <v>86</v>
      </c>
      <c r="F34" s="80">
        <f>SUM(F31:F33)</f>
        <v>6685</v>
      </c>
      <c r="G34" s="80" t="e">
        <f>SUM(G31:G33)</f>
        <v>#REF!</v>
      </c>
      <c r="I34" s="80">
        <v>4233</v>
      </c>
      <c r="J34" s="80">
        <v>4277</v>
      </c>
      <c r="L34" s="80">
        <v>4048</v>
      </c>
      <c r="M34" s="80">
        <v>4065</v>
      </c>
      <c r="O34" s="188">
        <v>3910</v>
      </c>
      <c r="P34" s="188">
        <v>3976</v>
      </c>
      <c r="R34" s="188">
        <f t="shared" si="6"/>
        <v>2775</v>
      </c>
      <c r="S34" s="188" t="e">
        <f t="shared" si="6"/>
        <v>#REF!</v>
      </c>
      <c r="U34" s="227">
        <f t="shared" si="7"/>
        <v>0.7097</v>
      </c>
      <c r="V34" s="227" t="e">
        <f t="shared" si="7"/>
        <v>#REF!</v>
      </c>
    </row>
    <row r="35" spans="3:22" ht="12">
      <c r="C35" s="188"/>
      <c r="D35" s="188"/>
      <c r="E35" s="188"/>
      <c r="F35" s="80"/>
      <c r="G35" s="80"/>
      <c r="I35" s="80"/>
      <c r="J35" s="80"/>
      <c r="L35" s="80"/>
      <c r="M35" s="80"/>
      <c r="O35" s="188"/>
      <c r="P35" s="188"/>
      <c r="R35" s="188"/>
      <c r="S35" s="188"/>
      <c r="U35" s="227"/>
      <c r="V35" s="227"/>
    </row>
    <row r="36" spans="1:22" ht="12">
      <c r="A36" s="225">
        <v>18</v>
      </c>
      <c r="B36" s="200" t="s">
        <v>87</v>
      </c>
      <c r="C36" s="188"/>
      <c r="D36" s="188"/>
      <c r="E36" s="188"/>
      <c r="F36" s="80">
        <f>ResultSumGas!G31</f>
        <v>2297</v>
      </c>
      <c r="G36" s="80" t="e">
        <f>#REF!</f>
        <v>#REF!</v>
      </c>
      <c r="I36" s="80">
        <v>1506</v>
      </c>
      <c r="J36" s="80">
        <v>1416</v>
      </c>
      <c r="L36" s="80">
        <v>1404</v>
      </c>
      <c r="M36" s="80">
        <v>1375</v>
      </c>
      <c r="O36" s="188">
        <v>1431</v>
      </c>
      <c r="P36" s="188">
        <v>1356</v>
      </c>
      <c r="R36" s="188">
        <f aca="true" t="shared" si="8" ref="R36:S38">F36-O36</f>
        <v>866</v>
      </c>
      <c r="S36" s="188" t="e">
        <f t="shared" si="8"/>
        <v>#REF!</v>
      </c>
      <c r="U36" s="227">
        <f aca="true" t="shared" si="9" ref="U36:V38">ROUND(R36/O36,4)</f>
        <v>0.6052</v>
      </c>
      <c r="V36" s="227" t="e">
        <f t="shared" si="9"/>
        <v>#REF!</v>
      </c>
    </row>
    <row r="37" spans="1:22" ht="12">
      <c r="A37" s="225">
        <v>19</v>
      </c>
      <c r="B37" s="200" t="s">
        <v>88</v>
      </c>
      <c r="C37" s="188"/>
      <c r="D37" s="188"/>
      <c r="E37" s="188"/>
      <c r="F37" s="80">
        <f>ResultSumGas!G32</f>
        <v>570</v>
      </c>
      <c r="G37" s="80" t="e">
        <f>#REF!</f>
        <v>#REF!</v>
      </c>
      <c r="I37" s="80">
        <v>222</v>
      </c>
      <c r="J37" s="80">
        <v>222</v>
      </c>
      <c r="L37" s="80">
        <v>209</v>
      </c>
      <c r="M37" s="80">
        <v>209</v>
      </c>
      <c r="O37" s="188">
        <v>217</v>
      </c>
      <c r="P37" s="188">
        <v>217</v>
      </c>
      <c r="R37" s="188">
        <f t="shared" si="8"/>
        <v>353</v>
      </c>
      <c r="S37" s="188" t="e">
        <f t="shared" si="8"/>
        <v>#REF!</v>
      </c>
      <c r="U37" s="227">
        <f t="shared" si="9"/>
        <v>1.6267</v>
      </c>
      <c r="V37" s="227" t="e">
        <f t="shared" si="9"/>
        <v>#REF!</v>
      </c>
    </row>
    <row r="38" spans="1:22" ht="12">
      <c r="A38" s="225">
        <v>20</v>
      </c>
      <c r="B38" s="200" t="s">
        <v>89</v>
      </c>
      <c r="C38" s="188"/>
      <c r="D38" s="188"/>
      <c r="E38" s="188"/>
      <c r="F38" s="80">
        <f>ResultSumGas!G33</f>
        <v>261</v>
      </c>
      <c r="G38" s="80" t="e">
        <f>#REF!</f>
        <v>#REF!</v>
      </c>
      <c r="I38" s="80">
        <v>185</v>
      </c>
      <c r="J38" s="80">
        <v>185</v>
      </c>
      <c r="L38" s="80">
        <v>172</v>
      </c>
      <c r="M38" s="80">
        <v>172</v>
      </c>
      <c r="O38" s="188">
        <v>168</v>
      </c>
      <c r="P38" s="188">
        <v>168</v>
      </c>
      <c r="R38" s="188">
        <f t="shared" si="8"/>
        <v>93</v>
      </c>
      <c r="S38" s="188" t="e">
        <f t="shared" si="8"/>
        <v>#REF!</v>
      </c>
      <c r="U38" s="227">
        <f t="shared" si="9"/>
        <v>0.5536</v>
      </c>
      <c r="V38" s="227" t="e">
        <f t="shared" si="9"/>
        <v>#REF!</v>
      </c>
    </row>
    <row r="39" spans="2:22" ht="12">
      <c r="B39" s="200" t="s">
        <v>90</v>
      </c>
      <c r="C39" s="188"/>
      <c r="D39" s="188"/>
      <c r="E39" s="188"/>
      <c r="F39" s="80"/>
      <c r="G39" s="80"/>
      <c r="I39" s="80"/>
      <c r="J39" s="80"/>
      <c r="L39" s="80"/>
      <c r="M39" s="80"/>
      <c r="O39" s="188"/>
      <c r="P39" s="188"/>
      <c r="R39" s="188"/>
      <c r="S39" s="188"/>
      <c r="U39" s="227"/>
      <c r="V39" s="227"/>
    </row>
    <row r="40" spans="1:22" ht="12">
      <c r="A40" s="225">
        <v>21</v>
      </c>
      <c r="C40" s="188" t="s">
        <v>82</v>
      </c>
      <c r="D40" s="188"/>
      <c r="E40" s="188"/>
      <c r="F40" s="80">
        <f>ResultSumGas!G35</f>
        <v>4145</v>
      </c>
      <c r="G40" s="80" t="e">
        <f>#REF!</f>
        <v>#REF!</v>
      </c>
      <c r="I40" s="80">
        <v>3821</v>
      </c>
      <c r="J40" s="80">
        <v>3396</v>
      </c>
      <c r="L40" s="80">
        <v>3258</v>
      </c>
      <c r="M40" s="80">
        <v>2823</v>
      </c>
      <c r="O40" s="188">
        <v>3183</v>
      </c>
      <c r="P40" s="188">
        <v>2774</v>
      </c>
      <c r="R40" s="188">
        <f aca="true" t="shared" si="10" ref="R40:S42">F40-O40</f>
        <v>962</v>
      </c>
      <c r="S40" s="188" t="e">
        <f t="shared" si="10"/>
        <v>#REF!</v>
      </c>
      <c r="U40" s="227">
        <f aca="true" t="shared" si="11" ref="U40:V44">ROUND(R40/O40,4)</f>
        <v>0.3022</v>
      </c>
      <c r="V40" s="227" t="e">
        <f t="shared" si="11"/>
        <v>#REF!</v>
      </c>
    </row>
    <row r="41" spans="1:22" ht="12">
      <c r="A41" s="225">
        <v>22</v>
      </c>
      <c r="C41" s="188" t="s">
        <v>83</v>
      </c>
      <c r="D41" s="188"/>
      <c r="E41" s="188"/>
      <c r="F41" s="80">
        <f>ResultSumGas!G36</f>
        <v>365</v>
      </c>
      <c r="G41" s="80" t="e">
        <f>#REF!</f>
        <v>#REF!</v>
      </c>
      <c r="I41" s="80">
        <v>392</v>
      </c>
      <c r="J41" s="80">
        <v>392</v>
      </c>
      <c r="L41" s="80">
        <v>335</v>
      </c>
      <c r="M41" s="80">
        <v>335</v>
      </c>
      <c r="O41" s="229">
        <v>310</v>
      </c>
      <c r="P41" s="229">
        <v>310</v>
      </c>
      <c r="R41" s="229">
        <f t="shared" si="10"/>
        <v>55</v>
      </c>
      <c r="S41" s="229" t="e">
        <f t="shared" si="10"/>
        <v>#REF!</v>
      </c>
      <c r="U41" s="227">
        <f t="shared" si="11"/>
        <v>0.1774</v>
      </c>
      <c r="V41" s="227" t="e">
        <f t="shared" si="11"/>
        <v>#REF!</v>
      </c>
    </row>
    <row r="42" spans="1:22" ht="12">
      <c r="A42" s="225">
        <v>23</v>
      </c>
      <c r="C42" s="188" t="s">
        <v>39</v>
      </c>
      <c r="D42" s="188"/>
      <c r="E42" s="188"/>
      <c r="F42" s="81">
        <f>ResultSumGas!G37</f>
        <v>11</v>
      </c>
      <c r="G42" s="81" t="e">
        <f>#REF!</f>
        <v>#REF!</v>
      </c>
      <c r="I42" s="81">
        <v>7</v>
      </c>
      <c r="J42" s="81">
        <v>7</v>
      </c>
      <c r="L42" s="81">
        <v>7</v>
      </c>
      <c r="M42" s="81">
        <v>7</v>
      </c>
      <c r="O42" s="228">
        <v>7</v>
      </c>
      <c r="P42" s="228">
        <v>7</v>
      </c>
      <c r="R42" s="228">
        <f t="shared" si="10"/>
        <v>4</v>
      </c>
      <c r="S42" s="228" t="e">
        <f t="shared" si="10"/>
        <v>#REF!</v>
      </c>
      <c r="U42" s="227">
        <f t="shared" si="11"/>
        <v>0.5714</v>
      </c>
      <c r="V42" s="227" t="e">
        <f t="shared" si="11"/>
        <v>#REF!</v>
      </c>
    </row>
    <row r="43" spans="1:22" ht="12">
      <c r="A43" s="225">
        <v>24</v>
      </c>
      <c r="C43" s="188"/>
      <c r="D43" s="188"/>
      <c r="E43" s="188" t="s">
        <v>91</v>
      </c>
      <c r="F43" s="81">
        <f>SUM(F40:F42)</f>
        <v>4521</v>
      </c>
      <c r="G43" s="81" t="e">
        <f>SUM(G40:G42)</f>
        <v>#REF!</v>
      </c>
      <c r="I43" s="81">
        <v>4220</v>
      </c>
      <c r="J43" s="81">
        <v>3795</v>
      </c>
      <c r="L43" s="81">
        <v>3600</v>
      </c>
      <c r="M43" s="81">
        <v>3165</v>
      </c>
      <c r="O43" s="228">
        <v>3500</v>
      </c>
      <c r="P43" s="228">
        <v>3091</v>
      </c>
      <c r="R43" s="228">
        <f>F44-O43</f>
        <v>52487</v>
      </c>
      <c r="S43" s="228" t="e">
        <f>G43-P43</f>
        <v>#REF!</v>
      </c>
      <c r="U43" s="227">
        <f t="shared" si="11"/>
        <v>14.9963</v>
      </c>
      <c r="V43" s="227" t="e">
        <f t="shared" si="11"/>
        <v>#REF!</v>
      </c>
    </row>
    <row r="44" spans="1:22" ht="12">
      <c r="A44" s="225">
        <v>25</v>
      </c>
      <c r="B44" s="200" t="s">
        <v>92</v>
      </c>
      <c r="C44" s="188"/>
      <c r="D44" s="188"/>
      <c r="E44" s="188"/>
      <c r="F44" s="81">
        <f>F24+F29+F34+F36+F37+F38+F43+F19</f>
        <v>55987</v>
      </c>
      <c r="G44" s="81" t="e">
        <f>G24+G29+G34+G36+G37+G38+G43+G19</f>
        <v>#REF!</v>
      </c>
      <c r="I44" s="81">
        <v>31679</v>
      </c>
      <c r="J44" s="81">
        <v>32601</v>
      </c>
      <c r="L44" s="81">
        <v>27116</v>
      </c>
      <c r="M44" s="81">
        <v>27757</v>
      </c>
      <c r="O44" s="230">
        <v>23683</v>
      </c>
      <c r="P44" s="230">
        <v>23726</v>
      </c>
      <c r="R44" s="230">
        <f>F44-O44</f>
        <v>32304</v>
      </c>
      <c r="S44" s="230" t="e">
        <f>G44-P44</f>
        <v>#REF!</v>
      </c>
      <c r="U44" s="227">
        <f t="shared" si="11"/>
        <v>1.364</v>
      </c>
      <c r="V44" s="227" t="e">
        <f t="shared" si="11"/>
        <v>#REF!</v>
      </c>
    </row>
    <row r="45" spans="3:22" ht="12">
      <c r="C45" s="188"/>
      <c r="D45" s="188"/>
      <c r="E45" s="188"/>
      <c r="F45" s="80"/>
      <c r="G45" s="80"/>
      <c r="I45" s="80"/>
      <c r="J45" s="80"/>
      <c r="L45" s="80"/>
      <c r="M45" s="80"/>
      <c r="O45" s="188"/>
      <c r="P45" s="188"/>
      <c r="R45" s="188"/>
      <c r="S45" s="188"/>
      <c r="U45" s="227"/>
      <c r="V45" s="227"/>
    </row>
    <row r="46" spans="1:22" ht="12">
      <c r="A46" s="225">
        <v>26</v>
      </c>
      <c r="B46" s="200" t="s">
        <v>93</v>
      </c>
      <c r="C46" s="188"/>
      <c r="D46" s="188"/>
      <c r="E46" s="188"/>
      <c r="F46" s="188">
        <f>F16-F44</f>
        <v>4508</v>
      </c>
      <c r="G46" s="188" t="e">
        <f>G16-G44</f>
        <v>#REF!</v>
      </c>
      <c r="I46" s="188">
        <v>4731</v>
      </c>
      <c r="J46" s="188">
        <v>6011</v>
      </c>
      <c r="L46" s="188">
        <v>5874</v>
      </c>
      <c r="M46" s="188">
        <v>6973</v>
      </c>
      <c r="O46" s="188">
        <v>5719</v>
      </c>
      <c r="P46" s="188">
        <v>6210</v>
      </c>
      <c r="R46" s="188">
        <f>F46-O46</f>
        <v>-1211</v>
      </c>
      <c r="S46" s="188" t="e">
        <f>G46-P46</f>
        <v>#REF!</v>
      </c>
      <c r="U46" s="227">
        <f>ROUND(R46/O46,4)</f>
        <v>-0.2118</v>
      </c>
      <c r="V46" s="227" t="e">
        <f>ROUND(S46/P46,4)</f>
        <v>#REF!</v>
      </c>
    </row>
    <row r="47" spans="2:22" ht="12">
      <c r="B47" s="200" t="s">
        <v>94</v>
      </c>
      <c r="C47" s="188"/>
      <c r="D47" s="188"/>
      <c r="E47" s="188"/>
      <c r="F47" s="80"/>
      <c r="G47" s="80"/>
      <c r="I47" s="80"/>
      <c r="J47" s="80"/>
      <c r="L47" s="80"/>
      <c r="M47" s="80"/>
      <c r="O47" s="188"/>
      <c r="P47" s="188"/>
      <c r="R47" s="188"/>
      <c r="S47" s="188"/>
      <c r="U47" s="227"/>
      <c r="V47" s="227"/>
    </row>
    <row r="48" spans="3:22" ht="12">
      <c r="C48" s="188"/>
      <c r="D48" s="188"/>
      <c r="E48" s="188"/>
      <c r="F48" s="80"/>
      <c r="G48" s="80"/>
      <c r="I48" s="80"/>
      <c r="J48" s="80"/>
      <c r="L48" s="80"/>
      <c r="M48" s="80"/>
      <c r="O48" s="188"/>
      <c r="P48" s="188"/>
      <c r="R48" s="188"/>
      <c r="S48" s="188"/>
      <c r="U48" s="227"/>
      <c r="V48" s="227"/>
    </row>
    <row r="49" spans="1:22" ht="12">
      <c r="A49" s="225">
        <v>27</v>
      </c>
      <c r="C49" s="188" t="s">
        <v>95</v>
      </c>
      <c r="D49" s="188"/>
      <c r="E49" s="188"/>
      <c r="F49" s="80">
        <f>ResultSumGas!G44</f>
        <v>-2216</v>
      </c>
      <c r="G49" s="80" t="e">
        <f>#REF!</f>
        <v>#REF!</v>
      </c>
      <c r="I49" s="80">
        <v>200</v>
      </c>
      <c r="J49" s="80">
        <v>743</v>
      </c>
      <c r="L49" s="80">
        <v>426</v>
      </c>
      <c r="M49" s="80">
        <v>740</v>
      </c>
      <c r="O49" s="188">
        <v>-696</v>
      </c>
      <c r="P49" s="188">
        <v>-510</v>
      </c>
      <c r="R49" s="188">
        <f aca="true" t="shared" si="12" ref="R49:S51">F49-O49</f>
        <v>-1520</v>
      </c>
      <c r="S49" s="188" t="e">
        <f t="shared" si="12"/>
        <v>#REF!</v>
      </c>
      <c r="U49" s="227">
        <f aca="true" t="shared" si="13" ref="U49:V51">ROUND(R49/O49,4)</f>
        <v>2.1839</v>
      </c>
      <c r="V49" s="227" t="e">
        <f t="shared" si="13"/>
        <v>#REF!</v>
      </c>
    </row>
    <row r="50" spans="1:22" ht="12">
      <c r="A50" s="225">
        <v>28</v>
      </c>
      <c r="C50" s="188" t="s">
        <v>96</v>
      </c>
      <c r="D50" s="188"/>
      <c r="E50" s="188"/>
      <c r="F50" s="80">
        <f>ResultSumGas!G45</f>
        <v>2530</v>
      </c>
      <c r="G50" s="80" t="e">
        <f>#REF!</f>
        <v>#REF!</v>
      </c>
      <c r="I50" s="80">
        <v>1011</v>
      </c>
      <c r="J50" s="80">
        <v>929</v>
      </c>
      <c r="L50" s="80">
        <v>1335</v>
      </c>
      <c r="M50" s="80">
        <v>1300</v>
      </c>
      <c r="O50" s="80">
        <v>2331</v>
      </c>
      <c r="P50" s="80">
        <v>2317</v>
      </c>
      <c r="R50" s="80">
        <f t="shared" si="12"/>
        <v>199</v>
      </c>
      <c r="S50" s="80" t="e">
        <f t="shared" si="12"/>
        <v>#REF!</v>
      </c>
      <c r="U50" s="227">
        <f t="shared" si="13"/>
        <v>0.0854</v>
      </c>
      <c r="V50" s="227" t="e">
        <f t="shared" si="13"/>
        <v>#REF!</v>
      </c>
    </row>
    <row r="51" spans="1:22" ht="12">
      <c r="A51" s="225">
        <v>29</v>
      </c>
      <c r="C51" s="188" t="s">
        <v>97</v>
      </c>
      <c r="D51" s="188"/>
      <c r="E51" s="188"/>
      <c r="F51" s="81">
        <f>ResultSumGas!G46</f>
        <v>-19</v>
      </c>
      <c r="G51" s="81" t="e">
        <f>#REF!</f>
        <v>#REF!</v>
      </c>
      <c r="I51" s="81">
        <v>-19</v>
      </c>
      <c r="J51" s="81">
        <v>-19</v>
      </c>
      <c r="L51" s="81">
        <v>-19</v>
      </c>
      <c r="M51" s="81">
        <v>-19</v>
      </c>
      <c r="O51" s="81">
        <v>-19</v>
      </c>
      <c r="P51" s="81">
        <v>-19</v>
      </c>
      <c r="R51" s="81">
        <f t="shared" si="12"/>
        <v>0</v>
      </c>
      <c r="S51" s="81" t="e">
        <f t="shared" si="12"/>
        <v>#REF!</v>
      </c>
      <c r="U51" s="227">
        <f t="shared" si="13"/>
        <v>0</v>
      </c>
      <c r="V51" s="227" t="e">
        <f t="shared" si="13"/>
        <v>#REF!</v>
      </c>
    </row>
    <row r="52" spans="6:22" ht="12">
      <c r="F52" s="85"/>
      <c r="G52" s="85"/>
      <c r="I52" s="85"/>
      <c r="J52" s="85"/>
      <c r="L52" s="85"/>
      <c r="M52" s="85"/>
      <c r="O52" s="85"/>
      <c r="P52" s="85"/>
      <c r="R52" s="85"/>
      <c r="S52" s="85"/>
      <c r="U52" s="227"/>
      <c r="V52" s="227"/>
    </row>
    <row r="53" spans="1:22" ht="12.75" thickBot="1">
      <c r="A53" s="225">
        <v>30</v>
      </c>
      <c r="B53" s="226" t="s">
        <v>98</v>
      </c>
      <c r="C53" s="226"/>
      <c r="D53" s="226"/>
      <c r="E53" s="226"/>
      <c r="F53" s="189">
        <f>F46-(F49+F50+F51)</f>
        <v>4213</v>
      </c>
      <c r="G53" s="189" t="e">
        <f>G46-(G49+G50+G51)</f>
        <v>#REF!</v>
      </c>
      <c r="I53" s="189">
        <v>3539</v>
      </c>
      <c r="J53" s="189">
        <v>4358</v>
      </c>
      <c r="L53" s="189">
        <v>4132</v>
      </c>
      <c r="M53" s="189">
        <v>4952</v>
      </c>
      <c r="O53" s="189">
        <v>4103</v>
      </c>
      <c r="P53" s="189">
        <v>4422</v>
      </c>
      <c r="R53" s="189">
        <f>F53-O53</f>
        <v>110</v>
      </c>
      <c r="S53" s="189" t="e">
        <f>G53-P53</f>
        <v>#REF!</v>
      </c>
      <c r="U53" s="227">
        <f>ROUND(R53/O53,4)</f>
        <v>0.0268</v>
      </c>
      <c r="V53" s="227" t="e">
        <f>ROUND(S53/P53,4)</f>
        <v>#REF!</v>
      </c>
    </row>
    <row r="54" spans="6:22" ht="12.75" thickTop="1">
      <c r="F54" s="85"/>
      <c r="G54" s="85"/>
      <c r="I54" s="85"/>
      <c r="J54" s="85"/>
      <c r="L54" s="85"/>
      <c r="M54" s="85"/>
      <c r="O54" s="85"/>
      <c r="P54" s="85"/>
      <c r="R54" s="85"/>
      <c r="S54" s="85"/>
      <c r="U54" s="227"/>
      <c r="V54" s="227"/>
    </row>
    <row r="55" spans="6:22" ht="12">
      <c r="F55" s="85"/>
      <c r="G55" s="85"/>
      <c r="I55" s="85"/>
      <c r="J55" s="85"/>
      <c r="L55" s="85"/>
      <c r="M55" s="85"/>
      <c r="U55" s="227"/>
      <c r="V55" s="227"/>
    </row>
    <row r="56" spans="2:22" ht="12">
      <c r="B56" s="200" t="s">
        <v>99</v>
      </c>
      <c r="F56" s="85"/>
      <c r="G56" s="85"/>
      <c r="I56" s="85"/>
      <c r="J56" s="85"/>
      <c r="L56" s="85"/>
      <c r="M56" s="85"/>
      <c r="O56" s="188"/>
      <c r="P56" s="188"/>
      <c r="R56" s="188"/>
      <c r="S56" s="188"/>
      <c r="U56" s="227"/>
      <c r="V56" s="227"/>
    </row>
    <row r="57" spans="1:22" ht="12">
      <c r="A57" s="225">
        <v>31</v>
      </c>
      <c r="B57" s="188"/>
      <c r="C57" s="188" t="s">
        <v>81</v>
      </c>
      <c r="D57" s="188"/>
      <c r="E57" s="188"/>
      <c r="F57" s="78">
        <f>ResultSumGas!G52</f>
        <v>5062</v>
      </c>
      <c r="G57" s="78" t="e">
        <f>#REF!</f>
        <v>#REF!</v>
      </c>
      <c r="I57" s="78">
        <v>4859</v>
      </c>
      <c r="J57" s="78">
        <v>4859</v>
      </c>
      <c r="L57" s="78">
        <v>4846</v>
      </c>
      <c r="M57" s="78">
        <v>4846</v>
      </c>
      <c r="O57" s="188">
        <v>4848</v>
      </c>
      <c r="P57" s="188">
        <v>4848</v>
      </c>
      <c r="R57" s="188">
        <f aca="true" t="shared" si="14" ref="R57:S60">F57-O57</f>
        <v>214</v>
      </c>
      <c r="S57" s="188" t="e">
        <f t="shared" si="14"/>
        <v>#REF!</v>
      </c>
      <c r="U57" s="227">
        <f aca="true" t="shared" si="15" ref="U57:V60">ROUND(R57/O57,4)</f>
        <v>0.0441</v>
      </c>
      <c r="V57" s="227" t="e">
        <f t="shared" si="15"/>
        <v>#REF!</v>
      </c>
    </row>
    <row r="58" spans="1:22" ht="12">
      <c r="A58" s="225">
        <v>32</v>
      </c>
      <c r="B58" s="188"/>
      <c r="C58" s="188" t="s">
        <v>100</v>
      </c>
      <c r="D58" s="188"/>
      <c r="E58" s="188"/>
      <c r="F58" s="80">
        <f>ResultSumGas!G53</f>
        <v>94228</v>
      </c>
      <c r="G58" s="80" t="e">
        <f>#REF!</f>
        <v>#REF!</v>
      </c>
      <c r="I58" s="80">
        <v>72467</v>
      </c>
      <c r="J58" s="80">
        <v>73938</v>
      </c>
      <c r="L58" s="80">
        <v>68735</v>
      </c>
      <c r="M58" s="80">
        <v>70273</v>
      </c>
      <c r="O58" s="228">
        <v>64639</v>
      </c>
      <c r="P58" s="228">
        <v>66244</v>
      </c>
      <c r="R58" s="228">
        <f t="shared" si="14"/>
        <v>29589</v>
      </c>
      <c r="S58" s="228" t="e">
        <f t="shared" si="14"/>
        <v>#REF!</v>
      </c>
      <c r="U58" s="227">
        <f t="shared" si="15"/>
        <v>0.4578</v>
      </c>
      <c r="V58" s="227" t="e">
        <f t="shared" si="15"/>
        <v>#REF!</v>
      </c>
    </row>
    <row r="59" spans="1:22" ht="12">
      <c r="A59" s="225">
        <v>33</v>
      </c>
      <c r="B59" s="188"/>
      <c r="C59" s="188" t="s">
        <v>101</v>
      </c>
      <c r="D59" s="188"/>
      <c r="E59" s="188"/>
      <c r="F59" s="81">
        <f>ResultSumGas!G54</f>
        <v>7464</v>
      </c>
      <c r="G59" s="81" t="e">
        <f>#REF!</f>
        <v>#REF!</v>
      </c>
      <c r="I59" s="81">
        <v>6291</v>
      </c>
      <c r="J59" s="81">
        <v>6291</v>
      </c>
      <c r="L59" s="81">
        <v>6026</v>
      </c>
      <c r="M59" s="81">
        <v>6026</v>
      </c>
      <c r="O59" s="81">
        <v>5596</v>
      </c>
      <c r="P59" s="81">
        <v>5596</v>
      </c>
      <c r="R59" s="81">
        <f t="shared" si="14"/>
        <v>1868</v>
      </c>
      <c r="S59" s="81" t="e">
        <f t="shared" si="14"/>
        <v>#REF!</v>
      </c>
      <c r="U59" s="227">
        <f t="shared" si="15"/>
        <v>0.3338</v>
      </c>
      <c r="V59" s="227" t="e">
        <f t="shared" si="15"/>
        <v>#REF!</v>
      </c>
    </row>
    <row r="60" spans="1:22" ht="12">
      <c r="A60" s="225">
        <v>34</v>
      </c>
      <c r="B60" s="188"/>
      <c r="C60" s="188"/>
      <c r="D60" s="188"/>
      <c r="E60" s="188" t="s">
        <v>102</v>
      </c>
      <c r="F60" s="80">
        <f>SUM(F57:F59)</f>
        <v>106754</v>
      </c>
      <c r="G60" s="80" t="e">
        <f>SUM(G57:G59)</f>
        <v>#REF!</v>
      </c>
      <c r="I60" s="80">
        <v>83617</v>
      </c>
      <c r="J60" s="80">
        <v>85088</v>
      </c>
      <c r="L60" s="80">
        <v>79607</v>
      </c>
      <c r="M60" s="80">
        <v>81145</v>
      </c>
      <c r="O60" s="80">
        <v>75083</v>
      </c>
      <c r="P60" s="80">
        <v>76688</v>
      </c>
      <c r="R60" s="80">
        <f t="shared" si="14"/>
        <v>31671</v>
      </c>
      <c r="S60" s="80" t="e">
        <f t="shared" si="14"/>
        <v>#REF!</v>
      </c>
      <c r="U60" s="227">
        <f t="shared" si="15"/>
        <v>0.4218</v>
      </c>
      <c r="V60" s="227" t="e">
        <f t="shared" si="15"/>
        <v>#REF!</v>
      </c>
    </row>
    <row r="61" spans="2:22" ht="12">
      <c r="B61" s="188" t="s">
        <v>103</v>
      </c>
      <c r="C61" s="188"/>
      <c r="D61" s="188"/>
      <c r="E61" s="188"/>
      <c r="F61" s="80"/>
      <c r="G61" s="80"/>
      <c r="I61" s="80"/>
      <c r="J61" s="80"/>
      <c r="L61" s="80"/>
      <c r="M61" s="80"/>
      <c r="O61" s="80"/>
      <c r="P61" s="80"/>
      <c r="R61" s="80"/>
      <c r="S61" s="80"/>
      <c r="U61" s="227"/>
      <c r="V61" s="227"/>
    </row>
    <row r="62" spans="1:22" ht="12">
      <c r="A62" s="225">
        <v>35</v>
      </c>
      <c r="B62" s="188"/>
      <c r="C62" s="188" t="s">
        <v>81</v>
      </c>
      <c r="D62" s="188"/>
      <c r="E62" s="188"/>
      <c r="F62" s="80">
        <f>ResultSumGas!G57</f>
        <v>2472</v>
      </c>
      <c r="G62" s="80" t="e">
        <f>#REF!</f>
        <v>#REF!</v>
      </c>
      <c r="I62" s="80">
        <v>2047</v>
      </c>
      <c r="J62" s="80">
        <v>2047</v>
      </c>
      <c r="L62" s="80">
        <v>1991</v>
      </c>
      <c r="M62" s="80">
        <v>1991</v>
      </c>
      <c r="O62" s="80">
        <v>1946</v>
      </c>
      <c r="P62" s="80">
        <v>1946</v>
      </c>
      <c r="R62" s="80">
        <f aca="true" t="shared" si="16" ref="R62:S65">F62-O62</f>
        <v>526</v>
      </c>
      <c r="S62" s="80" t="e">
        <f t="shared" si="16"/>
        <v>#REF!</v>
      </c>
      <c r="U62" s="227">
        <f aca="true" t="shared" si="17" ref="U62:V65">ROUND(R62/O62,4)</f>
        <v>0.2703</v>
      </c>
      <c r="V62" s="227" t="e">
        <f t="shared" si="17"/>
        <v>#REF!</v>
      </c>
    </row>
    <row r="63" spans="1:22" ht="12">
      <c r="A63" s="225">
        <v>36</v>
      </c>
      <c r="B63" s="188"/>
      <c r="C63" s="188" t="s">
        <v>100</v>
      </c>
      <c r="D63" s="188"/>
      <c r="E63" s="188"/>
      <c r="F63" s="80">
        <f>ResultSumGas!G58</f>
        <v>30524</v>
      </c>
      <c r="G63" s="80" t="e">
        <f>#REF!</f>
        <v>#REF!</v>
      </c>
      <c r="I63" s="80">
        <v>19658</v>
      </c>
      <c r="J63" s="80">
        <v>19658</v>
      </c>
      <c r="L63" s="80">
        <v>18707</v>
      </c>
      <c r="M63" s="80">
        <v>18707</v>
      </c>
      <c r="O63" s="80">
        <v>17640</v>
      </c>
      <c r="P63" s="80">
        <v>17640</v>
      </c>
      <c r="R63" s="80">
        <f t="shared" si="16"/>
        <v>12884</v>
      </c>
      <c r="S63" s="80" t="e">
        <f t="shared" si="16"/>
        <v>#REF!</v>
      </c>
      <c r="U63" s="227">
        <f t="shared" si="17"/>
        <v>0.7304</v>
      </c>
      <c r="V63" s="227" t="e">
        <f t="shared" si="17"/>
        <v>#REF!</v>
      </c>
    </row>
    <row r="64" spans="1:22" ht="12">
      <c r="A64" s="225">
        <v>37</v>
      </c>
      <c r="B64" s="188"/>
      <c r="C64" s="188" t="s">
        <v>101</v>
      </c>
      <c r="D64" s="188"/>
      <c r="E64" s="188"/>
      <c r="F64" s="81">
        <f>ResultSumGas!G59</f>
        <v>3088</v>
      </c>
      <c r="G64" s="81" t="e">
        <f>#REF!</f>
        <v>#REF!</v>
      </c>
      <c r="I64" s="81">
        <v>2316</v>
      </c>
      <c r="J64" s="81">
        <v>2316</v>
      </c>
      <c r="L64" s="81">
        <v>2205</v>
      </c>
      <c r="M64" s="81">
        <v>2205</v>
      </c>
      <c r="O64" s="81">
        <v>2024</v>
      </c>
      <c r="P64" s="81">
        <v>2024</v>
      </c>
      <c r="R64" s="81">
        <f t="shared" si="16"/>
        <v>1064</v>
      </c>
      <c r="S64" s="81" t="e">
        <f t="shared" si="16"/>
        <v>#REF!</v>
      </c>
      <c r="U64" s="227">
        <f t="shared" si="17"/>
        <v>0.5257</v>
      </c>
      <c r="V64" s="227" t="e">
        <f t="shared" si="17"/>
        <v>#REF!</v>
      </c>
    </row>
    <row r="65" spans="1:22" ht="12">
      <c r="A65" s="225">
        <v>38</v>
      </c>
      <c r="B65" s="188"/>
      <c r="C65" s="188"/>
      <c r="D65" s="188"/>
      <c r="E65" s="188" t="s">
        <v>104</v>
      </c>
      <c r="F65" s="80">
        <f>SUM(F62:F64)</f>
        <v>36084</v>
      </c>
      <c r="G65" s="80" t="e">
        <f>SUM(G62:G64)</f>
        <v>#REF!</v>
      </c>
      <c r="I65" s="80">
        <v>24021</v>
      </c>
      <c r="J65" s="80">
        <v>24021</v>
      </c>
      <c r="L65" s="80">
        <v>22903</v>
      </c>
      <c r="M65" s="80">
        <v>22903</v>
      </c>
      <c r="O65" s="80">
        <v>21610</v>
      </c>
      <c r="P65" s="80">
        <v>21610</v>
      </c>
      <c r="R65" s="80">
        <f t="shared" si="16"/>
        <v>14474</v>
      </c>
      <c r="S65" s="80" t="e">
        <f t="shared" si="16"/>
        <v>#REF!</v>
      </c>
      <c r="U65" s="227">
        <f t="shared" si="17"/>
        <v>0.6698</v>
      </c>
      <c r="V65" s="227" t="e">
        <f t="shared" si="17"/>
        <v>#REF!</v>
      </c>
    </row>
    <row r="66" spans="1:22" ht="12">
      <c r="A66" s="231">
        <v>39</v>
      </c>
      <c r="B66" s="229" t="s">
        <v>105</v>
      </c>
      <c r="C66" s="229"/>
      <c r="D66" s="229"/>
      <c r="E66" s="229"/>
      <c r="F66" s="80"/>
      <c r="G66" s="80" t="e">
        <f>#REF!</f>
        <v>#REF!</v>
      </c>
      <c r="I66" s="80"/>
      <c r="J66" s="80">
        <v>-4603</v>
      </c>
      <c r="L66" s="80"/>
      <c r="M66" s="80">
        <v>-4227</v>
      </c>
      <c r="O66" s="80">
        <v>0</v>
      </c>
      <c r="P66" s="80">
        <v>-3829</v>
      </c>
      <c r="R66" s="80"/>
      <c r="S66" s="80" t="e">
        <f>G66-P66</f>
        <v>#REF!</v>
      </c>
      <c r="U66" s="227"/>
      <c r="V66" s="227" t="e">
        <f>ROUND(S66/P66,4)</f>
        <v>#REF!</v>
      </c>
    </row>
    <row r="67" spans="1:22" ht="12">
      <c r="A67" s="225">
        <v>40</v>
      </c>
      <c r="B67" s="188" t="s">
        <v>106</v>
      </c>
      <c r="C67" s="188"/>
      <c r="D67" s="188"/>
      <c r="E67" s="188"/>
      <c r="F67" s="80"/>
      <c r="G67" s="80" t="e">
        <f>#REF!</f>
        <v>#REF!</v>
      </c>
      <c r="I67" s="80"/>
      <c r="J67" s="80">
        <v>503</v>
      </c>
      <c r="L67" s="80"/>
      <c r="M67" s="80">
        <v>493</v>
      </c>
      <c r="O67" s="80">
        <v>0</v>
      </c>
      <c r="P67" s="80">
        <v>515</v>
      </c>
      <c r="R67" s="80"/>
      <c r="S67" s="80" t="e">
        <f>G67-P67</f>
        <v>#REF!</v>
      </c>
      <c r="U67" s="227"/>
      <c r="V67" s="227" t="e">
        <f>ROUND(S67/P67,4)</f>
        <v>#REF!</v>
      </c>
    </row>
    <row r="68" spans="1:22" ht="12">
      <c r="A68" s="225">
        <v>41</v>
      </c>
      <c r="B68" s="188" t="s">
        <v>107</v>
      </c>
      <c r="C68" s="188"/>
      <c r="D68" s="188"/>
      <c r="E68" s="188"/>
      <c r="F68" s="80"/>
      <c r="G68" s="80" t="e">
        <f>#REF!</f>
        <v>#REF!</v>
      </c>
      <c r="I68" s="80"/>
      <c r="J68" s="80">
        <v>-268</v>
      </c>
      <c r="L68" s="80"/>
      <c r="M68" s="80">
        <v>-274</v>
      </c>
      <c r="O68" s="80">
        <v>0</v>
      </c>
      <c r="P68" s="80">
        <v>-280</v>
      </c>
      <c r="R68" s="80"/>
      <c r="S68" s="80" t="e">
        <f>G68-P68</f>
        <v>#REF!</v>
      </c>
      <c r="U68" s="227"/>
      <c r="V68" s="227" t="e">
        <f>ROUND(S68/P68,4)</f>
        <v>#REF!</v>
      </c>
    </row>
    <row r="69" spans="6:22" ht="12">
      <c r="F69" s="85"/>
      <c r="G69" s="85"/>
      <c r="I69" s="85"/>
      <c r="J69" s="85"/>
      <c r="L69" s="85"/>
      <c r="M69" s="85"/>
      <c r="O69" s="85"/>
      <c r="P69" s="85"/>
      <c r="R69" s="85"/>
      <c r="S69" s="85"/>
      <c r="U69" s="227"/>
      <c r="V69" s="227"/>
    </row>
    <row r="70" spans="1:22" ht="12.75" thickBot="1">
      <c r="A70" s="225">
        <v>42</v>
      </c>
      <c r="B70" s="226" t="s">
        <v>108</v>
      </c>
      <c r="C70" s="226"/>
      <c r="D70" s="226"/>
      <c r="E70" s="226"/>
      <c r="F70" s="87">
        <f>F60-F65+F66+F67+F68</f>
        <v>70670</v>
      </c>
      <c r="G70" s="87" t="e">
        <f>G60-G65+G66+G67+G68</f>
        <v>#REF!</v>
      </c>
      <c r="I70" s="87">
        <v>59596</v>
      </c>
      <c r="J70" s="87">
        <v>56699</v>
      </c>
      <c r="L70" s="87">
        <v>56704</v>
      </c>
      <c r="M70" s="87">
        <v>54234</v>
      </c>
      <c r="O70" s="87">
        <v>53473</v>
      </c>
      <c r="P70" s="87">
        <v>51484</v>
      </c>
      <c r="R70" s="87">
        <f>F70-O70</f>
        <v>17197</v>
      </c>
      <c r="S70" s="87" t="e">
        <f>G70-P70</f>
        <v>#REF!</v>
      </c>
      <c r="U70" s="227">
        <f>ROUND(R70/O70,4)</f>
        <v>0.3216</v>
      </c>
      <c r="V70" s="227" t="e">
        <f>ROUND(S70/P70,4)</f>
        <v>#REF!</v>
      </c>
    </row>
    <row r="71" spans="1:22" ht="12.75" thickTop="1">
      <c r="A71" s="225">
        <v>43</v>
      </c>
      <c r="B71" s="200" t="s">
        <v>109</v>
      </c>
      <c r="F71" s="200"/>
      <c r="G71" s="200"/>
      <c r="I71" s="200"/>
      <c r="J71" s="200"/>
      <c r="L71" s="200"/>
      <c r="M71" s="200"/>
      <c r="O71" s="200"/>
      <c r="P71" s="200"/>
      <c r="R71" s="200"/>
      <c r="S71" s="200"/>
      <c r="U71" s="24"/>
      <c r="V71" s="24"/>
    </row>
    <row r="72" spans="6:21" ht="12">
      <c r="F72" s="24">
        <f>ROUND(F53/F70,4)</f>
        <v>0.0596</v>
      </c>
      <c r="G72" s="24" t="e">
        <f>ROUND(G53/G70,4)</f>
        <v>#REF!</v>
      </c>
      <c r="I72" s="24">
        <v>0.0594</v>
      </c>
      <c r="J72" s="24">
        <v>0.0769</v>
      </c>
      <c r="L72" s="24">
        <v>0.0729</v>
      </c>
      <c r="M72" s="24">
        <v>0.0913</v>
      </c>
      <c r="O72" s="24">
        <f>ROUND(O53/O70,4)</f>
        <v>0.0767</v>
      </c>
      <c r="P72" s="24">
        <f>ROUND(P53/P70,4)</f>
        <v>0.0859</v>
      </c>
      <c r="R72" s="24"/>
      <c r="U72" s="24"/>
    </row>
  </sheetData>
  <printOptions/>
  <pageMargins left="0.5" right="0.5" top="0.5" bottom="0.5" header="0.5" footer="0.5"/>
  <pageSetup fitToHeight="1" fitToWidth="1" horizontalDpi="300" verticalDpi="300" orientation="portrait" scale="70" r:id="rId1"/>
  <headerFooter alignWithMargins="0">
    <oddFooter xml:space="preserve">&amp;L&amp;"Courier New,Regular"&amp;8km- File: &amp;F&amp;R&amp;"Courier New,Regular"&amp;8Printed :&amp;D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36">
      <selection activeCell="G37" sqref="G37"/>
    </sheetView>
  </sheetViews>
  <sheetFormatPr defaultColWidth="9.140625" defaultRowHeight="12.75"/>
  <cols>
    <col min="1" max="1" width="4.8515625" style="767" customWidth="1"/>
    <col min="2" max="2" width="18.7109375" style="763" customWidth="1"/>
    <col min="3" max="4" width="10.7109375" style="763" customWidth="1"/>
    <col min="5" max="5" width="10.140625" style="763" customWidth="1"/>
    <col min="6" max="6" width="14.7109375" style="766" customWidth="1"/>
    <col min="7" max="16384" width="10.7109375" style="763" customWidth="1"/>
  </cols>
  <sheetData>
    <row r="1" spans="1:6" ht="12.75">
      <c r="A1" s="880" t="str">
        <f>Inputs!D6</f>
        <v>AVISTA UTILITIES</v>
      </c>
      <c r="B1" s="761"/>
      <c r="C1" s="762"/>
      <c r="D1" s="762"/>
      <c r="E1" s="761"/>
      <c r="F1" s="762"/>
    </row>
    <row r="2" spans="1:6" ht="12.75">
      <c r="A2" s="880" t="s">
        <v>312</v>
      </c>
      <c r="B2" s="761"/>
      <c r="C2" s="762"/>
      <c r="D2" s="762"/>
      <c r="E2" s="761"/>
      <c r="F2" s="762"/>
    </row>
    <row r="3" spans="1:6" ht="12.75">
      <c r="A3" s="761" t="s">
        <v>263</v>
      </c>
      <c r="B3" s="761"/>
      <c r="C3" s="762"/>
      <c r="D3" s="762"/>
      <c r="E3" s="761"/>
      <c r="F3" s="762"/>
    </row>
    <row r="4" spans="1:6" ht="12.75">
      <c r="A4" s="884" t="s">
        <v>346</v>
      </c>
      <c r="B4" s="761"/>
      <c r="C4" s="762"/>
      <c r="D4" s="762"/>
      <c r="E4" s="764"/>
      <c r="F4" s="762"/>
    </row>
    <row r="5" spans="1:10" ht="12.75">
      <c r="A5" s="764" t="s">
        <v>264</v>
      </c>
      <c r="B5" s="761"/>
      <c r="C5" s="762"/>
      <c r="D5" s="762"/>
      <c r="E5" s="765"/>
      <c r="F5" s="762"/>
      <c r="G5" s="766"/>
      <c r="H5" s="766"/>
      <c r="I5" s="766"/>
      <c r="J5" s="766"/>
    </row>
    <row r="6" spans="3:10" ht="12.75">
      <c r="C6" s="766"/>
      <c r="D6" s="766"/>
      <c r="E6" s="768"/>
      <c r="F6" s="767" t="s">
        <v>32</v>
      </c>
      <c r="G6" s="768"/>
      <c r="H6" s="766"/>
      <c r="I6" s="766"/>
      <c r="J6" s="766"/>
    </row>
    <row r="7" spans="2:10" ht="12.75">
      <c r="B7" s="769" t="s">
        <v>265</v>
      </c>
      <c r="C7" s="766"/>
      <c r="D7" s="766"/>
      <c r="E7" s="768"/>
      <c r="F7" s="770" t="s">
        <v>266</v>
      </c>
      <c r="G7" s="768"/>
      <c r="H7" s="768"/>
      <c r="I7" s="766"/>
      <c r="J7" s="766"/>
    </row>
    <row r="8" spans="1:10" ht="12.75">
      <c r="A8" s="873" t="str">
        <f>PFRstmtSheet!A10</f>
        <v>b</v>
      </c>
      <c r="B8" s="874" t="str">
        <f>PFRstmtSheet!B10</f>
        <v>Per Results Report</v>
      </c>
      <c r="C8" s="766"/>
      <c r="D8" s="766"/>
      <c r="E8" s="771"/>
      <c r="F8" s="922">
        <f>PFRstmtSheet!G10</f>
        <v>151703</v>
      </c>
      <c r="G8" s="771"/>
      <c r="H8" s="771"/>
      <c r="I8" s="771"/>
      <c r="J8" s="771"/>
    </row>
    <row r="9" spans="1:6" ht="12.75">
      <c r="A9" s="873" t="str">
        <f>PFRstmtSheet!A11</f>
        <v>c</v>
      </c>
      <c r="B9" s="874" t="str">
        <f>PFRstmtSheet!B11</f>
        <v>Deferred FIT Rate Base</v>
      </c>
      <c r="C9" s="766"/>
      <c r="D9" s="766"/>
      <c r="F9" s="918">
        <f>PFRstmtSheet!G11</f>
        <v>-26800</v>
      </c>
    </row>
    <row r="10" spans="1:6" ht="12.75">
      <c r="A10" s="873" t="str">
        <f>PFRstmtSheet!A12</f>
        <v>d</v>
      </c>
      <c r="B10" s="874" t="str">
        <f>PFRstmtSheet!B12</f>
        <v>Deferred Gain on Office Building</v>
      </c>
      <c r="C10" s="766"/>
      <c r="D10" s="766"/>
      <c r="F10" s="918">
        <f>PFRstmtSheet!G12</f>
        <v>-158</v>
      </c>
    </row>
    <row r="11" spans="1:6" ht="12.75">
      <c r="A11" s="873" t="str">
        <f>PFRstmtSheet!A13</f>
        <v>e</v>
      </c>
      <c r="B11" s="874" t="str">
        <f>PFRstmtSheet!B13</f>
        <v>Gas Inventory</v>
      </c>
      <c r="C11" s="766"/>
      <c r="D11" s="766"/>
      <c r="F11" s="918">
        <f>PFRstmtSheet!G13</f>
        <v>4807</v>
      </c>
    </row>
    <row r="12" spans="1:6" ht="12.75">
      <c r="A12" s="873" t="str">
        <f>PFRstmtSheet!A14</f>
        <v>f</v>
      </c>
      <c r="B12" s="874" t="str">
        <f>PFRstmtSheet!B14</f>
        <v>Weatherization and DSM Investment</v>
      </c>
      <c r="C12" s="766"/>
      <c r="D12" s="766"/>
      <c r="F12" s="918">
        <f>PFRstmtSheet!G14</f>
        <v>1120</v>
      </c>
    </row>
    <row r="13" spans="1:6" ht="12.75">
      <c r="A13" s="873" t="str">
        <f>PFRstmtSheet!A15</f>
        <v>g</v>
      </c>
      <c r="B13" s="874" t="str">
        <f>PFRstmtSheet!B15</f>
        <v>Customer Advances</v>
      </c>
      <c r="C13" s="766"/>
      <c r="D13" s="766"/>
      <c r="F13" s="918">
        <f>PFRstmtSheet!G15</f>
        <v>-1</v>
      </c>
    </row>
    <row r="14" spans="1:6" ht="12.75" hidden="1">
      <c r="A14" s="873" t="str">
        <f>PFRstmtSheet!A19</f>
        <v>h</v>
      </c>
      <c r="B14" s="874" t="str">
        <f>PFRstmtSheet!B19</f>
        <v>Revenue Normalization &amp; Gas Cost Adjust</v>
      </c>
      <c r="C14" s="766"/>
      <c r="D14" s="766"/>
      <c r="F14" s="918">
        <f>PFRstmtSheet!G19</f>
        <v>0</v>
      </c>
    </row>
    <row r="15" spans="1:6" ht="12.75" hidden="1">
      <c r="A15" s="873" t="str">
        <f>PFRstmtSheet!A20</f>
        <v>i</v>
      </c>
      <c r="B15" s="874" t="str">
        <f>PFRstmtSheet!B20</f>
        <v>Eliminate B &amp; O Taxes</v>
      </c>
      <c r="C15" s="766"/>
      <c r="D15" s="766"/>
      <c r="F15" s="918">
        <f>PFRstmtSheet!G20</f>
        <v>0</v>
      </c>
    </row>
    <row r="16" spans="1:6" ht="12.75" hidden="1">
      <c r="A16" s="873" t="str">
        <f>PFRstmtSheet!A21</f>
        <v>j</v>
      </c>
      <c r="B16" s="874" t="str">
        <f>PFRstmtSheet!B21</f>
        <v>Property Tax</v>
      </c>
      <c r="C16" s="766"/>
      <c r="D16" s="766"/>
      <c r="F16" s="918">
        <f>PFRstmtSheet!G21</f>
        <v>0</v>
      </c>
    </row>
    <row r="17" spans="1:6" ht="12.75" hidden="1">
      <c r="A17" s="873" t="str">
        <f>PFRstmtSheet!A22</f>
        <v>k</v>
      </c>
      <c r="B17" s="874" t="str">
        <f>PFRstmtSheet!B22</f>
        <v>Uncollectible Expense</v>
      </c>
      <c r="C17" s="766"/>
      <c r="D17" s="766"/>
      <c r="F17" s="918">
        <f>PFRstmtSheet!G22</f>
        <v>0</v>
      </c>
    </row>
    <row r="18" spans="1:6" ht="12.75" hidden="1">
      <c r="A18" s="873" t="str">
        <f>PFRstmtSheet!A23</f>
        <v>l</v>
      </c>
      <c r="B18" s="874" t="str">
        <f>PFRstmtSheet!B23</f>
        <v>Regulatory Expense Adjustment</v>
      </c>
      <c r="C18" s="766"/>
      <c r="D18" s="766"/>
      <c r="F18" s="918">
        <f>PFRstmtSheet!G23</f>
        <v>0</v>
      </c>
    </row>
    <row r="19" spans="1:6" ht="12.75" hidden="1">
      <c r="A19" s="873" t="str">
        <f>PFRstmtSheet!A24</f>
        <v>m</v>
      </c>
      <c r="B19" s="874" t="str">
        <f>PFRstmtSheet!B24</f>
        <v>Injuries and Damages</v>
      </c>
      <c r="C19" s="766"/>
      <c r="D19" s="766"/>
      <c r="F19" s="918">
        <f>PFRstmtSheet!G24</f>
        <v>0</v>
      </c>
    </row>
    <row r="20" spans="1:6" ht="12.75" hidden="1">
      <c r="A20" s="873" t="str">
        <f>PFRstmtSheet!A25</f>
        <v>n</v>
      </c>
      <c r="B20" s="874" t="str">
        <f>PFRstmtSheet!B25</f>
        <v>FIT</v>
      </c>
      <c r="C20" s="766"/>
      <c r="D20" s="766"/>
      <c r="F20" s="918">
        <f>PFRstmtSheet!G25</f>
        <v>0</v>
      </c>
    </row>
    <row r="21" spans="1:6" ht="12.75" hidden="1">
      <c r="A21" s="873" t="str">
        <f>PFRstmtSheet!A26</f>
        <v>o</v>
      </c>
      <c r="B21" s="874" t="str">
        <f>PFRstmtSheet!B26</f>
        <v>Payroll Clearing</v>
      </c>
      <c r="C21" s="766"/>
      <c r="D21" s="766"/>
      <c r="F21" s="918">
        <f>PFRstmtSheet!G26</f>
        <v>0</v>
      </c>
    </row>
    <row r="22" spans="1:6" ht="12.75" hidden="1">
      <c r="A22" s="873" t="str">
        <f>PFRstmtSheet!A27</f>
        <v>p</v>
      </c>
      <c r="B22" s="874" t="str">
        <f>PFRstmtSheet!B27</f>
        <v>Eliminate A/R Expenses</v>
      </c>
      <c r="C22" s="766"/>
      <c r="D22" s="766"/>
      <c r="F22" s="918">
        <f>PFRstmtSheet!G27</f>
        <v>0</v>
      </c>
    </row>
    <row r="23" spans="1:6" ht="12.75" hidden="1">
      <c r="A23" s="873" t="str">
        <f>PFRstmtSheet!A28</f>
        <v>q</v>
      </c>
      <c r="B23" s="874" t="str">
        <f>PFRstmtSheet!B28</f>
        <v>Office Space Charges to Subs</v>
      </c>
      <c r="C23" s="766"/>
      <c r="D23" s="766"/>
      <c r="F23" s="918">
        <f>PFRstmtSheet!G28</f>
        <v>0</v>
      </c>
    </row>
    <row r="24" spans="1:6" ht="12.75" hidden="1">
      <c r="A24" s="873" t="str">
        <f>PFRstmtSheet!A29</f>
        <v>r</v>
      </c>
      <c r="B24" s="874" t="str">
        <f>PFRstmtSheet!B29</f>
        <v>Restate Excise/Franchise Taxes</v>
      </c>
      <c r="C24" s="766"/>
      <c r="D24" s="766"/>
      <c r="F24" s="918">
        <f>PFRstmtSheet!G29</f>
        <v>0</v>
      </c>
    </row>
    <row r="25" spans="1:6" ht="12.75" hidden="1">
      <c r="A25" s="873" t="str">
        <f>PFRstmtSheet!A30</f>
        <v>s</v>
      </c>
      <c r="B25" s="874" t="str">
        <f>PFRstmtSheet!B30</f>
        <v>Lease Expense Adjustment</v>
      </c>
      <c r="C25" s="766"/>
      <c r="D25" s="766"/>
      <c r="F25" s="918">
        <f>PFRstmtSheet!G30</f>
        <v>0</v>
      </c>
    </row>
    <row r="26" spans="1:10" ht="12.75">
      <c r="A26" s="873" t="str">
        <f>PFRstmtSheet!A31</f>
        <v>t</v>
      </c>
      <c r="B26" s="874" t="str">
        <f>PFRstmtSheet!B31</f>
        <v>Depreciation Adjustment</v>
      </c>
      <c r="C26" s="766"/>
      <c r="D26" s="766"/>
      <c r="F26" s="918">
        <f>PFRstmtSheet!G31</f>
        <v>47</v>
      </c>
      <c r="J26" s="930" t="s">
        <v>347</v>
      </c>
    </row>
    <row r="27" spans="1:6" ht="12.75" hidden="1">
      <c r="A27" s="873" t="str">
        <f>PFRstmtSheet!A32</f>
        <v>u</v>
      </c>
      <c r="B27" s="874" t="str">
        <f>PFRstmtSheet!B32</f>
        <v>Incentives and Other Adjustment</v>
      </c>
      <c r="C27" s="766"/>
      <c r="D27" s="766"/>
      <c r="F27" s="918">
        <f>PFRstmtSheet!G32</f>
        <v>0</v>
      </c>
    </row>
    <row r="28" spans="1:6" ht="12.75" hidden="1">
      <c r="A28" s="873" t="str">
        <f>PFRstmtSheet!A33</f>
        <v>v</v>
      </c>
      <c r="B28" s="874" t="str">
        <f>PFRstmtSheet!B33</f>
        <v>Restate Debt Interest</v>
      </c>
      <c r="C28" s="766"/>
      <c r="D28" s="766"/>
      <c r="F28" s="918">
        <f>PFRstmtSheet!G33</f>
        <v>0</v>
      </c>
    </row>
    <row r="29" spans="1:6" ht="12.75" hidden="1">
      <c r="A29" s="873" t="str">
        <f>PFRstmtSheet!A38</f>
        <v>PF1</v>
      </c>
      <c r="B29" s="874" t="str">
        <f>PFRstmtSheet!B38</f>
        <v>Pension Pro Forma</v>
      </c>
      <c r="C29" s="766"/>
      <c r="D29" s="766"/>
      <c r="F29" s="918">
        <f>PFRstmtSheet!G38</f>
        <v>0</v>
      </c>
    </row>
    <row r="30" spans="1:6" ht="12.75" hidden="1">
      <c r="A30" s="873" t="str">
        <f>PFRstmtSheet!A39</f>
        <v>PF2</v>
      </c>
      <c r="B30" s="874" t="str">
        <f>PFRstmtSheet!B39</f>
        <v>Pro Forma Insurance</v>
      </c>
      <c r="C30" s="766"/>
      <c r="D30" s="766"/>
      <c r="F30" s="918">
        <f>PFRstmtSheet!G39</f>
        <v>0</v>
      </c>
    </row>
    <row r="31" spans="1:6" ht="12.75" hidden="1">
      <c r="A31" s="873" t="str">
        <f>PFRstmtSheet!A40</f>
        <v>PF3</v>
      </c>
      <c r="B31" s="874" t="str">
        <f>PFRstmtSheet!B40</f>
        <v>Pro Forma Labor Non-Exec</v>
      </c>
      <c r="C31" s="766"/>
      <c r="D31" s="766"/>
      <c r="F31" s="918">
        <f>PFRstmtSheet!G40</f>
        <v>0</v>
      </c>
    </row>
    <row r="32" spans="1:6" ht="12.75" hidden="1">
      <c r="A32" s="873" t="str">
        <f>PFRstmtSheet!A41</f>
        <v>PF4</v>
      </c>
      <c r="B32" s="874" t="str">
        <f>PFRstmtSheet!B41</f>
        <v>Pro Forma Labor Executive</v>
      </c>
      <c r="C32" s="766"/>
      <c r="D32" s="766"/>
      <c r="F32" s="918">
        <f>PFRstmtSheet!G41</f>
        <v>0</v>
      </c>
    </row>
    <row r="33" spans="1:6" ht="12.75" hidden="1">
      <c r="A33" s="873" t="str">
        <f>PFRstmtSheet!A42</f>
        <v>PF5</v>
      </c>
      <c r="B33" s="874" t="str">
        <f>PFRstmtSheet!B42</f>
        <v>Pro Forma Gas Procurement</v>
      </c>
      <c r="C33" s="766"/>
      <c r="D33" s="766"/>
      <c r="F33" s="918">
        <f>PFRstmtSheet!G42</f>
        <v>0</v>
      </c>
    </row>
    <row r="34" spans="1:6" ht="12.75">
      <c r="A34" s="768"/>
      <c r="B34" s="766" t="s">
        <v>267</v>
      </c>
      <c r="C34" s="766"/>
      <c r="D34" s="766"/>
      <c r="F34" s="923">
        <f>SUM(F8:F33)</f>
        <v>130718</v>
      </c>
    </row>
    <row r="35" spans="1:6" ht="12.75">
      <c r="A35" s="768"/>
      <c r="B35" s="766"/>
      <c r="C35" s="766"/>
      <c r="D35" s="766"/>
      <c r="F35" s="763"/>
    </row>
    <row r="36" spans="3:10" ht="12.75">
      <c r="C36" s="766"/>
      <c r="D36" s="766"/>
      <c r="E36" s="766"/>
      <c r="F36" s="763"/>
      <c r="G36" s="766"/>
      <c r="H36" s="766"/>
      <c r="I36" s="766"/>
      <c r="J36" s="766"/>
    </row>
    <row r="37" spans="2:10" ht="12.75">
      <c r="B37" s="826" t="s">
        <v>291</v>
      </c>
      <c r="C37" s="827"/>
      <c r="D37" s="827"/>
      <c r="E37" s="828"/>
      <c r="F37" s="935">
        <v>0.0451</v>
      </c>
      <c r="G37" s="773"/>
      <c r="H37" s="773"/>
      <c r="I37" s="773"/>
      <c r="J37" s="773"/>
    </row>
    <row r="38" spans="3:6" ht="12.75">
      <c r="C38" s="766"/>
      <c r="D38" s="766"/>
      <c r="F38" s="763"/>
    </row>
    <row r="39" spans="2:10" ht="12.75">
      <c r="B39" s="763" t="s">
        <v>268</v>
      </c>
      <c r="C39" s="766"/>
      <c r="D39" s="766"/>
      <c r="E39" s="771"/>
      <c r="F39" s="924">
        <f>ROUND(F34*F37,0)</f>
        <v>5895</v>
      </c>
      <c r="G39" s="771"/>
      <c r="H39" s="771"/>
      <c r="I39" s="771"/>
      <c r="J39" s="771"/>
    </row>
    <row r="40" spans="3:10" ht="12.75">
      <c r="C40" s="766"/>
      <c r="D40" s="766"/>
      <c r="E40" s="766"/>
      <c r="F40" s="763"/>
      <c r="G40" s="766"/>
      <c r="H40" s="766"/>
      <c r="I40" s="766"/>
      <c r="J40" s="766"/>
    </row>
    <row r="41" spans="2:6" ht="12.75">
      <c r="B41" s="763" t="s">
        <v>269</v>
      </c>
      <c r="C41" s="766"/>
      <c r="D41" s="766"/>
      <c r="F41" s="925">
        <v>7881</v>
      </c>
    </row>
    <row r="42" spans="2:6" ht="12.75">
      <c r="B42" s="763" t="s">
        <v>270</v>
      </c>
      <c r="C42" s="766"/>
      <c r="D42" s="766"/>
      <c r="F42" s="919">
        <f>-$E68</f>
        <v>-137.68938151123027</v>
      </c>
    </row>
    <row r="43" spans="2:6" ht="12.75">
      <c r="B43" s="763" t="s">
        <v>271</v>
      </c>
      <c r="C43" s="766"/>
      <c r="D43" s="766"/>
      <c r="F43" s="919">
        <f>F41+F42</f>
        <v>7743.31061848877</v>
      </c>
    </row>
    <row r="44" spans="3:10" ht="12.75">
      <c r="C44" s="766"/>
      <c r="D44" s="766"/>
      <c r="E44" s="766"/>
      <c r="F44" s="763"/>
      <c r="G44" s="766"/>
      <c r="H44" s="766"/>
      <c r="I44" s="766"/>
      <c r="J44" s="766"/>
    </row>
    <row r="45" spans="2:10" ht="12.75">
      <c r="B45" s="763" t="s">
        <v>272</v>
      </c>
      <c r="C45" s="766"/>
      <c r="D45" s="766"/>
      <c r="E45" s="771"/>
      <c r="F45" s="920">
        <f>F39-F43</f>
        <v>-1848.3106184887702</v>
      </c>
      <c r="G45" s="771"/>
      <c r="H45" s="771"/>
      <c r="I45" s="771"/>
      <c r="J45" s="771"/>
    </row>
    <row r="46" spans="2:10" ht="12.75">
      <c r="B46" s="763" t="s">
        <v>273</v>
      </c>
      <c r="D46" s="766"/>
      <c r="E46" s="774"/>
      <c r="F46" s="775">
        <v>0.35</v>
      </c>
      <c r="G46" s="774"/>
      <c r="H46" s="774"/>
      <c r="I46" s="774"/>
      <c r="J46" s="774"/>
    </row>
    <row r="47" spans="4:10" ht="12.75">
      <c r="D47" s="766"/>
      <c r="E47" s="766"/>
      <c r="F47" s="763"/>
      <c r="G47" s="766"/>
      <c r="H47" s="766"/>
      <c r="I47" s="766"/>
      <c r="J47" s="766"/>
    </row>
    <row r="48" spans="2:10" ht="13.5" thickBot="1">
      <c r="B48" s="763" t="s">
        <v>274</v>
      </c>
      <c r="D48" s="766"/>
      <c r="E48" s="771"/>
      <c r="F48" s="771">
        <f>F45*-F46</f>
        <v>646.9087164710695</v>
      </c>
      <c r="G48" s="771"/>
      <c r="H48" s="771"/>
      <c r="I48" s="771"/>
      <c r="J48" s="771"/>
    </row>
    <row r="49" ht="13.5" thickTop="1">
      <c r="F49" s="776"/>
    </row>
    <row r="51" ht="12.75">
      <c r="B51" s="769" t="s">
        <v>275</v>
      </c>
    </row>
    <row r="52" spans="2:3" ht="12.75">
      <c r="B52" s="763" t="s">
        <v>276</v>
      </c>
      <c r="C52" s="868">
        <v>1885</v>
      </c>
    </row>
    <row r="53" spans="2:3" ht="12.75">
      <c r="B53" s="763" t="s">
        <v>277</v>
      </c>
      <c r="C53" s="869">
        <v>1393</v>
      </c>
    </row>
    <row r="54" spans="2:3" ht="12.75">
      <c r="B54" s="763" t="s">
        <v>278</v>
      </c>
      <c r="C54" s="772">
        <f>C52+C53</f>
        <v>3278</v>
      </c>
    </row>
    <row r="55" ht="12.75">
      <c r="C55" s="771"/>
    </row>
    <row r="56" ht="12.75">
      <c r="C56" s="771"/>
    </row>
    <row r="57" spans="3:5" ht="12.75">
      <c r="C57" s="777"/>
      <c r="D57" s="767"/>
      <c r="E57" s="767" t="s">
        <v>279</v>
      </c>
    </row>
    <row r="58" spans="3:5" ht="12.75">
      <c r="C58" s="770" t="s">
        <v>280</v>
      </c>
      <c r="D58" s="770" t="s">
        <v>281</v>
      </c>
      <c r="E58" s="770" t="s">
        <v>42</v>
      </c>
    </row>
    <row r="59" spans="2:8" ht="12.75">
      <c r="B59" s="763" t="s">
        <v>282</v>
      </c>
      <c r="C59" s="771">
        <f>CWIPAlloc!Y8</f>
        <v>39132095.855187505</v>
      </c>
      <c r="D59" s="773">
        <f>ROUND(C59/$C$62,4)</f>
        <v>0.8928</v>
      </c>
      <c r="E59" s="771">
        <f>D59*E62</f>
        <v>2926.5984000000003</v>
      </c>
      <c r="G59" s="766"/>
      <c r="H59" s="766"/>
    </row>
    <row r="60" spans="2:8" ht="12.75">
      <c r="B60" s="763" t="s">
        <v>283</v>
      </c>
      <c r="C60" s="778">
        <f>CWIPAlloc!Y10</f>
        <v>2551079.5066875</v>
      </c>
      <c r="D60" s="773">
        <f>ROUND(C60/$C$62,4)</f>
        <v>0.0582</v>
      </c>
      <c r="E60" s="778">
        <f>D60*E62</f>
        <v>190.77960000000002</v>
      </c>
      <c r="G60" s="766"/>
      <c r="H60" s="766"/>
    </row>
    <row r="61" spans="2:8" ht="12.75">
      <c r="B61" s="763" t="s">
        <v>284</v>
      </c>
      <c r="C61" s="778">
        <f>CWIPAlloc!Y12</f>
        <v>2148973.388125</v>
      </c>
      <c r="D61" s="773">
        <f>ROUND(C61/$C$62,4)</f>
        <v>0.049</v>
      </c>
      <c r="E61" s="778">
        <f>E62*D61</f>
        <v>160.622</v>
      </c>
      <c r="G61" s="766"/>
      <c r="H61" s="766"/>
    </row>
    <row r="62" spans="2:8" ht="12.75">
      <c r="B62" s="763" t="s">
        <v>285</v>
      </c>
      <c r="C62" s="772">
        <f>C59+C60+C61</f>
        <v>43832148.75000001</v>
      </c>
      <c r="D62" s="779">
        <f>D59+D60+D61</f>
        <v>1</v>
      </c>
      <c r="E62" s="772">
        <f>C54</f>
        <v>3278</v>
      </c>
      <c r="G62" s="766"/>
      <c r="H62" s="766"/>
    </row>
    <row r="63" spans="7:8" ht="12.75">
      <c r="G63" s="766"/>
      <c r="H63" s="766"/>
    </row>
    <row r="64" spans="2:8" ht="12.75">
      <c r="B64" s="763" t="s">
        <v>286</v>
      </c>
      <c r="C64" s="771">
        <f>CWIPAlloc!Z8</f>
        <v>25630672.747882195</v>
      </c>
      <c r="D64" s="773">
        <f>C64/C66</f>
        <v>0.6549782777475358</v>
      </c>
      <c r="E64" s="771">
        <f>D64*E66</f>
        <v>1916.8583796906942</v>
      </c>
      <c r="G64" s="766"/>
      <c r="H64" s="766"/>
    </row>
    <row r="65" spans="2:8" ht="12.75">
      <c r="B65" s="763" t="s">
        <v>287</v>
      </c>
      <c r="C65" s="763">
        <f>CWIPAlloc!AA8</f>
        <v>13501423.10730531</v>
      </c>
      <c r="D65" s="773">
        <f>C65/C66</f>
        <v>0.34502172225246425</v>
      </c>
      <c r="E65" s="763">
        <f>D65*E66</f>
        <v>1009.7400203093064</v>
      </c>
      <c r="G65" s="766"/>
      <c r="H65" s="766"/>
    </row>
    <row r="66" spans="2:8" ht="12.75">
      <c r="B66" s="763" t="s">
        <v>285</v>
      </c>
      <c r="C66" s="772">
        <f>C64+C65</f>
        <v>39132095.855187505</v>
      </c>
      <c r="D66" s="779">
        <f>D64+D65</f>
        <v>1</v>
      </c>
      <c r="E66" s="772">
        <f>E59</f>
        <v>2926.5984000000003</v>
      </c>
      <c r="G66" s="766"/>
      <c r="H66" s="766"/>
    </row>
    <row r="67" spans="7:8" ht="12.75">
      <c r="G67" s="766"/>
      <c r="H67" s="766"/>
    </row>
    <row r="68" spans="2:8" ht="12.75">
      <c r="B68" s="763" t="s">
        <v>288</v>
      </c>
      <c r="C68" s="771">
        <f>CWIPAlloc!Z10</f>
        <v>1841164.14680488</v>
      </c>
      <c r="D68" s="780">
        <f>C68/C70</f>
        <v>0.7217196257421142</v>
      </c>
      <c r="E68" s="771">
        <f>E70*D68</f>
        <v>137.68938151123027</v>
      </c>
      <c r="G68" s="766"/>
      <c r="H68" s="766"/>
    </row>
    <row r="69" spans="2:8" ht="12.75">
      <c r="B69" s="763" t="s">
        <v>289</v>
      </c>
      <c r="C69" s="763">
        <f>CWIPAlloc!AA10</f>
        <v>709915.35988262</v>
      </c>
      <c r="D69" s="781">
        <f>C69/C70</f>
        <v>0.27828037425788577</v>
      </c>
      <c r="E69" s="763">
        <f>E70*D69</f>
        <v>53.09021848876975</v>
      </c>
      <c r="G69" s="766"/>
      <c r="H69" s="766"/>
    </row>
    <row r="70" spans="2:8" ht="12.75">
      <c r="B70" s="763" t="s">
        <v>285</v>
      </c>
      <c r="C70" s="772">
        <f>SUM(C68:C69)</f>
        <v>2551079.5066875</v>
      </c>
      <c r="D70" s="782">
        <f>SUM(D68:D69)</f>
        <v>1</v>
      </c>
      <c r="E70" s="772">
        <f>E60</f>
        <v>190.77960000000002</v>
      </c>
      <c r="G70" s="766"/>
      <c r="H70" s="766"/>
    </row>
    <row r="71" spans="1:7" s="883" customFormat="1" ht="12.75">
      <c r="A71" s="880" t="str">
        <f>A1</f>
        <v>AVISTA UTILITIES</v>
      </c>
      <c r="B71" s="880"/>
      <c r="C71" s="880"/>
      <c r="D71" s="881"/>
      <c r="E71" s="880"/>
      <c r="F71" s="881"/>
      <c r="G71" s="882"/>
    </row>
    <row r="72" spans="1:7" s="883" customFormat="1" ht="12.75">
      <c r="A72" s="880" t="str">
        <f>A2</f>
        <v>Restate Debt Interest - Proforma</v>
      </c>
      <c r="B72" s="880"/>
      <c r="C72" s="880"/>
      <c r="D72" s="881"/>
      <c r="E72" s="880"/>
      <c r="F72" s="881"/>
      <c r="G72" s="882"/>
    </row>
    <row r="73" spans="1:7" ht="12.75">
      <c r="A73" s="761" t="s">
        <v>290</v>
      </c>
      <c r="B73" s="761"/>
      <c r="C73" s="761"/>
      <c r="D73" s="762"/>
      <c r="E73" s="761"/>
      <c r="F73" s="762"/>
      <c r="G73" s="766"/>
    </row>
    <row r="74" spans="1:7" ht="12.75">
      <c r="A74" s="783" t="str">
        <f>A4</f>
        <v>As of December 31, 2005</v>
      </c>
      <c r="B74" s="761"/>
      <c r="C74" s="764"/>
      <c r="D74" s="762"/>
      <c r="E74" s="764"/>
      <c r="F74" s="762"/>
      <c r="G74" s="766"/>
    </row>
    <row r="75" spans="1:7" ht="12.75">
      <c r="A75" s="761" t="s">
        <v>264</v>
      </c>
      <c r="B75" s="761"/>
      <c r="C75" s="761"/>
      <c r="D75" s="761"/>
      <c r="E75" s="762"/>
      <c r="F75" s="762"/>
      <c r="G75" s="766"/>
    </row>
    <row r="76" spans="3:7" ht="12.75">
      <c r="C76" s="766"/>
      <c r="D76" s="766"/>
      <c r="E76" s="768"/>
      <c r="F76" s="767" t="s">
        <v>32</v>
      </c>
      <c r="G76" s="766"/>
    </row>
    <row r="77" spans="2:7" ht="12.75">
      <c r="B77" s="769" t="s">
        <v>265</v>
      </c>
      <c r="C77" s="766"/>
      <c r="D77" s="766"/>
      <c r="E77" s="768"/>
      <c r="F77" s="770" t="s">
        <v>266</v>
      </c>
      <c r="G77" s="766"/>
    </row>
    <row r="78" spans="1:7" ht="12.75">
      <c r="A78" s="767" t="e">
        <f>PFRstmtSheet!#REF!</f>
        <v>#REF!</v>
      </c>
      <c r="B78" s="875" t="e">
        <f>PFRstmtSheet!#REF!</f>
        <v>#REF!</v>
      </c>
      <c r="C78" s="766"/>
      <c r="D78" s="766"/>
      <c r="E78" s="771"/>
      <c r="F78" s="926" t="e">
        <f>PFRstmtSheet!#REF!</f>
        <v>#REF!</v>
      </c>
      <c r="G78" s="766"/>
    </row>
    <row r="79" spans="1:7" ht="12.75">
      <c r="A79" s="767" t="e">
        <f>PFRstmtSheet!#REF!</f>
        <v>#REF!</v>
      </c>
      <c r="B79" s="875" t="e">
        <f>PFRstmtSheet!#REF!</f>
        <v>#REF!</v>
      </c>
      <c r="C79" s="766"/>
      <c r="D79" s="766"/>
      <c r="F79" s="921" t="e">
        <f>PFRstmtSheet!#REF!</f>
        <v>#REF!</v>
      </c>
      <c r="G79" s="766"/>
    </row>
    <row r="80" spans="1:7" ht="12.75">
      <c r="A80" s="767" t="e">
        <f>PFRstmtSheet!#REF!</f>
        <v>#REF!</v>
      </c>
      <c r="B80" s="875" t="e">
        <f>PFRstmtSheet!#REF!</f>
        <v>#REF!</v>
      </c>
      <c r="C80" s="766"/>
      <c r="D80" s="766"/>
      <c r="F80" s="921" t="e">
        <f>PFRstmtSheet!#REF!</f>
        <v>#REF!</v>
      </c>
      <c r="G80" s="766"/>
    </row>
    <row r="81" spans="1:7" ht="12.75">
      <c r="A81" s="767" t="e">
        <f>PFRstmtSheet!#REF!</f>
        <v>#REF!</v>
      </c>
      <c r="B81" s="875" t="e">
        <f>PFRstmtSheet!#REF!</f>
        <v>#REF!</v>
      </c>
      <c r="C81" s="766"/>
      <c r="D81" s="766"/>
      <c r="F81" s="921" t="e">
        <f>PFRstmtSheet!#REF!</f>
        <v>#REF!</v>
      </c>
      <c r="G81" s="766"/>
    </row>
    <row r="82" spans="1:7" ht="12.75">
      <c r="A82" s="767" t="e">
        <f>PFRstmtSheet!#REF!</f>
        <v>#REF!</v>
      </c>
      <c r="B82" s="875" t="e">
        <f>PFRstmtSheet!#REF!</f>
        <v>#REF!</v>
      </c>
      <c r="C82" s="766"/>
      <c r="D82" s="766"/>
      <c r="F82" s="921" t="e">
        <f>PFRstmtSheet!#REF!</f>
        <v>#REF!</v>
      </c>
      <c r="G82" s="766"/>
    </row>
    <row r="83" spans="1:7" ht="12.75">
      <c r="A83" s="767" t="e">
        <f>PFRstmtSheet!#REF!</f>
        <v>#REF!</v>
      </c>
      <c r="B83" s="875" t="e">
        <f>PFRstmtSheet!#REF!</f>
        <v>#REF!</v>
      </c>
      <c r="C83" s="766"/>
      <c r="D83" s="766"/>
      <c r="F83" s="921" t="e">
        <f>PFRstmtSheet!#REF!</f>
        <v>#REF!</v>
      </c>
      <c r="G83" s="766"/>
    </row>
    <row r="84" spans="1:7" ht="12.75">
      <c r="A84" s="767" t="e">
        <f>PFRstmtSheet!#REF!</f>
        <v>#REF!</v>
      </c>
      <c r="B84" s="875" t="e">
        <f>PFRstmtSheet!#REF!</f>
        <v>#REF!</v>
      </c>
      <c r="C84" s="766"/>
      <c r="D84" s="766"/>
      <c r="F84" s="921" t="e">
        <f>PFRstmtSheet!#REF!</f>
        <v>#REF!</v>
      </c>
      <c r="G84" s="766"/>
    </row>
    <row r="85" spans="1:7" ht="12.75">
      <c r="A85" s="768"/>
      <c r="B85" s="766" t="s">
        <v>267</v>
      </c>
      <c r="C85" s="766"/>
      <c r="D85" s="766"/>
      <c r="F85" s="923" t="e">
        <f>SUM(F78:F84)</f>
        <v>#REF!</v>
      </c>
      <c r="G85" s="766"/>
    </row>
    <row r="86" spans="1:7" ht="12.75">
      <c r="A86" s="768"/>
      <c r="B86" s="766"/>
      <c r="C86" s="766"/>
      <c r="D86" s="766"/>
      <c r="F86" s="784"/>
      <c r="G86" s="766"/>
    </row>
    <row r="87" spans="3:7" ht="12.75">
      <c r="C87" s="766"/>
      <c r="D87" s="766"/>
      <c r="E87" s="766"/>
      <c r="F87" s="763"/>
      <c r="G87" s="766"/>
    </row>
    <row r="88" spans="2:7" ht="12.75">
      <c r="B88" s="826" t="s">
        <v>291</v>
      </c>
      <c r="C88" s="766"/>
      <c r="D88" s="766"/>
      <c r="E88" s="773"/>
      <c r="F88" s="785">
        <f>F37</f>
        <v>0.0451</v>
      </c>
      <c r="G88" s="766"/>
    </row>
    <row r="89" spans="3:7" ht="12.75">
      <c r="C89" s="766"/>
      <c r="D89" s="766"/>
      <c r="F89" s="763"/>
      <c r="G89" s="766"/>
    </row>
    <row r="90" spans="2:7" ht="12.75">
      <c r="B90" s="763" t="s">
        <v>268</v>
      </c>
      <c r="C90" s="766"/>
      <c r="D90" s="766"/>
      <c r="E90" s="771"/>
      <c r="F90" s="771" t="e">
        <f>F85*F88</f>
        <v>#REF!</v>
      </c>
      <c r="G90" s="766"/>
    </row>
    <row r="91" spans="3:7" ht="12.75">
      <c r="C91" s="766"/>
      <c r="D91" s="766"/>
      <c r="E91" s="766"/>
      <c r="F91" s="763"/>
      <c r="G91" s="766"/>
    </row>
    <row r="92" spans="2:7" ht="12.75">
      <c r="B92" s="763" t="s">
        <v>269</v>
      </c>
      <c r="C92" s="766"/>
      <c r="D92" s="766"/>
      <c r="F92" s="925">
        <v>3671</v>
      </c>
      <c r="G92" s="766"/>
    </row>
    <row r="93" spans="2:7" ht="12.75">
      <c r="B93" s="763" t="s">
        <v>270</v>
      </c>
      <c r="C93" s="766"/>
      <c r="D93" s="766"/>
      <c r="F93" s="919">
        <f>-$E120</f>
        <v>-53.0912267835199</v>
      </c>
      <c r="G93" s="766"/>
    </row>
    <row r="94" spans="2:7" ht="12.75">
      <c r="B94" s="763" t="s">
        <v>271</v>
      </c>
      <c r="C94" s="766"/>
      <c r="D94" s="766"/>
      <c r="F94" s="919">
        <f>F92+F93</f>
        <v>3617.9087732164803</v>
      </c>
      <c r="G94" s="766"/>
    </row>
    <row r="95" spans="3:7" ht="12.75">
      <c r="C95" s="766"/>
      <c r="D95" s="766"/>
      <c r="E95" s="766"/>
      <c r="F95" s="763"/>
      <c r="G95" s="766"/>
    </row>
    <row r="96" spans="2:7" ht="12.75">
      <c r="B96" s="763" t="s">
        <v>272</v>
      </c>
      <c r="C96" s="766"/>
      <c r="D96" s="766"/>
      <c r="E96" s="771"/>
      <c r="F96" s="920" t="e">
        <f>F90-F94</f>
        <v>#REF!</v>
      </c>
      <c r="G96" s="766"/>
    </row>
    <row r="97" spans="2:7" ht="12.75">
      <c r="B97" s="763" t="s">
        <v>273</v>
      </c>
      <c r="D97" s="766"/>
      <c r="E97" s="774"/>
      <c r="F97" s="775">
        <v>0.35</v>
      </c>
      <c r="G97" s="766"/>
    </row>
    <row r="98" spans="4:7" ht="12.75">
      <c r="D98" s="766"/>
      <c r="E98" s="766"/>
      <c r="F98" s="763"/>
      <c r="G98" s="766"/>
    </row>
    <row r="99" spans="2:7" ht="13.5" thickBot="1">
      <c r="B99" s="763" t="s">
        <v>274</v>
      </c>
      <c r="D99" s="766"/>
      <c r="E99" s="771"/>
      <c r="F99" s="771" t="e">
        <f>F96*-F97</f>
        <v>#REF!</v>
      </c>
      <c r="G99" s="766"/>
    </row>
    <row r="100" spans="6:7" ht="13.5" thickTop="1">
      <c r="F100" s="776"/>
      <c r="G100" s="766"/>
    </row>
    <row r="101" ht="12.75">
      <c r="G101" s="766"/>
    </row>
    <row r="102" spans="2:7" ht="12.75">
      <c r="B102" s="769" t="s">
        <v>270</v>
      </c>
      <c r="G102" s="766"/>
    </row>
    <row r="103" spans="2:7" ht="12.75">
      <c r="B103" s="763" t="s">
        <v>276</v>
      </c>
      <c r="C103" s="771">
        <f>$C$52</f>
        <v>1885</v>
      </c>
      <c r="G103" s="766"/>
    </row>
    <row r="104" spans="2:7" ht="12.75">
      <c r="B104" s="763" t="s">
        <v>277</v>
      </c>
      <c r="C104" s="763">
        <f>$C$53</f>
        <v>1393</v>
      </c>
      <c r="G104" s="766"/>
    </row>
    <row r="105" spans="2:7" ht="12.75">
      <c r="B105" s="763" t="s">
        <v>278</v>
      </c>
      <c r="C105" s="772">
        <f>C103+C104</f>
        <v>3278</v>
      </c>
      <c r="G105" s="766"/>
    </row>
    <row r="106" spans="3:7" ht="12.75">
      <c r="C106" s="771"/>
      <c r="G106" s="766"/>
    </row>
    <row r="107" spans="3:7" ht="12.75">
      <c r="C107" s="771"/>
      <c r="G107" s="766"/>
    </row>
    <row r="108" spans="3:7" ht="12.75">
      <c r="C108" s="777"/>
      <c r="D108" s="767"/>
      <c r="E108" s="767" t="s">
        <v>279</v>
      </c>
      <c r="G108" s="766"/>
    </row>
    <row r="109" spans="3:7" ht="12.75">
      <c r="C109" s="770" t="s">
        <v>280</v>
      </c>
      <c r="D109" s="770" t="s">
        <v>281</v>
      </c>
      <c r="E109" s="770" t="s">
        <v>42</v>
      </c>
      <c r="G109" s="766"/>
    </row>
    <row r="110" spans="2:7" ht="12.75">
      <c r="B110" s="763" t="str">
        <f>B59</f>
        <v>Electric CWIP</v>
      </c>
      <c r="C110" s="771">
        <f>$C$59</f>
        <v>39132095.855187505</v>
      </c>
      <c r="D110" s="773">
        <f>C110/C113</f>
        <v>0.8927715608554896</v>
      </c>
      <c r="E110" s="771">
        <f>D110*E113</f>
        <v>2926.5051764842947</v>
      </c>
      <c r="G110" s="766"/>
    </row>
    <row r="111" spans="2:7" ht="12.75">
      <c r="B111" s="763" t="str">
        <f>B60</f>
        <v>Gas CWIP</v>
      </c>
      <c r="C111" s="763">
        <f>$C$60</f>
        <v>2551079.5066875</v>
      </c>
      <c r="D111" s="786">
        <f>C111/C113</f>
        <v>0.05820110534023271</v>
      </c>
      <c r="E111" s="778">
        <f>D111*E113</f>
        <v>190.78322330528283</v>
      </c>
      <c r="G111" s="766"/>
    </row>
    <row r="112" spans="2:7" ht="12.75">
      <c r="B112" s="763" t="str">
        <f>B61</f>
        <v>WPNG CWIP</v>
      </c>
      <c r="C112" s="763">
        <f>$C$61</f>
        <v>2148973.388125</v>
      </c>
      <c r="D112" s="786">
        <f>C112/C113</f>
        <v>0.04902733380427761</v>
      </c>
      <c r="E112" s="778">
        <f>E113*D112</f>
        <v>160.711600210422</v>
      </c>
      <c r="G112" s="766"/>
    </row>
    <row r="113" spans="2:7" ht="12.75">
      <c r="B113" s="763" t="str">
        <f>B62</f>
        <v>   Total</v>
      </c>
      <c r="C113" s="772">
        <f>C110+C111+C112</f>
        <v>43832148.75000001</v>
      </c>
      <c r="D113" s="779">
        <f>D110+D111+D112</f>
        <v>0.9999999999999999</v>
      </c>
      <c r="E113" s="772">
        <f>C105</f>
        <v>3278</v>
      </c>
      <c r="G113" s="766"/>
    </row>
    <row r="114" ht="12.75">
      <c r="G114" s="766"/>
    </row>
    <row r="115" spans="2:7" ht="12.75">
      <c r="B115" s="763" t="str">
        <f>B64</f>
        <v>WA Electric CWIP</v>
      </c>
      <c r="C115" s="771">
        <f>$C$64</f>
        <v>25630672.747882195</v>
      </c>
      <c r="D115" s="773">
        <f>C115/C117</f>
        <v>0.6549782777475358</v>
      </c>
      <c r="E115" s="771">
        <f>D115*E117</f>
        <v>1916.7973203129316</v>
      </c>
      <c r="G115" s="766"/>
    </row>
    <row r="116" spans="2:7" ht="12.75">
      <c r="B116" s="763" t="str">
        <f>B65</f>
        <v>ID Electric CWIP</v>
      </c>
      <c r="C116" s="763">
        <f>$C$65</f>
        <v>13501423.10730531</v>
      </c>
      <c r="D116" s="773">
        <f>C116/C117</f>
        <v>0.34502172225246425</v>
      </c>
      <c r="E116" s="763">
        <f>D116*E117</f>
        <v>1009.7078561713632</v>
      </c>
      <c r="G116" s="766"/>
    </row>
    <row r="117" spans="2:7" ht="12.75">
      <c r="B117" s="763" t="str">
        <f>B66</f>
        <v>   Total</v>
      </c>
      <c r="C117" s="772">
        <f>C115+C116</f>
        <v>39132095.855187505</v>
      </c>
      <c r="D117" s="779">
        <f>D115+D116</f>
        <v>1</v>
      </c>
      <c r="E117" s="772">
        <f>E110</f>
        <v>2926.5051764842947</v>
      </c>
      <c r="G117" s="766"/>
    </row>
    <row r="118" ht="12.75">
      <c r="G118" s="766"/>
    </row>
    <row r="119" spans="2:7" ht="12.75">
      <c r="B119" s="763" t="str">
        <f>B68</f>
        <v>WA Gas CWIP</v>
      </c>
      <c r="C119" s="771">
        <f>$C$68</f>
        <v>1841164.14680488</v>
      </c>
      <c r="D119" s="780">
        <f>C119/C121</f>
        <v>0.7217196257421142</v>
      </c>
      <c r="E119" s="771">
        <f>E121*D119</f>
        <v>137.69199652176295</v>
      </c>
      <c r="G119" s="766"/>
    </row>
    <row r="120" spans="2:7" ht="12.75">
      <c r="B120" s="763" t="str">
        <f>B69</f>
        <v>ID Gas CWIP</v>
      </c>
      <c r="C120" s="763">
        <f>C$69</f>
        <v>709915.35988262</v>
      </c>
      <c r="D120" s="781">
        <f>C120/C121</f>
        <v>0.27828037425788577</v>
      </c>
      <c r="E120" s="763">
        <f>E121*D120</f>
        <v>53.0912267835199</v>
      </c>
      <c r="G120" s="766"/>
    </row>
    <row r="121" spans="2:7" ht="12.75">
      <c r="B121" s="763" t="str">
        <f>B70</f>
        <v>   Total</v>
      </c>
      <c r="C121" s="772">
        <f>SUM(C119:C120)</f>
        <v>2551079.5066875</v>
      </c>
      <c r="D121" s="782">
        <f>SUM(D119:D120)</f>
        <v>1</v>
      </c>
      <c r="E121" s="772">
        <f>E111</f>
        <v>190.78322330528283</v>
      </c>
      <c r="G121" s="766"/>
    </row>
  </sheetData>
  <printOptions horizontalCentered="1"/>
  <pageMargins left="0.75" right="0.75" top="0.5" bottom="0.5" header="0.5" footer="0.25"/>
  <pageSetup horizontalDpi="300" verticalDpi="300" orientation="portrait" r:id="rId1"/>
  <headerFooter alignWithMargins="0">
    <oddFooter>&amp;Lfile:  &amp;f&amp;Rkm &amp;d</oddFooter>
  </headerFooter>
  <rowBreaks count="1" manualBreakCount="1">
    <brk id="7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N110"/>
  <sheetViews>
    <sheetView workbookViewId="0" topLeftCell="U1">
      <pane ySplit="3" topLeftCell="BM4" activePane="bottomLeft" state="frozen"/>
      <selection pane="topLeft" activeCell="J1" sqref="J1"/>
      <selection pane="bottomLeft" activeCell="A1" sqref="A1:W16384"/>
    </sheetView>
  </sheetViews>
  <sheetFormatPr defaultColWidth="9.140625" defaultRowHeight="12.75"/>
  <cols>
    <col min="1" max="1" width="23.28125" style="798" customWidth="1"/>
    <col min="2" max="2" width="7.28125" style="799" customWidth="1"/>
    <col min="3" max="3" width="2.8515625" style="798" customWidth="1"/>
    <col min="4" max="6" width="11.421875" style="798" customWidth="1"/>
    <col min="7" max="7" width="10.7109375" style="798" customWidth="1"/>
    <col min="8" max="8" width="1.7109375" style="798" customWidth="1"/>
    <col min="9" max="9" width="23.28125" style="798" customWidth="1"/>
    <col min="10" max="10" width="7.28125" style="799" customWidth="1"/>
    <col min="11" max="11" width="2.8515625" style="798" customWidth="1"/>
    <col min="12" max="14" width="11.421875" style="798" customWidth="1"/>
    <col min="15" max="15" width="10.7109375" style="798" customWidth="1"/>
    <col min="16" max="16" width="1.7109375" style="798" customWidth="1"/>
    <col min="17" max="17" width="23.28125" style="798" customWidth="1"/>
    <col min="18" max="18" width="7.28125" style="799" customWidth="1"/>
    <col min="19" max="19" width="2.8515625" style="798" customWidth="1"/>
    <col min="20" max="22" width="11.421875" style="798" customWidth="1"/>
    <col min="23" max="23" width="10.7109375" style="798" customWidth="1"/>
    <col min="24" max="24" width="15.7109375" style="854" customWidth="1"/>
    <col min="25" max="29" width="11.421875" style="854" customWidth="1"/>
    <col min="30" max="30" width="15.7109375" style="854" customWidth="1"/>
    <col min="31" max="35" width="11.421875" style="854" customWidth="1"/>
    <col min="36" max="36" width="1.7109375" style="798" customWidth="1"/>
    <col min="37" max="37" width="11.421875" style="798" customWidth="1"/>
    <col min="38" max="38" width="1.7109375" style="798" customWidth="1"/>
    <col min="39" max="39" width="15.7109375" style="798" customWidth="1"/>
    <col min="40" max="40" width="11.421875" style="798" customWidth="1"/>
    <col min="41" max="16384" width="11.421875" style="759" customWidth="1"/>
  </cols>
  <sheetData>
    <row r="1" spans="1:40" s="758" customFormat="1" ht="11.25">
      <c r="A1" s="793" t="s">
        <v>199</v>
      </c>
      <c r="B1" s="793"/>
      <c r="C1" s="793"/>
      <c r="D1" s="793"/>
      <c r="E1" s="793"/>
      <c r="F1" s="793"/>
      <c r="G1" s="794"/>
      <c r="H1" s="794"/>
      <c r="I1" s="793" t="s">
        <v>199</v>
      </c>
      <c r="J1" s="793"/>
      <c r="K1" s="793"/>
      <c r="L1" s="793"/>
      <c r="M1" s="793"/>
      <c r="N1" s="793"/>
      <c r="O1" s="794"/>
      <c r="P1" s="794"/>
      <c r="Q1" s="793" t="s">
        <v>199</v>
      </c>
      <c r="R1" s="793"/>
      <c r="S1" s="793"/>
      <c r="T1" s="793"/>
      <c r="U1" s="793"/>
      <c r="V1" s="793"/>
      <c r="W1" s="794"/>
      <c r="X1" s="870" t="s">
        <v>199</v>
      </c>
      <c r="Y1" s="870"/>
      <c r="Z1" s="870"/>
      <c r="AA1" s="870"/>
      <c r="AB1" s="870"/>
      <c r="AC1" s="870"/>
      <c r="AD1" s="852" t="s">
        <v>199</v>
      </c>
      <c r="AE1" s="852"/>
      <c r="AF1" s="852"/>
      <c r="AG1" s="852"/>
      <c r="AH1" s="852"/>
      <c r="AI1" s="852"/>
      <c r="AJ1" s="794"/>
      <c r="AK1" s="794"/>
      <c r="AL1" s="794"/>
      <c r="AM1" s="795"/>
      <c r="AN1" s="795"/>
    </row>
    <row r="2" spans="1:40" s="758" customFormat="1" ht="11.25">
      <c r="A2" s="793" t="s">
        <v>314</v>
      </c>
      <c r="B2" s="793"/>
      <c r="C2" s="793"/>
      <c r="D2" s="793"/>
      <c r="E2" s="793"/>
      <c r="F2" s="793"/>
      <c r="G2" s="794"/>
      <c r="H2" s="794"/>
      <c r="I2" s="793" t="s">
        <v>349</v>
      </c>
      <c r="J2" s="793"/>
      <c r="K2" s="793"/>
      <c r="L2" s="793"/>
      <c r="M2" s="793"/>
      <c r="N2" s="793"/>
      <c r="O2" s="794"/>
      <c r="P2" s="794"/>
      <c r="Q2" s="793" t="s">
        <v>350</v>
      </c>
      <c r="R2" s="793"/>
      <c r="S2" s="793"/>
      <c r="T2" s="793"/>
      <c r="U2" s="793"/>
      <c r="V2" s="793"/>
      <c r="W2" s="794"/>
      <c r="X2" s="870" t="s">
        <v>315</v>
      </c>
      <c r="Y2" s="870"/>
      <c r="Z2" s="870"/>
      <c r="AA2" s="870"/>
      <c r="AB2" s="870"/>
      <c r="AC2" s="870"/>
      <c r="AD2" s="852" t="s">
        <v>316</v>
      </c>
      <c r="AE2" s="852"/>
      <c r="AF2" s="852"/>
      <c r="AG2" s="852"/>
      <c r="AH2" s="852"/>
      <c r="AI2" s="852"/>
      <c r="AJ2" s="794"/>
      <c r="AK2" s="794"/>
      <c r="AL2" s="794"/>
      <c r="AM2" s="795"/>
      <c r="AN2" s="795"/>
    </row>
    <row r="3" spans="1:40" s="758" customFormat="1" ht="11.25">
      <c r="A3" s="796" t="s">
        <v>211</v>
      </c>
      <c r="B3" s="793"/>
      <c r="C3" s="793"/>
      <c r="D3" s="793"/>
      <c r="E3" s="793"/>
      <c r="F3" s="793"/>
      <c r="G3" s="794"/>
      <c r="H3" s="794"/>
      <c r="I3" s="796" t="s">
        <v>211</v>
      </c>
      <c r="J3" s="793"/>
      <c r="K3" s="793"/>
      <c r="L3" s="793"/>
      <c r="M3" s="793"/>
      <c r="N3" s="793"/>
      <c r="O3" s="794"/>
      <c r="P3" s="794"/>
      <c r="Q3" s="796" t="s">
        <v>211</v>
      </c>
      <c r="R3" s="793"/>
      <c r="S3" s="793"/>
      <c r="T3" s="793"/>
      <c r="U3" s="793"/>
      <c r="V3" s="793"/>
      <c r="W3" s="794"/>
      <c r="X3" s="871" t="s">
        <v>211</v>
      </c>
      <c r="Y3" s="870"/>
      <c r="Z3" s="870"/>
      <c r="AA3" s="870"/>
      <c r="AB3" s="870"/>
      <c r="AC3" s="870"/>
      <c r="AD3" s="853" t="s">
        <v>211</v>
      </c>
      <c r="AE3" s="852"/>
      <c r="AF3" s="852"/>
      <c r="AG3" s="852"/>
      <c r="AH3" s="852"/>
      <c r="AI3" s="852"/>
      <c r="AJ3" s="794"/>
      <c r="AK3" s="794"/>
      <c r="AL3" s="794"/>
      <c r="AM3" s="797"/>
      <c r="AN3" s="795"/>
    </row>
    <row r="4" spans="24:40" ht="11.25">
      <c r="X4" s="798"/>
      <c r="Y4" s="798"/>
      <c r="Z4" s="798"/>
      <c r="AA4" s="798"/>
      <c r="AB4" s="798"/>
      <c r="AC4" s="798"/>
      <c r="AM4" s="800"/>
      <c r="AN4" s="800"/>
    </row>
    <row r="5" spans="2:40" ht="11.25">
      <c r="B5" s="799" t="s">
        <v>212</v>
      </c>
      <c r="D5" s="801" t="s">
        <v>127</v>
      </c>
      <c r="E5" s="801" t="s">
        <v>128</v>
      </c>
      <c r="F5" s="801" t="s">
        <v>129</v>
      </c>
      <c r="J5" s="799" t="s">
        <v>212</v>
      </c>
      <c r="L5" s="801" t="s">
        <v>127</v>
      </c>
      <c r="M5" s="801" t="s">
        <v>128</v>
      </c>
      <c r="N5" s="801" t="s">
        <v>129</v>
      </c>
      <c r="R5" s="799" t="s">
        <v>212</v>
      </c>
      <c r="T5" s="801" t="s">
        <v>127</v>
      </c>
      <c r="U5" s="801" t="s">
        <v>128</v>
      </c>
      <c r="V5" s="801" t="s">
        <v>129</v>
      </c>
      <c r="X5" s="798"/>
      <c r="Y5" s="801" t="s">
        <v>127</v>
      </c>
      <c r="Z5" s="801" t="s">
        <v>128</v>
      </c>
      <c r="AA5" s="801" t="s">
        <v>129</v>
      </c>
      <c r="AB5" s="801" t="s">
        <v>213</v>
      </c>
      <c r="AC5" s="801" t="s">
        <v>214</v>
      </c>
      <c r="AE5" s="855" t="s">
        <v>127</v>
      </c>
      <c r="AF5" s="855" t="s">
        <v>128</v>
      </c>
      <c r="AG5" s="855" t="s">
        <v>129</v>
      </c>
      <c r="AH5" s="855" t="s">
        <v>213</v>
      </c>
      <c r="AI5" s="855" t="s">
        <v>214</v>
      </c>
      <c r="AM5" s="800"/>
      <c r="AN5" s="802"/>
    </row>
    <row r="6" spans="1:40" ht="11.25">
      <c r="A6" s="803" t="s">
        <v>215</v>
      </c>
      <c r="B6" s="804"/>
      <c r="C6" s="805"/>
      <c r="D6" s="806"/>
      <c r="E6" s="806"/>
      <c r="F6" s="806"/>
      <c r="I6" s="803" t="s">
        <v>215</v>
      </c>
      <c r="J6" s="804"/>
      <c r="K6" s="805"/>
      <c r="L6" s="806"/>
      <c r="M6" s="806"/>
      <c r="N6" s="806"/>
      <c r="Q6" s="803" t="s">
        <v>215</v>
      </c>
      <c r="R6" s="804"/>
      <c r="S6" s="805"/>
      <c r="T6" s="806"/>
      <c r="U6" s="806"/>
      <c r="V6" s="806"/>
      <c r="X6" s="798"/>
      <c r="Y6" s="805"/>
      <c r="Z6" s="805"/>
      <c r="AA6" s="805"/>
      <c r="AB6" s="805"/>
      <c r="AC6" s="805"/>
      <c r="AE6" s="856"/>
      <c r="AF6" s="856"/>
      <c r="AG6" s="856"/>
      <c r="AH6" s="856"/>
      <c r="AI6" s="856"/>
      <c r="AM6" s="800"/>
      <c r="AN6" s="800"/>
    </row>
    <row r="7" spans="24:40" ht="11.25">
      <c r="X7" s="798"/>
      <c r="Y7" s="798"/>
      <c r="Z7" s="798"/>
      <c r="AA7" s="798"/>
      <c r="AB7" s="798"/>
      <c r="AC7" s="798"/>
      <c r="AK7" s="807" t="s">
        <v>216</v>
      </c>
      <c r="AL7" s="805"/>
      <c r="AM7" s="805"/>
      <c r="AN7" s="808"/>
    </row>
    <row r="8" spans="1:40" ht="11.25">
      <c r="A8" s="798" t="s">
        <v>217</v>
      </c>
      <c r="B8" s="799">
        <v>1</v>
      </c>
      <c r="D8" s="809">
        <v>3660755</v>
      </c>
      <c r="E8" s="810">
        <f>D8*VLOOKUP(B8,B28:F31,4)</f>
        <v>2397062.3740000003</v>
      </c>
      <c r="F8" s="810">
        <f>D8*VLOOKUP(B8,B28:F31,5)</f>
        <v>1263692.626</v>
      </c>
      <c r="G8" s="810"/>
      <c r="I8" s="798" t="s">
        <v>217</v>
      </c>
      <c r="J8" s="799">
        <v>1</v>
      </c>
      <c r="L8" s="809">
        <v>5055328</v>
      </c>
      <c r="M8" s="810">
        <f>L8*VLOOKUP(J8,J28:N31,4)</f>
        <v>3310228.7744000005</v>
      </c>
      <c r="N8" s="810">
        <f>L8*VLOOKUP(J8,J28:N31,5)</f>
        <v>1745099.2256</v>
      </c>
      <c r="O8" s="810"/>
      <c r="Q8" s="798" t="s">
        <v>217</v>
      </c>
      <c r="R8" s="799">
        <v>1</v>
      </c>
      <c r="T8" s="809">
        <v>7410795</v>
      </c>
      <c r="U8" s="810">
        <f>T8*VLOOKUP(R8,R28:V31,4)</f>
        <v>4828874.022</v>
      </c>
      <c r="V8" s="810">
        <f>T8*VLOOKUP(R8,R28:V31,5)</f>
        <v>2581920.978</v>
      </c>
      <c r="W8" s="810"/>
      <c r="X8" s="798" t="s">
        <v>218</v>
      </c>
      <c r="Y8" s="810">
        <f>Z8+AA8</f>
        <v>39132095.855187505</v>
      </c>
      <c r="Z8" s="810">
        <f>((U25+E25)/2+M25)/2</f>
        <v>25630672.747882195</v>
      </c>
      <c r="AA8" s="810">
        <f>((V25+F25)/2+N25)/2</f>
        <v>13501423.10730531</v>
      </c>
      <c r="AB8" s="810"/>
      <c r="AC8" s="810"/>
      <c r="AD8" s="854" t="s">
        <v>218</v>
      </c>
      <c r="AE8" s="857">
        <f>AF8+AG8</f>
        <v>42671228.38188</v>
      </c>
      <c r="AF8" s="857">
        <f>U25</f>
        <v>28222703.543326557</v>
      </c>
      <c r="AG8" s="857">
        <f>V25</f>
        <v>14448524.838553445</v>
      </c>
      <c r="AH8" s="857"/>
      <c r="AI8" s="857"/>
      <c r="AK8" s="811" t="s">
        <v>219</v>
      </c>
      <c r="AL8" s="812"/>
      <c r="AM8" s="800"/>
      <c r="AN8" s="813"/>
    </row>
    <row r="9" spans="1:40" ht="11.25">
      <c r="A9" s="798" t="s">
        <v>76</v>
      </c>
      <c r="B9" s="799">
        <v>1</v>
      </c>
      <c r="D9" s="809">
        <v>7775603</v>
      </c>
      <c r="E9" s="810">
        <f>D9*VLOOKUP(B9,B28:F31,4)</f>
        <v>5091464.844400001</v>
      </c>
      <c r="F9" s="810">
        <f>D9*VLOOKUP(B9,B28:F31,5)</f>
        <v>2684138.1556</v>
      </c>
      <c r="G9" s="810"/>
      <c r="I9" s="798" t="s">
        <v>76</v>
      </c>
      <c r="J9" s="799">
        <v>1</v>
      </c>
      <c r="L9" s="809">
        <v>4123524</v>
      </c>
      <c r="M9" s="810">
        <f>L9*VLOOKUP(J9,J28:N31,4)</f>
        <v>2700083.5152000003</v>
      </c>
      <c r="N9" s="810">
        <f>L9*VLOOKUP(J9,J28:N31,5)</f>
        <v>1423440.4848</v>
      </c>
      <c r="O9" s="810"/>
      <c r="Q9" s="798" t="s">
        <v>76</v>
      </c>
      <c r="R9" s="799">
        <v>1</v>
      </c>
      <c r="T9" s="809">
        <v>6519234</v>
      </c>
      <c r="U9" s="810">
        <f>T9*VLOOKUP(R9,R28:V31,4)</f>
        <v>4247932.8744</v>
      </c>
      <c r="V9" s="810">
        <f>T9*VLOOKUP(R9,R28:V31,5)</f>
        <v>2271301.1256</v>
      </c>
      <c r="W9" s="810"/>
      <c r="X9" s="798"/>
      <c r="Y9" s="798"/>
      <c r="Z9" s="798"/>
      <c r="AA9" s="798"/>
      <c r="AB9" s="798"/>
      <c r="AC9" s="798"/>
      <c r="AK9" s="814" t="s">
        <v>220</v>
      </c>
      <c r="AL9" s="815"/>
      <c r="AM9" s="815"/>
      <c r="AN9" s="816"/>
    </row>
    <row r="10" spans="1:40" ht="11.25">
      <c r="A10" s="798" t="s">
        <v>221</v>
      </c>
      <c r="B10" s="799">
        <v>1</v>
      </c>
      <c r="D10" s="809">
        <v>19573025</v>
      </c>
      <c r="E10" s="810">
        <f>D10*VLOOKUP(B10,B28:F31,4)</f>
        <v>12816416.770000001</v>
      </c>
      <c r="F10" s="810">
        <f>D10*VLOOKUP(B10,B28:F31,5)</f>
        <v>6756608.23</v>
      </c>
      <c r="G10" s="810"/>
      <c r="I10" s="798" t="s">
        <v>221</v>
      </c>
      <c r="J10" s="799">
        <v>1</v>
      </c>
      <c r="L10" s="809">
        <v>6200146</v>
      </c>
      <c r="M10" s="810">
        <f>L10*VLOOKUP(J10,J28:N31,4)</f>
        <v>4059855.6008</v>
      </c>
      <c r="N10" s="810">
        <f>L10*VLOOKUP(J10,J28:N31,5)</f>
        <v>2140290.3992</v>
      </c>
      <c r="O10" s="810"/>
      <c r="Q10" s="798" t="s">
        <v>221</v>
      </c>
      <c r="R10" s="799">
        <v>1</v>
      </c>
      <c r="T10" s="809">
        <v>10104832</v>
      </c>
      <c r="U10" s="810">
        <f>T10*VLOOKUP(R10,R28:V31,4)</f>
        <v>6584308.531199999</v>
      </c>
      <c r="V10" s="810">
        <f>T10*VLOOKUP(R10,R28:V31,5)</f>
        <v>3520523.4688</v>
      </c>
      <c r="W10" s="810"/>
      <c r="X10" s="798" t="s">
        <v>222</v>
      </c>
      <c r="Y10" s="810">
        <f>Z10+AA10</f>
        <v>2551079.5066875</v>
      </c>
      <c r="Z10" s="810">
        <f>((U54+E54)/2+M54)/2</f>
        <v>1841164.14680488</v>
      </c>
      <c r="AA10" s="810">
        <f>((V54+F54)/2+N54)/2</f>
        <v>709915.35988262</v>
      </c>
      <c r="AB10" s="810"/>
      <c r="AC10" s="810"/>
      <c r="AD10" s="854" t="s">
        <v>222</v>
      </c>
      <c r="AE10" s="857">
        <f>AF10+AG10</f>
        <v>2473701.4375600005</v>
      </c>
      <c r="AF10" s="857">
        <f>U54</f>
        <v>1726949.82653819</v>
      </c>
      <c r="AG10" s="857">
        <f>V54</f>
        <v>746751.6110218103</v>
      </c>
      <c r="AH10" s="857"/>
      <c r="AI10" s="857"/>
      <c r="AK10" s="810"/>
      <c r="AL10" s="810"/>
      <c r="AM10" s="817"/>
      <c r="AN10" s="812"/>
    </row>
    <row r="11" spans="4:40" ht="11.25">
      <c r="D11" s="810"/>
      <c r="E11" s="810"/>
      <c r="F11" s="810"/>
      <c r="L11" s="810"/>
      <c r="M11" s="810"/>
      <c r="N11" s="810"/>
      <c r="T11" s="810"/>
      <c r="U11" s="810"/>
      <c r="V11" s="810"/>
      <c r="X11" s="798"/>
      <c r="Y11" s="798"/>
      <c r="Z11" s="798"/>
      <c r="AA11" s="798"/>
      <c r="AB11" s="798"/>
      <c r="AC11" s="798"/>
      <c r="AM11" s="800"/>
      <c r="AN11" s="800"/>
    </row>
    <row r="12" spans="1:40" ht="11.25">
      <c r="A12" s="798" t="s">
        <v>223</v>
      </c>
      <c r="B12" s="799">
        <v>99</v>
      </c>
      <c r="D12" s="810">
        <f>E12+F12</f>
        <v>5347454</v>
      </c>
      <c r="E12" s="809">
        <v>2780076</v>
      </c>
      <c r="F12" s="809">
        <f>2566811+567</f>
        <v>2567378</v>
      </c>
      <c r="G12" s="810"/>
      <c r="I12" s="798" t="s">
        <v>223</v>
      </c>
      <c r="J12" s="799">
        <v>99</v>
      </c>
      <c r="L12" s="810">
        <f>M12+N12</f>
        <v>5882036</v>
      </c>
      <c r="M12" s="809">
        <v>4349026</v>
      </c>
      <c r="N12" s="809">
        <f>1532892+118</f>
        <v>1533010</v>
      </c>
      <c r="O12" s="810"/>
      <c r="Q12" s="798" t="s">
        <v>223</v>
      </c>
      <c r="R12" s="799">
        <v>99</v>
      </c>
      <c r="T12" s="810">
        <f>U12+V12</f>
        <v>4729833</v>
      </c>
      <c r="U12" s="809">
        <v>3576341</v>
      </c>
      <c r="V12" s="809">
        <v>1153492</v>
      </c>
      <c r="W12" s="810"/>
      <c r="X12" s="798" t="s">
        <v>224</v>
      </c>
      <c r="Y12" s="810">
        <f>AB12+AC12</f>
        <v>2148973.388125</v>
      </c>
      <c r="Z12" s="798"/>
      <c r="AA12" s="798"/>
      <c r="AB12" s="810">
        <f>((U81+E81)/2+M81)/2</f>
        <v>2074609.8908103644</v>
      </c>
      <c r="AC12" s="810">
        <f>((V81+F81)/2+N81)/2</f>
        <v>74363.49731463587</v>
      </c>
      <c r="AD12" s="854" t="s">
        <v>224</v>
      </c>
      <c r="AE12" s="857">
        <f>AH12+AI12</f>
        <v>4750182.180560001</v>
      </c>
      <c r="AH12" s="857">
        <f>U81</f>
        <v>4659672.8130607195</v>
      </c>
      <c r="AI12" s="857">
        <f>V81</f>
        <v>90509.36749928126</v>
      </c>
      <c r="AK12" s="810"/>
      <c r="AL12" s="810"/>
      <c r="AM12" s="800"/>
      <c r="AN12" s="812"/>
    </row>
    <row r="13" spans="1:40" ht="11.25">
      <c r="A13" s="798" t="s">
        <v>225</v>
      </c>
      <c r="B13" s="799">
        <v>10</v>
      </c>
      <c r="D13" s="809">
        <v>0</v>
      </c>
      <c r="E13" s="810">
        <f>D13*VLOOKUP(B13,B28:F31,4)</f>
        <v>0</v>
      </c>
      <c r="F13" s="810">
        <f>D13*VLOOKUP(B13,B28:F31,5)</f>
        <v>0</v>
      </c>
      <c r="G13" s="810"/>
      <c r="I13" s="798" t="s">
        <v>225</v>
      </c>
      <c r="J13" s="799">
        <v>10</v>
      </c>
      <c r="L13" s="809">
        <v>0</v>
      </c>
      <c r="M13" s="810">
        <f>L13*VLOOKUP(J13,J28:N31,4)</f>
        <v>0</v>
      </c>
      <c r="N13" s="810">
        <f>L13*VLOOKUP(J13,J28:N31,5)</f>
        <v>0</v>
      </c>
      <c r="O13" s="810"/>
      <c r="Q13" s="798" t="s">
        <v>225</v>
      </c>
      <c r="R13" s="799">
        <v>10</v>
      </c>
      <c r="T13" s="809">
        <v>0</v>
      </c>
      <c r="U13" s="810">
        <f>T13*VLOOKUP(R13,R28:V31,4)</f>
        <v>0</v>
      </c>
      <c r="V13" s="810">
        <f>T13*VLOOKUP(R13,R28:V31,5)</f>
        <v>0</v>
      </c>
      <c r="W13" s="810"/>
      <c r="X13" s="798"/>
      <c r="Y13" s="805"/>
      <c r="Z13" s="798"/>
      <c r="AA13" s="798"/>
      <c r="AB13" s="798"/>
      <c r="AC13" s="798"/>
      <c r="AE13" s="856"/>
      <c r="AM13" s="800"/>
      <c r="AN13" s="800"/>
    </row>
    <row r="14" spans="4:39" ht="12" thickBot="1">
      <c r="D14" s="810"/>
      <c r="E14" s="810"/>
      <c r="F14" s="810"/>
      <c r="L14" s="810"/>
      <c r="M14" s="810"/>
      <c r="N14" s="810"/>
      <c r="T14" s="810"/>
      <c r="U14" s="810"/>
      <c r="V14" s="810"/>
      <c r="X14" s="798"/>
      <c r="Y14" s="810">
        <f>SUM(Y8:Y12)</f>
        <v>43832148.75000001</v>
      </c>
      <c r="Z14" s="798"/>
      <c r="AA14" s="798"/>
      <c r="AB14" s="798"/>
      <c r="AC14" s="798"/>
      <c r="AE14" s="857">
        <f>SUM(AE8:AE12)</f>
        <v>49895112</v>
      </c>
      <c r="AK14" s="798">
        <f>((D105+T105)/2+L105)/2</f>
        <v>43832148.75</v>
      </c>
      <c r="AM14" s="798" t="s">
        <v>226</v>
      </c>
    </row>
    <row r="15" spans="1:37" ht="12" thickTop="1">
      <c r="A15" s="798" t="s">
        <v>227</v>
      </c>
      <c r="B15" s="799">
        <v>99</v>
      </c>
      <c r="D15" s="810">
        <f>E15+F15</f>
        <v>707226</v>
      </c>
      <c r="E15" s="809">
        <v>399984</v>
      </c>
      <c r="F15" s="809">
        <v>307242</v>
      </c>
      <c r="G15" s="810"/>
      <c r="I15" s="798" t="s">
        <v>227</v>
      </c>
      <c r="J15" s="799">
        <v>99</v>
      </c>
      <c r="L15" s="810">
        <f>M15+N15</f>
        <v>1065665</v>
      </c>
      <c r="M15" s="809">
        <v>540056</v>
      </c>
      <c r="N15" s="809">
        <f>523963+1646</f>
        <v>525609</v>
      </c>
      <c r="O15" s="810"/>
      <c r="Q15" s="798" t="s">
        <v>227</v>
      </c>
      <c r="R15" s="799">
        <v>99</v>
      </c>
      <c r="T15" s="810">
        <f>U15+V15</f>
        <v>1114395</v>
      </c>
      <c r="U15" s="809">
        <v>609658</v>
      </c>
      <c r="V15" s="809">
        <v>504737</v>
      </c>
      <c r="W15" s="810"/>
      <c r="X15" s="798"/>
      <c r="Y15" s="872"/>
      <c r="Z15" s="798"/>
      <c r="AA15" s="798"/>
      <c r="AB15" s="798"/>
      <c r="AC15" s="798"/>
      <c r="AE15" s="858"/>
      <c r="AK15" s="798" t="s">
        <v>228</v>
      </c>
    </row>
    <row r="16" spans="1:37" ht="11.25">
      <c r="A16" s="798" t="s">
        <v>229</v>
      </c>
      <c r="B16" s="799">
        <v>4</v>
      </c>
      <c r="D16" s="809">
        <v>313822</v>
      </c>
      <c r="E16" s="810">
        <f>D16*VLOOKUP(B16,B28:F31,4)</f>
        <v>199082.40036000003</v>
      </c>
      <c r="F16" s="810">
        <f>D16*VLOOKUP(B16,B28:F31,5)</f>
        <v>114739.59964</v>
      </c>
      <c r="G16" s="810"/>
      <c r="I16" s="798" t="s">
        <v>229</v>
      </c>
      <c r="J16" s="799">
        <v>4</v>
      </c>
      <c r="L16" s="809">
        <v>126356</v>
      </c>
      <c r="M16" s="810">
        <f>L16*VLOOKUP(J16,J28:N31,4)</f>
        <v>80157.71928</v>
      </c>
      <c r="N16" s="810">
        <f>L16*VLOOKUP(J16,J28:N31,5)</f>
        <v>46198.28072</v>
      </c>
      <c r="O16" s="810"/>
      <c r="Q16" s="798" t="s">
        <v>229</v>
      </c>
      <c r="R16" s="799">
        <v>4</v>
      </c>
      <c r="T16" s="809">
        <v>95066</v>
      </c>
      <c r="U16" s="810">
        <f>T16*VLOOKUP(R16,R28:V31,4)</f>
        <v>60999.098900000005</v>
      </c>
      <c r="V16" s="810">
        <f>T16*VLOOKUP(R16,R28:V31,5)</f>
        <v>34066.9011</v>
      </c>
      <c r="W16" s="810"/>
      <c r="AK16" s="798" t="s">
        <v>317</v>
      </c>
    </row>
    <row r="17" spans="4:37" ht="11.25">
      <c r="D17" s="810"/>
      <c r="E17" s="810"/>
      <c r="F17" s="810"/>
      <c r="L17" s="810"/>
      <c r="M17" s="810"/>
      <c r="N17" s="810"/>
      <c r="T17" s="810"/>
      <c r="U17" s="810"/>
      <c r="V17" s="810"/>
      <c r="AK17" s="798" t="s">
        <v>318</v>
      </c>
    </row>
    <row r="18" spans="1:37" ht="11.25">
      <c r="A18" s="798" t="s">
        <v>230</v>
      </c>
      <c r="B18" s="799">
        <v>4</v>
      </c>
      <c r="D18" s="810">
        <f>E94</f>
        <v>2352321.3535100003</v>
      </c>
      <c r="E18" s="810">
        <f>D18*VLOOKUP(B18,B28:F31,4)</f>
        <v>1492265.620239674</v>
      </c>
      <c r="F18" s="810">
        <f>D18*VLOOKUP(B18,B28:F31,5)</f>
        <v>860055.7332703263</v>
      </c>
      <c r="I18" s="798" t="s">
        <v>230</v>
      </c>
      <c r="J18" s="799">
        <v>4</v>
      </c>
      <c r="L18" s="810">
        <f>M94</f>
        <v>2959022.8426800002</v>
      </c>
      <c r="M18" s="810">
        <f>L18*VLOOKUP(J18,J28:N31,4)</f>
        <v>1877144.9109393386</v>
      </c>
      <c r="N18" s="810">
        <f>L18*VLOOKUP(J18,J28:N31,5)</f>
        <v>1081877.9317406616</v>
      </c>
      <c r="Q18" s="798" t="s">
        <v>230</v>
      </c>
      <c r="R18" s="799">
        <v>4</v>
      </c>
      <c r="T18" s="810">
        <f>U94</f>
        <v>4214936.38188</v>
      </c>
      <c r="U18" s="810">
        <f>T18*VLOOKUP(R18,R28:V31,4)</f>
        <v>2704513.9294333025</v>
      </c>
      <c r="V18" s="810">
        <f>T18*VLOOKUP(R18,R28:V31,5)</f>
        <v>1510422.452446698</v>
      </c>
      <c r="Y18" s="854">
        <f>((T105+D105)/2+L105)/2</f>
        <v>43832148.75</v>
      </c>
      <c r="AK18" s="798" t="s">
        <v>231</v>
      </c>
    </row>
    <row r="19" spans="4:22" ht="11.25">
      <c r="D19" s="810"/>
      <c r="E19" s="810"/>
      <c r="F19" s="810"/>
      <c r="L19" s="810"/>
      <c r="M19" s="810"/>
      <c r="N19" s="810"/>
      <c r="T19" s="810"/>
      <c r="U19" s="810"/>
      <c r="V19" s="810"/>
    </row>
    <row r="20" spans="1:23" ht="11.25">
      <c r="A20" s="798" t="s">
        <v>232</v>
      </c>
      <c r="D20" s="818">
        <f>SUM(D8:D18)</f>
        <v>39730206.35351</v>
      </c>
      <c r="E20" s="818">
        <f>SUM(E8:E18)</f>
        <v>25176352.00899968</v>
      </c>
      <c r="F20" s="818">
        <f>SUM(F8:F18)</f>
        <v>14553854.344510328</v>
      </c>
      <c r="G20" s="810"/>
      <c r="I20" s="798" t="s">
        <v>232</v>
      </c>
      <c r="L20" s="818">
        <f>SUM(L8:L18)</f>
        <v>25412077.84268</v>
      </c>
      <c r="M20" s="818">
        <f>SUM(M8:M18)</f>
        <v>16916552.52061934</v>
      </c>
      <c r="N20" s="818">
        <f>SUM(N8:N18)</f>
        <v>8495525.322060661</v>
      </c>
      <c r="O20" s="810"/>
      <c r="Q20" s="798" t="s">
        <v>232</v>
      </c>
      <c r="T20" s="818">
        <f>SUM(T8:T18)</f>
        <v>34189091.38188</v>
      </c>
      <c r="U20" s="818">
        <f>SUM(U8:U18)</f>
        <v>22612627.455933303</v>
      </c>
      <c r="V20" s="818">
        <f>SUM(V8:V18)</f>
        <v>11576463.925946698</v>
      </c>
      <c r="W20" s="810"/>
    </row>
    <row r="21" spans="1:22" ht="11.25">
      <c r="A21" s="798" t="s">
        <v>233</v>
      </c>
      <c r="D21" s="819">
        <f>D20/D20</f>
        <v>1</v>
      </c>
      <c r="E21" s="819">
        <f>E20/D20</f>
        <v>0.6336828906697952</v>
      </c>
      <c r="F21" s="819">
        <f>F20/D20</f>
        <v>0.366317109330205</v>
      </c>
      <c r="I21" s="798" t="s">
        <v>233</v>
      </c>
      <c r="L21" s="819">
        <f>L20/L20</f>
        <v>1</v>
      </c>
      <c r="M21" s="819">
        <f>M20/L20</f>
        <v>0.665689465668475</v>
      </c>
      <c r="N21" s="819">
        <f>N20/L20</f>
        <v>0.33431053433152513</v>
      </c>
      <c r="Q21" s="798" t="s">
        <v>233</v>
      </c>
      <c r="T21" s="819">
        <f>T20/T20</f>
        <v>1</v>
      </c>
      <c r="U21" s="819">
        <f>U20/T20</f>
        <v>0.6613989007007612</v>
      </c>
      <c r="V21" s="819">
        <f>V20/T20</f>
        <v>0.33860109929923876</v>
      </c>
    </row>
    <row r="22" spans="4:20" ht="11.25">
      <c r="D22" s="819"/>
      <c r="L22" s="819"/>
      <c r="T22" s="819"/>
    </row>
    <row r="23" spans="1:23" ht="11.25">
      <c r="A23" s="798" t="s">
        <v>234</v>
      </c>
      <c r="D23" s="809">
        <f>-490867+7423612</f>
        <v>6932745</v>
      </c>
      <c r="E23" s="810">
        <f>D23*E21</f>
        <v>4393161.891876569</v>
      </c>
      <c r="F23" s="810">
        <f>D23*F21</f>
        <v>2539583.108123432</v>
      </c>
      <c r="G23" s="810"/>
      <c r="I23" s="798" t="s">
        <v>234</v>
      </c>
      <c r="L23" s="809">
        <f>904707+7280317</f>
        <v>8185024</v>
      </c>
      <c r="M23" s="810">
        <f>L23*M21</f>
        <v>5448684.253043644</v>
      </c>
      <c r="N23" s="810">
        <f>L23*N21</f>
        <v>2736339.7469563573</v>
      </c>
      <c r="O23" s="810"/>
      <c r="Q23" s="798" t="s">
        <v>234</v>
      </c>
      <c r="T23" s="809">
        <f>21645+8460492</f>
        <v>8482137</v>
      </c>
      <c r="U23" s="810">
        <f>T23*U21</f>
        <v>5610076.087393253</v>
      </c>
      <c r="V23" s="810">
        <f>T23*V21</f>
        <v>2872060.9126067474</v>
      </c>
      <c r="W23" s="810"/>
    </row>
    <row r="25" spans="1:23" ht="11.25">
      <c r="A25" s="798" t="s">
        <v>218</v>
      </c>
      <c r="D25" s="820">
        <f>D20+D23</f>
        <v>46662951.35351</v>
      </c>
      <c r="E25" s="820">
        <f>E20+E23</f>
        <v>29569513.900876246</v>
      </c>
      <c r="F25" s="820">
        <f>F20+F23</f>
        <v>17093437.45263376</v>
      </c>
      <c r="G25" s="810"/>
      <c r="I25" s="798" t="s">
        <v>218</v>
      </c>
      <c r="L25" s="820">
        <f>L20+L23</f>
        <v>33597101.84268</v>
      </c>
      <c r="M25" s="820">
        <f>M20+M23</f>
        <v>22365236.773662984</v>
      </c>
      <c r="N25" s="820">
        <f>N20+N23</f>
        <v>11231865.06901702</v>
      </c>
      <c r="O25" s="810"/>
      <c r="Q25" s="798" t="s">
        <v>218</v>
      </c>
      <c r="T25" s="820">
        <f>T20+T23</f>
        <v>42671228.38188</v>
      </c>
      <c r="U25" s="820">
        <f>U20+U23</f>
        <v>28222703.543326557</v>
      </c>
      <c r="V25" s="820">
        <f>V20+V23</f>
        <v>14448524.838553445</v>
      </c>
      <c r="W25" s="810"/>
    </row>
    <row r="26" spans="4:20" ht="11.25">
      <c r="D26" s="810"/>
      <c r="L26" s="810"/>
      <c r="T26" s="810"/>
    </row>
    <row r="27" spans="1:17" ht="11.25">
      <c r="A27" s="821" t="s">
        <v>235</v>
      </c>
      <c r="I27" s="821" t="s">
        <v>235</v>
      </c>
      <c r="Q27" s="821" t="s">
        <v>235</v>
      </c>
    </row>
    <row r="28" spans="1:22" ht="11.25">
      <c r="A28" s="798" t="s">
        <v>236</v>
      </c>
      <c r="B28" s="799">
        <v>1</v>
      </c>
      <c r="D28" s="819">
        <f>E28+F28</f>
        <v>1</v>
      </c>
      <c r="E28" s="822">
        <v>0.6548</v>
      </c>
      <c r="F28" s="822">
        <v>0.3452</v>
      </c>
      <c r="I28" s="798" t="s">
        <v>236</v>
      </c>
      <c r="J28" s="799">
        <v>1</v>
      </c>
      <c r="L28" s="819">
        <f>M28+N28</f>
        <v>1</v>
      </c>
      <c r="M28" s="822">
        <v>0.6548</v>
      </c>
      <c r="N28" s="822">
        <v>0.3452</v>
      </c>
      <c r="Q28" s="798" t="s">
        <v>236</v>
      </c>
      <c r="R28" s="799">
        <v>1</v>
      </c>
      <c r="T28" s="819">
        <f>U28+V28</f>
        <v>1</v>
      </c>
      <c r="U28" s="822">
        <v>0.6516</v>
      </c>
      <c r="V28" s="822">
        <v>0.3484</v>
      </c>
    </row>
    <row r="29" spans="1:22" ht="11.25">
      <c r="A29" s="798" t="s">
        <v>237</v>
      </c>
      <c r="B29" s="799">
        <v>4</v>
      </c>
      <c r="D29" s="819">
        <f>E29+F29</f>
        <v>1</v>
      </c>
      <c r="E29" s="822">
        <v>0.63438</v>
      </c>
      <c r="F29" s="822">
        <v>0.36562</v>
      </c>
      <c r="I29" s="798" t="s">
        <v>237</v>
      </c>
      <c r="J29" s="799">
        <v>4</v>
      </c>
      <c r="L29" s="819">
        <f>M29+N29</f>
        <v>1</v>
      </c>
      <c r="M29" s="822">
        <v>0.63438</v>
      </c>
      <c r="N29" s="822">
        <v>0.36562</v>
      </c>
      <c r="Q29" s="798" t="s">
        <v>237</v>
      </c>
      <c r="R29" s="799">
        <v>4</v>
      </c>
      <c r="T29" s="819">
        <f>U29+V29</f>
        <v>1</v>
      </c>
      <c r="U29" s="822">
        <v>0.64165</v>
      </c>
      <c r="V29" s="822">
        <v>0.35835</v>
      </c>
    </row>
    <row r="30" spans="1:22" ht="11.25">
      <c r="A30" s="798" t="s">
        <v>238</v>
      </c>
      <c r="B30" s="799">
        <v>10</v>
      </c>
      <c r="D30" s="819">
        <f>E30+F30</f>
        <v>1</v>
      </c>
      <c r="E30" s="822">
        <v>0.62492</v>
      </c>
      <c r="F30" s="822">
        <v>0.37508</v>
      </c>
      <c r="I30" s="798" t="s">
        <v>238</v>
      </c>
      <c r="J30" s="799">
        <v>10</v>
      </c>
      <c r="L30" s="819">
        <f>M30+N30</f>
        <v>1</v>
      </c>
      <c r="M30" s="822">
        <v>0.62492</v>
      </c>
      <c r="N30" s="822">
        <v>0.37508</v>
      </c>
      <c r="Q30" s="798" t="s">
        <v>238</v>
      </c>
      <c r="R30" s="799">
        <v>10</v>
      </c>
      <c r="T30" s="819">
        <f>U30+V30</f>
        <v>1</v>
      </c>
      <c r="U30" s="822">
        <v>0.62215</v>
      </c>
      <c r="V30" s="822">
        <v>0.37785</v>
      </c>
    </row>
    <row r="31" spans="1:22" ht="11.25">
      <c r="A31" s="798" t="s">
        <v>239</v>
      </c>
      <c r="B31" s="799">
        <v>99</v>
      </c>
      <c r="D31" s="819">
        <f>E31+F31</f>
        <v>0</v>
      </c>
      <c r="E31" s="822">
        <v>0</v>
      </c>
      <c r="F31" s="822">
        <v>0</v>
      </c>
      <c r="I31" s="798" t="s">
        <v>239</v>
      </c>
      <c r="J31" s="799">
        <v>99</v>
      </c>
      <c r="L31" s="819">
        <f>M31+N31</f>
        <v>0</v>
      </c>
      <c r="M31" s="822">
        <v>0</v>
      </c>
      <c r="N31" s="822">
        <v>0</v>
      </c>
      <c r="Q31" s="798" t="s">
        <v>239</v>
      </c>
      <c r="R31" s="799">
        <v>99</v>
      </c>
      <c r="T31" s="819">
        <f>U31+V31</f>
        <v>0</v>
      </c>
      <c r="U31" s="822">
        <f>M31</f>
        <v>0</v>
      </c>
      <c r="V31" s="822">
        <f>N31</f>
        <v>0</v>
      </c>
    </row>
    <row r="34" spans="1:40" s="760" customFormat="1" ht="11.25">
      <c r="A34" s="801"/>
      <c r="B34" s="801" t="s">
        <v>212</v>
      </c>
      <c r="C34" s="801"/>
      <c r="D34" s="801" t="s">
        <v>127</v>
      </c>
      <c r="E34" s="801" t="s">
        <v>128</v>
      </c>
      <c r="F34" s="801" t="s">
        <v>129</v>
      </c>
      <c r="G34" s="801"/>
      <c r="H34" s="801"/>
      <c r="I34" s="801"/>
      <c r="J34" s="801" t="s">
        <v>212</v>
      </c>
      <c r="K34" s="801"/>
      <c r="L34" s="801" t="s">
        <v>127</v>
      </c>
      <c r="M34" s="801" t="s">
        <v>128</v>
      </c>
      <c r="N34" s="801" t="s">
        <v>129</v>
      </c>
      <c r="O34" s="801"/>
      <c r="P34" s="801"/>
      <c r="Q34" s="801"/>
      <c r="R34" s="801" t="s">
        <v>212</v>
      </c>
      <c r="S34" s="801"/>
      <c r="T34" s="801" t="s">
        <v>127</v>
      </c>
      <c r="U34" s="801" t="s">
        <v>128</v>
      </c>
      <c r="V34" s="801" t="s">
        <v>129</v>
      </c>
      <c r="W34" s="801"/>
      <c r="X34" s="855"/>
      <c r="Y34" s="855"/>
      <c r="Z34" s="855"/>
      <c r="AA34" s="855"/>
      <c r="AB34" s="855"/>
      <c r="AC34" s="855"/>
      <c r="AD34" s="855"/>
      <c r="AE34" s="855"/>
      <c r="AF34" s="855"/>
      <c r="AG34" s="855"/>
      <c r="AH34" s="855"/>
      <c r="AI34" s="855"/>
      <c r="AJ34" s="801"/>
      <c r="AK34" s="801"/>
      <c r="AL34" s="801"/>
      <c r="AM34" s="801"/>
      <c r="AN34" s="801"/>
    </row>
    <row r="35" spans="1:22" ht="11.25">
      <c r="A35" s="803" t="s">
        <v>126</v>
      </c>
      <c r="B35" s="804"/>
      <c r="C35" s="805"/>
      <c r="D35" s="805"/>
      <c r="E35" s="805"/>
      <c r="F35" s="805"/>
      <c r="I35" s="803" t="s">
        <v>126</v>
      </c>
      <c r="J35" s="804"/>
      <c r="K35" s="805"/>
      <c r="L35" s="805"/>
      <c r="M35" s="805"/>
      <c r="N35" s="805"/>
      <c r="Q35" s="803" t="s">
        <v>126</v>
      </c>
      <c r="R35" s="804"/>
      <c r="S35" s="805"/>
      <c r="T35" s="805"/>
      <c r="U35" s="805"/>
      <c r="V35" s="805"/>
    </row>
    <row r="36" spans="2:22" ht="11.25">
      <c r="B36" s="802"/>
      <c r="C36" s="800"/>
      <c r="D36" s="800"/>
      <c r="E36" s="800"/>
      <c r="F36" s="800"/>
      <c r="J36" s="802"/>
      <c r="K36" s="800"/>
      <c r="L36" s="800"/>
      <c r="M36" s="800"/>
      <c r="N36" s="800"/>
      <c r="R36" s="802"/>
      <c r="S36" s="800"/>
      <c r="T36" s="800"/>
      <c r="U36" s="800"/>
      <c r="V36" s="800"/>
    </row>
    <row r="37" spans="1:22" ht="11.25">
      <c r="A37" s="798" t="s">
        <v>217</v>
      </c>
      <c r="B37" s="802">
        <v>4</v>
      </c>
      <c r="C37" s="800"/>
      <c r="D37" s="823">
        <v>0</v>
      </c>
      <c r="E37" s="810">
        <f>D37*VLOOKUP(B37,B57:F61,4)</f>
        <v>0</v>
      </c>
      <c r="F37" s="810">
        <f>D37*VLOOKUP(B37,B57:F61,5)</f>
        <v>0</v>
      </c>
      <c r="I37" s="798" t="s">
        <v>217</v>
      </c>
      <c r="J37" s="802">
        <v>4</v>
      </c>
      <c r="K37" s="800"/>
      <c r="L37" s="823">
        <v>0</v>
      </c>
      <c r="M37" s="810">
        <f>L37*VLOOKUP(J37,J57:N61,4)</f>
        <v>0</v>
      </c>
      <c r="N37" s="810">
        <f>L37*VLOOKUP(J37,J57:N61,5)</f>
        <v>0</v>
      </c>
      <c r="Q37" s="798" t="s">
        <v>217</v>
      </c>
      <c r="R37" s="802">
        <v>4</v>
      </c>
      <c r="S37" s="800"/>
      <c r="T37" s="823">
        <v>0</v>
      </c>
      <c r="U37" s="810">
        <f>T37*VLOOKUP(R37,R57:V61,4)</f>
        <v>0</v>
      </c>
      <c r="V37" s="810">
        <f>T37*VLOOKUP(R37,R57:V61,5)</f>
        <v>0</v>
      </c>
    </row>
    <row r="39" spans="1:22" ht="11.25">
      <c r="A39" s="798" t="s">
        <v>81</v>
      </c>
      <c r="B39" s="799" t="s">
        <v>240</v>
      </c>
      <c r="D39" s="809">
        <v>0</v>
      </c>
      <c r="E39" s="810">
        <f>D39*VLOOKUP(B39,B57:F61,4)</f>
        <v>0</v>
      </c>
      <c r="F39" s="810">
        <f>D39*VLOOKUP(B39,B57:F61,5)</f>
        <v>0</v>
      </c>
      <c r="I39" s="798" t="s">
        <v>81</v>
      </c>
      <c r="J39" s="799" t="s">
        <v>240</v>
      </c>
      <c r="L39" s="809">
        <v>0</v>
      </c>
      <c r="M39" s="810">
        <f>L39*VLOOKUP(J39,J57:N61,4)</f>
        <v>0</v>
      </c>
      <c r="N39" s="810">
        <f>L39*VLOOKUP(J39,J57:N61,5)</f>
        <v>0</v>
      </c>
      <c r="Q39" s="798" t="s">
        <v>81</v>
      </c>
      <c r="R39" s="799" t="s">
        <v>240</v>
      </c>
      <c r="T39" s="809">
        <v>0</v>
      </c>
      <c r="U39" s="810">
        <f>T39*VLOOKUP(R39,R57:V61,4)</f>
        <v>0</v>
      </c>
      <c r="V39" s="810">
        <f>T39*VLOOKUP(R39,R57:V61,5)</f>
        <v>0</v>
      </c>
    </row>
    <row r="40" spans="4:22" ht="11.25">
      <c r="D40" s="810"/>
      <c r="E40" s="810"/>
      <c r="F40" s="810"/>
      <c r="L40" s="810"/>
      <c r="M40" s="810"/>
      <c r="N40" s="810"/>
      <c r="T40" s="810"/>
      <c r="U40" s="810"/>
      <c r="V40" s="810"/>
    </row>
    <row r="41" spans="1:23" ht="11.25">
      <c r="A41" s="798" t="s">
        <v>223</v>
      </c>
      <c r="B41" s="799">
        <v>99</v>
      </c>
      <c r="D41" s="810">
        <f>E41+F41</f>
        <v>1071914</v>
      </c>
      <c r="E41" s="809">
        <v>755491</v>
      </c>
      <c r="F41" s="809">
        <v>316423</v>
      </c>
      <c r="G41" s="810"/>
      <c r="I41" s="798" t="s">
        <v>223</v>
      </c>
      <c r="J41" s="799">
        <v>99</v>
      </c>
      <c r="L41" s="810">
        <f>M41+N41</f>
        <v>1343119</v>
      </c>
      <c r="M41" s="809">
        <v>1021719</v>
      </c>
      <c r="N41" s="809">
        <v>321400</v>
      </c>
      <c r="O41" s="810"/>
      <c r="Q41" s="798" t="s">
        <v>223</v>
      </c>
      <c r="R41" s="799">
        <v>99</v>
      </c>
      <c r="T41" s="810">
        <f>U41+V41</f>
        <v>933553</v>
      </c>
      <c r="U41" s="809">
        <v>670626</v>
      </c>
      <c r="V41" s="809">
        <v>262927</v>
      </c>
      <c r="W41" s="810"/>
    </row>
    <row r="42" spans="1:22" ht="11.25">
      <c r="A42" s="798" t="s">
        <v>225</v>
      </c>
      <c r="B42" s="799">
        <v>6</v>
      </c>
      <c r="D42" s="809">
        <v>0</v>
      </c>
      <c r="E42" s="810">
        <f>D42*VLOOKUP(B42,B57:F61,4)</f>
        <v>0</v>
      </c>
      <c r="F42" s="810">
        <f>D42*VLOOKUP(B42,B57:F61,5)</f>
        <v>0</v>
      </c>
      <c r="I42" s="798" t="s">
        <v>225</v>
      </c>
      <c r="J42" s="799">
        <v>6</v>
      </c>
      <c r="L42" s="809">
        <v>0</v>
      </c>
      <c r="M42" s="810">
        <f>L42*VLOOKUP(J42,J57:N61,4)</f>
        <v>0</v>
      </c>
      <c r="N42" s="810">
        <f>L42*VLOOKUP(J42,J57:N61,5)</f>
        <v>0</v>
      </c>
      <c r="Q42" s="798" t="s">
        <v>225</v>
      </c>
      <c r="R42" s="799">
        <v>6</v>
      </c>
      <c r="T42" s="809">
        <v>0</v>
      </c>
      <c r="U42" s="810">
        <f>T42*VLOOKUP(R42,R57:V61,4)</f>
        <v>0</v>
      </c>
      <c r="V42" s="810">
        <f>T42*VLOOKUP(R42,R57:V61,5)</f>
        <v>0</v>
      </c>
    </row>
    <row r="43" spans="4:22" ht="11.25">
      <c r="D43" s="810"/>
      <c r="E43" s="810"/>
      <c r="F43" s="810"/>
      <c r="L43" s="810"/>
      <c r="M43" s="810"/>
      <c r="N43" s="810"/>
      <c r="T43" s="810"/>
      <c r="U43" s="810"/>
      <c r="V43" s="810"/>
    </row>
    <row r="44" spans="1:23" ht="11.25">
      <c r="A44" s="798" t="s">
        <v>227</v>
      </c>
      <c r="B44" s="799">
        <v>99</v>
      </c>
      <c r="D44" s="810">
        <f>E44+F44</f>
        <v>60284</v>
      </c>
      <c r="E44" s="809">
        <v>58388</v>
      </c>
      <c r="F44" s="809">
        <v>1896</v>
      </c>
      <c r="G44" s="810"/>
      <c r="I44" s="798" t="s">
        <v>227</v>
      </c>
      <c r="J44" s="799">
        <v>99</v>
      </c>
      <c r="L44" s="810">
        <f>M44+N44</f>
        <v>73231</v>
      </c>
      <c r="M44" s="809">
        <v>68070</v>
      </c>
      <c r="N44" s="809">
        <v>5161</v>
      </c>
      <c r="O44" s="810"/>
      <c r="Q44" s="798" t="s">
        <v>227</v>
      </c>
      <c r="R44" s="799">
        <v>99</v>
      </c>
      <c r="T44" s="810">
        <f>U44+V44</f>
        <v>7059</v>
      </c>
      <c r="U44" s="809">
        <v>1646</v>
      </c>
      <c r="V44" s="809">
        <v>5413</v>
      </c>
      <c r="W44" s="810"/>
    </row>
    <row r="45" spans="1:22" ht="11.25">
      <c r="A45" s="798" t="s">
        <v>229</v>
      </c>
      <c r="B45" s="799">
        <v>4</v>
      </c>
      <c r="D45" s="809">
        <v>0</v>
      </c>
      <c r="E45" s="810">
        <f>D45*VLOOKUP(B45,B57:F61,4)</f>
        <v>0</v>
      </c>
      <c r="F45" s="810">
        <f>D45*VLOOKUP(B45,B57:F61,5)</f>
        <v>0</v>
      </c>
      <c r="I45" s="798" t="s">
        <v>229</v>
      </c>
      <c r="J45" s="799">
        <v>4</v>
      </c>
      <c r="L45" s="809">
        <v>0</v>
      </c>
      <c r="M45" s="810">
        <f>L45*VLOOKUP(J45,J57:N61,4)</f>
        <v>0</v>
      </c>
      <c r="N45" s="810">
        <f>L45*VLOOKUP(J45,J57:N61,5)</f>
        <v>0</v>
      </c>
      <c r="Q45" s="798" t="s">
        <v>229</v>
      </c>
      <c r="R45" s="799">
        <v>4</v>
      </c>
      <c r="T45" s="809">
        <v>0</v>
      </c>
      <c r="U45" s="810">
        <f>T45*VLOOKUP(R45,R57:V61,4)</f>
        <v>0</v>
      </c>
      <c r="V45" s="810">
        <f>T45*VLOOKUP(R45,R57:V61,5)</f>
        <v>0</v>
      </c>
    </row>
    <row r="46" spans="4:22" ht="11.25">
      <c r="D46" s="810"/>
      <c r="E46" s="810"/>
      <c r="F46" s="810"/>
      <c r="L46" s="810"/>
      <c r="M46" s="810"/>
      <c r="N46" s="810"/>
      <c r="T46" s="810"/>
      <c r="U46" s="810"/>
      <c r="V46" s="810"/>
    </row>
    <row r="47" spans="1:23" ht="11.25">
      <c r="A47" s="798" t="s">
        <v>241</v>
      </c>
      <c r="B47" s="799">
        <v>4</v>
      </c>
      <c r="D47" s="810">
        <f>F94</f>
        <v>868279.15095</v>
      </c>
      <c r="E47" s="810">
        <f>D47*VLOOKUP(B47,B57:F61,4)</f>
        <v>601517.7474036316</v>
      </c>
      <c r="F47" s="810">
        <f>D47*VLOOKUP(B47,B57:F61,5)</f>
        <v>266761.4035463685</v>
      </c>
      <c r="G47" s="810"/>
      <c r="I47" s="798" t="s">
        <v>241</v>
      </c>
      <c r="J47" s="799">
        <v>4</v>
      </c>
      <c r="L47" s="810">
        <f>N94</f>
        <v>1011495.71912</v>
      </c>
      <c r="M47" s="810">
        <f>L47*VLOOKUP(J47,J57:N61,4)</f>
        <v>700733.8893347625</v>
      </c>
      <c r="N47" s="810">
        <f>L47*VLOOKUP(J47,J57:N61,5)</f>
        <v>310761.8297852376</v>
      </c>
      <c r="O47" s="810"/>
      <c r="Q47" s="798" t="s">
        <v>241</v>
      </c>
      <c r="R47" s="799">
        <v>4</v>
      </c>
      <c r="T47" s="810">
        <f>V94</f>
        <v>1448736.4375600002</v>
      </c>
      <c r="U47" s="810">
        <f>T47*VLOOKUP(R47,R57:V61,4)</f>
        <v>995788.9903568662</v>
      </c>
      <c r="V47" s="810">
        <f>T47*VLOOKUP(R47,R57:V61,5)</f>
        <v>452947.44720313407</v>
      </c>
      <c r="W47" s="810"/>
    </row>
    <row r="48" spans="4:22" ht="11.25">
      <c r="D48" s="810"/>
      <c r="E48" s="810"/>
      <c r="F48" s="810"/>
      <c r="L48" s="810"/>
      <c r="M48" s="810"/>
      <c r="N48" s="810"/>
      <c r="T48" s="810"/>
      <c r="U48" s="810"/>
      <c r="V48" s="810"/>
    </row>
    <row r="49" spans="1:23" ht="11.25">
      <c r="A49" s="798" t="s">
        <v>242</v>
      </c>
      <c r="D49" s="810">
        <f>SUM(D37:D47)</f>
        <v>2000477.1509500002</v>
      </c>
      <c r="E49" s="810">
        <f>SUM(E37:E47)</f>
        <v>1415396.7474036315</v>
      </c>
      <c r="F49" s="810">
        <f>SUM(F37:F47)</f>
        <v>585080.4035463685</v>
      </c>
      <c r="G49" s="810"/>
      <c r="I49" s="798" t="s">
        <v>242</v>
      </c>
      <c r="L49" s="810">
        <f>SUM(L37:L47)</f>
        <v>2427845.71912</v>
      </c>
      <c r="M49" s="810">
        <f>SUM(M37:M47)</f>
        <v>1790522.8893347625</v>
      </c>
      <c r="N49" s="810">
        <f>SUM(N37:N47)</f>
        <v>637322.8297852376</v>
      </c>
      <c r="O49" s="810"/>
      <c r="Q49" s="798" t="s">
        <v>242</v>
      </c>
      <c r="T49" s="810">
        <f>SUM(T37:T47)</f>
        <v>2389348.4375600005</v>
      </c>
      <c r="U49" s="810">
        <f>SUM(U37:U47)</f>
        <v>1668060.9903568663</v>
      </c>
      <c r="V49" s="810">
        <f>SUM(V37:V47)</f>
        <v>721287.4472031341</v>
      </c>
      <c r="W49" s="810"/>
    </row>
    <row r="50" spans="1:22" ht="11.25">
      <c r="A50" s="798" t="s">
        <v>233</v>
      </c>
      <c r="D50" s="819">
        <f>D49/D$49</f>
        <v>1</v>
      </c>
      <c r="E50" s="819">
        <f>E49/D$49</f>
        <v>0.7075295744975034</v>
      </c>
      <c r="F50" s="819">
        <f>F49/D$49</f>
        <v>0.2924704255024965</v>
      </c>
      <c r="I50" s="798" t="s">
        <v>233</v>
      </c>
      <c r="L50" s="819">
        <f>L49/L$49</f>
        <v>1</v>
      </c>
      <c r="M50" s="819">
        <f>M49/L$49</f>
        <v>0.7374945101469452</v>
      </c>
      <c r="N50" s="819">
        <f>N49/L$49</f>
        <v>0.2625054898530547</v>
      </c>
      <c r="Q50" s="798" t="s">
        <v>233</v>
      </c>
      <c r="T50" s="819">
        <f>T49/T$49</f>
        <v>1</v>
      </c>
      <c r="U50" s="819">
        <f>U49/T$49</f>
        <v>0.6981237914635372</v>
      </c>
      <c r="V50" s="819">
        <f>V49/T$49</f>
        <v>0.30187620853646274</v>
      </c>
    </row>
    <row r="52" spans="1:23" ht="11.25">
      <c r="A52" s="798" t="s">
        <v>243</v>
      </c>
      <c r="D52" s="809">
        <f>-17780+139134</f>
        <v>121354</v>
      </c>
      <c r="E52" s="810">
        <f>D52*E50</f>
        <v>85861.54398357002</v>
      </c>
      <c r="F52" s="810">
        <f>D52*F50</f>
        <v>35492.45601642996</v>
      </c>
      <c r="G52" s="810"/>
      <c r="I52" s="798" t="s">
        <v>243</v>
      </c>
      <c r="L52" s="809">
        <f>222032+154515</f>
        <v>376547</v>
      </c>
      <c r="M52" s="810">
        <f>L52*M50</f>
        <v>277701.34531230177</v>
      </c>
      <c r="N52" s="810">
        <f>L52*N50</f>
        <v>98845.65468769819</v>
      </c>
      <c r="O52" s="810"/>
      <c r="Q52" s="798" t="s">
        <v>243</v>
      </c>
      <c r="T52" s="809">
        <f>-80974+165327</f>
        <v>84353</v>
      </c>
      <c r="U52" s="810">
        <f>T52*U50</f>
        <v>58888.83618132376</v>
      </c>
      <c r="V52" s="810">
        <f>T52*V50</f>
        <v>25464.163818676243</v>
      </c>
      <c r="W52" s="810"/>
    </row>
    <row r="54" spans="1:23" ht="11.25">
      <c r="A54" s="798" t="s">
        <v>222</v>
      </c>
      <c r="D54" s="820">
        <f>D49+D52</f>
        <v>2121831.15095</v>
      </c>
      <c r="E54" s="820">
        <f>E49+E52</f>
        <v>1501258.2913872015</v>
      </c>
      <c r="F54" s="820">
        <f>F49+F52</f>
        <v>620572.8595627984</v>
      </c>
      <c r="G54" s="810"/>
      <c r="I54" s="798" t="s">
        <v>222</v>
      </c>
      <c r="L54" s="820">
        <f>L49+L52</f>
        <v>2804392.71912</v>
      </c>
      <c r="M54" s="820">
        <f>M49+M52</f>
        <v>2068224.2346470642</v>
      </c>
      <c r="N54" s="820">
        <f>N49+N52</f>
        <v>736168.4844729358</v>
      </c>
      <c r="O54" s="810"/>
      <c r="Q54" s="798" t="s">
        <v>222</v>
      </c>
      <c r="T54" s="820">
        <f>T49+T52</f>
        <v>2473701.4375600005</v>
      </c>
      <c r="U54" s="820">
        <f>U49+U52</f>
        <v>1726949.82653819</v>
      </c>
      <c r="V54" s="820">
        <f>V49+V52</f>
        <v>746751.6110218103</v>
      </c>
      <c r="W54" s="810"/>
    </row>
    <row r="55" spans="4:20" ht="11.25">
      <c r="D55" s="810"/>
      <c r="L55" s="810"/>
      <c r="T55" s="810"/>
    </row>
    <row r="56" spans="1:17" ht="11.25">
      <c r="A56" s="821" t="s">
        <v>244</v>
      </c>
      <c r="I56" s="821" t="s">
        <v>244</v>
      </c>
      <c r="Q56" s="821" t="s">
        <v>244</v>
      </c>
    </row>
    <row r="57" spans="1:22" ht="11.25">
      <c r="A57" s="798" t="s">
        <v>245</v>
      </c>
      <c r="B57" s="799" t="s">
        <v>240</v>
      </c>
      <c r="D57" s="819">
        <f>E57+F57</f>
        <v>1</v>
      </c>
      <c r="E57" s="822">
        <v>0.7362</v>
      </c>
      <c r="F57" s="822">
        <v>0.2638</v>
      </c>
      <c r="I57" s="798" t="s">
        <v>245</v>
      </c>
      <c r="J57" s="799" t="s">
        <v>240</v>
      </c>
      <c r="L57" s="819">
        <f>M57+N57</f>
        <v>1</v>
      </c>
      <c r="M57" s="822">
        <v>0.7362</v>
      </c>
      <c r="N57" s="822">
        <v>0.2638</v>
      </c>
      <c r="Q57" s="798" t="s">
        <v>245</v>
      </c>
      <c r="R57" s="799" t="s">
        <v>240</v>
      </c>
      <c r="T57" s="819">
        <f>U57+V57</f>
        <v>1</v>
      </c>
      <c r="U57" s="822">
        <v>0.7292</v>
      </c>
      <c r="V57" s="822">
        <v>0.2708</v>
      </c>
    </row>
    <row r="58" spans="1:22" ht="11.25">
      <c r="A58" s="798" t="s">
        <v>237</v>
      </c>
      <c r="B58" s="799">
        <v>4</v>
      </c>
      <c r="D58" s="819">
        <f>E58+F58</f>
        <v>1</v>
      </c>
      <c r="E58" s="822">
        <v>0.69277</v>
      </c>
      <c r="F58" s="822">
        <v>0.30723</v>
      </c>
      <c r="I58" s="798" t="s">
        <v>237</v>
      </c>
      <c r="J58" s="799">
        <v>4</v>
      </c>
      <c r="L58" s="819">
        <f>M58+N58</f>
        <v>1</v>
      </c>
      <c r="M58" s="822">
        <v>0.69277</v>
      </c>
      <c r="N58" s="822">
        <v>0.30723</v>
      </c>
      <c r="Q58" s="798" t="s">
        <v>237</v>
      </c>
      <c r="R58" s="799">
        <v>4</v>
      </c>
      <c r="T58" s="819">
        <f>U58+V58</f>
        <v>1</v>
      </c>
      <c r="U58" s="822">
        <v>0.68735</v>
      </c>
      <c r="V58" s="822">
        <v>0.31265</v>
      </c>
    </row>
    <row r="59" spans="1:22" ht="11.25">
      <c r="A59" s="798" t="s">
        <v>246</v>
      </c>
      <c r="B59" s="799">
        <v>6</v>
      </c>
      <c r="D59" s="819">
        <f>E59+F59</f>
        <v>1</v>
      </c>
      <c r="E59" s="822">
        <v>0.73672</v>
      </c>
      <c r="F59" s="822">
        <v>0.26328</v>
      </c>
      <c r="I59" s="798" t="s">
        <v>246</v>
      </c>
      <c r="J59" s="799">
        <v>6</v>
      </c>
      <c r="L59" s="819">
        <f>M59+N59</f>
        <v>1</v>
      </c>
      <c r="M59" s="822">
        <v>0.73672</v>
      </c>
      <c r="N59" s="822">
        <v>0.26328</v>
      </c>
      <c r="Q59" s="798" t="s">
        <v>246</v>
      </c>
      <c r="R59" s="799">
        <v>6</v>
      </c>
      <c r="T59" s="819">
        <f>U59+V59</f>
        <v>1</v>
      </c>
      <c r="U59" s="822">
        <v>0.7178</v>
      </c>
      <c r="V59" s="822">
        <v>0.2822</v>
      </c>
    </row>
    <row r="60" spans="1:22" ht="11.25">
      <c r="A60" s="798" t="s">
        <v>239</v>
      </c>
      <c r="B60" s="799">
        <v>99</v>
      </c>
      <c r="D60" s="819">
        <f>E60+F60</f>
        <v>0</v>
      </c>
      <c r="E60" s="822">
        <v>0</v>
      </c>
      <c r="F60" s="822">
        <v>0</v>
      </c>
      <c r="I60" s="798" t="s">
        <v>239</v>
      </c>
      <c r="J60" s="799">
        <v>99</v>
      </c>
      <c r="L60" s="819">
        <f>M60+N60</f>
        <v>0</v>
      </c>
      <c r="M60" s="822">
        <v>0</v>
      </c>
      <c r="N60" s="822">
        <v>0</v>
      </c>
      <c r="Q60" s="798" t="s">
        <v>239</v>
      </c>
      <c r="R60" s="799">
        <v>99</v>
      </c>
      <c r="T60" s="819">
        <f>U60+V60</f>
        <v>0</v>
      </c>
      <c r="U60" s="822">
        <f>M60</f>
        <v>0</v>
      </c>
      <c r="V60" s="822">
        <f>N60</f>
        <v>0</v>
      </c>
    </row>
    <row r="63" spans="1:40" s="760" customFormat="1" ht="11.25">
      <c r="A63" s="801"/>
      <c r="B63" s="801" t="s">
        <v>212</v>
      </c>
      <c r="C63" s="801"/>
      <c r="D63" s="801" t="s">
        <v>127</v>
      </c>
      <c r="E63" s="801" t="s">
        <v>213</v>
      </c>
      <c r="F63" s="801" t="s">
        <v>214</v>
      </c>
      <c r="G63" s="801"/>
      <c r="H63" s="801"/>
      <c r="I63" s="801"/>
      <c r="J63" s="801" t="s">
        <v>212</v>
      </c>
      <c r="K63" s="801"/>
      <c r="L63" s="801" t="s">
        <v>127</v>
      </c>
      <c r="M63" s="801" t="s">
        <v>213</v>
      </c>
      <c r="N63" s="801" t="s">
        <v>214</v>
      </c>
      <c r="O63" s="801"/>
      <c r="P63" s="801"/>
      <c r="Q63" s="801"/>
      <c r="R63" s="801" t="s">
        <v>212</v>
      </c>
      <c r="S63" s="801"/>
      <c r="T63" s="801" t="s">
        <v>127</v>
      </c>
      <c r="U63" s="801" t="s">
        <v>213</v>
      </c>
      <c r="V63" s="801" t="s">
        <v>214</v>
      </c>
      <c r="W63" s="801"/>
      <c r="X63" s="855"/>
      <c r="Y63" s="855"/>
      <c r="Z63" s="855"/>
      <c r="AA63" s="855"/>
      <c r="AB63" s="855"/>
      <c r="AC63" s="855"/>
      <c r="AD63" s="855"/>
      <c r="AE63" s="855"/>
      <c r="AF63" s="855"/>
      <c r="AG63" s="855"/>
      <c r="AH63" s="855"/>
      <c r="AI63" s="855"/>
      <c r="AJ63" s="801"/>
      <c r="AK63" s="801"/>
      <c r="AL63" s="801"/>
      <c r="AM63" s="801"/>
      <c r="AN63" s="801"/>
    </row>
    <row r="64" spans="1:22" ht="11.25">
      <c r="A64" s="803" t="s">
        <v>247</v>
      </c>
      <c r="B64" s="804"/>
      <c r="C64" s="805"/>
      <c r="D64" s="805"/>
      <c r="E64" s="805"/>
      <c r="F64" s="805"/>
      <c r="I64" s="803" t="s">
        <v>247</v>
      </c>
      <c r="J64" s="804"/>
      <c r="K64" s="805"/>
      <c r="L64" s="805"/>
      <c r="M64" s="805"/>
      <c r="N64" s="805"/>
      <c r="Q64" s="803" t="s">
        <v>247</v>
      </c>
      <c r="R64" s="804"/>
      <c r="S64" s="805"/>
      <c r="T64" s="805"/>
      <c r="U64" s="805"/>
      <c r="V64" s="805"/>
    </row>
    <row r="66" spans="1:22" ht="11.25">
      <c r="A66" s="798" t="s">
        <v>217</v>
      </c>
      <c r="B66" s="799">
        <v>4</v>
      </c>
      <c r="D66" s="809">
        <v>0</v>
      </c>
      <c r="E66" s="810">
        <f>D66*VLOOKUP(B66,B84:F85,4)</f>
        <v>0</v>
      </c>
      <c r="F66" s="810">
        <f>D66*VLOOKUP(B66,B84:F85,5)</f>
        <v>0</v>
      </c>
      <c r="I66" s="798" t="s">
        <v>217</v>
      </c>
      <c r="J66" s="799">
        <v>4</v>
      </c>
      <c r="L66" s="809">
        <v>0</v>
      </c>
      <c r="M66" s="810">
        <f>L66*VLOOKUP(J66,J84:N85,4)</f>
        <v>0</v>
      </c>
      <c r="N66" s="810">
        <f>L66*VLOOKUP(J66,J84:N85,5)</f>
        <v>0</v>
      </c>
      <c r="Q66" s="798" t="s">
        <v>217</v>
      </c>
      <c r="R66" s="799">
        <v>4</v>
      </c>
      <c r="T66" s="809">
        <v>11969</v>
      </c>
      <c r="U66" s="810">
        <f>T66*VLOOKUP(R66,R84:V85,4)</f>
        <v>10518.237509999999</v>
      </c>
      <c r="V66" s="810">
        <f>T66*VLOOKUP(R66,R84:V85,5)</f>
        <v>1450.76249</v>
      </c>
    </row>
    <row r="67" spans="1:23" ht="11.25">
      <c r="A67" s="798" t="s">
        <v>76</v>
      </c>
      <c r="B67" s="799">
        <v>99</v>
      </c>
      <c r="D67" s="810">
        <f>E67+F67</f>
        <v>0</v>
      </c>
      <c r="E67" s="809">
        <v>0</v>
      </c>
      <c r="F67" s="809">
        <v>0</v>
      </c>
      <c r="G67" s="810"/>
      <c r="I67" s="798" t="s">
        <v>76</v>
      </c>
      <c r="J67" s="799">
        <v>99</v>
      </c>
      <c r="L67" s="810">
        <f>M67+N67</f>
        <v>0</v>
      </c>
      <c r="M67" s="809">
        <v>0</v>
      </c>
      <c r="N67" s="809">
        <v>0</v>
      </c>
      <c r="O67" s="810"/>
      <c r="Q67" s="798" t="s">
        <v>76</v>
      </c>
      <c r="R67" s="799">
        <v>99</v>
      </c>
      <c r="T67" s="810">
        <f>U67+V67</f>
        <v>0</v>
      </c>
      <c r="U67" s="809">
        <v>0</v>
      </c>
      <c r="V67" s="809">
        <v>0</v>
      </c>
      <c r="W67" s="810"/>
    </row>
    <row r="68" spans="1:22" ht="11.25">
      <c r="A68" s="798" t="s">
        <v>221</v>
      </c>
      <c r="B68" s="799">
        <v>99</v>
      </c>
      <c r="D68" s="810">
        <f>E68+F68</f>
        <v>0</v>
      </c>
      <c r="E68" s="809">
        <v>0</v>
      </c>
      <c r="F68" s="809">
        <v>0</v>
      </c>
      <c r="I68" s="798" t="s">
        <v>221</v>
      </c>
      <c r="J68" s="799">
        <v>99</v>
      </c>
      <c r="L68" s="810">
        <f>M68+N68</f>
        <v>0</v>
      </c>
      <c r="M68" s="809">
        <v>0</v>
      </c>
      <c r="N68" s="809">
        <v>0</v>
      </c>
      <c r="Q68" s="798" t="s">
        <v>221</v>
      </c>
      <c r="R68" s="799">
        <v>99</v>
      </c>
      <c r="T68" s="810">
        <f>U68+V68</f>
        <v>0</v>
      </c>
      <c r="U68" s="809">
        <v>0</v>
      </c>
      <c r="V68" s="809">
        <v>0</v>
      </c>
    </row>
    <row r="69" spans="1:23" ht="11.25">
      <c r="A69" s="798" t="s">
        <v>85</v>
      </c>
      <c r="B69" s="799">
        <v>99</v>
      </c>
      <c r="D69" s="810">
        <f>E69+F69</f>
        <v>390659</v>
      </c>
      <c r="E69" s="809">
        <v>390659</v>
      </c>
      <c r="F69" s="809">
        <v>0</v>
      </c>
      <c r="G69" s="810"/>
      <c r="I69" s="798" t="s">
        <v>85</v>
      </c>
      <c r="J69" s="799">
        <v>99</v>
      </c>
      <c r="L69" s="810">
        <f>M69+N69</f>
        <v>615839</v>
      </c>
      <c r="M69" s="809">
        <v>615839</v>
      </c>
      <c r="N69" s="809">
        <v>0</v>
      </c>
      <c r="O69" s="810"/>
      <c r="Q69" s="798" t="s">
        <v>85</v>
      </c>
      <c r="R69" s="799">
        <v>99</v>
      </c>
      <c r="T69" s="810">
        <f>U69+V69</f>
        <v>3600812</v>
      </c>
      <c r="U69" s="809">
        <v>3600812</v>
      </c>
      <c r="V69" s="809">
        <v>0</v>
      </c>
      <c r="W69" s="810"/>
    </row>
    <row r="70" spans="4:22" ht="11.25">
      <c r="D70" s="810"/>
      <c r="E70" s="810"/>
      <c r="F70" s="810"/>
      <c r="L70" s="810"/>
      <c r="M70" s="810"/>
      <c r="N70" s="810"/>
      <c r="T70" s="810"/>
      <c r="U70" s="810"/>
      <c r="V70" s="810"/>
    </row>
    <row r="71" spans="1:23" ht="11.25">
      <c r="A71" s="798" t="s">
        <v>227</v>
      </c>
      <c r="B71" s="799">
        <v>99</v>
      </c>
      <c r="D71" s="810">
        <f>E71+F71</f>
        <v>23652</v>
      </c>
      <c r="E71" s="809">
        <v>23652</v>
      </c>
      <c r="F71" s="809">
        <v>0</v>
      </c>
      <c r="G71" s="810"/>
      <c r="I71" s="798" t="s">
        <v>227</v>
      </c>
      <c r="J71" s="799">
        <v>99</v>
      </c>
      <c r="L71" s="810">
        <f>M71+N71</f>
        <v>35651</v>
      </c>
      <c r="M71" s="809">
        <v>35651</v>
      </c>
      <c r="N71" s="809">
        <v>0</v>
      </c>
      <c r="O71" s="810"/>
      <c r="Q71" s="798" t="s">
        <v>227</v>
      </c>
      <c r="R71" s="799">
        <v>99</v>
      </c>
      <c r="T71" s="810">
        <f>U71+V71</f>
        <v>51764</v>
      </c>
      <c r="U71" s="809">
        <v>51764</v>
      </c>
      <c r="V71" s="809">
        <v>0</v>
      </c>
      <c r="W71" s="810"/>
    </row>
    <row r="72" spans="1:22" ht="11.25">
      <c r="A72" s="798" t="s">
        <v>229</v>
      </c>
      <c r="B72" s="799">
        <v>4</v>
      </c>
      <c r="D72" s="809">
        <v>0</v>
      </c>
      <c r="E72" s="810">
        <f>D72*VLOOKUP(B72,B84:F85,4)</f>
        <v>0</v>
      </c>
      <c r="F72" s="810">
        <f>D72*VLOOKUP(B72,B84:F85,5)</f>
        <v>0</v>
      </c>
      <c r="I72" s="798" t="s">
        <v>229</v>
      </c>
      <c r="J72" s="799">
        <v>4</v>
      </c>
      <c r="L72" s="809">
        <v>0</v>
      </c>
      <c r="M72" s="810">
        <f>L72*VLOOKUP(J72,J84:N85,4)</f>
        <v>0</v>
      </c>
      <c r="N72" s="810">
        <f>L72*VLOOKUP(J72,J84:N85,5)</f>
        <v>0</v>
      </c>
      <c r="Q72" s="798" t="s">
        <v>229</v>
      </c>
      <c r="R72" s="799">
        <v>4</v>
      </c>
      <c r="T72" s="809">
        <v>0</v>
      </c>
      <c r="U72" s="810">
        <f>T72*VLOOKUP(R72,R84:V85,4)</f>
        <v>0</v>
      </c>
      <c r="V72" s="810">
        <f>T72*VLOOKUP(R72,R84:V85,5)</f>
        <v>0</v>
      </c>
    </row>
    <row r="73" spans="4:22" ht="11.25">
      <c r="D73" s="810"/>
      <c r="E73" s="810"/>
      <c r="F73" s="810"/>
      <c r="L73" s="810"/>
      <c r="M73" s="810"/>
      <c r="N73" s="810"/>
      <c r="T73" s="810"/>
      <c r="U73" s="810"/>
      <c r="V73" s="810"/>
    </row>
    <row r="74" spans="1:22" ht="11.25">
      <c r="A74" s="798" t="s">
        <v>241</v>
      </c>
      <c r="B74" s="799">
        <v>4</v>
      </c>
      <c r="D74" s="810">
        <f>G94</f>
        <v>406863.49554000003</v>
      </c>
      <c r="E74" s="810">
        <f>D74*VLOOKUP(B74,B84:F85,4)</f>
        <v>358621.69087382226</v>
      </c>
      <c r="F74" s="810">
        <f>D74*VLOOKUP(B74,B84:F85,5)</f>
        <v>48241.8046661778</v>
      </c>
      <c r="I74" s="798" t="s">
        <v>241</v>
      </c>
      <c r="J74" s="799">
        <v>4</v>
      </c>
      <c r="L74" s="810">
        <f>O94</f>
        <v>516835.43820000003</v>
      </c>
      <c r="M74" s="810">
        <f>L74*VLOOKUP(J74,J84:N85,4)</f>
        <v>455554.26029262604</v>
      </c>
      <c r="N74" s="810">
        <f>L74*VLOOKUP(J74,J84:N85,5)</f>
        <v>61281.177907374</v>
      </c>
      <c r="Q74" s="798" t="s">
        <v>241</v>
      </c>
      <c r="R74" s="799">
        <v>4</v>
      </c>
      <c r="T74" s="810">
        <f>W94</f>
        <v>669299.18056</v>
      </c>
      <c r="U74" s="810">
        <f>T74*VLOOKUP(R74,R84:V85,4)</f>
        <v>588173.4268843224</v>
      </c>
      <c r="V74" s="810">
        <f>T74*VLOOKUP(R74,R84:V85,5)</f>
        <v>81125.7536756776</v>
      </c>
    </row>
    <row r="75" spans="4:22" ht="11.25">
      <c r="D75" s="810"/>
      <c r="E75" s="810"/>
      <c r="F75" s="810"/>
      <c r="L75" s="810"/>
      <c r="M75" s="810"/>
      <c r="N75" s="810"/>
      <c r="T75" s="810"/>
      <c r="U75" s="810"/>
      <c r="V75" s="810"/>
    </row>
    <row r="76" spans="1:23" ht="11.25">
      <c r="A76" s="798" t="s">
        <v>248</v>
      </c>
      <c r="D76" s="810">
        <f>SUM(D66:D74)</f>
        <v>821174.49554</v>
      </c>
      <c r="E76" s="810">
        <f>SUM(E66:E74)</f>
        <v>772932.6908738222</v>
      </c>
      <c r="F76" s="810">
        <f>SUM(F66:F74)</f>
        <v>48241.8046661778</v>
      </c>
      <c r="G76" s="810"/>
      <c r="I76" s="798" t="s">
        <v>248</v>
      </c>
      <c r="L76" s="810">
        <f>SUM(L66:L74)</f>
        <v>1168325.4382</v>
      </c>
      <c r="M76" s="810">
        <f>SUM(M66:M74)</f>
        <v>1107044.260292626</v>
      </c>
      <c r="N76" s="810">
        <f>SUM(N66:N74)</f>
        <v>61281.177907374</v>
      </c>
      <c r="O76" s="810"/>
      <c r="Q76" s="798" t="s">
        <v>248</v>
      </c>
      <c r="T76" s="810">
        <f>SUM(T66:T74)</f>
        <v>4333844.18056</v>
      </c>
      <c r="U76" s="810">
        <f>SUM(U66:U74)</f>
        <v>4251267.664394323</v>
      </c>
      <c r="V76" s="810">
        <f>SUM(V66:V74)</f>
        <v>82576.51616567759</v>
      </c>
      <c r="W76" s="810"/>
    </row>
    <row r="77" spans="1:22" ht="11.25">
      <c r="A77" s="798" t="s">
        <v>233</v>
      </c>
      <c r="D77" s="819">
        <f>D76/D$76</f>
        <v>1</v>
      </c>
      <c r="E77" s="819">
        <f>E76/D$76</f>
        <v>0.9412526753714455</v>
      </c>
      <c r="F77" s="819">
        <f>F76/D$76</f>
        <v>0.05874732462855443</v>
      </c>
      <c r="I77" s="798" t="s">
        <v>233</v>
      </c>
      <c r="L77" s="819">
        <f>L76/L$76</f>
        <v>1</v>
      </c>
      <c r="M77" s="819">
        <f>M76/L$76</f>
        <v>0.9475478527611383</v>
      </c>
      <c r="N77" s="819">
        <f>N76/L$76</f>
        <v>0.05245214723886169</v>
      </c>
      <c r="Q77" s="798" t="s">
        <v>233</v>
      </c>
      <c r="T77" s="819">
        <f>T76/T$76</f>
        <v>1</v>
      </c>
      <c r="U77" s="819">
        <f>U76/T$76</f>
        <v>0.9809461271044112</v>
      </c>
      <c r="V77" s="819">
        <f>V76/T$76</f>
        <v>0.019053872895588835</v>
      </c>
    </row>
    <row r="79" spans="1:23" ht="11.25">
      <c r="A79" s="798" t="s">
        <v>249</v>
      </c>
      <c r="D79" s="809">
        <f>22124-12694</f>
        <v>9430</v>
      </c>
      <c r="E79" s="810">
        <f>D79*E77</f>
        <v>8876.012728752732</v>
      </c>
      <c r="F79" s="810">
        <f>D79*F77</f>
        <v>553.9872712472683</v>
      </c>
      <c r="G79" s="810"/>
      <c r="I79" s="798" t="s">
        <v>249</v>
      </c>
      <c r="L79" s="809">
        <f>24629+314599</f>
        <v>339228</v>
      </c>
      <c r="M79" s="810">
        <f>L79*M77</f>
        <v>321434.7629964554</v>
      </c>
      <c r="N79" s="810">
        <f>L79*N77</f>
        <v>17793.237003544575</v>
      </c>
      <c r="O79" s="810"/>
      <c r="Q79" s="798" t="s">
        <v>249</v>
      </c>
      <c r="T79" s="809">
        <f>375205+41133</f>
        <v>416338</v>
      </c>
      <c r="U79" s="810">
        <f>T79*U77</f>
        <v>408405.14866639633</v>
      </c>
      <c r="V79" s="810">
        <f>T79*V77</f>
        <v>7932.851333603665</v>
      </c>
      <c r="W79" s="810"/>
    </row>
    <row r="81" spans="1:23" ht="11.25">
      <c r="A81" s="798" t="s">
        <v>224</v>
      </c>
      <c r="D81" s="820">
        <f>D76+D79</f>
        <v>830604.49554</v>
      </c>
      <c r="E81" s="820">
        <f>E76+E79</f>
        <v>781808.7036025749</v>
      </c>
      <c r="F81" s="820">
        <f>F76+F79</f>
        <v>48795.79193742507</v>
      </c>
      <c r="G81" s="810"/>
      <c r="I81" s="798" t="s">
        <v>224</v>
      </c>
      <c r="L81" s="820">
        <f>L76+L79</f>
        <v>1507553.4382</v>
      </c>
      <c r="M81" s="820">
        <f>M76+M79</f>
        <v>1428479.0232890814</v>
      </c>
      <c r="N81" s="820">
        <f>N76+N79</f>
        <v>79074.41491091858</v>
      </c>
      <c r="O81" s="810"/>
      <c r="Q81" s="798" t="s">
        <v>224</v>
      </c>
      <c r="T81" s="820">
        <f>T76+T79</f>
        <v>4750182.18056</v>
      </c>
      <c r="U81" s="820">
        <f>U76+U79</f>
        <v>4659672.8130607195</v>
      </c>
      <c r="V81" s="820">
        <f>V76+V79</f>
        <v>90509.36749928126</v>
      </c>
      <c r="W81" s="810"/>
    </row>
    <row r="83" spans="1:17" ht="11.25">
      <c r="A83" s="821" t="s">
        <v>250</v>
      </c>
      <c r="I83" s="821" t="s">
        <v>250</v>
      </c>
      <c r="Q83" s="821" t="s">
        <v>250</v>
      </c>
    </row>
    <row r="84" spans="1:22" ht="11.25">
      <c r="A84" s="798" t="s">
        <v>237</v>
      </c>
      <c r="B84" s="799">
        <v>4</v>
      </c>
      <c r="D84" s="819">
        <f>E84+F84</f>
        <v>1</v>
      </c>
      <c r="E84" s="824">
        <v>0.88143</v>
      </c>
      <c r="F84" s="824">
        <v>0.11857</v>
      </c>
      <c r="I84" s="798" t="s">
        <v>237</v>
      </c>
      <c r="J84" s="799">
        <v>4</v>
      </c>
      <c r="L84" s="819">
        <f>M84+N84</f>
        <v>1</v>
      </c>
      <c r="M84" s="824">
        <v>0.88143</v>
      </c>
      <c r="N84" s="824">
        <v>0.11857</v>
      </c>
      <c r="Q84" s="798" t="s">
        <v>237</v>
      </c>
      <c r="R84" s="799">
        <v>4</v>
      </c>
      <c r="T84" s="819">
        <f>U84+V84</f>
        <v>1</v>
      </c>
      <c r="U84" s="822">
        <v>0.87879</v>
      </c>
      <c r="V84" s="822">
        <v>0.12121</v>
      </c>
    </row>
    <row r="85" spans="1:22" ht="11.25">
      <c r="A85" s="798" t="s">
        <v>239</v>
      </c>
      <c r="B85" s="799">
        <v>99</v>
      </c>
      <c r="D85" s="819">
        <f>E85+F85</f>
        <v>0</v>
      </c>
      <c r="E85" s="819">
        <v>0</v>
      </c>
      <c r="F85" s="819">
        <v>0</v>
      </c>
      <c r="I85" s="798" t="s">
        <v>239</v>
      </c>
      <c r="J85" s="799">
        <v>99</v>
      </c>
      <c r="L85" s="819">
        <f>M85+N85</f>
        <v>0</v>
      </c>
      <c r="M85" s="819">
        <v>0</v>
      </c>
      <c r="N85" s="819">
        <v>0</v>
      </c>
      <c r="Q85" s="798" t="s">
        <v>239</v>
      </c>
      <c r="R85" s="799">
        <v>99</v>
      </c>
      <c r="T85" s="819">
        <f>U85+V85</f>
        <v>0</v>
      </c>
      <c r="U85" s="819">
        <v>0</v>
      </c>
      <c r="V85" s="819">
        <v>0</v>
      </c>
    </row>
    <row r="88" spans="2:23" ht="11.25">
      <c r="B88" s="799" t="s">
        <v>212</v>
      </c>
      <c r="C88" s="799"/>
      <c r="D88" s="799" t="s">
        <v>251</v>
      </c>
      <c r="E88" s="799" t="s">
        <v>252</v>
      </c>
      <c r="F88" s="799" t="s">
        <v>253</v>
      </c>
      <c r="G88" s="799" t="s">
        <v>247</v>
      </c>
      <c r="J88" s="799" t="s">
        <v>212</v>
      </c>
      <c r="K88" s="799"/>
      <c r="L88" s="799" t="s">
        <v>251</v>
      </c>
      <c r="M88" s="799" t="s">
        <v>252</v>
      </c>
      <c r="N88" s="799" t="s">
        <v>253</v>
      </c>
      <c r="O88" s="799" t="s">
        <v>247</v>
      </c>
      <c r="R88" s="799" t="s">
        <v>212</v>
      </c>
      <c r="S88" s="799"/>
      <c r="T88" s="799" t="s">
        <v>251</v>
      </c>
      <c r="U88" s="799" t="s">
        <v>252</v>
      </c>
      <c r="V88" s="799" t="s">
        <v>253</v>
      </c>
      <c r="W88" s="799" t="s">
        <v>247</v>
      </c>
    </row>
    <row r="89" spans="1:23" ht="11.25">
      <c r="A89" s="798" t="s">
        <v>254</v>
      </c>
      <c r="B89" s="804"/>
      <c r="C89" s="805"/>
      <c r="D89" s="805"/>
      <c r="E89" s="805"/>
      <c r="F89" s="805"/>
      <c r="G89" s="805"/>
      <c r="I89" s="798" t="s">
        <v>254</v>
      </c>
      <c r="J89" s="804"/>
      <c r="K89" s="805"/>
      <c r="L89" s="805"/>
      <c r="M89" s="805"/>
      <c r="N89" s="805"/>
      <c r="O89" s="805"/>
      <c r="Q89" s="798" t="s">
        <v>254</v>
      </c>
      <c r="R89" s="804"/>
      <c r="S89" s="805"/>
      <c r="T89" s="805"/>
      <c r="U89" s="805"/>
      <c r="V89" s="805"/>
      <c r="W89" s="805"/>
    </row>
    <row r="91" spans="1:23" ht="11.25">
      <c r="A91" s="798" t="s">
        <v>255</v>
      </c>
      <c r="B91" s="799">
        <v>7</v>
      </c>
      <c r="D91" s="809">
        <v>2798556</v>
      </c>
      <c r="E91" s="810">
        <f>D91*VLOOKUP(B91,B97:G99,4)</f>
        <v>2011518.0961200001</v>
      </c>
      <c r="F91" s="810">
        <f>D91*VLOOKUP(B91,B97:G99,5)</f>
        <v>517536.96108000004</v>
      </c>
      <c r="G91" s="810">
        <f>D91*VLOOKUP(B91,B97:G99,6)</f>
        <v>269500.9428</v>
      </c>
      <c r="I91" s="798" t="s">
        <v>255</v>
      </c>
      <c r="J91" s="799">
        <v>7</v>
      </c>
      <c r="L91" s="809">
        <v>4030212</v>
      </c>
      <c r="M91" s="810">
        <f>L91*VLOOKUP(J91,J97:O99,4)</f>
        <v>2896795.4792400002</v>
      </c>
      <c r="N91" s="810">
        <f>L91*VLOOKUP(J91,J97:O99,5)</f>
        <v>745307.10516</v>
      </c>
      <c r="O91" s="810">
        <f>L91*VLOOKUP(J91,J97:O99,6)</f>
        <v>388109.4156</v>
      </c>
      <c r="Q91" s="798" t="s">
        <v>255</v>
      </c>
      <c r="R91" s="799">
        <v>7</v>
      </c>
      <c r="T91" s="809">
        <v>5474492</v>
      </c>
      <c r="U91" s="810">
        <f>T91*VLOOKUP(R91,R97:W99,4)</f>
        <v>3940375.10684</v>
      </c>
      <c r="V91" s="810">
        <f>T91*VLOOKUP(R91,R97:W99,5)</f>
        <v>1028492.8120400001</v>
      </c>
      <c r="W91" s="810">
        <f>T91*VLOOKUP(R91,R97:W99,6)</f>
        <v>505624.08112</v>
      </c>
    </row>
    <row r="92" spans="1:23" ht="11.25">
      <c r="A92" s="798" t="s">
        <v>256</v>
      </c>
      <c r="B92" s="799">
        <v>8</v>
      </c>
      <c r="D92" s="809">
        <v>405271</v>
      </c>
      <c r="E92" s="810">
        <f>D92*VLOOKUP(B92,B97:G99,4)</f>
        <v>0</v>
      </c>
      <c r="F92" s="810">
        <f>D92*VLOOKUP(B92,B97:G99,5)</f>
        <v>267908.44726</v>
      </c>
      <c r="G92" s="810">
        <f>D92*VLOOKUP(B92,B97:G99,6)</f>
        <v>137362.55274</v>
      </c>
      <c r="I92" s="798" t="s">
        <v>256</v>
      </c>
      <c r="J92" s="799">
        <v>8</v>
      </c>
      <c r="L92" s="809">
        <v>379790</v>
      </c>
      <c r="M92" s="810">
        <f>L92*VLOOKUP(J92,J97:O99,4)</f>
        <v>0</v>
      </c>
      <c r="N92" s="810">
        <f>L92*VLOOKUP(J92,J97:O99,5)</f>
        <v>251063.9774</v>
      </c>
      <c r="O92" s="810">
        <f>L92*VLOOKUP(J92,J97:O99,6)</f>
        <v>128726.02260000001</v>
      </c>
      <c r="Q92" s="798" t="s">
        <v>256</v>
      </c>
      <c r="R92" s="799">
        <v>8</v>
      </c>
      <c r="T92" s="809">
        <v>514168</v>
      </c>
      <c r="U92" s="810">
        <f>T92*VLOOKUP(R92,R97:W99,4)</f>
        <v>0</v>
      </c>
      <c r="V92" s="810">
        <f>T92*VLOOKUP(R92,R97:W99,5)</f>
        <v>350492.90056</v>
      </c>
      <c r="W92" s="810">
        <f>T92*VLOOKUP(R92,R97:W99,6)</f>
        <v>163675.09944</v>
      </c>
    </row>
    <row r="93" spans="1:23" ht="11.25">
      <c r="A93" s="798" t="s">
        <v>257</v>
      </c>
      <c r="B93" s="799">
        <v>9</v>
      </c>
      <c r="D93" s="809">
        <v>423637</v>
      </c>
      <c r="E93" s="810">
        <f>D93*VLOOKUP(B93,B97:G99,4)</f>
        <v>340803.25739</v>
      </c>
      <c r="F93" s="810">
        <f>D93*VLOOKUP(B93,B97:G99,5)</f>
        <v>82833.74261</v>
      </c>
      <c r="G93" s="810">
        <f>D93*VLOOKUP(B93,B97:G99,6)</f>
        <v>0</v>
      </c>
      <c r="I93" s="798" t="s">
        <v>257</v>
      </c>
      <c r="J93" s="799">
        <v>9</v>
      </c>
      <c r="L93" s="809">
        <v>77352</v>
      </c>
      <c r="M93" s="810">
        <f>L93*VLOOKUP(J93,J97:O99,4)</f>
        <v>62227.36344</v>
      </c>
      <c r="N93" s="810">
        <f>L93*VLOOKUP(J93,J97:O99,5)</f>
        <v>15124.63656</v>
      </c>
      <c r="O93" s="810">
        <f>L93*VLOOKUP(J93,J97:O99,6)</f>
        <v>0</v>
      </c>
      <c r="Q93" s="798" t="s">
        <v>257</v>
      </c>
      <c r="R93" s="799">
        <v>9</v>
      </c>
      <c r="T93" s="809">
        <v>344312</v>
      </c>
      <c r="U93" s="810">
        <f>T93*VLOOKUP(R93,R97:W99,4)</f>
        <v>274561.27504</v>
      </c>
      <c r="V93" s="810">
        <f>T93*VLOOKUP(R93,R97:W99,5)</f>
        <v>69750.72496</v>
      </c>
      <c r="W93" s="810">
        <f>T93*VLOOKUP(R93,R97:W99,6)</f>
        <v>0</v>
      </c>
    </row>
    <row r="94" spans="1:23" ht="11.25">
      <c r="A94" s="798" t="s">
        <v>258</v>
      </c>
      <c r="D94" s="825">
        <f>SUM(D91:D93)</f>
        <v>3627464</v>
      </c>
      <c r="E94" s="825">
        <f>SUM(E91:E93)</f>
        <v>2352321.3535100003</v>
      </c>
      <c r="F94" s="825">
        <f>SUM(F91:F93)</f>
        <v>868279.15095</v>
      </c>
      <c r="G94" s="825">
        <f>SUM(G91:G93)</f>
        <v>406863.49554000003</v>
      </c>
      <c r="I94" s="798" t="s">
        <v>258</v>
      </c>
      <c r="L94" s="825">
        <f>SUM(L91:L93)</f>
        <v>4487354</v>
      </c>
      <c r="M94" s="825">
        <f>SUM(M91:M93)</f>
        <v>2959022.8426800002</v>
      </c>
      <c r="N94" s="825">
        <f>SUM(N91:N93)</f>
        <v>1011495.71912</v>
      </c>
      <c r="O94" s="825">
        <f>SUM(O91:O93)</f>
        <v>516835.43820000003</v>
      </c>
      <c r="Q94" s="798" t="s">
        <v>258</v>
      </c>
      <c r="T94" s="825">
        <f>SUM(T91:T93)</f>
        <v>6332972</v>
      </c>
      <c r="U94" s="825">
        <f>SUM(U91:U93)</f>
        <v>4214936.38188</v>
      </c>
      <c r="V94" s="825">
        <f>SUM(V91:V93)</f>
        <v>1448736.4375600002</v>
      </c>
      <c r="W94" s="825">
        <f>SUM(W91:W93)</f>
        <v>669299.18056</v>
      </c>
    </row>
    <row r="96" spans="1:17" ht="11.25">
      <c r="A96" s="799" t="s">
        <v>259</v>
      </c>
      <c r="I96" s="799" t="s">
        <v>259</v>
      </c>
      <c r="Q96" s="799" t="s">
        <v>259</v>
      </c>
    </row>
    <row r="97" spans="1:23" ht="11.25">
      <c r="A97" s="798" t="s">
        <v>260</v>
      </c>
      <c r="B97" s="799">
        <v>7</v>
      </c>
      <c r="D97" s="819">
        <f>E97+F97+G97</f>
        <v>1</v>
      </c>
      <c r="E97" s="824">
        <v>0.71877</v>
      </c>
      <c r="F97" s="824">
        <v>0.18493</v>
      </c>
      <c r="G97" s="824">
        <v>0.0963</v>
      </c>
      <c r="I97" s="798" t="s">
        <v>260</v>
      </c>
      <c r="J97" s="799">
        <v>7</v>
      </c>
      <c r="L97" s="819">
        <f>M97+N97+O97</f>
        <v>1</v>
      </c>
      <c r="M97" s="824">
        <v>0.71877</v>
      </c>
      <c r="N97" s="824">
        <v>0.18493</v>
      </c>
      <c r="O97" s="824">
        <v>0.0963</v>
      </c>
      <c r="Q97" s="798" t="s">
        <v>260</v>
      </c>
      <c r="R97" s="799">
        <v>7</v>
      </c>
      <c r="T97" s="819">
        <f>U97+V97+W97</f>
        <v>1</v>
      </c>
      <c r="U97" s="824">
        <v>0.71977</v>
      </c>
      <c r="V97" s="824">
        <v>0.18787</v>
      </c>
      <c r="W97" s="824">
        <v>0.09236</v>
      </c>
    </row>
    <row r="98" spans="1:23" ht="11.25">
      <c r="A98" s="798" t="s">
        <v>261</v>
      </c>
      <c r="B98" s="799">
        <v>8</v>
      </c>
      <c r="D98" s="819">
        <f>E98+F98+G98</f>
        <v>1</v>
      </c>
      <c r="E98" s="824">
        <v>0</v>
      </c>
      <c r="F98" s="824">
        <v>0.66106</v>
      </c>
      <c r="G98" s="824">
        <v>0.33894</v>
      </c>
      <c r="I98" s="798" t="s">
        <v>261</v>
      </c>
      <c r="J98" s="799">
        <v>8</v>
      </c>
      <c r="L98" s="819">
        <f>M98+N98+O98</f>
        <v>1</v>
      </c>
      <c r="M98" s="824">
        <v>0</v>
      </c>
      <c r="N98" s="824">
        <v>0.66106</v>
      </c>
      <c r="O98" s="824">
        <v>0.33894</v>
      </c>
      <c r="Q98" s="798" t="s">
        <v>261</v>
      </c>
      <c r="R98" s="799">
        <v>8</v>
      </c>
      <c r="T98" s="819">
        <f>U98+V98+W98</f>
        <v>1</v>
      </c>
      <c r="U98" s="824">
        <v>0</v>
      </c>
      <c r="V98" s="824">
        <v>0.68167</v>
      </c>
      <c r="W98" s="824">
        <v>0.31833</v>
      </c>
    </row>
    <row r="99" spans="1:23" ht="11.25">
      <c r="A99" s="798" t="s">
        <v>262</v>
      </c>
      <c r="B99" s="799">
        <v>9</v>
      </c>
      <c r="D99" s="819">
        <f>E99+F99+G99</f>
        <v>1</v>
      </c>
      <c r="E99" s="824">
        <v>0.80447</v>
      </c>
      <c r="F99" s="824">
        <v>0.19553</v>
      </c>
      <c r="G99" s="824">
        <v>0</v>
      </c>
      <c r="I99" s="798" t="s">
        <v>262</v>
      </c>
      <c r="J99" s="799">
        <v>9</v>
      </c>
      <c r="L99" s="819">
        <f>M99+N99+O99</f>
        <v>1</v>
      </c>
      <c r="M99" s="824">
        <v>0.80447</v>
      </c>
      <c r="N99" s="824">
        <v>0.19553</v>
      </c>
      <c r="O99" s="824">
        <v>0</v>
      </c>
      <c r="Q99" s="798" t="s">
        <v>262</v>
      </c>
      <c r="R99" s="799">
        <v>9</v>
      </c>
      <c r="T99" s="819">
        <f>U99+V99+W99</f>
        <v>1</v>
      </c>
      <c r="U99" s="824">
        <v>0.79742</v>
      </c>
      <c r="V99" s="824">
        <v>0.20258</v>
      </c>
      <c r="W99" s="824">
        <v>0</v>
      </c>
    </row>
    <row r="102" spans="1:22" ht="11.25">
      <c r="A102" s="803"/>
      <c r="B102" s="798"/>
      <c r="D102" s="799"/>
      <c r="E102" s="799"/>
      <c r="F102" s="799"/>
      <c r="I102" s="803"/>
      <c r="J102" s="798"/>
      <c r="L102" s="799"/>
      <c r="M102" s="799"/>
      <c r="N102" s="799"/>
      <c r="Q102" s="803"/>
      <c r="R102" s="798"/>
      <c r="T102" s="799"/>
      <c r="U102" s="799"/>
      <c r="V102" s="799"/>
    </row>
    <row r="103" spans="2:22" ht="11.25">
      <c r="B103" s="798"/>
      <c r="D103" s="810"/>
      <c r="E103" s="810"/>
      <c r="F103" s="810"/>
      <c r="J103" s="798"/>
      <c r="L103" s="810"/>
      <c r="M103" s="810"/>
      <c r="N103" s="810"/>
      <c r="R103" s="798"/>
      <c r="T103" s="810"/>
      <c r="U103" s="810"/>
      <c r="V103" s="810"/>
    </row>
    <row r="104" spans="2:22" ht="11.25">
      <c r="B104" s="798"/>
      <c r="D104" s="810"/>
      <c r="E104" s="810"/>
      <c r="F104" s="810"/>
      <c r="J104" s="798"/>
      <c r="L104" s="810"/>
      <c r="M104" s="810"/>
      <c r="N104" s="810"/>
      <c r="R104" s="798"/>
      <c r="T104" s="810"/>
      <c r="U104" s="810"/>
      <c r="V104" s="810"/>
    </row>
    <row r="105" spans="2:22" ht="11.25">
      <c r="B105" s="798"/>
      <c r="D105" s="810">
        <f>D25+D54+D81</f>
        <v>49615387</v>
      </c>
      <c r="E105" s="810"/>
      <c r="F105" s="810"/>
      <c r="J105" s="798"/>
      <c r="L105" s="810">
        <f>L25+L54+L81</f>
        <v>37909048</v>
      </c>
      <c r="M105" s="810"/>
      <c r="N105" s="810"/>
      <c r="R105" s="798"/>
      <c r="T105" s="810">
        <f>T25+T54+T81</f>
        <v>49895112</v>
      </c>
      <c r="U105" s="810"/>
      <c r="V105" s="810"/>
    </row>
    <row r="106" spans="2:22" ht="11.25">
      <c r="B106" s="798"/>
      <c r="D106" s="812">
        <f>49191647+423742</f>
        <v>49615389</v>
      </c>
      <c r="E106" s="812"/>
      <c r="F106" s="812"/>
      <c r="J106" s="798"/>
      <c r="L106" s="812">
        <f>990717.58+36918328</f>
        <v>37909045.58</v>
      </c>
      <c r="M106" s="812"/>
      <c r="N106" s="812"/>
      <c r="R106" s="798"/>
      <c r="T106" s="812">
        <f>4080884+45814230</f>
        <v>49895114</v>
      </c>
      <c r="U106" s="812"/>
      <c r="V106" s="812"/>
    </row>
    <row r="107" spans="2:20" ht="11.25">
      <c r="B107" s="798"/>
      <c r="D107" s="810">
        <f>D106-D105</f>
        <v>2</v>
      </c>
      <c r="J107" s="798"/>
      <c r="L107" s="810">
        <f>L106-L105</f>
        <v>-2.4200000017881393</v>
      </c>
      <c r="R107" s="798"/>
      <c r="T107" s="810">
        <f>T106-T105</f>
        <v>2</v>
      </c>
    </row>
    <row r="108" spans="1:22" ht="11.25">
      <c r="A108" s="801"/>
      <c r="B108" s="798"/>
      <c r="D108" s="819"/>
      <c r="E108" s="819"/>
      <c r="F108" s="819"/>
      <c r="I108" s="801"/>
      <c r="J108" s="798"/>
      <c r="L108" s="819"/>
      <c r="M108" s="819"/>
      <c r="N108" s="819"/>
      <c r="Q108" s="801"/>
      <c r="R108" s="798"/>
      <c r="T108" s="819"/>
      <c r="U108" s="819"/>
      <c r="V108" s="819"/>
    </row>
    <row r="109" spans="2:22" ht="11.25">
      <c r="B109" s="798"/>
      <c r="D109" s="819"/>
      <c r="E109" s="819"/>
      <c r="F109" s="819"/>
      <c r="J109" s="798"/>
      <c r="L109" s="819"/>
      <c r="M109" s="819"/>
      <c r="N109" s="819"/>
      <c r="R109" s="798"/>
      <c r="T109" s="819"/>
      <c r="U109" s="819"/>
      <c r="V109" s="819"/>
    </row>
    <row r="110" spans="2:22" ht="11.25">
      <c r="B110" s="798"/>
      <c r="D110" s="819"/>
      <c r="E110" s="819"/>
      <c r="F110" s="819"/>
      <c r="J110" s="798"/>
      <c r="L110" s="819"/>
      <c r="M110" s="819"/>
      <c r="N110" s="819"/>
      <c r="R110" s="798"/>
      <c r="T110" s="819"/>
      <c r="U110" s="819"/>
      <c r="V110" s="819"/>
    </row>
  </sheetData>
  <printOptions horizontalCentered="1"/>
  <pageMargins left="0.75" right="0.75" top="0.5" bottom="0.5" header="0.5" footer="0.5"/>
  <pageSetup horizontalDpi="300" verticalDpi="300" orientation="portrait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32">
      <selection activeCell="F35" sqref="F35:G35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411" t="s">
        <v>297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411" t="s">
        <v>298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/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-6</v>
      </c>
      <c r="F17" s="423">
        <v>-4</v>
      </c>
      <c r="G17" s="423">
        <v>-2</v>
      </c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-6</v>
      </c>
      <c r="F19" s="423">
        <f>SUM(F16:F18)</f>
        <v>-4</v>
      </c>
      <c r="G19" s="423">
        <f>SUM(G16:G18)</f>
        <v>-2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-111</v>
      </c>
      <c r="F26" s="423">
        <v>-79</v>
      </c>
      <c r="G26" s="423">
        <v>-32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1</v>
      </c>
      <c r="F28" s="424"/>
      <c r="G28" s="877">
        <f>F113</f>
        <v>1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-110</v>
      </c>
      <c r="F29" s="423">
        <f>SUM(F26:F28)</f>
        <v>-79</v>
      </c>
      <c r="G29" s="423">
        <f>SUM(G26:G28)</f>
        <v>-31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-65</v>
      </c>
      <c r="F31" s="423">
        <v>-43</v>
      </c>
      <c r="G31" s="423">
        <v>-22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-2</v>
      </c>
      <c r="F32" s="423">
        <v>-1</v>
      </c>
      <c r="G32" s="423">
        <v>-1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-8</v>
      </c>
      <c r="F33" s="423">
        <v>-5</v>
      </c>
      <c r="G33" s="423">
        <v>-3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-66</v>
      </c>
      <c r="F35" s="423">
        <v>-45</v>
      </c>
      <c r="G35" s="423">
        <v>-21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-66</v>
      </c>
      <c r="F38" s="424">
        <f>SUM(F35:F37)</f>
        <v>-45</v>
      </c>
      <c r="G38" s="424">
        <f>SUM(G35:G37)</f>
        <v>-21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-257</v>
      </c>
      <c r="F39" s="424">
        <f>F19+F24+F29+F31+F32+F33+F38+F14</f>
        <v>-177</v>
      </c>
      <c r="G39" s="424">
        <f>G19+G24+G29+G31+G32+G33+G38+G14</f>
        <v>-80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257</v>
      </c>
      <c r="F41" s="423">
        <f>F11-F39</f>
        <v>177</v>
      </c>
      <c r="G41" s="423">
        <f>G11-G39</f>
        <v>80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90</v>
      </c>
      <c r="F44" s="423">
        <f>ROUND(F41*D44,0)</f>
        <v>62</v>
      </c>
      <c r="G44" s="423">
        <f>ROUND(G41*D44,0)</f>
        <v>28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167</v>
      </c>
      <c r="F48" s="430">
        <f>F41-F44+F45+F46</f>
        <v>115</v>
      </c>
      <c r="G48" s="430">
        <f>G41-SUM(G44:G46)</f>
        <v>52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PENSION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PRO FORMA ADJUSTMENT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-2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-2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-32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-32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-22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-1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-3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-21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-21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-81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81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1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7">
      <selection activeCell="G36" sqref="G36"/>
    </sheetView>
  </sheetViews>
  <sheetFormatPr defaultColWidth="9.140625" defaultRowHeight="12" customHeight="1"/>
  <cols>
    <col min="1" max="1" width="5.57421875" style="559" customWidth="1"/>
    <col min="2" max="2" width="26.140625" style="559" customWidth="1"/>
    <col min="3" max="3" width="12.421875" style="559" customWidth="1"/>
    <col min="4" max="4" width="6.7109375" style="559" customWidth="1"/>
    <col min="5" max="5" width="12.421875" style="578" customWidth="1"/>
    <col min="6" max="6" width="12.421875" style="579" customWidth="1"/>
    <col min="7" max="7" width="12.421875" style="578" customWidth="1"/>
    <col min="8" max="8" width="12.421875" style="559" customWidth="1"/>
    <col min="9" max="16384" width="9.140625" style="562" customWidth="1"/>
  </cols>
  <sheetData>
    <row r="1" spans="1:7" ht="12" customHeight="1">
      <c r="A1" s="558" t="str">
        <f>Inputs!$D$6</f>
        <v>AVISTA UTILITIES</v>
      </c>
      <c r="B1" s="558"/>
      <c r="C1" s="558"/>
      <c r="E1" s="560"/>
      <c r="F1" s="561"/>
      <c r="G1" s="560"/>
    </row>
    <row r="2" spans="1:7" ht="12" customHeight="1">
      <c r="A2" s="558" t="s">
        <v>122</v>
      </c>
      <c r="B2" s="558"/>
      <c r="C2" s="558"/>
      <c r="E2" s="560"/>
      <c r="F2" s="563" t="s">
        <v>308</v>
      </c>
      <c r="G2" s="560"/>
    </row>
    <row r="3" spans="1:7" ht="12" customHeight="1">
      <c r="A3" s="558" t="str">
        <f>Inputs!$D$2</f>
        <v>TWELVE MONTHS ENDED DECEMBER 31, 2004</v>
      </c>
      <c r="B3" s="558"/>
      <c r="C3" s="558"/>
      <c r="E3" s="560"/>
      <c r="F3" s="563" t="s">
        <v>299</v>
      </c>
      <c r="G3" s="559"/>
    </row>
    <row r="4" spans="1:7" ht="12" customHeight="1">
      <c r="A4" s="558" t="s">
        <v>125</v>
      </c>
      <c r="B4" s="558"/>
      <c r="C4" s="558"/>
      <c r="E4" s="564"/>
      <c r="F4" s="565" t="s">
        <v>126</v>
      </c>
      <c r="G4" s="564"/>
    </row>
    <row r="5" spans="1:7" ht="12" customHeight="1">
      <c r="A5" s="566" t="s">
        <v>11</v>
      </c>
      <c r="E5" s="560"/>
      <c r="F5" s="563"/>
      <c r="G5" s="560"/>
    </row>
    <row r="6" spans="1:8" ht="12" customHeight="1">
      <c r="A6" s="567" t="s">
        <v>29</v>
      </c>
      <c r="B6" s="568" t="s">
        <v>114</v>
      </c>
      <c r="C6" s="568"/>
      <c r="E6" s="569" t="s">
        <v>127</v>
      </c>
      <c r="F6" s="570" t="s">
        <v>128</v>
      </c>
      <c r="G6" s="569" t="s">
        <v>129</v>
      </c>
      <c r="H6" s="571" t="s">
        <v>130</v>
      </c>
    </row>
    <row r="7" spans="1:7" ht="12" customHeight="1">
      <c r="A7" s="566"/>
      <c r="B7" s="559" t="s">
        <v>69</v>
      </c>
      <c r="E7" s="572"/>
      <c r="F7" s="563"/>
      <c r="G7" s="572"/>
    </row>
    <row r="8" spans="1:8" ht="12" customHeight="1">
      <c r="A8" s="566">
        <v>1</v>
      </c>
      <c r="B8" s="559" t="s">
        <v>131</v>
      </c>
      <c r="E8" s="573"/>
      <c r="F8" s="573"/>
      <c r="G8" s="573"/>
      <c r="H8" s="574" t="str">
        <f>IF(E8=F8+G8," ","ERROR")</f>
        <v> </v>
      </c>
    </row>
    <row r="9" spans="1:8" ht="12" customHeight="1">
      <c r="A9" s="566">
        <v>2</v>
      </c>
      <c r="B9" s="559" t="s">
        <v>132</v>
      </c>
      <c r="E9" s="575"/>
      <c r="F9" s="575"/>
      <c r="G9" s="575"/>
      <c r="H9" s="574" t="str">
        <f>IF(E9=F9+G9," ","ERROR")</f>
        <v> </v>
      </c>
    </row>
    <row r="10" spans="1:8" ht="12" customHeight="1">
      <c r="A10" s="566">
        <v>3</v>
      </c>
      <c r="B10" s="559" t="s">
        <v>72</v>
      </c>
      <c r="E10" s="576"/>
      <c r="F10" s="576"/>
      <c r="G10" s="576"/>
      <c r="H10" s="574" t="str">
        <f>IF(E10=F10+G10," ","ERROR")</f>
        <v> </v>
      </c>
    </row>
    <row r="11" spans="1:8" ht="12" customHeight="1">
      <c r="A11" s="566">
        <v>4</v>
      </c>
      <c r="B11" s="559" t="s">
        <v>133</v>
      </c>
      <c r="E11" s="575">
        <f>SUM(E8:E10)</f>
        <v>0</v>
      </c>
      <c r="F11" s="575">
        <f>SUM(F8:F10)</f>
        <v>0</v>
      </c>
      <c r="G11" s="575">
        <f>SUM(G8:G10)</f>
        <v>0</v>
      </c>
      <c r="H11" s="574" t="str">
        <f>IF(E11=F11+G11," ","ERROR")</f>
        <v> </v>
      </c>
    </row>
    <row r="12" spans="1:8" ht="12" customHeight="1">
      <c r="A12" s="566"/>
      <c r="E12" s="575"/>
      <c r="F12" s="575"/>
      <c r="G12" s="575"/>
      <c r="H12" s="574"/>
    </row>
    <row r="13" spans="1:8" ht="12" customHeight="1">
      <c r="A13" s="566"/>
      <c r="B13" s="559" t="s">
        <v>74</v>
      </c>
      <c r="E13" s="575"/>
      <c r="F13" s="575"/>
      <c r="G13" s="575"/>
      <c r="H13" s="574"/>
    </row>
    <row r="14" spans="1:8" ht="12" customHeight="1">
      <c r="A14" s="566">
        <v>5</v>
      </c>
      <c r="B14" s="559" t="s">
        <v>134</v>
      </c>
      <c r="E14" s="575"/>
      <c r="F14" s="575"/>
      <c r="G14" s="575"/>
      <c r="H14" s="574" t="str">
        <f>IF(E14=F14+G14," ","ERROR")</f>
        <v> </v>
      </c>
    </row>
    <row r="15" spans="1:8" ht="12" customHeight="1">
      <c r="A15" s="566"/>
      <c r="B15" s="559" t="s">
        <v>76</v>
      </c>
      <c r="E15" s="575"/>
      <c r="F15" s="575"/>
      <c r="G15" s="575"/>
      <c r="H15" s="574"/>
    </row>
    <row r="16" spans="1:8" ht="12" customHeight="1">
      <c r="A16" s="566">
        <v>6</v>
      </c>
      <c r="B16" s="559" t="s">
        <v>135</v>
      </c>
      <c r="E16" s="575"/>
      <c r="F16" s="575"/>
      <c r="G16" s="575"/>
      <c r="H16" s="574" t="str">
        <f>IF(E16=F16+G16," ","ERROR")</f>
        <v> </v>
      </c>
    </row>
    <row r="17" spans="1:8" ht="12" customHeight="1">
      <c r="A17" s="566">
        <v>7</v>
      </c>
      <c r="B17" s="559" t="s">
        <v>136</v>
      </c>
      <c r="E17" s="575"/>
      <c r="F17" s="575"/>
      <c r="G17" s="575"/>
      <c r="H17" s="574" t="str">
        <f>IF(E17=F17+G17," ","ERROR")</f>
        <v> </v>
      </c>
    </row>
    <row r="18" spans="1:8" ht="12" customHeight="1">
      <c r="A18" s="566">
        <v>8</v>
      </c>
      <c r="B18" s="559" t="s">
        <v>137</v>
      </c>
      <c r="E18" s="576"/>
      <c r="F18" s="576"/>
      <c r="G18" s="576"/>
      <c r="H18" s="574" t="str">
        <f>IF(E18=F18+G18," ","ERROR")</f>
        <v> </v>
      </c>
    </row>
    <row r="19" spans="1:8" ht="12" customHeight="1">
      <c r="A19" s="566">
        <v>9</v>
      </c>
      <c r="B19" s="559" t="s">
        <v>138</v>
      </c>
      <c r="E19" s="575">
        <f>SUM(E16:E18)</f>
        <v>0</v>
      </c>
      <c r="F19" s="575">
        <f>SUM(F16:F18)</f>
        <v>0</v>
      </c>
      <c r="G19" s="575">
        <f>SUM(G16:G18)</f>
        <v>0</v>
      </c>
      <c r="H19" s="574" t="str">
        <f>IF(E19=F19+G19," ","ERROR")</f>
        <v> </v>
      </c>
    </row>
    <row r="20" spans="1:8" ht="12" customHeight="1">
      <c r="A20" s="566"/>
      <c r="B20" s="559" t="s">
        <v>81</v>
      </c>
      <c r="E20" s="575"/>
      <c r="F20" s="575"/>
      <c r="G20" s="575"/>
      <c r="H20" s="574"/>
    </row>
    <row r="21" spans="1:8" ht="12" customHeight="1">
      <c r="A21" s="566">
        <v>10</v>
      </c>
      <c r="B21" s="559" t="s">
        <v>139</v>
      </c>
      <c r="E21" s="575"/>
      <c r="F21" s="575"/>
      <c r="G21" s="575"/>
      <c r="H21" s="574" t="str">
        <f>IF(E21=F21+G21," ","ERROR")</f>
        <v> </v>
      </c>
    </row>
    <row r="22" spans="1:8" ht="12" customHeight="1">
      <c r="A22" s="566">
        <v>11</v>
      </c>
      <c r="B22" s="559" t="s">
        <v>140</v>
      </c>
      <c r="E22" s="575"/>
      <c r="F22" s="575"/>
      <c r="G22" s="575"/>
      <c r="H22" s="574" t="str">
        <f>IF(E22=F22+G22," ","ERROR")</f>
        <v> </v>
      </c>
    </row>
    <row r="23" spans="1:8" ht="12" customHeight="1">
      <c r="A23" s="566">
        <v>12</v>
      </c>
      <c r="B23" s="559" t="s">
        <v>141</v>
      </c>
      <c r="E23" s="576"/>
      <c r="F23" s="576"/>
      <c r="G23" s="576"/>
      <c r="H23" s="574" t="str">
        <f>IF(E23=F23+G23," ","ERROR")</f>
        <v> </v>
      </c>
    </row>
    <row r="24" spans="1:8" ht="12" customHeight="1">
      <c r="A24" s="566">
        <v>13</v>
      </c>
      <c r="B24" s="559" t="s">
        <v>142</v>
      </c>
      <c r="E24" s="575">
        <f>SUM(E21:E23)</f>
        <v>0</v>
      </c>
      <c r="F24" s="575">
        <f>SUM(F21:F23)</f>
        <v>0</v>
      </c>
      <c r="G24" s="575">
        <f>SUM(G21:G23)</f>
        <v>0</v>
      </c>
      <c r="H24" s="574" t="str">
        <f>IF(E24=F24+G24," ","ERROR")</f>
        <v> </v>
      </c>
    </row>
    <row r="25" spans="1:8" ht="12" customHeight="1">
      <c r="A25" s="566"/>
      <c r="B25" s="559" t="s">
        <v>85</v>
      </c>
      <c r="E25" s="575"/>
      <c r="F25" s="575"/>
      <c r="G25" s="575"/>
      <c r="H25" s="574"/>
    </row>
    <row r="26" spans="1:8" ht="12" customHeight="1">
      <c r="A26" s="566">
        <v>14</v>
      </c>
      <c r="B26" s="559" t="s">
        <v>139</v>
      </c>
      <c r="E26" s="575"/>
      <c r="F26" s="575"/>
      <c r="G26" s="575"/>
      <c r="H26" s="574" t="str">
        <f>IF(E26=F26+G26," ","ERROR")</f>
        <v> </v>
      </c>
    </row>
    <row r="27" spans="1:8" ht="12" customHeight="1">
      <c r="A27" s="566">
        <v>15</v>
      </c>
      <c r="B27" s="559" t="s">
        <v>140</v>
      </c>
      <c r="E27" s="575"/>
      <c r="F27" s="575"/>
      <c r="G27" s="575"/>
      <c r="H27" s="574" t="str">
        <f>IF(E27=F27+G27," ","ERROR")</f>
        <v> </v>
      </c>
    </row>
    <row r="28" spans="1:8" ht="12" customHeight="1">
      <c r="A28" s="566">
        <v>16</v>
      </c>
      <c r="B28" s="559" t="s">
        <v>141</v>
      </c>
      <c r="E28" s="576">
        <f>F28+G28</f>
        <v>0</v>
      </c>
      <c r="F28" s="576"/>
      <c r="G28" s="576">
        <f>F113</f>
        <v>0</v>
      </c>
      <c r="H28" s="574" t="str">
        <f>IF(E28=F28+G28," ","ERROR")</f>
        <v> </v>
      </c>
    </row>
    <row r="29" spans="1:8" ht="12" customHeight="1">
      <c r="A29" s="566">
        <v>17</v>
      </c>
      <c r="B29" s="559" t="s">
        <v>143</v>
      </c>
      <c r="E29" s="575">
        <f>SUM(E26:E28)</f>
        <v>0</v>
      </c>
      <c r="F29" s="575">
        <f>SUM(F26:F28)</f>
        <v>0</v>
      </c>
      <c r="G29" s="575">
        <f>SUM(G26:G28)</f>
        <v>0</v>
      </c>
      <c r="H29" s="574" t="str">
        <f>IF(E29=F29+G29," ","ERROR")</f>
        <v> </v>
      </c>
    </row>
    <row r="30" spans="1:8" ht="12" customHeight="1">
      <c r="A30" s="566"/>
      <c r="E30" s="575"/>
      <c r="F30" s="575"/>
      <c r="G30" s="575"/>
      <c r="H30" s="574"/>
    </row>
    <row r="31" spans="1:8" ht="12" customHeight="1">
      <c r="A31" s="566">
        <v>18</v>
      </c>
      <c r="B31" s="559" t="s">
        <v>87</v>
      </c>
      <c r="E31" s="575"/>
      <c r="F31" s="575"/>
      <c r="G31" s="575"/>
      <c r="H31" s="574" t="str">
        <f>IF(E31=F31+G31," ","ERROR")</f>
        <v> </v>
      </c>
    </row>
    <row r="32" spans="1:8" ht="12" customHeight="1">
      <c r="A32" s="566">
        <v>19</v>
      </c>
      <c r="B32" s="559" t="s">
        <v>88</v>
      </c>
      <c r="E32" s="575"/>
      <c r="F32" s="575"/>
      <c r="G32" s="575"/>
      <c r="H32" s="574" t="str">
        <f>IF(E32=F32+G32," ","ERROR")</f>
        <v> </v>
      </c>
    </row>
    <row r="33" spans="1:8" ht="12" customHeight="1">
      <c r="A33" s="566">
        <v>20</v>
      </c>
      <c r="B33" s="559" t="s">
        <v>144</v>
      </c>
      <c r="E33" s="575"/>
      <c r="F33" s="575"/>
      <c r="G33" s="575"/>
      <c r="H33" s="574" t="str">
        <f>IF(E33=F33+G33," ","ERROR")</f>
        <v> </v>
      </c>
    </row>
    <row r="34" spans="1:8" ht="12" customHeight="1">
      <c r="A34" s="566"/>
      <c r="B34" s="559" t="s">
        <v>145</v>
      </c>
      <c r="E34" s="575"/>
      <c r="F34" s="575"/>
      <c r="G34" s="575"/>
      <c r="H34" s="574"/>
    </row>
    <row r="35" spans="1:8" ht="12" customHeight="1">
      <c r="A35" s="566">
        <v>21</v>
      </c>
      <c r="B35" s="559" t="s">
        <v>139</v>
      </c>
      <c r="E35" s="575">
        <f>F35+G35</f>
        <v>-112</v>
      </c>
      <c r="F35" s="575">
        <v>-112</v>
      </c>
      <c r="G35" s="575">
        <v>0</v>
      </c>
      <c r="H35" s="574" t="str">
        <f>IF(E35=F35+G35," ","ERROR")</f>
        <v> </v>
      </c>
    </row>
    <row r="36" spans="1:8" ht="12" customHeight="1">
      <c r="A36" s="566">
        <v>22</v>
      </c>
      <c r="B36" s="559" t="s">
        <v>140</v>
      </c>
      <c r="E36" s="575"/>
      <c r="F36" s="575"/>
      <c r="G36" s="575"/>
      <c r="H36" s="574" t="str">
        <f>IF(E36=F36+G36," ","ERROR")</f>
        <v> </v>
      </c>
    </row>
    <row r="37" spans="1:8" ht="12" customHeight="1">
      <c r="A37" s="566">
        <v>23</v>
      </c>
      <c r="B37" s="559" t="s">
        <v>141</v>
      </c>
      <c r="E37" s="576"/>
      <c r="F37" s="576"/>
      <c r="G37" s="576"/>
      <c r="H37" s="574" t="str">
        <f>IF(E37=F37+G37," ","ERROR")</f>
        <v> </v>
      </c>
    </row>
    <row r="38" spans="1:8" ht="12" customHeight="1">
      <c r="A38" s="566">
        <v>24</v>
      </c>
      <c r="B38" s="559" t="s">
        <v>146</v>
      </c>
      <c r="E38" s="576">
        <f>SUM(E35:E37)</f>
        <v>-112</v>
      </c>
      <c r="F38" s="576">
        <f>SUM(F35:F37)</f>
        <v>-112</v>
      </c>
      <c r="G38" s="576">
        <f>SUM(G35:G37)</f>
        <v>0</v>
      </c>
      <c r="H38" s="574" t="str">
        <f>IF(E38=F38+G38," ","ERROR")</f>
        <v> </v>
      </c>
    </row>
    <row r="39" spans="1:8" ht="12" customHeight="1">
      <c r="A39" s="566">
        <v>25</v>
      </c>
      <c r="B39" s="559" t="s">
        <v>92</v>
      </c>
      <c r="E39" s="576">
        <f>E19+E24+E29+E31+E32+E33+E38+E14</f>
        <v>-112</v>
      </c>
      <c r="F39" s="576">
        <f>F19+F24+F29+F31+F32+F33+F38+F14</f>
        <v>-112</v>
      </c>
      <c r="G39" s="576">
        <f>G19+G24+G29+G31+G32+G33+G38+G14</f>
        <v>0</v>
      </c>
      <c r="H39" s="574" t="str">
        <f>IF(E39=F39+G39," ","ERROR")</f>
        <v> </v>
      </c>
    </row>
    <row r="40" spans="1:8" ht="12" customHeight="1">
      <c r="A40" s="566"/>
      <c r="E40" s="575"/>
      <c r="F40" s="575"/>
      <c r="G40" s="575"/>
      <c r="H40" s="574"/>
    </row>
    <row r="41" spans="1:8" ht="12" customHeight="1">
      <c r="A41" s="566">
        <v>26</v>
      </c>
      <c r="B41" s="559" t="s">
        <v>147</v>
      </c>
      <c r="E41" s="575">
        <f>E11-E39</f>
        <v>112</v>
      </c>
      <c r="F41" s="575">
        <f>F11-F39</f>
        <v>112</v>
      </c>
      <c r="G41" s="575">
        <f>G11-G39</f>
        <v>0</v>
      </c>
      <c r="H41" s="574" t="str">
        <f>IF(E41=F41+G41," ","ERROR")</f>
        <v> </v>
      </c>
    </row>
    <row r="42" spans="1:8" ht="12" customHeight="1">
      <c r="A42" s="566"/>
      <c r="E42" s="575"/>
      <c r="F42" s="575"/>
      <c r="G42" s="575"/>
      <c r="H42" s="574"/>
    </row>
    <row r="43" spans="1:8" ht="12" customHeight="1">
      <c r="A43" s="566"/>
      <c r="B43" s="559" t="s">
        <v>148</v>
      </c>
      <c r="E43" s="575"/>
      <c r="F43" s="575"/>
      <c r="G43" s="575"/>
      <c r="H43" s="574"/>
    </row>
    <row r="44" spans="1:8" ht="12" customHeight="1">
      <c r="A44" s="566">
        <v>27</v>
      </c>
      <c r="B44" s="577" t="s">
        <v>163</v>
      </c>
      <c r="E44" s="575">
        <f>F44+G44</f>
        <v>39</v>
      </c>
      <c r="F44" s="575">
        <f>ROUND(F41*0.35,0)</f>
        <v>39</v>
      </c>
      <c r="G44" s="575">
        <f>ROUND(G41*0.35,0)</f>
        <v>0</v>
      </c>
      <c r="H44" s="574" t="str">
        <f>IF(E44=F44+G44," ","ERROR")</f>
        <v> </v>
      </c>
    </row>
    <row r="45" spans="1:8" ht="12" customHeight="1">
      <c r="A45" s="566">
        <v>28</v>
      </c>
      <c r="B45" s="559" t="s">
        <v>151</v>
      </c>
      <c r="E45" s="575"/>
      <c r="F45" s="575"/>
      <c r="G45" s="575"/>
      <c r="H45" s="574" t="str">
        <f>IF(E45=F45+G45," ","ERROR")</f>
        <v> </v>
      </c>
    </row>
    <row r="46" spans="1:8" ht="12" customHeight="1">
      <c r="A46" s="566">
        <v>29</v>
      </c>
      <c r="B46" s="559" t="s">
        <v>150</v>
      </c>
      <c r="E46" s="576"/>
      <c r="F46" s="576"/>
      <c r="G46" s="576"/>
      <c r="H46" s="574" t="str">
        <f>IF(E46=F46+G46," ","ERROR")</f>
        <v> </v>
      </c>
    </row>
    <row r="47" spans="1:8" ht="12" customHeight="1">
      <c r="A47" s="566"/>
      <c r="H47" s="574"/>
    </row>
    <row r="48" spans="1:8" ht="12" customHeight="1">
      <c r="A48" s="566">
        <v>30</v>
      </c>
      <c r="B48" s="580" t="s">
        <v>98</v>
      </c>
      <c r="E48" s="573">
        <f>E41-(+E44+E45+E46)</f>
        <v>73</v>
      </c>
      <c r="F48" s="573">
        <f>F41-F44+F45+F46</f>
        <v>73</v>
      </c>
      <c r="G48" s="573">
        <f>G41-SUM(G44:G46)</f>
        <v>0</v>
      </c>
      <c r="H48" s="574" t="str">
        <f>IF(E48=F48+G48," ","ERROR")</f>
        <v> </v>
      </c>
    </row>
    <row r="49" spans="1:8" ht="12" customHeight="1">
      <c r="A49" s="566"/>
      <c r="H49" s="574"/>
    </row>
    <row r="50" spans="1:8" ht="12" customHeight="1">
      <c r="A50" s="566"/>
      <c r="B50" s="577" t="s">
        <v>152</v>
      </c>
      <c r="H50" s="574"/>
    </row>
    <row r="51" spans="1:8" ht="12" customHeight="1">
      <c r="A51" s="566"/>
      <c r="B51" s="577" t="s">
        <v>153</v>
      </c>
      <c r="H51" s="574"/>
    </row>
    <row r="52" spans="1:8" ht="12" customHeight="1">
      <c r="A52" s="566">
        <v>31</v>
      </c>
      <c r="B52" s="559" t="s">
        <v>154</v>
      </c>
      <c r="E52" s="573"/>
      <c r="F52" s="573"/>
      <c r="G52" s="573"/>
      <c r="H52" s="574" t="str">
        <f aca="true" t="shared" si="0" ref="H52:H63">IF(E52=F52+G52," ","ERROR")</f>
        <v> </v>
      </c>
    </row>
    <row r="53" spans="1:8" ht="12" customHeight="1">
      <c r="A53" s="566">
        <v>32</v>
      </c>
      <c r="B53" s="559" t="s">
        <v>155</v>
      </c>
      <c r="E53" s="575"/>
      <c r="F53" s="575"/>
      <c r="G53" s="575"/>
      <c r="H53" s="574" t="str">
        <f t="shared" si="0"/>
        <v> </v>
      </c>
    </row>
    <row r="54" spans="1:8" ht="12" customHeight="1">
      <c r="A54" s="566">
        <v>33</v>
      </c>
      <c r="B54" s="559" t="s">
        <v>164</v>
      </c>
      <c r="E54" s="576"/>
      <c r="F54" s="576"/>
      <c r="G54" s="576"/>
      <c r="H54" s="574" t="str">
        <f t="shared" si="0"/>
        <v> </v>
      </c>
    </row>
    <row r="55" spans="1:8" ht="12" customHeight="1">
      <c r="A55" s="566">
        <v>34</v>
      </c>
      <c r="B55" s="559" t="s">
        <v>157</v>
      </c>
      <c r="E55" s="575">
        <f>SUM(E52:E54)</f>
        <v>0</v>
      </c>
      <c r="F55" s="575">
        <f>SUM(F52:F54)</f>
        <v>0</v>
      </c>
      <c r="G55" s="575">
        <f>SUM(G52:G54)</f>
        <v>0</v>
      </c>
      <c r="H55" s="574" t="str">
        <f t="shared" si="0"/>
        <v> </v>
      </c>
    </row>
    <row r="56" spans="1:8" ht="12" customHeight="1">
      <c r="A56" s="566"/>
      <c r="B56" s="559" t="s">
        <v>103</v>
      </c>
      <c r="E56" s="575"/>
      <c r="F56" s="575"/>
      <c r="G56" s="575"/>
      <c r="H56" s="574" t="str">
        <f t="shared" si="0"/>
        <v> </v>
      </c>
    </row>
    <row r="57" spans="1:8" ht="12" customHeight="1">
      <c r="A57" s="566">
        <v>35</v>
      </c>
      <c r="B57" s="559" t="s">
        <v>154</v>
      </c>
      <c r="E57" s="575"/>
      <c r="F57" s="575"/>
      <c r="G57" s="575"/>
      <c r="H57" s="574" t="str">
        <f t="shared" si="0"/>
        <v> </v>
      </c>
    </row>
    <row r="58" spans="1:8" ht="12" customHeight="1">
      <c r="A58" s="566">
        <v>36</v>
      </c>
      <c r="B58" s="559" t="s">
        <v>155</v>
      </c>
      <c r="E58" s="575"/>
      <c r="F58" s="575"/>
      <c r="G58" s="575"/>
      <c r="H58" s="574" t="str">
        <f t="shared" si="0"/>
        <v> </v>
      </c>
    </row>
    <row r="59" spans="1:8" ht="12" customHeight="1">
      <c r="A59" s="566">
        <v>37</v>
      </c>
      <c r="B59" s="559" t="s">
        <v>164</v>
      </c>
      <c r="E59" s="576"/>
      <c r="F59" s="576"/>
      <c r="G59" s="576"/>
      <c r="H59" s="574" t="str">
        <f t="shared" si="0"/>
        <v> </v>
      </c>
    </row>
    <row r="60" spans="1:8" ht="12" customHeight="1">
      <c r="A60" s="566">
        <v>38</v>
      </c>
      <c r="B60" s="559" t="s">
        <v>158</v>
      </c>
      <c r="E60" s="575">
        <f>SUM(E57:E59)</f>
        <v>0</v>
      </c>
      <c r="F60" s="575">
        <f>SUM(F57:F59)</f>
        <v>0</v>
      </c>
      <c r="G60" s="575">
        <f>SUM(G57:G59)</f>
        <v>0</v>
      </c>
      <c r="H60" s="574" t="str">
        <f t="shared" si="0"/>
        <v> </v>
      </c>
    </row>
    <row r="61" spans="1:8" ht="12" customHeight="1">
      <c r="A61" s="566">
        <v>39</v>
      </c>
      <c r="B61" s="577" t="s">
        <v>159</v>
      </c>
      <c r="E61" s="575"/>
      <c r="F61" s="575"/>
      <c r="G61" s="575"/>
      <c r="H61" s="574" t="str">
        <f t="shared" si="0"/>
        <v> </v>
      </c>
    </row>
    <row r="62" spans="1:8" ht="12" customHeight="1">
      <c r="A62" s="566">
        <v>40</v>
      </c>
      <c r="B62" s="559" t="s">
        <v>106</v>
      </c>
      <c r="E62" s="575"/>
      <c r="F62" s="575"/>
      <c r="G62" s="575"/>
      <c r="H62" s="574" t="str">
        <f t="shared" si="0"/>
        <v> </v>
      </c>
    </row>
    <row r="63" spans="1:8" ht="12" customHeight="1">
      <c r="A63" s="566">
        <v>41</v>
      </c>
      <c r="B63" s="577" t="s">
        <v>107</v>
      </c>
      <c r="E63" s="576"/>
      <c r="F63" s="576"/>
      <c r="G63" s="576"/>
      <c r="H63" s="574" t="str">
        <f t="shared" si="0"/>
        <v> </v>
      </c>
    </row>
    <row r="64" spans="1:8" ht="12" customHeight="1">
      <c r="A64" s="566"/>
      <c r="B64" s="559" t="s">
        <v>160</v>
      </c>
      <c r="H64" s="574"/>
    </row>
    <row r="65" spans="1:8" ht="12" customHeight="1" thickBot="1">
      <c r="A65" s="566">
        <v>42</v>
      </c>
      <c r="B65" s="580" t="s">
        <v>108</v>
      </c>
      <c r="E65" s="581">
        <f>E55-E60+E61+E62+E63</f>
        <v>0</v>
      </c>
      <c r="F65" s="581">
        <f>F55-F60+F61+F62+F63</f>
        <v>0</v>
      </c>
      <c r="G65" s="581">
        <f>G55-G60+G61+G62+G63</f>
        <v>0</v>
      </c>
      <c r="H65" s="574" t="str">
        <f>IF(E65=F65+G65," ","ERROR")</f>
        <v> </v>
      </c>
    </row>
    <row r="66" spans="1:8" ht="12" customHeight="1" thickTop="1">
      <c r="A66" s="566"/>
      <c r="B66" s="580"/>
      <c r="E66" s="582"/>
      <c r="F66" s="582"/>
      <c r="G66" s="582"/>
      <c r="H66" s="574"/>
    </row>
    <row r="67" spans="1:8" ht="12" customHeight="1">
      <c r="A67" s="566"/>
      <c r="B67" s="580"/>
      <c r="E67" s="582"/>
      <c r="F67" s="582"/>
      <c r="G67" s="582"/>
      <c r="H67" s="574"/>
    </row>
    <row r="68" spans="1:7" ht="12" customHeight="1">
      <c r="A68" s="558" t="str">
        <f>Inputs!$D$6</f>
        <v>AVISTA UTILITIES</v>
      </c>
      <c r="B68" s="558"/>
      <c r="C68" s="558"/>
      <c r="G68" s="559"/>
    </row>
    <row r="69" spans="1:7" ht="12" customHeight="1">
      <c r="A69" s="558" t="s">
        <v>168</v>
      </c>
      <c r="B69" s="558"/>
      <c r="C69" s="558"/>
      <c r="G69" s="559"/>
    </row>
    <row r="70" spans="1:7" ht="12" customHeight="1">
      <c r="A70" s="558" t="str">
        <f>A3</f>
        <v>TWELVE MONTHS ENDED DECEMBER 31, 2004</v>
      </c>
      <c r="B70" s="558"/>
      <c r="C70" s="558"/>
      <c r="F70" s="563" t="str">
        <f>F2</f>
        <v>PRO FORMA</v>
      </c>
      <c r="G70" s="559"/>
    </row>
    <row r="71" spans="1:7" ht="12" customHeight="1">
      <c r="A71" s="558" t="s">
        <v>169</v>
      </c>
      <c r="B71" s="558"/>
      <c r="C71" s="558"/>
      <c r="F71" s="563" t="str">
        <f>F3</f>
        <v>INSURANCE</v>
      </c>
      <c r="G71" s="559"/>
    </row>
    <row r="72" spans="5:7" ht="12" customHeight="1">
      <c r="E72" s="583"/>
      <c r="F72" s="570" t="str">
        <f>F4</f>
        <v>GAS</v>
      </c>
      <c r="G72" s="584"/>
    </row>
    <row r="73" spans="1:6" ht="12" customHeight="1">
      <c r="A73" s="566" t="s">
        <v>11</v>
      </c>
      <c r="F73" s="563"/>
    </row>
    <row r="74" spans="1:6" ht="12" customHeight="1">
      <c r="A74" s="585" t="s">
        <v>29</v>
      </c>
      <c r="B74" s="568" t="s">
        <v>114</v>
      </c>
      <c r="C74" s="568"/>
      <c r="F74" s="570" t="s">
        <v>129</v>
      </c>
    </row>
    <row r="75" spans="1:7" ht="12" customHeight="1">
      <c r="A75" s="566"/>
      <c r="B75" s="559" t="s">
        <v>69</v>
      </c>
      <c r="E75" s="559"/>
      <c r="G75" s="559"/>
    </row>
    <row r="76" spans="1:7" ht="12" customHeight="1">
      <c r="A76" s="566">
        <v>1</v>
      </c>
      <c r="B76" s="559" t="s">
        <v>131</v>
      </c>
      <c r="E76" s="559"/>
      <c r="F76" s="573">
        <f>G8</f>
        <v>0</v>
      </c>
      <c r="G76" s="559"/>
    </row>
    <row r="77" spans="1:7" ht="12" customHeight="1">
      <c r="A77" s="566">
        <v>2</v>
      </c>
      <c r="B77" s="559" t="s">
        <v>132</v>
      </c>
      <c r="E77" s="559"/>
      <c r="F77" s="575">
        <f>G9</f>
        <v>0</v>
      </c>
      <c r="G77" s="559"/>
    </row>
    <row r="78" spans="1:7" ht="12" customHeight="1">
      <c r="A78" s="566">
        <v>3</v>
      </c>
      <c r="B78" s="559" t="s">
        <v>72</v>
      </c>
      <c r="E78" s="559"/>
      <c r="F78" s="576">
        <f>G10</f>
        <v>0</v>
      </c>
      <c r="G78" s="559"/>
    </row>
    <row r="79" spans="1:7" ht="12" customHeight="1">
      <c r="A79" s="566"/>
      <c r="E79" s="559"/>
      <c r="F79" s="575"/>
      <c r="G79" s="559"/>
    </row>
    <row r="80" spans="1:7" ht="12" customHeight="1">
      <c r="A80" s="566">
        <v>4</v>
      </c>
      <c r="B80" s="559" t="s">
        <v>133</v>
      </c>
      <c r="E80" s="559"/>
      <c r="F80" s="575">
        <f>F76+F77+F78</f>
        <v>0</v>
      </c>
      <c r="G80" s="559"/>
    </row>
    <row r="81" spans="1:7" ht="12" customHeight="1">
      <c r="A81" s="566"/>
      <c r="E81" s="559"/>
      <c r="F81" s="575"/>
      <c r="G81" s="559"/>
    </row>
    <row r="82" spans="1:7" ht="12" customHeight="1">
      <c r="A82" s="566"/>
      <c r="B82" s="559" t="s">
        <v>74</v>
      </c>
      <c r="E82" s="559"/>
      <c r="F82" s="575"/>
      <c r="G82" s="559"/>
    </row>
    <row r="83" spans="1:7" ht="12" customHeight="1">
      <c r="A83" s="566">
        <v>5</v>
      </c>
      <c r="B83" s="559" t="s">
        <v>134</v>
      </c>
      <c r="E83" s="559"/>
      <c r="F83" s="575">
        <f>G14</f>
        <v>0</v>
      </c>
      <c r="G83" s="559"/>
    </row>
    <row r="84" spans="1:7" ht="12" customHeight="1">
      <c r="A84" s="566"/>
      <c r="B84" s="559" t="s">
        <v>76</v>
      </c>
      <c r="E84" s="559"/>
      <c r="F84" s="575"/>
      <c r="G84" s="559"/>
    </row>
    <row r="85" spans="1:7" ht="12" customHeight="1">
      <c r="A85" s="566">
        <v>6</v>
      </c>
      <c r="B85" s="559" t="s">
        <v>135</v>
      </c>
      <c r="E85" s="559"/>
      <c r="F85" s="575">
        <f>G16</f>
        <v>0</v>
      </c>
      <c r="G85" s="559"/>
    </row>
    <row r="86" spans="1:7" ht="12" customHeight="1">
      <c r="A86" s="566">
        <v>7</v>
      </c>
      <c r="B86" s="559" t="s">
        <v>136</v>
      </c>
      <c r="E86" s="559"/>
      <c r="F86" s="575">
        <f>G17</f>
        <v>0</v>
      </c>
      <c r="G86" s="559"/>
    </row>
    <row r="87" spans="1:7" ht="12" customHeight="1">
      <c r="A87" s="566">
        <v>8</v>
      </c>
      <c r="B87" s="559" t="s">
        <v>137</v>
      </c>
      <c r="E87" s="559"/>
      <c r="F87" s="576">
        <f>G18</f>
        <v>0</v>
      </c>
      <c r="G87" s="559"/>
    </row>
    <row r="88" spans="1:7" ht="12" customHeight="1">
      <c r="A88" s="566">
        <v>9</v>
      </c>
      <c r="B88" s="559" t="s">
        <v>138</v>
      </c>
      <c r="E88" s="559"/>
      <c r="F88" s="575">
        <f>F85+F86+F87</f>
        <v>0</v>
      </c>
      <c r="G88" s="559"/>
    </row>
    <row r="89" spans="1:7" ht="12" customHeight="1">
      <c r="A89" s="566"/>
      <c r="B89" s="559" t="s">
        <v>81</v>
      </c>
      <c r="E89" s="559"/>
      <c r="F89" s="575"/>
      <c r="G89" s="559"/>
    </row>
    <row r="90" spans="1:7" ht="12" customHeight="1">
      <c r="A90" s="566">
        <v>10</v>
      </c>
      <c r="B90" s="559" t="s">
        <v>139</v>
      </c>
      <c r="E90" s="559"/>
      <c r="F90" s="575">
        <f>G21</f>
        <v>0</v>
      </c>
      <c r="G90" s="559"/>
    </row>
    <row r="91" spans="1:7" ht="12" customHeight="1">
      <c r="A91" s="566">
        <v>11</v>
      </c>
      <c r="B91" s="559" t="s">
        <v>140</v>
      </c>
      <c r="E91" s="559"/>
      <c r="F91" s="575">
        <f>G22</f>
        <v>0</v>
      </c>
      <c r="G91" s="559"/>
    </row>
    <row r="92" spans="1:7" ht="12" customHeight="1">
      <c r="A92" s="566">
        <v>12</v>
      </c>
      <c r="B92" s="559" t="s">
        <v>141</v>
      </c>
      <c r="E92" s="559"/>
      <c r="F92" s="576">
        <f>G23</f>
        <v>0</v>
      </c>
      <c r="G92" s="559"/>
    </row>
    <row r="93" spans="1:7" ht="12" customHeight="1">
      <c r="A93" s="566">
        <v>13</v>
      </c>
      <c r="B93" s="559" t="s">
        <v>142</v>
      </c>
      <c r="E93" s="559"/>
      <c r="F93" s="575">
        <f>F90+F91+F92</f>
        <v>0</v>
      </c>
      <c r="G93" s="559"/>
    </row>
    <row r="94" spans="1:7" ht="12" customHeight="1">
      <c r="A94" s="566"/>
      <c r="B94" s="559" t="s">
        <v>85</v>
      </c>
      <c r="E94" s="559"/>
      <c r="F94" s="575"/>
      <c r="G94" s="559"/>
    </row>
    <row r="95" spans="1:7" ht="12" customHeight="1">
      <c r="A95" s="566">
        <v>14</v>
      </c>
      <c r="B95" s="559" t="s">
        <v>139</v>
      </c>
      <c r="E95" s="559"/>
      <c r="F95" s="575">
        <f>G26</f>
        <v>0</v>
      </c>
      <c r="G95" s="559"/>
    </row>
    <row r="96" spans="1:7" ht="12" customHeight="1">
      <c r="A96" s="566">
        <v>15</v>
      </c>
      <c r="B96" s="559" t="s">
        <v>140</v>
      </c>
      <c r="E96" s="559"/>
      <c r="F96" s="575">
        <f>G27</f>
        <v>0</v>
      </c>
      <c r="G96" s="559"/>
    </row>
    <row r="97" spans="1:7" ht="12" customHeight="1">
      <c r="A97" s="566">
        <v>16</v>
      </c>
      <c r="B97" s="559" t="s">
        <v>141</v>
      </c>
      <c r="E97" s="559"/>
      <c r="F97" s="576"/>
      <c r="G97" s="559"/>
    </row>
    <row r="98" spans="1:7" ht="12" customHeight="1">
      <c r="A98" s="566">
        <v>17</v>
      </c>
      <c r="B98" s="559" t="s">
        <v>143</v>
      </c>
      <c r="E98" s="559"/>
      <c r="F98" s="575">
        <f>F95+F96+F97</f>
        <v>0</v>
      </c>
      <c r="G98" s="559"/>
    </row>
    <row r="99" spans="1:7" ht="12" customHeight="1">
      <c r="A99" s="566">
        <v>18</v>
      </c>
      <c r="B99" s="559" t="s">
        <v>87</v>
      </c>
      <c r="E99" s="559"/>
      <c r="F99" s="575">
        <f>G31</f>
        <v>0</v>
      </c>
      <c r="G99" s="559"/>
    </row>
    <row r="100" spans="1:7" ht="12" customHeight="1">
      <c r="A100" s="566">
        <v>19</v>
      </c>
      <c r="B100" s="559" t="s">
        <v>88</v>
      </c>
      <c r="E100" s="559"/>
      <c r="F100" s="575">
        <f>G32</f>
        <v>0</v>
      </c>
      <c r="G100" s="559"/>
    </row>
    <row r="101" spans="1:7" ht="12" customHeight="1">
      <c r="A101" s="566">
        <v>20</v>
      </c>
      <c r="B101" s="559" t="s">
        <v>144</v>
      </c>
      <c r="E101" s="559"/>
      <c r="F101" s="575">
        <f>G33</f>
        <v>0</v>
      </c>
      <c r="G101" s="559"/>
    </row>
    <row r="102" spans="1:7" ht="12" customHeight="1">
      <c r="A102" s="566"/>
      <c r="B102" s="559" t="s">
        <v>145</v>
      </c>
      <c r="E102" s="559"/>
      <c r="F102" s="575"/>
      <c r="G102" s="559"/>
    </row>
    <row r="103" spans="1:7" ht="12" customHeight="1">
      <c r="A103" s="566">
        <v>21</v>
      </c>
      <c r="B103" s="559" t="s">
        <v>139</v>
      </c>
      <c r="E103" s="559"/>
      <c r="F103" s="575">
        <f>G35</f>
        <v>0</v>
      </c>
      <c r="G103" s="559"/>
    </row>
    <row r="104" spans="1:7" ht="12" customHeight="1">
      <c r="A104" s="566">
        <v>22</v>
      </c>
      <c r="B104" s="559" t="s">
        <v>140</v>
      </c>
      <c r="E104" s="559"/>
      <c r="F104" s="575">
        <f>G36</f>
        <v>0</v>
      </c>
      <c r="G104" s="559"/>
    </row>
    <row r="105" spans="1:7" ht="12" customHeight="1">
      <c r="A105" s="566">
        <v>23</v>
      </c>
      <c r="B105" s="559" t="s">
        <v>141</v>
      </c>
      <c r="E105" s="559"/>
      <c r="F105" s="576">
        <f>G37</f>
        <v>0</v>
      </c>
      <c r="G105" s="559"/>
    </row>
    <row r="106" spans="1:7" ht="12" customHeight="1">
      <c r="A106" s="566">
        <v>24</v>
      </c>
      <c r="B106" s="559" t="s">
        <v>146</v>
      </c>
      <c r="E106" s="559"/>
      <c r="F106" s="576">
        <f>F103+F104+F105</f>
        <v>0</v>
      </c>
      <c r="G106" s="559"/>
    </row>
    <row r="107" spans="1:7" ht="12" customHeight="1">
      <c r="A107" s="566"/>
      <c r="E107" s="559"/>
      <c r="F107" s="575"/>
      <c r="G107" s="559"/>
    </row>
    <row r="108" spans="1:7" ht="12" customHeight="1">
      <c r="A108" s="566">
        <v>25</v>
      </c>
      <c r="B108" s="559" t="s">
        <v>92</v>
      </c>
      <c r="E108" s="559"/>
      <c r="F108" s="576">
        <f>F106+F101+F100+F99+F98+F93+F88+F83</f>
        <v>0</v>
      </c>
      <c r="G108" s="559"/>
    </row>
    <row r="109" spans="1:7" ht="12" customHeight="1">
      <c r="A109" s="566"/>
      <c r="E109" s="559"/>
      <c r="F109" s="575"/>
      <c r="G109" s="559"/>
    </row>
    <row r="110" spans="1:7" ht="12" customHeight="1">
      <c r="A110" s="566">
        <v>26</v>
      </c>
      <c r="B110" s="559" t="s">
        <v>170</v>
      </c>
      <c r="E110" s="559"/>
      <c r="F110" s="576">
        <f>F80-F108</f>
        <v>0</v>
      </c>
      <c r="G110" s="559"/>
    </row>
    <row r="111" spans="1:7" ht="12" customHeight="1">
      <c r="A111" s="566"/>
      <c r="E111" s="559"/>
      <c r="G111" s="559"/>
    </row>
    <row r="112" spans="1:7" ht="12" customHeight="1">
      <c r="A112" s="566">
        <v>27</v>
      </c>
      <c r="B112" s="559" t="s">
        <v>171</v>
      </c>
      <c r="G112" s="559"/>
    </row>
    <row r="113" spans="1:7" ht="12" customHeight="1" thickBot="1">
      <c r="A113" s="566"/>
      <c r="B113" s="586" t="s">
        <v>172</v>
      </c>
      <c r="C113" s="587">
        <f>Inputs!$D$4</f>
        <v>0.01065</v>
      </c>
      <c r="F113" s="581">
        <f>ROUND(F110*C113,0)</f>
        <v>0</v>
      </c>
      <c r="G113" s="559"/>
    </row>
    <row r="114" spans="1:7" ht="12" customHeight="1" thickTop="1">
      <c r="A114" s="566"/>
      <c r="G114" s="559"/>
    </row>
  </sheetData>
  <printOptions/>
  <pageMargins left="1" right="0.75" top="0.5" bottom="0.5" header="0.5" footer="0.5"/>
  <pageSetup horizontalDpi="600" verticalDpi="600" orientation="portrait" scale="90" r:id="rId1"/>
  <rowBreaks count="1" manualBreakCount="1">
    <brk id="67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2">
      <selection activeCell="F35" sqref="F35:G35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307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308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/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15</v>
      </c>
      <c r="F17" s="423">
        <v>12</v>
      </c>
      <c r="G17" s="423">
        <v>3</v>
      </c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15</v>
      </c>
      <c r="F19" s="423">
        <f>SUM(F16:F18)</f>
        <v>12</v>
      </c>
      <c r="G19" s="423">
        <f>SUM(G16:G18)</f>
        <v>3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1</v>
      </c>
      <c r="F21" s="423">
        <v>1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1</v>
      </c>
      <c r="F24" s="423">
        <f>SUM(F21:F23)</f>
        <v>1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365</v>
      </c>
      <c r="F26" s="423">
        <v>296</v>
      </c>
      <c r="G26" s="423">
        <v>69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-2</v>
      </c>
      <c r="F28" s="424"/>
      <c r="G28" s="877">
        <f>F113</f>
        <v>-2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363</v>
      </c>
      <c r="F29" s="423">
        <f>SUM(F26:F28)</f>
        <v>296</v>
      </c>
      <c r="G29" s="423">
        <f>SUM(G26:G28)</f>
        <v>67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200</v>
      </c>
      <c r="F31" s="423">
        <v>156</v>
      </c>
      <c r="G31" s="423">
        <v>44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5</v>
      </c>
      <c r="F32" s="423">
        <v>2</v>
      </c>
      <c r="G32" s="423">
        <v>3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26</v>
      </c>
      <c r="F33" s="423">
        <v>19</v>
      </c>
      <c r="G33" s="423">
        <v>7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177</v>
      </c>
      <c r="F35" s="423">
        <v>141</v>
      </c>
      <c r="G35" s="423">
        <v>36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177</v>
      </c>
      <c r="F38" s="424">
        <f>SUM(F35:F37)</f>
        <v>141</v>
      </c>
      <c r="G38" s="424">
        <f>SUM(G35:G37)</f>
        <v>36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787</v>
      </c>
      <c r="F39" s="424">
        <f>F19+F24+F29+F31+F32+F33+F38+F14</f>
        <v>627</v>
      </c>
      <c r="G39" s="424">
        <f>G19+G24+G29+G31+G32+G33+G38+G14</f>
        <v>160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-787</v>
      </c>
      <c r="F41" s="423">
        <f>F11-F39</f>
        <v>-627</v>
      </c>
      <c r="G41" s="423">
        <f>G11-G39</f>
        <v>-160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-275</v>
      </c>
      <c r="F44" s="423">
        <f>ROUND(F41*D44,0)</f>
        <v>-219</v>
      </c>
      <c r="G44" s="423">
        <f>ROUND(G41*D44,0)</f>
        <v>-56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-512</v>
      </c>
      <c r="F48" s="430">
        <f>F41-F44+F45+F46</f>
        <v>-408</v>
      </c>
      <c r="G48" s="430">
        <f>G41-SUM(G44:G46)</f>
        <v>-104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NON-EXECUTIVE LABOR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PRO FORMA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3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3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69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69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44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3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7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36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36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162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-162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-2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22">
      <selection activeCell="F35" sqref="F35:G35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309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308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/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0</v>
      </c>
      <c r="F17" s="423">
        <v>0</v>
      </c>
      <c r="G17" s="423">
        <v>0</v>
      </c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0</v>
      </c>
      <c r="F19" s="423">
        <f>SUM(F16:F18)</f>
        <v>0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>
        <v>0</v>
      </c>
      <c r="G26" s="423">
        <v>0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0</v>
      </c>
      <c r="F28" s="424"/>
      <c r="G28" s="877">
        <f>F113</f>
        <v>0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0</v>
      </c>
      <c r="F29" s="423">
        <f>SUM(F26:F28)</f>
        <v>0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>
        <v>0</v>
      </c>
      <c r="G31" s="423">
        <v>0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>
        <v>0</v>
      </c>
      <c r="G32" s="423">
        <v>0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>
        <v>0</v>
      </c>
      <c r="G33" s="423">
        <v>0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26</v>
      </c>
      <c r="F35" s="423">
        <v>18</v>
      </c>
      <c r="G35" s="423">
        <v>8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26</v>
      </c>
      <c r="F38" s="424">
        <f>SUM(F35:F37)</f>
        <v>18</v>
      </c>
      <c r="G38" s="424">
        <f>SUM(G35:G37)</f>
        <v>8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26</v>
      </c>
      <c r="F39" s="424">
        <f>F19+F24+F29+F31+F32+F33+F38+F14</f>
        <v>18</v>
      </c>
      <c r="G39" s="424">
        <f>G19+G24+G29+G31+G32+G33+G38+G14</f>
        <v>8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-26</v>
      </c>
      <c r="F41" s="423">
        <f>F11-F39</f>
        <v>-18</v>
      </c>
      <c r="G41" s="423">
        <f>G11-G39</f>
        <v>-8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-9</v>
      </c>
      <c r="F44" s="423">
        <f>ROUND(F41*D44,0)</f>
        <v>-6</v>
      </c>
      <c r="G44" s="423">
        <f>ROUND(G41*D44,0)</f>
        <v>-3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-17</v>
      </c>
      <c r="F48" s="430">
        <f>F41-F44+F45+F46</f>
        <v>-12</v>
      </c>
      <c r="G48" s="430">
        <f>G41-SUM(G44:G46)</f>
        <v>-5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EXECUTIVE LABOR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PRO FORMA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0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0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0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0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0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0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0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8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8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8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-8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0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D16" sqref="D16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363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308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>
        <f>SUM(F16:G16)</f>
        <v>0</v>
      </c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173</v>
      </c>
      <c r="F17" s="423">
        <f>72+101</f>
        <v>173</v>
      </c>
      <c r="G17" s="423">
        <v>0</v>
      </c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173</v>
      </c>
      <c r="F19" s="423">
        <f>SUM(F16:F18)</f>
        <v>173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>
        <v>0</v>
      </c>
      <c r="G21" s="423">
        <v>0</v>
      </c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>
        <v>0</v>
      </c>
      <c r="G26" s="423">
        <v>0</v>
      </c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0</v>
      </c>
      <c r="F28" s="424"/>
      <c r="G28" s="877">
        <f>F113</f>
        <v>0</v>
      </c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0</v>
      </c>
      <c r="F29" s="423">
        <f>SUM(F26:F28)</f>
        <v>0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>
        <v>0</v>
      </c>
      <c r="G31" s="423">
        <v>0</v>
      </c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>
        <v>0</v>
      </c>
      <c r="G32" s="423">
        <v>0</v>
      </c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>
        <v>0</v>
      </c>
      <c r="G33" s="423">
        <v>0</v>
      </c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20</v>
      </c>
      <c r="F35" s="423">
        <v>20</v>
      </c>
      <c r="G35" s="423">
        <v>0</v>
      </c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/>
      <c r="F36" s="423"/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20</v>
      </c>
      <c r="F38" s="424">
        <f>SUM(F35:F37)</f>
        <v>20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193</v>
      </c>
      <c r="F39" s="424">
        <f>F19+F24+F29+F31+F32+F33+F38+F14</f>
        <v>193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-193</v>
      </c>
      <c r="F41" s="423">
        <f>F11-F39</f>
        <v>-193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-68</v>
      </c>
      <c r="F44" s="423">
        <f>ROUND(F41*D44,0)</f>
        <v>-68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-125</v>
      </c>
      <c r="F48" s="430">
        <f>F41-F44+F45+F46</f>
        <v>-125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GAS PROCUREMENT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PRO FORMA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0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0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0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0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0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0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0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0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0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0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0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0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600" verticalDpi="600" orientation="portrait" scale="90" r:id="rId1"/>
  <rowBreaks count="1" manualBreakCount="1">
    <brk id="66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33">
      <selection activeCell="G17" sqref="G17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308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362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>
        <f>SUM(F16:G16)</f>
        <v>0</v>
      </c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0</v>
      </c>
      <c r="F17" s="423"/>
      <c r="G17" s="423"/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0</v>
      </c>
      <c r="F19" s="423">
        <f>SUM(F16:F18)</f>
        <v>0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/>
      <c r="G21" s="423"/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/>
      <c r="G26" s="423"/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0</v>
      </c>
      <c r="F28" s="424"/>
      <c r="G28" s="877"/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0</v>
      </c>
      <c r="F29" s="423">
        <f>SUM(F26:F28)</f>
        <v>0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/>
      <c r="G31" s="423"/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/>
      <c r="G32" s="423"/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/>
      <c r="G33" s="423"/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153</v>
      </c>
      <c r="F35" s="423">
        <f>ROUND((14920+7667+130694)/1000,0)</f>
        <v>153</v>
      </c>
      <c r="G35" s="423"/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>
        <f>SUM(F36:G36)</f>
        <v>6</v>
      </c>
      <c r="F36" s="423">
        <f>ROUND((1890+3745)/1000,0)</f>
        <v>6</v>
      </c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159</v>
      </c>
      <c r="F38" s="424">
        <f>SUM(F35:F37)</f>
        <v>159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159</v>
      </c>
      <c r="F39" s="424">
        <f>F19+F24+F29+F31+F32+F33+F38+F14</f>
        <v>159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-159</v>
      </c>
      <c r="F41" s="423">
        <f>F11-F39</f>
        <v>-159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-56</v>
      </c>
      <c r="F44" s="423">
        <f>ROUND(F41*D44,0)</f>
        <v>-56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-103</v>
      </c>
      <c r="F48" s="430">
        <f>F41-F44+F45+F46</f>
        <v>-103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spans="1:8" ht="12" customHeight="1" thickTop="1">
      <c r="A66" s="414"/>
      <c r="B66" s="429"/>
      <c r="E66" s="431"/>
      <c r="F66" s="431"/>
      <c r="G66" s="431"/>
      <c r="H66" s="422"/>
    </row>
    <row r="67" spans="1:8" ht="12" customHeight="1">
      <c r="A67" s="414"/>
      <c r="B67" s="429"/>
      <c r="E67" s="431"/>
      <c r="F67" s="431"/>
      <c r="G67" s="431"/>
      <c r="H67" s="422"/>
    </row>
    <row r="68" spans="1:7" ht="12" customHeight="1">
      <c r="A68" s="407" t="str">
        <f>Inputs!$D$6</f>
        <v>AVISTA UTILITIES</v>
      </c>
      <c r="B68" s="407"/>
      <c r="C68" s="407"/>
      <c r="G68" s="408"/>
    </row>
    <row r="69" spans="1:7" ht="12" customHeight="1">
      <c r="A69" s="407" t="s">
        <v>168</v>
      </c>
      <c r="B69" s="407"/>
      <c r="C69" s="407"/>
      <c r="G69" s="408"/>
    </row>
    <row r="70" spans="1:7" ht="12" customHeight="1">
      <c r="A70" s="407" t="str">
        <f>A3</f>
        <v>TWELVE MONTHS ENDED DECEMBER 31, 2004</v>
      </c>
      <c r="B70" s="407"/>
      <c r="C70" s="407"/>
      <c r="F70" s="411" t="str">
        <f>F2</f>
        <v>PRO FORMA</v>
      </c>
      <c r="G70" s="408"/>
    </row>
    <row r="71" spans="1:7" ht="12" customHeight="1">
      <c r="A71" s="407" t="s">
        <v>169</v>
      </c>
      <c r="B71" s="407"/>
      <c r="C71" s="407"/>
      <c r="F71" s="411" t="str">
        <f>F3</f>
        <v>ALLOCATION ADJUSTMENT</v>
      </c>
      <c r="G71" s="408"/>
    </row>
    <row r="72" spans="5:7" ht="12" customHeight="1">
      <c r="E72" s="432"/>
      <c r="F72" s="418" t="str">
        <f>F4</f>
        <v>GAS</v>
      </c>
      <c r="G72" s="433"/>
    </row>
    <row r="73" spans="1:6" ht="12" customHeight="1">
      <c r="A73" s="414" t="s">
        <v>11</v>
      </c>
      <c r="F73" s="411"/>
    </row>
    <row r="74" spans="1:6" ht="12" customHeight="1">
      <c r="A74" s="434" t="s">
        <v>29</v>
      </c>
      <c r="B74" s="416" t="s">
        <v>114</v>
      </c>
      <c r="C74" s="416"/>
      <c r="F74" s="418" t="s">
        <v>129</v>
      </c>
    </row>
    <row r="75" spans="1:7" ht="12" customHeight="1">
      <c r="A75" s="414"/>
      <c r="B75" s="408" t="s">
        <v>69</v>
      </c>
      <c r="E75" s="408"/>
      <c r="G75" s="408"/>
    </row>
    <row r="76" spans="1:7" ht="12" customHeight="1">
      <c r="A76" s="414">
        <v>1</v>
      </c>
      <c r="B76" s="408" t="s">
        <v>131</v>
      </c>
      <c r="E76" s="408"/>
      <c r="F76" s="421">
        <f>G8</f>
        <v>0</v>
      </c>
      <c r="G76" s="408"/>
    </row>
    <row r="77" spans="1:7" ht="12" customHeight="1">
      <c r="A77" s="414">
        <v>2</v>
      </c>
      <c r="B77" s="408" t="s">
        <v>132</v>
      </c>
      <c r="E77" s="408"/>
      <c r="F77" s="423">
        <f>G9</f>
        <v>0</v>
      </c>
      <c r="G77" s="408"/>
    </row>
    <row r="78" spans="1:7" ht="12" customHeight="1">
      <c r="A78" s="414">
        <v>3</v>
      </c>
      <c r="B78" s="408" t="s">
        <v>72</v>
      </c>
      <c r="E78" s="408"/>
      <c r="F78" s="424">
        <f>G10</f>
        <v>0</v>
      </c>
      <c r="G78" s="408"/>
    </row>
    <row r="79" spans="1:7" ht="12" customHeight="1">
      <c r="A79" s="414"/>
      <c r="E79" s="408"/>
      <c r="F79" s="423"/>
      <c r="G79" s="408"/>
    </row>
    <row r="80" spans="1:7" ht="12" customHeight="1">
      <c r="A80" s="414">
        <v>4</v>
      </c>
      <c r="B80" s="408" t="s">
        <v>133</v>
      </c>
      <c r="E80" s="408"/>
      <c r="F80" s="423">
        <f>F76+F77+F78</f>
        <v>0</v>
      </c>
      <c r="G80" s="408"/>
    </row>
    <row r="81" spans="1:7" ht="12" customHeight="1">
      <c r="A81" s="414"/>
      <c r="E81" s="408"/>
      <c r="F81" s="423"/>
      <c r="G81" s="408"/>
    </row>
    <row r="82" spans="1:7" ht="12" customHeight="1">
      <c r="A82" s="414"/>
      <c r="B82" s="408" t="s">
        <v>74</v>
      </c>
      <c r="E82" s="408"/>
      <c r="F82" s="423"/>
      <c r="G82" s="408"/>
    </row>
    <row r="83" spans="1:7" ht="12" customHeight="1">
      <c r="A83" s="414">
        <v>5</v>
      </c>
      <c r="B83" s="408" t="s">
        <v>134</v>
      </c>
      <c r="E83" s="408"/>
      <c r="F83" s="423">
        <f>G14</f>
        <v>0</v>
      </c>
      <c r="G83" s="408"/>
    </row>
    <row r="84" spans="1:7" ht="12" customHeight="1">
      <c r="A84" s="414"/>
      <c r="B84" s="408" t="s">
        <v>76</v>
      </c>
      <c r="E84" s="408"/>
      <c r="F84" s="423"/>
      <c r="G84" s="408"/>
    </row>
    <row r="85" spans="1:7" ht="12" customHeight="1">
      <c r="A85" s="414">
        <v>6</v>
      </c>
      <c r="B85" s="408" t="s">
        <v>135</v>
      </c>
      <c r="E85" s="408"/>
      <c r="F85" s="423">
        <f>G16</f>
        <v>0</v>
      </c>
      <c r="G85" s="408"/>
    </row>
    <row r="86" spans="1:7" ht="12" customHeight="1">
      <c r="A86" s="414">
        <v>7</v>
      </c>
      <c r="B86" s="408" t="s">
        <v>136</v>
      </c>
      <c r="E86" s="408"/>
      <c r="F86" s="423">
        <f>G17</f>
        <v>0</v>
      </c>
      <c r="G86" s="408"/>
    </row>
    <row r="87" spans="1:7" ht="12" customHeight="1">
      <c r="A87" s="414">
        <v>8</v>
      </c>
      <c r="B87" s="408" t="s">
        <v>137</v>
      </c>
      <c r="E87" s="408"/>
      <c r="F87" s="424">
        <f>G18</f>
        <v>0</v>
      </c>
      <c r="G87" s="408"/>
    </row>
    <row r="88" spans="1:7" ht="12" customHeight="1">
      <c r="A88" s="414">
        <v>9</v>
      </c>
      <c r="B88" s="408" t="s">
        <v>138</v>
      </c>
      <c r="E88" s="408"/>
      <c r="F88" s="423">
        <f>F85+F86+F87</f>
        <v>0</v>
      </c>
      <c r="G88" s="408"/>
    </row>
    <row r="89" spans="1:7" ht="12" customHeight="1">
      <c r="A89" s="414"/>
      <c r="B89" s="408" t="s">
        <v>81</v>
      </c>
      <c r="E89" s="408"/>
      <c r="F89" s="423"/>
      <c r="G89" s="408"/>
    </row>
    <row r="90" spans="1:7" ht="12" customHeight="1">
      <c r="A90" s="414">
        <v>10</v>
      </c>
      <c r="B90" s="408" t="s">
        <v>139</v>
      </c>
      <c r="E90" s="408"/>
      <c r="F90" s="423">
        <f>G21</f>
        <v>0</v>
      </c>
      <c r="G90" s="408"/>
    </row>
    <row r="91" spans="1:7" ht="12" customHeight="1">
      <c r="A91" s="414">
        <v>11</v>
      </c>
      <c r="B91" s="408" t="s">
        <v>140</v>
      </c>
      <c r="E91" s="408"/>
      <c r="F91" s="423">
        <f>G22</f>
        <v>0</v>
      </c>
      <c r="G91" s="408"/>
    </row>
    <row r="92" spans="1:7" ht="12" customHeight="1">
      <c r="A92" s="414">
        <v>12</v>
      </c>
      <c r="B92" s="408" t="s">
        <v>141</v>
      </c>
      <c r="E92" s="408"/>
      <c r="F92" s="424">
        <f>G23</f>
        <v>0</v>
      </c>
      <c r="G92" s="408"/>
    </row>
    <row r="93" spans="1:7" ht="12" customHeight="1">
      <c r="A93" s="414">
        <v>13</v>
      </c>
      <c r="B93" s="408" t="s">
        <v>142</v>
      </c>
      <c r="E93" s="408"/>
      <c r="F93" s="423">
        <f>F90+F91+F92</f>
        <v>0</v>
      </c>
      <c r="G93" s="408"/>
    </row>
    <row r="94" spans="1:7" ht="12" customHeight="1">
      <c r="A94" s="414"/>
      <c r="B94" s="408" t="s">
        <v>85</v>
      </c>
      <c r="E94" s="408"/>
      <c r="F94" s="423"/>
      <c r="G94" s="408"/>
    </row>
    <row r="95" spans="1:7" ht="12" customHeight="1">
      <c r="A95" s="414">
        <v>14</v>
      </c>
      <c r="B95" s="408" t="s">
        <v>139</v>
      </c>
      <c r="E95" s="408"/>
      <c r="F95" s="423">
        <f>G26</f>
        <v>0</v>
      </c>
      <c r="G95" s="408"/>
    </row>
    <row r="96" spans="1:7" ht="12" customHeight="1">
      <c r="A96" s="414">
        <v>15</v>
      </c>
      <c r="B96" s="408" t="s">
        <v>140</v>
      </c>
      <c r="E96" s="408"/>
      <c r="F96" s="423">
        <f>G27</f>
        <v>0</v>
      </c>
      <c r="G96" s="408"/>
    </row>
    <row r="97" spans="1:7" ht="12" customHeight="1">
      <c r="A97" s="414">
        <v>16</v>
      </c>
      <c r="B97" s="408" t="s">
        <v>141</v>
      </c>
      <c r="E97" s="408"/>
      <c r="F97" s="424"/>
      <c r="G97" s="408"/>
    </row>
    <row r="98" spans="1:7" ht="12" customHeight="1">
      <c r="A98" s="414">
        <v>17</v>
      </c>
      <c r="B98" s="408" t="s">
        <v>143</v>
      </c>
      <c r="E98" s="408"/>
      <c r="F98" s="423">
        <f>F95+F96+F97</f>
        <v>0</v>
      </c>
      <c r="G98" s="408"/>
    </row>
    <row r="99" spans="1:7" ht="12" customHeight="1">
      <c r="A99" s="414">
        <v>18</v>
      </c>
      <c r="B99" s="408" t="s">
        <v>87</v>
      </c>
      <c r="E99" s="408"/>
      <c r="F99" s="423">
        <f>G31</f>
        <v>0</v>
      </c>
      <c r="G99" s="408"/>
    </row>
    <row r="100" spans="1:7" ht="12" customHeight="1">
      <c r="A100" s="414">
        <v>19</v>
      </c>
      <c r="B100" s="408" t="s">
        <v>88</v>
      </c>
      <c r="E100" s="408"/>
      <c r="F100" s="423">
        <f>G32</f>
        <v>0</v>
      </c>
      <c r="G100" s="408"/>
    </row>
    <row r="101" spans="1:7" ht="12" customHeight="1">
      <c r="A101" s="414">
        <v>20</v>
      </c>
      <c r="B101" s="408" t="s">
        <v>144</v>
      </c>
      <c r="E101" s="408"/>
      <c r="F101" s="423">
        <f>G33</f>
        <v>0</v>
      </c>
      <c r="G101" s="408"/>
    </row>
    <row r="102" spans="1:7" ht="12" customHeight="1">
      <c r="A102" s="414"/>
      <c r="B102" s="408" t="s">
        <v>145</v>
      </c>
      <c r="E102" s="408"/>
      <c r="F102" s="423"/>
      <c r="G102" s="408"/>
    </row>
    <row r="103" spans="1:7" ht="12" customHeight="1">
      <c r="A103" s="414">
        <v>21</v>
      </c>
      <c r="B103" s="408" t="s">
        <v>139</v>
      </c>
      <c r="E103" s="408"/>
      <c r="F103" s="423">
        <f>G35</f>
        <v>0</v>
      </c>
      <c r="G103" s="408"/>
    </row>
    <row r="104" spans="1:7" ht="12" customHeight="1">
      <c r="A104" s="414">
        <v>22</v>
      </c>
      <c r="B104" s="408" t="s">
        <v>140</v>
      </c>
      <c r="E104" s="408"/>
      <c r="F104" s="423">
        <f>G36</f>
        <v>0</v>
      </c>
      <c r="G104" s="408"/>
    </row>
    <row r="105" spans="1:7" ht="12" customHeight="1">
      <c r="A105" s="414">
        <v>23</v>
      </c>
      <c r="B105" s="408" t="s">
        <v>141</v>
      </c>
      <c r="E105" s="408"/>
      <c r="F105" s="424">
        <f>G37</f>
        <v>0</v>
      </c>
      <c r="G105" s="408"/>
    </row>
    <row r="106" spans="1:7" ht="12" customHeight="1">
      <c r="A106" s="414">
        <v>24</v>
      </c>
      <c r="B106" s="408" t="s">
        <v>146</v>
      </c>
      <c r="E106" s="408"/>
      <c r="F106" s="424">
        <f>F103+F104+F105</f>
        <v>0</v>
      </c>
      <c r="G106" s="408"/>
    </row>
    <row r="107" spans="1:7" ht="12" customHeight="1">
      <c r="A107" s="414"/>
      <c r="E107" s="408"/>
      <c r="F107" s="423"/>
      <c r="G107" s="408"/>
    </row>
    <row r="108" spans="1:7" ht="12" customHeight="1">
      <c r="A108" s="414">
        <v>25</v>
      </c>
      <c r="B108" s="408" t="s">
        <v>92</v>
      </c>
      <c r="E108" s="408"/>
      <c r="F108" s="424">
        <f>F106+F101+F100+F99+F98+F93+F88+F83</f>
        <v>0</v>
      </c>
      <c r="G108" s="408"/>
    </row>
    <row r="109" spans="1:7" ht="12" customHeight="1">
      <c r="A109" s="414"/>
      <c r="E109" s="408"/>
      <c r="F109" s="423"/>
      <c r="G109" s="408"/>
    </row>
    <row r="110" spans="1:7" ht="12" customHeight="1">
      <c r="A110" s="414">
        <v>26</v>
      </c>
      <c r="B110" s="408" t="s">
        <v>170</v>
      </c>
      <c r="E110" s="408"/>
      <c r="F110" s="424">
        <f>F80-F108</f>
        <v>0</v>
      </c>
      <c r="G110" s="408"/>
    </row>
    <row r="111" spans="1:7" ht="12" customHeight="1">
      <c r="A111" s="414"/>
      <c r="E111" s="408"/>
      <c r="G111" s="408"/>
    </row>
    <row r="112" spans="1:7" ht="12" customHeight="1">
      <c r="A112" s="414">
        <v>27</v>
      </c>
      <c r="B112" s="408" t="s">
        <v>171</v>
      </c>
      <c r="G112" s="408"/>
    </row>
    <row r="113" spans="1:7" ht="12" customHeight="1" thickBot="1">
      <c r="A113" s="414"/>
      <c r="B113" s="435" t="s">
        <v>172</v>
      </c>
      <c r="C113" s="436">
        <f>Inputs!$D$4</f>
        <v>0.01065</v>
      </c>
      <c r="F113" s="430">
        <f>ROUND(F110*C113,0)</f>
        <v>0</v>
      </c>
      <c r="G113" s="408"/>
    </row>
    <row r="114" spans="1:7" ht="12" customHeight="1" thickTop="1">
      <c r="A114" s="414"/>
      <c r="G114" s="408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printOptions/>
  <pageMargins left="1" right="0.75" top="0.5" bottom="0.5" header="0.5" footer="0.5"/>
  <pageSetup horizontalDpi="600" verticalDpi="600" orientation="portrait" scale="90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F57" sqref="F57:G59"/>
    </sheetView>
  </sheetViews>
  <sheetFormatPr defaultColWidth="9.140625" defaultRowHeight="10.5" customHeight="1"/>
  <cols>
    <col min="1" max="1" width="5.57421875" style="64" customWidth="1"/>
    <col min="2" max="2" width="26.140625" style="64" customWidth="1"/>
    <col min="3" max="3" width="12.421875" style="64" customWidth="1"/>
    <col min="4" max="4" width="6.7109375" style="64" customWidth="1"/>
    <col min="5" max="5" width="12.421875" style="84" customWidth="1"/>
    <col min="6" max="6" width="12.421875" style="85" customWidth="1"/>
    <col min="7" max="7" width="12.421875" style="84" customWidth="1"/>
    <col min="8" max="16384" width="12.421875" style="64" customWidth="1"/>
  </cols>
  <sheetData>
    <row r="1" spans="1:7" ht="12">
      <c r="A1" s="63" t="str">
        <f>Inputs!$D$6</f>
        <v>AVISTA UTILITIES</v>
      </c>
      <c r="B1" s="63"/>
      <c r="C1" s="63"/>
      <c r="E1" s="65"/>
      <c r="F1" s="66"/>
      <c r="G1" s="65"/>
    </row>
    <row r="2" spans="1:7" ht="12">
      <c r="A2" s="63" t="s">
        <v>122</v>
      </c>
      <c r="B2" s="63"/>
      <c r="C2" s="63"/>
      <c r="E2" s="67" t="s">
        <v>123</v>
      </c>
      <c r="F2" s="67"/>
      <c r="G2" s="67"/>
    </row>
    <row r="3" spans="1:7" ht="12">
      <c r="A3" s="63" t="str">
        <f>Inputs!$D$2</f>
        <v>TWELVE MONTHS ENDED DECEMBER 31, 2004</v>
      </c>
      <c r="B3" s="63"/>
      <c r="C3" s="63"/>
      <c r="E3" s="67" t="s">
        <v>124</v>
      </c>
      <c r="F3" s="67"/>
      <c r="G3" s="67"/>
    </row>
    <row r="4" spans="1:7" ht="12">
      <c r="A4" s="63" t="s">
        <v>125</v>
      </c>
      <c r="B4" s="63"/>
      <c r="C4" s="63"/>
      <c r="E4" s="68"/>
      <c r="F4" s="69" t="s">
        <v>126</v>
      </c>
      <c r="G4" s="68"/>
    </row>
    <row r="5" spans="1:7" ht="12">
      <c r="A5" s="70" t="s">
        <v>11</v>
      </c>
      <c r="E5" s="65"/>
      <c r="F5" s="71"/>
      <c r="G5" s="65"/>
    </row>
    <row r="6" spans="1:8" ht="12">
      <c r="A6" s="72" t="s">
        <v>29</v>
      </c>
      <c r="B6" s="73" t="s">
        <v>114</v>
      </c>
      <c r="C6" s="73"/>
      <c r="E6" s="74" t="s">
        <v>127</v>
      </c>
      <c r="F6" s="75" t="s">
        <v>128</v>
      </c>
      <c r="G6" s="74" t="s">
        <v>129</v>
      </c>
      <c r="H6" s="76" t="s">
        <v>130</v>
      </c>
    </row>
    <row r="7" spans="1:7" ht="12">
      <c r="A7" s="70"/>
      <c r="B7" s="64" t="s">
        <v>69</v>
      </c>
      <c r="E7" s="77"/>
      <c r="F7" s="71"/>
      <c r="G7" s="77"/>
    </row>
    <row r="8" spans="1:8" ht="12">
      <c r="A8" s="70">
        <v>1</v>
      </c>
      <c r="B8" s="64" t="s">
        <v>131</v>
      </c>
      <c r="E8" s="78">
        <f>F8+G8</f>
        <v>204701</v>
      </c>
      <c r="F8" s="78">
        <v>145940</v>
      </c>
      <c r="G8" s="78">
        <v>58761</v>
      </c>
      <c r="H8" s="79" t="str">
        <f>IF(E8=F8+G8," ","ERROR")</f>
        <v> </v>
      </c>
    </row>
    <row r="9" spans="1:8" ht="12">
      <c r="A9" s="70">
        <v>2</v>
      </c>
      <c r="B9" s="64" t="s">
        <v>132</v>
      </c>
      <c r="E9" s="80">
        <f>F9+G9</f>
        <v>4570</v>
      </c>
      <c r="F9" s="80">
        <f>ROUND((860102+2729887+53340)/1000,0)</f>
        <v>3643</v>
      </c>
      <c r="G9" s="80">
        <f>ROUND((168017+758483)/1000,0)</f>
        <v>927</v>
      </c>
      <c r="H9" s="79" t="str">
        <f>IF(E9=F9+G9," ","ERROR")</f>
        <v> </v>
      </c>
    </row>
    <row r="10" spans="1:8" ht="12">
      <c r="A10" s="70">
        <v>3</v>
      </c>
      <c r="B10" s="64" t="s">
        <v>72</v>
      </c>
      <c r="E10" s="81">
        <f>F10+G10</f>
        <v>2975</v>
      </c>
      <c r="F10" s="81">
        <f>5811-F9</f>
        <v>2168</v>
      </c>
      <c r="G10" s="81">
        <f>1734-G9</f>
        <v>807</v>
      </c>
      <c r="H10" s="79" t="str">
        <f>IF(E10=F10+G10," ","ERROR")</f>
        <v> </v>
      </c>
    </row>
    <row r="11" spans="1:8" ht="12">
      <c r="A11" s="70">
        <v>4</v>
      </c>
      <c r="B11" s="64" t="s">
        <v>133</v>
      </c>
      <c r="E11" s="80">
        <f>SUM(E8:E10)</f>
        <v>212246</v>
      </c>
      <c r="F11" s="80">
        <f>SUM(F8:F10)</f>
        <v>151751</v>
      </c>
      <c r="G11" s="80">
        <f>SUM(G8:G10)</f>
        <v>60495</v>
      </c>
      <c r="H11" s="79" t="str">
        <f>IF(E11=F11+G11," ","ERROR")</f>
        <v> </v>
      </c>
    </row>
    <row r="12" spans="1:8" ht="12">
      <c r="A12" s="70"/>
      <c r="E12" s="80"/>
      <c r="F12" s="80"/>
      <c r="G12" s="80"/>
      <c r="H12" s="79"/>
    </row>
    <row r="13" spans="1:8" ht="12">
      <c r="A13" s="70"/>
      <c r="B13" s="64" t="s">
        <v>74</v>
      </c>
      <c r="E13" s="80"/>
      <c r="F13" s="80"/>
      <c r="G13" s="80"/>
      <c r="H13" s="79"/>
    </row>
    <row r="14" spans="1:8" ht="12">
      <c r="A14" s="70">
        <v>5</v>
      </c>
      <c r="B14" s="64" t="s">
        <v>134</v>
      </c>
      <c r="E14" s="80">
        <f>F14+G14</f>
        <v>0</v>
      </c>
      <c r="F14" s="80">
        <v>0</v>
      </c>
      <c r="G14" s="80">
        <v>0</v>
      </c>
      <c r="H14" s="79" t="str">
        <f>IF(E14=F14+G14," ","ERROR")</f>
        <v> </v>
      </c>
    </row>
    <row r="15" spans="1:8" ht="12">
      <c r="A15" s="70"/>
      <c r="B15" s="64" t="s">
        <v>76</v>
      </c>
      <c r="E15" s="80"/>
      <c r="F15" s="80"/>
      <c r="G15" s="80"/>
      <c r="H15" s="79"/>
    </row>
    <row r="16" spans="1:8" ht="12">
      <c r="A16" s="70">
        <v>6</v>
      </c>
      <c r="B16" s="64" t="s">
        <v>135</v>
      </c>
      <c r="E16" s="80">
        <f>F16+G16</f>
        <v>142129</v>
      </c>
      <c r="F16" s="80">
        <v>100951</v>
      </c>
      <c r="G16" s="80">
        <v>41178</v>
      </c>
      <c r="H16" s="79" t="str">
        <f>IF(E16=F16+G16," ","ERROR")</f>
        <v> </v>
      </c>
    </row>
    <row r="17" spans="1:8" ht="12">
      <c r="A17" s="70">
        <v>7</v>
      </c>
      <c r="B17" s="64" t="s">
        <v>136</v>
      </c>
      <c r="E17" s="80">
        <f>F17+G17</f>
        <v>500</v>
      </c>
      <c r="F17" s="80">
        <f>148+181</f>
        <v>329</v>
      </c>
      <c r="G17" s="80">
        <f>76+95</f>
        <v>171</v>
      </c>
      <c r="H17" s="79" t="str">
        <f>IF(E17=F17+G17," ","ERROR")</f>
        <v> </v>
      </c>
    </row>
    <row r="18" spans="1:8" ht="12">
      <c r="A18" s="70">
        <v>8</v>
      </c>
      <c r="B18" s="64" t="s">
        <v>137</v>
      </c>
      <c r="E18" s="81">
        <f>F18+G18</f>
        <v>0</v>
      </c>
      <c r="F18" s="81">
        <v>0</v>
      </c>
      <c r="G18" s="81">
        <v>0</v>
      </c>
      <c r="H18" s="79" t="str">
        <f>IF(E18=F18+G18," ","ERROR")</f>
        <v> </v>
      </c>
    </row>
    <row r="19" spans="1:8" ht="12">
      <c r="A19" s="70">
        <v>9</v>
      </c>
      <c r="B19" s="64" t="s">
        <v>138</v>
      </c>
      <c r="E19" s="80">
        <f>SUM(E16:E18)</f>
        <v>142629</v>
      </c>
      <c r="F19" s="80">
        <f>SUM(F16:F18)</f>
        <v>101280</v>
      </c>
      <c r="G19" s="80">
        <f>SUM(G16:G18)</f>
        <v>41349</v>
      </c>
      <c r="H19" s="79" t="str">
        <f>IF(E19=F19+G19," ","ERROR")</f>
        <v> </v>
      </c>
    </row>
    <row r="20" spans="1:8" ht="12">
      <c r="A20" s="70"/>
      <c r="B20" s="64" t="s">
        <v>81</v>
      </c>
      <c r="E20" s="80"/>
      <c r="F20" s="80"/>
      <c r="G20" s="80"/>
      <c r="H20" s="79"/>
    </row>
    <row r="21" spans="1:8" ht="12">
      <c r="A21" s="70">
        <v>10</v>
      </c>
      <c r="B21" s="64" t="s">
        <v>139</v>
      </c>
      <c r="E21" s="80">
        <f>F21+G21</f>
        <v>523</v>
      </c>
      <c r="F21" s="80">
        <v>381</v>
      </c>
      <c r="G21" s="80">
        <v>142</v>
      </c>
      <c r="H21" s="79" t="str">
        <f>IF(E21=F21+G21," ","ERROR")</f>
        <v> </v>
      </c>
    </row>
    <row r="22" spans="1:8" ht="12">
      <c r="A22" s="70">
        <v>11</v>
      </c>
      <c r="B22" s="64" t="s">
        <v>140</v>
      </c>
      <c r="E22" s="80">
        <f>F22+G22</f>
        <v>429</v>
      </c>
      <c r="F22" s="80">
        <v>313</v>
      </c>
      <c r="G22" s="80">
        <v>116</v>
      </c>
      <c r="H22" s="79" t="str">
        <f>IF(E22=F22+G22," ","ERROR")</f>
        <v> </v>
      </c>
    </row>
    <row r="23" spans="1:8" ht="12">
      <c r="A23" s="70">
        <v>12</v>
      </c>
      <c r="B23" s="64" t="s">
        <v>141</v>
      </c>
      <c r="E23" s="81">
        <f>F23+G23</f>
        <v>170</v>
      </c>
      <c r="F23" s="81">
        <v>124</v>
      </c>
      <c r="G23" s="81">
        <v>46</v>
      </c>
      <c r="H23" s="79" t="str">
        <f>IF(E23=F23+G23," ","ERROR")</f>
        <v> </v>
      </c>
    </row>
    <row r="24" spans="1:8" ht="12">
      <c r="A24" s="70">
        <v>13</v>
      </c>
      <c r="B24" s="64" t="s">
        <v>142</v>
      </c>
      <c r="E24" s="80">
        <f>SUM(E21:E23)</f>
        <v>1122</v>
      </c>
      <c r="F24" s="80">
        <f>SUM(F21:F23)</f>
        <v>818</v>
      </c>
      <c r="G24" s="80">
        <f>SUM(G21:G23)</f>
        <v>304</v>
      </c>
      <c r="H24" s="79" t="str">
        <f>IF(E24=F24+G24," ","ERROR")</f>
        <v> </v>
      </c>
    </row>
    <row r="25" spans="1:8" ht="12">
      <c r="A25" s="70"/>
      <c r="B25" s="64" t="s">
        <v>85</v>
      </c>
      <c r="E25" s="80"/>
      <c r="F25" s="80"/>
      <c r="G25" s="80"/>
      <c r="H25" s="79"/>
    </row>
    <row r="26" spans="1:8" ht="12">
      <c r="A26" s="70">
        <v>14</v>
      </c>
      <c r="B26" s="64" t="s">
        <v>139</v>
      </c>
      <c r="E26" s="80">
        <f>F26+G26</f>
        <v>8560</v>
      </c>
      <c r="F26" s="80">
        <v>6116</v>
      </c>
      <c r="G26" s="80">
        <v>2444</v>
      </c>
      <c r="H26" s="79" t="str">
        <f aca="true" t="shared" si="0" ref="H26:H33">IF(E26=F26+G26," ","ERROR")</f>
        <v> </v>
      </c>
    </row>
    <row r="27" spans="1:8" ht="12">
      <c r="A27" s="70">
        <v>15</v>
      </c>
      <c r="B27" s="64" t="s">
        <v>140</v>
      </c>
      <c r="E27" s="80">
        <f>F27+G27</f>
        <v>7199</v>
      </c>
      <c r="F27" s="80">
        <v>4894</v>
      </c>
      <c r="G27" s="80">
        <v>2305</v>
      </c>
      <c r="H27" s="79" t="str">
        <f t="shared" si="0"/>
        <v> </v>
      </c>
    </row>
    <row r="28" spans="1:8" ht="12">
      <c r="A28" s="70">
        <v>16</v>
      </c>
      <c r="B28" s="64" t="s">
        <v>141</v>
      </c>
      <c r="E28" s="81">
        <f>F28+G28</f>
        <v>14593</v>
      </c>
      <c r="F28" s="81">
        <v>12657</v>
      </c>
      <c r="G28" s="81">
        <v>1936</v>
      </c>
      <c r="H28" s="79" t="str">
        <f t="shared" si="0"/>
        <v> </v>
      </c>
    </row>
    <row r="29" spans="1:8" ht="12" customHeight="1">
      <c r="A29" s="70">
        <v>17</v>
      </c>
      <c r="B29" s="64" t="s">
        <v>143</v>
      </c>
      <c r="E29" s="80">
        <f>SUM(E26:E28)</f>
        <v>30352</v>
      </c>
      <c r="F29" s="80">
        <f>SUM(F26:F28)</f>
        <v>23667</v>
      </c>
      <c r="G29" s="80">
        <f>SUM(G26:G28)</f>
        <v>6685</v>
      </c>
      <c r="H29" s="79" t="str">
        <f t="shared" si="0"/>
        <v> </v>
      </c>
    </row>
    <row r="30" spans="1:8" ht="12" customHeight="1">
      <c r="A30" s="70"/>
      <c r="E30" s="80"/>
      <c r="F30" s="80"/>
      <c r="G30" s="80"/>
      <c r="H30" s="79"/>
    </row>
    <row r="31" spans="1:8" ht="12" customHeight="1">
      <c r="A31" s="70">
        <v>18</v>
      </c>
      <c r="B31" s="64" t="s">
        <v>87</v>
      </c>
      <c r="E31" s="80">
        <f>F31+G31</f>
        <v>7023</v>
      </c>
      <c r="F31" s="80">
        <v>4726</v>
      </c>
      <c r="G31" s="80">
        <v>2297</v>
      </c>
      <c r="H31" s="79" t="str">
        <f t="shared" si="0"/>
        <v> </v>
      </c>
    </row>
    <row r="32" spans="1:8" ht="12">
      <c r="A32" s="70">
        <v>19</v>
      </c>
      <c r="B32" s="64" t="s">
        <v>88</v>
      </c>
      <c r="E32" s="80">
        <f>F32+G32</f>
        <v>4769</v>
      </c>
      <c r="F32" s="80">
        <v>4199</v>
      </c>
      <c r="G32" s="80">
        <v>570</v>
      </c>
      <c r="H32" s="79" t="str">
        <f t="shared" si="0"/>
        <v> </v>
      </c>
    </row>
    <row r="33" spans="1:8" ht="12">
      <c r="A33" s="70">
        <v>20</v>
      </c>
      <c r="B33" s="64" t="s">
        <v>144</v>
      </c>
      <c r="E33" s="80">
        <f>F33+G33</f>
        <v>699</v>
      </c>
      <c r="F33" s="80">
        <v>438</v>
      </c>
      <c r="G33" s="80">
        <v>261</v>
      </c>
      <c r="H33" s="79" t="str">
        <f t="shared" si="0"/>
        <v> </v>
      </c>
    </row>
    <row r="34" spans="1:8" ht="12">
      <c r="A34" s="70"/>
      <c r="B34" s="64" t="s">
        <v>145</v>
      </c>
      <c r="E34" s="80"/>
      <c r="F34" s="80"/>
      <c r="G34" s="80"/>
      <c r="H34" s="79"/>
    </row>
    <row r="35" spans="1:8" ht="12">
      <c r="A35" s="70">
        <v>21</v>
      </c>
      <c r="B35" s="64" t="s">
        <v>139</v>
      </c>
      <c r="E35" s="80">
        <f>F35+G35</f>
        <v>13189</v>
      </c>
      <c r="F35" s="80">
        <v>9044</v>
      </c>
      <c r="G35" s="80">
        <v>4145</v>
      </c>
      <c r="H35" s="79" t="str">
        <f>IF(E35=F35+G35," ","ERROR")</f>
        <v> </v>
      </c>
    </row>
    <row r="36" spans="1:8" ht="12">
      <c r="A36" s="70">
        <v>22</v>
      </c>
      <c r="B36" s="64" t="s">
        <v>140</v>
      </c>
      <c r="E36" s="80">
        <f>F36+G36</f>
        <v>1236</v>
      </c>
      <c r="F36" s="80">
        <f>ROUND((290951+146258+236166+5958+23100+168551)/1000,0)</f>
        <v>871</v>
      </c>
      <c r="G36" s="80">
        <f>ROUND((130264+66528+103219+2840+62251)/1000,0)</f>
        <v>365</v>
      </c>
      <c r="H36" s="79" t="str">
        <f>IF(E36=F36+G36," ","ERROR")</f>
        <v> </v>
      </c>
    </row>
    <row r="37" spans="1:8" ht="12">
      <c r="A37" s="70">
        <v>23</v>
      </c>
      <c r="B37" s="64" t="s">
        <v>141</v>
      </c>
      <c r="E37" s="81">
        <f>F37+G37</f>
        <v>35</v>
      </c>
      <c r="F37" s="81">
        <v>24</v>
      </c>
      <c r="G37" s="81">
        <v>11</v>
      </c>
      <c r="H37" s="79" t="str">
        <f>IF(E37=F37+G37," ","ERROR")</f>
        <v> </v>
      </c>
    </row>
    <row r="38" spans="1:8" ht="12">
      <c r="A38" s="70">
        <v>24</v>
      </c>
      <c r="B38" s="64" t="s">
        <v>146</v>
      </c>
      <c r="E38" s="81">
        <f>SUM(E35:E37)</f>
        <v>14460</v>
      </c>
      <c r="F38" s="81">
        <f>SUM(F35:F37)</f>
        <v>9939</v>
      </c>
      <c r="G38" s="81">
        <f>SUM(G35:G37)</f>
        <v>4521</v>
      </c>
      <c r="H38" s="79" t="str">
        <f>IF(E38=F38+G38," ","ERROR")</f>
        <v> </v>
      </c>
    </row>
    <row r="39" spans="1:8" ht="12">
      <c r="A39" s="70">
        <v>25</v>
      </c>
      <c r="B39" s="64" t="s">
        <v>92</v>
      </c>
      <c r="E39" s="81">
        <f>E19+E24+E29+E31+E32+E33+E38+E14</f>
        <v>201054</v>
      </c>
      <c r="F39" s="81">
        <f>F19+F24+F29+F31+F32+F33+F38+F14</f>
        <v>145067</v>
      </c>
      <c r="G39" s="81">
        <f>G19+G24+G29+G31+G32+G33+G38+G14</f>
        <v>55987</v>
      </c>
      <c r="H39" s="79" t="str">
        <f>IF(E39=F39+G39," ","ERROR")</f>
        <v> </v>
      </c>
    </row>
    <row r="40" spans="1:8" ht="12">
      <c r="A40" s="70"/>
      <c r="E40" s="80"/>
      <c r="F40" s="80"/>
      <c r="G40" s="80"/>
      <c r="H40" s="79"/>
    </row>
    <row r="41" spans="1:8" ht="12">
      <c r="A41" s="70">
        <v>26</v>
      </c>
      <c r="B41" s="64" t="s">
        <v>147</v>
      </c>
      <c r="E41" s="188">
        <f>E11-E39</f>
        <v>11192</v>
      </c>
      <c r="F41" s="188">
        <f>F11-F39</f>
        <v>6684</v>
      </c>
      <c r="G41" s="80">
        <f>G11-G39</f>
        <v>4508</v>
      </c>
      <c r="H41" s="79" t="str">
        <f>IF(E41=F41+G41," ","ERROR")</f>
        <v> </v>
      </c>
    </row>
    <row r="42" spans="1:8" ht="12" customHeight="1">
      <c r="A42" s="70"/>
      <c r="E42" s="188"/>
      <c r="F42" s="188"/>
      <c r="G42" s="80"/>
      <c r="H42" s="79"/>
    </row>
    <row r="43" spans="1:8" ht="12" customHeight="1">
      <c r="A43" s="70"/>
      <c r="B43" s="64" t="s">
        <v>148</v>
      </c>
      <c r="E43" s="80"/>
      <c r="F43" s="80"/>
      <c r="G43" s="80"/>
      <c r="H43" s="79"/>
    </row>
    <row r="44" spans="1:8" ht="12">
      <c r="A44" s="70">
        <v>27</v>
      </c>
      <c r="B44" s="82" t="s">
        <v>149</v>
      </c>
      <c r="D44" s="83">
        <v>0.35</v>
      </c>
      <c r="E44" s="80">
        <f>F44+G44</f>
        <v>-6100</v>
      </c>
      <c r="F44" s="80">
        <v>-3884</v>
      </c>
      <c r="G44" s="80">
        <v>-2216</v>
      </c>
      <c r="H44" s="79" t="str">
        <f>IF(E44=F44+G44," ","ERROR")</f>
        <v> </v>
      </c>
    </row>
    <row r="45" spans="1:8" ht="12">
      <c r="A45" s="70">
        <v>28</v>
      </c>
      <c r="B45" s="64" t="s">
        <v>150</v>
      </c>
      <c r="E45" s="80">
        <f>F45+G45</f>
        <v>6258</v>
      </c>
      <c r="F45" s="80">
        <v>3728</v>
      </c>
      <c r="G45" s="80">
        <v>2530</v>
      </c>
      <c r="H45" s="79" t="str">
        <f>IF(E45=F45+G45," ","ERROR")</f>
        <v> </v>
      </c>
    </row>
    <row r="46" spans="1:8" ht="12">
      <c r="A46" s="70">
        <v>29</v>
      </c>
      <c r="B46" s="64" t="s">
        <v>151</v>
      </c>
      <c r="E46" s="81">
        <f>F46+G46</f>
        <v>-50</v>
      </c>
      <c r="F46" s="81">
        <v>-31</v>
      </c>
      <c r="G46" s="81">
        <v>-19</v>
      </c>
      <c r="H46" s="79" t="str">
        <f>IF(E46=F46+G46," ","ERROR")</f>
        <v> </v>
      </c>
    </row>
    <row r="47" spans="1:8" ht="12">
      <c r="A47" s="70"/>
      <c r="G47" s="85"/>
      <c r="H47" s="79"/>
    </row>
    <row r="48" spans="1:8" ht="12.75" thickBot="1">
      <c r="A48" s="70">
        <v>30</v>
      </c>
      <c r="B48" s="86" t="s">
        <v>98</v>
      </c>
      <c r="E48" s="189">
        <f>E41-(+E44+E45+E46)</f>
        <v>11084</v>
      </c>
      <c r="F48" s="189">
        <f>F41-(F44+F45+F46)</f>
        <v>6871</v>
      </c>
      <c r="G48" s="189">
        <f>G41-(G44+G45+G46)</f>
        <v>4213</v>
      </c>
      <c r="H48" s="79" t="str">
        <f>IF(E48=F48+G48," ","ERROR")</f>
        <v> </v>
      </c>
    </row>
    <row r="49" spans="1:8" ht="12.75" thickTop="1">
      <c r="A49" s="70"/>
      <c r="G49" s="85"/>
      <c r="H49" s="79"/>
    </row>
    <row r="50" spans="1:8" ht="12">
      <c r="A50" s="70"/>
      <c r="B50" s="82" t="s">
        <v>152</v>
      </c>
      <c r="G50" s="85"/>
      <c r="H50" s="79"/>
    </row>
    <row r="51" spans="1:8" ht="12">
      <c r="A51" s="70"/>
      <c r="B51" s="82" t="s">
        <v>153</v>
      </c>
      <c r="G51" s="85"/>
      <c r="H51" s="79"/>
    </row>
    <row r="52" spans="1:8" ht="12">
      <c r="A52" s="70">
        <v>31</v>
      </c>
      <c r="B52" s="64" t="s">
        <v>154</v>
      </c>
      <c r="E52" s="78">
        <f>F52+G52</f>
        <v>18694</v>
      </c>
      <c r="F52" s="78">
        <v>13632</v>
      </c>
      <c r="G52" s="78">
        <v>5062</v>
      </c>
      <c r="H52" s="79" t="str">
        <f aca="true" t="shared" si="1" ref="H52:H63">IF(E52=F52+G52," ","ERROR")</f>
        <v> </v>
      </c>
    </row>
    <row r="53" spans="1:8" ht="12">
      <c r="A53" s="70">
        <v>32</v>
      </c>
      <c r="B53" s="64" t="s">
        <v>155</v>
      </c>
      <c r="E53" s="80">
        <f>F53+G53</f>
        <v>294307</v>
      </c>
      <c r="F53" s="80">
        <v>200079</v>
      </c>
      <c r="G53" s="80">
        <v>94228</v>
      </c>
      <c r="H53" s="79" t="str">
        <f t="shared" si="1"/>
        <v> </v>
      </c>
    </row>
    <row r="54" spans="1:8" ht="12">
      <c r="A54" s="70">
        <v>33</v>
      </c>
      <c r="B54" s="64" t="s">
        <v>156</v>
      </c>
      <c r="E54" s="81">
        <f>F54+G54</f>
        <v>23963</v>
      </c>
      <c r="F54" s="81">
        <f>14760+1739</f>
        <v>16499</v>
      </c>
      <c r="G54" s="81">
        <f>6697+767</f>
        <v>7464</v>
      </c>
      <c r="H54" s="79" t="str">
        <f t="shared" si="1"/>
        <v> </v>
      </c>
    </row>
    <row r="55" spans="1:8" ht="12">
      <c r="A55" s="70">
        <v>34</v>
      </c>
      <c r="B55" s="64" t="s">
        <v>157</v>
      </c>
      <c r="E55" s="80">
        <f>SUM(E52:E54)</f>
        <v>336964</v>
      </c>
      <c r="F55" s="80">
        <f>SUM(F52:F54)</f>
        <v>230210</v>
      </c>
      <c r="G55" s="80">
        <f>SUM(G52:G54)</f>
        <v>106754</v>
      </c>
      <c r="H55" s="79" t="str">
        <f t="shared" si="1"/>
        <v> </v>
      </c>
    </row>
    <row r="56" spans="1:8" ht="12">
      <c r="A56" s="70"/>
      <c r="B56" s="64" t="s">
        <v>103</v>
      </c>
      <c r="E56" s="80"/>
      <c r="F56" s="80"/>
      <c r="G56" s="80"/>
      <c r="H56" s="79" t="str">
        <f t="shared" si="1"/>
        <v> </v>
      </c>
    </row>
    <row r="57" spans="1:8" ht="12">
      <c r="A57" s="70">
        <v>35</v>
      </c>
      <c r="B57" s="64" t="s">
        <v>154</v>
      </c>
      <c r="E57" s="80">
        <f>F57+G57</f>
        <v>9129</v>
      </c>
      <c r="F57" s="80">
        <v>6657</v>
      </c>
      <c r="G57" s="80">
        <v>2472</v>
      </c>
      <c r="H57" s="79" t="str">
        <f t="shared" si="1"/>
        <v> </v>
      </c>
    </row>
    <row r="58" spans="1:8" ht="12">
      <c r="A58" s="70">
        <v>36</v>
      </c>
      <c r="B58" s="64" t="s">
        <v>155</v>
      </c>
      <c r="E58" s="80">
        <f>F58+G58</f>
        <v>95335</v>
      </c>
      <c r="F58" s="80">
        <v>64811</v>
      </c>
      <c r="G58" s="80">
        <v>30524</v>
      </c>
      <c r="H58" s="79" t="str">
        <f t="shared" si="1"/>
        <v> </v>
      </c>
    </row>
    <row r="59" spans="1:8" ht="12">
      <c r="A59" s="70">
        <v>37</v>
      </c>
      <c r="B59" s="64" t="s">
        <v>156</v>
      </c>
      <c r="E59" s="81">
        <f>F59+G59</f>
        <v>10127</v>
      </c>
      <c r="F59" s="81">
        <f>ROUND((3799220+1382888+1857303)/1000,0)</f>
        <v>7039</v>
      </c>
      <c r="G59" s="81">
        <f>ROUND((1766866+498408+822949)/1000,0)</f>
        <v>3088</v>
      </c>
      <c r="H59" s="79" t="str">
        <f t="shared" si="1"/>
        <v> </v>
      </c>
    </row>
    <row r="60" spans="1:8" ht="12">
      <c r="A60" s="70">
        <v>38</v>
      </c>
      <c r="B60" s="64" t="s">
        <v>158</v>
      </c>
      <c r="E60" s="80">
        <f>SUM(E57:E59)</f>
        <v>114591</v>
      </c>
      <c r="F60" s="80">
        <f>SUM(F57:F59)</f>
        <v>78507</v>
      </c>
      <c r="G60" s="80">
        <f>SUM(G57:G59)</f>
        <v>36084</v>
      </c>
      <c r="H60" s="79" t="str">
        <f t="shared" si="1"/>
        <v> </v>
      </c>
    </row>
    <row r="61" spans="1:8" ht="12">
      <c r="A61" s="70">
        <v>39</v>
      </c>
      <c r="B61" s="82" t="s">
        <v>159</v>
      </c>
      <c r="E61" s="80"/>
      <c r="F61" s="80"/>
      <c r="G61" s="80"/>
      <c r="H61" s="79" t="str">
        <f t="shared" si="1"/>
        <v> </v>
      </c>
    </row>
    <row r="62" spans="1:8" ht="12">
      <c r="A62" s="70">
        <v>40</v>
      </c>
      <c r="B62" s="64" t="s">
        <v>106</v>
      </c>
      <c r="E62" s="80"/>
      <c r="F62" s="80"/>
      <c r="G62" s="80"/>
      <c r="H62" s="79" t="str">
        <f t="shared" si="1"/>
        <v> </v>
      </c>
    </row>
    <row r="63" spans="1:8" ht="12">
      <c r="A63" s="70">
        <v>41</v>
      </c>
      <c r="B63" s="82" t="s">
        <v>107</v>
      </c>
      <c r="E63" s="81"/>
      <c r="F63" s="81"/>
      <c r="G63" s="81"/>
      <c r="H63" s="79" t="str">
        <f t="shared" si="1"/>
        <v> </v>
      </c>
    </row>
    <row r="64" spans="1:8" ht="9" customHeight="1">
      <c r="A64" s="70"/>
      <c r="B64" s="64" t="s">
        <v>160</v>
      </c>
      <c r="G64" s="85"/>
      <c r="H64" s="79"/>
    </row>
    <row r="65" spans="1:8" ht="12.75" thickBot="1">
      <c r="A65" s="70">
        <v>42</v>
      </c>
      <c r="B65" s="86" t="s">
        <v>108</v>
      </c>
      <c r="E65" s="87">
        <f>E55-E60+E61+E62+E63</f>
        <v>222373</v>
      </c>
      <c r="F65" s="87">
        <f>F55-F60+F61+F62+F63</f>
        <v>151703</v>
      </c>
      <c r="G65" s="87">
        <f>G55-G60+G61+G62+G63</f>
        <v>70670</v>
      </c>
      <c r="H65" s="79" t="str">
        <f>IF(E65=F65+G65," ","ERROR")</f>
        <v> </v>
      </c>
    </row>
    <row r="66" ht="10.5" customHeight="1" thickTop="1"/>
    <row r="67" spans="5:7" ht="10.5" customHeight="1">
      <c r="E67" s="88">
        <f>E48/E65</f>
        <v>0.049844180723379185</v>
      </c>
      <c r="F67" s="88">
        <f>F48/F65</f>
        <v>0.04529244642492238</v>
      </c>
      <c r="G67" s="88">
        <f>G48/G65</f>
        <v>0.059615112494693645</v>
      </c>
    </row>
  </sheetData>
  <printOptions horizontalCentered="1"/>
  <pageMargins left="1" right="1" top="0.5" bottom="0.5" header="0.5" footer="0.5"/>
  <pageSetup horizontalDpi="300" verticalDpi="300" orientation="portrait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D72" sqref="D72"/>
    </sheetView>
  </sheetViews>
  <sheetFormatPr defaultColWidth="9.140625" defaultRowHeight="12.75"/>
  <cols>
    <col min="1" max="1" width="5.57421875" style="408" customWidth="1"/>
    <col min="2" max="2" width="26.140625" style="408" customWidth="1"/>
    <col min="3" max="3" width="12.421875" style="408" customWidth="1"/>
    <col min="4" max="4" width="6.7109375" style="408" customWidth="1"/>
    <col min="5" max="5" width="12.421875" style="427" customWidth="1"/>
    <col min="6" max="6" width="12.421875" style="428" customWidth="1"/>
    <col min="7" max="7" width="12.421875" style="427" customWidth="1"/>
    <col min="8" max="8" width="12.421875" style="408" customWidth="1"/>
    <col min="9" max="16384" width="9.140625" style="408" customWidth="1"/>
  </cols>
  <sheetData>
    <row r="1" spans="1:7" ht="12" customHeight="1">
      <c r="A1" s="407" t="str">
        <f>Inputs!$D$6</f>
        <v>AVISTA UTILITIES</v>
      </c>
      <c r="B1" s="407"/>
      <c r="C1" s="407"/>
      <c r="E1" s="409"/>
      <c r="F1" s="410"/>
      <c r="G1" s="409"/>
    </row>
    <row r="2" spans="1:7" ht="12" customHeight="1">
      <c r="A2" s="407" t="s">
        <v>122</v>
      </c>
      <c r="B2" s="407"/>
      <c r="C2" s="407"/>
      <c r="E2" s="409"/>
      <c r="F2" s="879" t="s">
        <v>357</v>
      </c>
      <c r="G2" s="409"/>
    </row>
    <row r="3" spans="1:7" ht="12" customHeight="1">
      <c r="A3" s="407" t="str">
        <f>Inputs!$D$2</f>
        <v>TWELVE MONTHS ENDED DECEMBER 31, 2004</v>
      </c>
      <c r="B3" s="407"/>
      <c r="C3" s="407"/>
      <c r="E3" s="409"/>
      <c r="F3" s="879" t="s">
        <v>358</v>
      </c>
      <c r="G3" s="408"/>
    </row>
    <row r="4" spans="1:7" ht="12" customHeight="1">
      <c r="A4" s="407" t="s">
        <v>125</v>
      </c>
      <c r="B4" s="407"/>
      <c r="C4" s="407"/>
      <c r="E4" s="412"/>
      <c r="F4" s="413" t="s">
        <v>126</v>
      </c>
      <c r="G4" s="412"/>
    </row>
    <row r="5" spans="1:7" ht="12" customHeight="1">
      <c r="A5" s="414" t="s">
        <v>11</v>
      </c>
      <c r="E5" s="409"/>
      <c r="F5" s="411"/>
      <c r="G5" s="409"/>
    </row>
    <row r="6" spans="1:8" ht="12" customHeight="1">
      <c r="A6" s="415" t="s">
        <v>29</v>
      </c>
      <c r="B6" s="416" t="s">
        <v>114</v>
      </c>
      <c r="C6" s="416"/>
      <c r="E6" s="417" t="s">
        <v>127</v>
      </c>
      <c r="F6" s="418" t="s">
        <v>128</v>
      </c>
      <c r="G6" s="417" t="s">
        <v>129</v>
      </c>
      <c r="H6" s="419" t="s">
        <v>130</v>
      </c>
    </row>
    <row r="7" spans="1:7" ht="12" customHeight="1">
      <c r="A7" s="414"/>
      <c r="B7" s="408" t="s">
        <v>69</v>
      </c>
      <c r="E7" s="420"/>
      <c r="F7" s="411"/>
      <c r="G7" s="420"/>
    </row>
    <row r="8" spans="1:8" ht="12" customHeight="1">
      <c r="A8" s="414">
        <v>1</v>
      </c>
      <c r="B8" s="408" t="s">
        <v>131</v>
      </c>
      <c r="E8" s="421"/>
      <c r="F8" s="421"/>
      <c r="G8" s="421"/>
      <c r="H8" s="422" t="str">
        <f>IF(E8=F8+G8," ","ERROR")</f>
        <v> </v>
      </c>
    </row>
    <row r="9" spans="1:8" ht="12" customHeight="1">
      <c r="A9" s="414">
        <v>2</v>
      </c>
      <c r="B9" s="408" t="s">
        <v>132</v>
      </c>
      <c r="E9" s="423"/>
      <c r="F9" s="423"/>
      <c r="G9" s="423"/>
      <c r="H9" s="422" t="str">
        <f>IF(E9=F9+G9," ","ERROR")</f>
        <v> </v>
      </c>
    </row>
    <row r="10" spans="1:8" ht="12" customHeight="1">
      <c r="A10" s="414">
        <v>3</v>
      </c>
      <c r="B10" s="408" t="s">
        <v>72</v>
      </c>
      <c r="E10" s="424"/>
      <c r="F10" s="424"/>
      <c r="G10" s="424"/>
      <c r="H10" s="422" t="str">
        <f>IF(E10=F10+G10," ","ERROR")</f>
        <v> </v>
      </c>
    </row>
    <row r="11" spans="1:8" ht="12" customHeight="1">
      <c r="A11" s="414">
        <v>4</v>
      </c>
      <c r="B11" s="408" t="s">
        <v>133</v>
      </c>
      <c r="E11" s="423">
        <f>SUM(E8:E10)</f>
        <v>0</v>
      </c>
      <c r="F11" s="423">
        <f>SUM(F8:F10)</f>
        <v>0</v>
      </c>
      <c r="G11" s="423">
        <f>SUM(G8:G10)</f>
        <v>0</v>
      </c>
      <c r="H11" s="422" t="str">
        <f>IF(E11=F11+G11," ","ERROR")</f>
        <v> </v>
      </c>
    </row>
    <row r="12" spans="1:8" ht="12" customHeight="1">
      <c r="A12" s="414"/>
      <c r="E12" s="423"/>
      <c r="F12" s="423"/>
      <c r="G12" s="423"/>
      <c r="H12" s="422"/>
    </row>
    <row r="13" spans="1:8" ht="12" customHeight="1">
      <c r="A13" s="414"/>
      <c r="B13" s="408" t="s">
        <v>74</v>
      </c>
      <c r="E13" s="423"/>
      <c r="F13" s="423"/>
      <c r="G13" s="423"/>
      <c r="H13" s="422"/>
    </row>
    <row r="14" spans="1:8" ht="12" customHeight="1">
      <c r="A14" s="414">
        <v>5</v>
      </c>
      <c r="B14" s="408" t="s">
        <v>134</v>
      </c>
      <c r="E14" s="423"/>
      <c r="F14" s="423"/>
      <c r="G14" s="423"/>
      <c r="H14" s="422" t="str">
        <f>IF(E14=F14+G14," ","ERROR")</f>
        <v> </v>
      </c>
    </row>
    <row r="15" spans="1:8" ht="12" customHeight="1">
      <c r="A15" s="414"/>
      <c r="B15" s="408" t="s">
        <v>76</v>
      </c>
      <c r="E15" s="423"/>
      <c r="F15" s="423"/>
      <c r="G15" s="423"/>
      <c r="H15" s="422"/>
    </row>
    <row r="16" spans="1:8" ht="12" customHeight="1">
      <c r="A16" s="414">
        <v>6</v>
      </c>
      <c r="B16" s="408" t="s">
        <v>135</v>
      </c>
      <c r="E16" s="423">
        <f>SUM(F16:G16)</f>
        <v>0</v>
      </c>
      <c r="F16" s="423"/>
      <c r="G16" s="423"/>
      <c r="H16" s="422" t="str">
        <f>IF(E16=F16+G16," ","ERROR")</f>
        <v> </v>
      </c>
    </row>
    <row r="17" spans="1:8" ht="12" customHeight="1">
      <c r="A17" s="414">
        <v>7</v>
      </c>
      <c r="B17" s="408" t="s">
        <v>136</v>
      </c>
      <c r="E17" s="423">
        <f>SUM(F17:G17)</f>
        <v>0</v>
      </c>
      <c r="F17" s="423"/>
      <c r="G17" s="423"/>
      <c r="H17" s="422" t="str">
        <f>IF(E17=F17+G17," ","ERROR")</f>
        <v> </v>
      </c>
    </row>
    <row r="18" spans="1:8" ht="12" customHeight="1">
      <c r="A18" s="414">
        <v>8</v>
      </c>
      <c r="B18" s="408" t="s">
        <v>137</v>
      </c>
      <c r="E18" s="424"/>
      <c r="F18" s="424"/>
      <c r="G18" s="424"/>
      <c r="H18" s="422" t="str">
        <f>IF(E18=F18+G18," ","ERROR")</f>
        <v> </v>
      </c>
    </row>
    <row r="19" spans="1:8" ht="12" customHeight="1">
      <c r="A19" s="414">
        <v>9</v>
      </c>
      <c r="B19" s="408" t="s">
        <v>138</v>
      </c>
      <c r="E19" s="423">
        <f>SUM(E16:E18)</f>
        <v>0</v>
      </c>
      <c r="F19" s="423">
        <f>SUM(F16:F18)</f>
        <v>0</v>
      </c>
      <c r="G19" s="423">
        <f>SUM(G16:G18)</f>
        <v>0</v>
      </c>
      <c r="H19" s="422" t="str">
        <f>IF(E19=F19+G19," ","ERROR")</f>
        <v> </v>
      </c>
    </row>
    <row r="20" spans="1:8" ht="12" customHeight="1">
      <c r="A20" s="414"/>
      <c r="B20" s="408" t="s">
        <v>81</v>
      </c>
      <c r="E20" s="423"/>
      <c r="F20" s="423"/>
      <c r="G20" s="423"/>
      <c r="H20" s="422"/>
    </row>
    <row r="21" spans="1:8" ht="12" customHeight="1">
      <c r="A21" s="414">
        <v>10</v>
      </c>
      <c r="B21" s="408" t="s">
        <v>139</v>
      </c>
      <c r="E21" s="423">
        <f>SUM(F21:G21)</f>
        <v>0</v>
      </c>
      <c r="F21" s="423"/>
      <c r="G21" s="423"/>
      <c r="H21" s="422" t="str">
        <f>IF(E21=F21+G21," ","ERROR")</f>
        <v> </v>
      </c>
    </row>
    <row r="22" spans="1:8" ht="12" customHeight="1">
      <c r="A22" s="414">
        <v>11</v>
      </c>
      <c r="B22" s="408" t="s">
        <v>140</v>
      </c>
      <c r="E22" s="423"/>
      <c r="F22" s="423"/>
      <c r="G22" s="423"/>
      <c r="H22" s="422" t="str">
        <f>IF(E22=F22+G22," ","ERROR")</f>
        <v> </v>
      </c>
    </row>
    <row r="23" spans="1:8" ht="12" customHeight="1">
      <c r="A23" s="414">
        <v>12</v>
      </c>
      <c r="B23" s="408" t="s">
        <v>141</v>
      </c>
      <c r="E23" s="424"/>
      <c r="F23" s="424"/>
      <c r="G23" s="424"/>
      <c r="H23" s="422" t="str">
        <f>IF(E23=F23+G23," ","ERROR")</f>
        <v> </v>
      </c>
    </row>
    <row r="24" spans="1:8" ht="12" customHeight="1">
      <c r="A24" s="414">
        <v>13</v>
      </c>
      <c r="B24" s="408" t="s">
        <v>142</v>
      </c>
      <c r="E24" s="423">
        <f>SUM(E21:E23)</f>
        <v>0</v>
      </c>
      <c r="F24" s="423">
        <f>SUM(F21:F23)</f>
        <v>0</v>
      </c>
      <c r="G24" s="423">
        <f>SUM(G21:G23)</f>
        <v>0</v>
      </c>
      <c r="H24" s="422" t="str">
        <f>IF(E24=F24+G24," ","ERROR")</f>
        <v> </v>
      </c>
    </row>
    <row r="25" spans="1:8" ht="12" customHeight="1">
      <c r="A25" s="414"/>
      <c r="B25" s="408" t="s">
        <v>85</v>
      </c>
      <c r="E25" s="423"/>
      <c r="F25" s="423"/>
      <c r="G25" s="423"/>
      <c r="H25" s="422"/>
    </row>
    <row r="26" spans="1:8" ht="12" customHeight="1">
      <c r="A26" s="414">
        <v>14</v>
      </c>
      <c r="B26" s="408" t="s">
        <v>139</v>
      </c>
      <c r="E26" s="423">
        <f>SUM(F26:G26)</f>
        <v>0</v>
      </c>
      <c r="F26" s="423"/>
      <c r="G26" s="423"/>
      <c r="H26" s="422" t="str">
        <f>IF(E26=F26+G26," ","ERROR")</f>
        <v> </v>
      </c>
    </row>
    <row r="27" spans="1:8" ht="12" customHeight="1">
      <c r="A27" s="414">
        <v>15</v>
      </c>
      <c r="B27" s="408" t="s">
        <v>140</v>
      </c>
      <c r="E27" s="423"/>
      <c r="F27" s="423"/>
      <c r="G27" s="423"/>
      <c r="H27" s="422" t="str">
        <f>IF(E27=F27+G27," ","ERROR")</f>
        <v> </v>
      </c>
    </row>
    <row r="28" spans="1:8" ht="12" customHeight="1">
      <c r="A28" s="414">
        <v>16</v>
      </c>
      <c r="B28" s="408" t="s">
        <v>141</v>
      </c>
      <c r="E28" s="424">
        <f>F28+G28</f>
        <v>0</v>
      </c>
      <c r="F28" s="424"/>
      <c r="G28" s="877"/>
      <c r="H28" s="422" t="str">
        <f>IF(E28=F28+G28," ","ERROR")</f>
        <v> </v>
      </c>
    </row>
    <row r="29" spans="1:8" ht="12" customHeight="1">
      <c r="A29" s="414">
        <v>17</v>
      </c>
      <c r="B29" s="408" t="s">
        <v>143</v>
      </c>
      <c r="E29" s="423">
        <f>SUM(E26:E28)</f>
        <v>0</v>
      </c>
      <c r="F29" s="423">
        <f>SUM(F26:F28)</f>
        <v>0</v>
      </c>
      <c r="G29" s="423">
        <f>SUM(G26:G28)</f>
        <v>0</v>
      </c>
      <c r="H29" s="422" t="str">
        <f>IF(E29=F29+G29," ","ERROR")</f>
        <v> </v>
      </c>
    </row>
    <row r="30" spans="1:8" ht="12" customHeight="1">
      <c r="A30" s="414"/>
      <c r="E30" s="423"/>
      <c r="F30" s="423"/>
      <c r="G30" s="423"/>
      <c r="H30" s="422"/>
    </row>
    <row r="31" spans="1:8" ht="12" customHeight="1">
      <c r="A31" s="414">
        <v>18</v>
      </c>
      <c r="B31" s="408" t="s">
        <v>87</v>
      </c>
      <c r="E31" s="423">
        <f>SUM(F31:G31)</f>
        <v>0</v>
      </c>
      <c r="F31" s="423"/>
      <c r="G31" s="423"/>
      <c r="H31" s="422" t="str">
        <f>IF(E31=F31+G31," ","ERROR")</f>
        <v> </v>
      </c>
    </row>
    <row r="32" spans="1:8" ht="12" customHeight="1">
      <c r="A32" s="414">
        <v>19</v>
      </c>
      <c r="B32" s="408" t="s">
        <v>88</v>
      </c>
      <c r="E32" s="423">
        <f>SUM(F32:G32)</f>
        <v>0</v>
      </c>
      <c r="F32" s="423"/>
      <c r="G32" s="423"/>
      <c r="H32" s="422" t="str">
        <f>IF(E32=F32+G32," ","ERROR")</f>
        <v> </v>
      </c>
    </row>
    <row r="33" spans="1:8" ht="12" customHeight="1">
      <c r="A33" s="414">
        <v>20</v>
      </c>
      <c r="B33" s="408" t="s">
        <v>144</v>
      </c>
      <c r="E33" s="423">
        <f>SUM(F33:G33)</f>
        <v>0</v>
      </c>
      <c r="F33" s="423"/>
      <c r="G33" s="423"/>
      <c r="H33" s="422" t="str">
        <f>IF(E33=F33+G33," ","ERROR")</f>
        <v> </v>
      </c>
    </row>
    <row r="34" spans="1:8" ht="12" customHeight="1">
      <c r="A34" s="414"/>
      <c r="B34" s="408" t="s">
        <v>145</v>
      </c>
      <c r="E34" s="423"/>
      <c r="F34" s="423"/>
      <c r="G34" s="423"/>
      <c r="H34" s="422"/>
    </row>
    <row r="35" spans="1:8" ht="12" customHeight="1">
      <c r="A35" s="414">
        <v>21</v>
      </c>
      <c r="B35" s="408" t="s">
        <v>139</v>
      </c>
      <c r="E35" s="423">
        <f>SUM(F35:G35)</f>
        <v>0</v>
      </c>
      <c r="F35" s="423"/>
      <c r="G35" s="423"/>
      <c r="H35" s="422" t="str">
        <f>IF(E35=F35+G35," ","ERROR")</f>
        <v> </v>
      </c>
    </row>
    <row r="36" spans="1:8" ht="12" customHeight="1">
      <c r="A36" s="414">
        <v>22</v>
      </c>
      <c r="B36" s="408" t="s">
        <v>140</v>
      </c>
      <c r="E36" s="423">
        <f>SUM(F36:G36)</f>
        <v>-169</v>
      </c>
      <c r="F36" s="423">
        <v>-169</v>
      </c>
      <c r="G36" s="423"/>
      <c r="H36" s="422" t="str">
        <f>IF(E36=F36+G36," ","ERROR")</f>
        <v> </v>
      </c>
    </row>
    <row r="37" spans="1:8" ht="12" customHeight="1">
      <c r="A37" s="414">
        <v>23</v>
      </c>
      <c r="B37" s="408" t="s">
        <v>141</v>
      </c>
      <c r="E37" s="424"/>
      <c r="F37" s="424"/>
      <c r="G37" s="424"/>
      <c r="H37" s="422" t="str">
        <f>IF(E37=F37+G37," ","ERROR")</f>
        <v> </v>
      </c>
    </row>
    <row r="38" spans="1:8" ht="12" customHeight="1">
      <c r="A38" s="414">
        <v>24</v>
      </c>
      <c r="B38" s="408" t="s">
        <v>146</v>
      </c>
      <c r="E38" s="424">
        <f>SUM(E35:E37)</f>
        <v>-169</v>
      </c>
      <c r="F38" s="424">
        <f>SUM(F35:F37)</f>
        <v>-169</v>
      </c>
      <c r="G38" s="424">
        <f>SUM(G35:G37)</f>
        <v>0</v>
      </c>
      <c r="H38" s="422" t="str">
        <f>IF(E38=F38+G38," ","ERROR")</f>
        <v> </v>
      </c>
    </row>
    <row r="39" spans="1:8" ht="12" customHeight="1">
      <c r="A39" s="414">
        <v>25</v>
      </c>
      <c r="B39" s="408" t="s">
        <v>92</v>
      </c>
      <c r="E39" s="424">
        <f>E19+E24+E29+E31+E32+E33+E38+E14</f>
        <v>-169</v>
      </c>
      <c r="F39" s="424">
        <f>F19+F24+F29+F31+F32+F33+F38+F14</f>
        <v>-169</v>
      </c>
      <c r="G39" s="424">
        <f>G19+G24+G29+G31+G32+G33+G38+G14</f>
        <v>0</v>
      </c>
      <c r="H39" s="422" t="str">
        <f>IF(E39=F39+G39," ","ERROR")</f>
        <v> </v>
      </c>
    </row>
    <row r="40" spans="1:8" ht="12" customHeight="1">
      <c r="A40" s="414"/>
      <c r="E40" s="423"/>
      <c r="F40" s="423"/>
      <c r="G40" s="423"/>
      <c r="H40" s="422"/>
    </row>
    <row r="41" spans="1:8" ht="12" customHeight="1">
      <c r="A41" s="414">
        <v>26</v>
      </c>
      <c r="B41" s="408" t="s">
        <v>147</v>
      </c>
      <c r="E41" s="423">
        <f>E11-E39</f>
        <v>169</v>
      </c>
      <c r="F41" s="423">
        <f>F11-F39</f>
        <v>169</v>
      </c>
      <c r="G41" s="423">
        <f>G11-G39</f>
        <v>0</v>
      </c>
      <c r="H41" s="422" t="str">
        <f>IF(E41=F41+G41," ","ERROR")</f>
        <v> </v>
      </c>
    </row>
    <row r="42" spans="1:8" ht="12" customHeight="1">
      <c r="A42" s="414"/>
      <c r="E42" s="423"/>
      <c r="F42" s="423"/>
      <c r="G42" s="423"/>
      <c r="H42" s="422"/>
    </row>
    <row r="43" spans="1:8" ht="12" customHeight="1">
      <c r="A43" s="414"/>
      <c r="B43" s="408" t="s">
        <v>148</v>
      </c>
      <c r="E43" s="423"/>
      <c r="F43" s="423"/>
      <c r="G43" s="423"/>
      <c r="H43" s="422"/>
    </row>
    <row r="44" spans="1:8" ht="12" customHeight="1">
      <c r="A44" s="414">
        <v>27</v>
      </c>
      <c r="B44" s="425" t="s">
        <v>149</v>
      </c>
      <c r="D44" s="426">
        <v>0.35</v>
      </c>
      <c r="E44" s="423">
        <f>F44+G44</f>
        <v>59</v>
      </c>
      <c r="F44" s="423">
        <f>ROUND(F41*D44,0)</f>
        <v>59</v>
      </c>
      <c r="G44" s="423">
        <f>ROUND(G41*D44,0)</f>
        <v>0</v>
      </c>
      <c r="H44" s="422" t="str">
        <f>IF(E44=F44+G44," ","ERROR")</f>
        <v> </v>
      </c>
    </row>
    <row r="45" spans="1:8" ht="12" customHeight="1">
      <c r="A45" s="414">
        <v>28</v>
      </c>
      <c r="B45" s="408" t="s">
        <v>151</v>
      </c>
      <c r="E45" s="423"/>
      <c r="F45" s="423"/>
      <c r="G45" s="423"/>
      <c r="H45" s="422" t="str">
        <f>IF(E45=F45+G45," ","ERROR")</f>
        <v> </v>
      </c>
    </row>
    <row r="46" spans="1:8" ht="12" customHeight="1">
      <c r="A46" s="414">
        <v>29</v>
      </c>
      <c r="B46" s="408" t="s">
        <v>150</v>
      </c>
      <c r="E46" s="424"/>
      <c r="F46" s="424"/>
      <c r="G46" s="424"/>
      <c r="H46" s="422" t="str">
        <f>IF(E46=F46+G46," ","ERROR")</f>
        <v> </v>
      </c>
    </row>
    <row r="47" spans="1:8" ht="12" customHeight="1">
      <c r="A47" s="414"/>
      <c r="H47" s="422"/>
    </row>
    <row r="48" spans="1:8" ht="12" customHeight="1" thickBot="1">
      <c r="A48" s="414">
        <v>30</v>
      </c>
      <c r="B48" s="429" t="s">
        <v>98</v>
      </c>
      <c r="E48" s="430">
        <f>E41-(+E44+E45+E46)</f>
        <v>110</v>
      </c>
      <c r="F48" s="430">
        <f>F41-F44+F45+F46</f>
        <v>110</v>
      </c>
      <c r="G48" s="430">
        <f>G41-SUM(G44:G46)</f>
        <v>0</v>
      </c>
      <c r="H48" s="422" t="str">
        <f>IF(E48=F48+G48," ","ERROR")</f>
        <v> </v>
      </c>
    </row>
    <row r="49" spans="1:8" ht="12" customHeight="1" thickTop="1">
      <c r="A49" s="414"/>
      <c r="H49" s="422"/>
    </row>
    <row r="50" spans="1:8" ht="12" customHeight="1">
      <c r="A50" s="414"/>
      <c r="B50" s="425" t="s">
        <v>152</v>
      </c>
      <c r="H50" s="422"/>
    </row>
    <row r="51" spans="1:8" ht="12" customHeight="1">
      <c r="A51" s="414"/>
      <c r="B51" s="425" t="s">
        <v>153</v>
      </c>
      <c r="H51" s="422"/>
    </row>
    <row r="52" spans="1:8" ht="12" customHeight="1">
      <c r="A52" s="414">
        <v>31</v>
      </c>
      <c r="B52" s="408" t="s">
        <v>154</v>
      </c>
      <c r="E52" s="421"/>
      <c r="F52" s="421"/>
      <c r="G52" s="421"/>
      <c r="H52" s="422" t="str">
        <f aca="true" t="shared" si="0" ref="H52:H63">IF(E52=F52+G52," ","ERROR")</f>
        <v> </v>
      </c>
    </row>
    <row r="53" spans="1:8" ht="12" customHeight="1">
      <c r="A53" s="414">
        <v>32</v>
      </c>
      <c r="B53" s="408" t="s">
        <v>155</v>
      </c>
      <c r="E53" s="423"/>
      <c r="F53" s="423"/>
      <c r="G53" s="423"/>
      <c r="H53" s="422" t="str">
        <f t="shared" si="0"/>
        <v> </v>
      </c>
    </row>
    <row r="54" spans="1:8" ht="12" customHeight="1">
      <c r="A54" s="414">
        <v>33</v>
      </c>
      <c r="B54" s="408" t="s">
        <v>164</v>
      </c>
      <c r="E54" s="424"/>
      <c r="F54" s="424"/>
      <c r="G54" s="424"/>
      <c r="H54" s="422" t="str">
        <f t="shared" si="0"/>
        <v> </v>
      </c>
    </row>
    <row r="55" spans="1:8" ht="12" customHeight="1">
      <c r="A55" s="414">
        <v>34</v>
      </c>
      <c r="B55" s="408" t="s">
        <v>157</v>
      </c>
      <c r="E55" s="423">
        <f>SUM(E52:E54)</f>
        <v>0</v>
      </c>
      <c r="F55" s="423">
        <f>SUM(F52:F54)</f>
        <v>0</v>
      </c>
      <c r="G55" s="423">
        <f>SUM(G52:G54)</f>
        <v>0</v>
      </c>
      <c r="H55" s="422" t="str">
        <f t="shared" si="0"/>
        <v> </v>
      </c>
    </row>
    <row r="56" spans="1:8" ht="12" customHeight="1">
      <c r="A56" s="414"/>
      <c r="B56" s="408" t="s">
        <v>103</v>
      </c>
      <c r="E56" s="423"/>
      <c r="F56" s="423"/>
      <c r="G56" s="423"/>
      <c r="H56" s="422" t="str">
        <f t="shared" si="0"/>
        <v> </v>
      </c>
    </row>
    <row r="57" spans="1:8" ht="12" customHeight="1">
      <c r="A57" s="414">
        <v>35</v>
      </c>
      <c r="B57" s="408" t="s">
        <v>154</v>
      </c>
      <c r="E57" s="423"/>
      <c r="F57" s="423"/>
      <c r="G57" s="423"/>
      <c r="H57" s="422" t="str">
        <f t="shared" si="0"/>
        <v> </v>
      </c>
    </row>
    <row r="58" spans="1:8" ht="12" customHeight="1">
      <c r="A58" s="414">
        <v>36</v>
      </c>
      <c r="B58" s="408" t="s">
        <v>155</v>
      </c>
      <c r="E58" s="423"/>
      <c r="F58" s="423"/>
      <c r="G58" s="423"/>
      <c r="H58" s="422" t="str">
        <f t="shared" si="0"/>
        <v> </v>
      </c>
    </row>
    <row r="59" spans="1:8" ht="12" customHeight="1">
      <c r="A59" s="414">
        <v>37</v>
      </c>
      <c r="B59" s="408" t="s">
        <v>164</v>
      </c>
      <c r="E59" s="424"/>
      <c r="F59" s="424"/>
      <c r="G59" s="424"/>
      <c r="H59" s="422" t="str">
        <f t="shared" si="0"/>
        <v> </v>
      </c>
    </row>
    <row r="60" spans="1:8" ht="12" customHeight="1">
      <c r="A60" s="414">
        <v>38</v>
      </c>
      <c r="B60" s="408" t="s">
        <v>158</v>
      </c>
      <c r="E60" s="423">
        <f>SUM(E57:E59)</f>
        <v>0</v>
      </c>
      <c r="F60" s="423">
        <f>SUM(F57:F59)</f>
        <v>0</v>
      </c>
      <c r="G60" s="423">
        <f>SUM(G57:G59)</f>
        <v>0</v>
      </c>
      <c r="H60" s="422" t="str">
        <f t="shared" si="0"/>
        <v> </v>
      </c>
    </row>
    <row r="61" spans="1:8" ht="12" customHeight="1">
      <c r="A61" s="414">
        <v>39</v>
      </c>
      <c r="B61" s="425" t="s">
        <v>159</v>
      </c>
      <c r="E61" s="423"/>
      <c r="F61" s="423"/>
      <c r="G61" s="423"/>
      <c r="H61" s="422" t="str">
        <f t="shared" si="0"/>
        <v> </v>
      </c>
    </row>
    <row r="62" spans="1:8" ht="12" customHeight="1">
      <c r="A62" s="414">
        <v>40</v>
      </c>
      <c r="B62" s="408" t="s">
        <v>106</v>
      </c>
      <c r="E62" s="423"/>
      <c r="F62" s="423"/>
      <c r="G62" s="423"/>
      <c r="H62" s="422" t="str">
        <f t="shared" si="0"/>
        <v> </v>
      </c>
    </row>
    <row r="63" spans="1:8" ht="12" customHeight="1">
      <c r="A63" s="414">
        <v>41</v>
      </c>
      <c r="B63" s="425" t="s">
        <v>107</v>
      </c>
      <c r="E63" s="424"/>
      <c r="F63" s="424"/>
      <c r="G63" s="424"/>
      <c r="H63" s="422" t="str">
        <f t="shared" si="0"/>
        <v> </v>
      </c>
    </row>
    <row r="64" spans="1:8" ht="12" customHeight="1">
      <c r="A64" s="414"/>
      <c r="B64" s="408" t="s">
        <v>160</v>
      </c>
      <c r="H64" s="422"/>
    </row>
    <row r="65" spans="1:8" ht="12" customHeight="1" thickBot="1">
      <c r="A65" s="414">
        <v>42</v>
      </c>
      <c r="B65" s="429" t="s">
        <v>108</v>
      </c>
      <c r="E65" s="430">
        <f>E55-E60+E61+E62+E63</f>
        <v>0</v>
      </c>
      <c r="F65" s="430">
        <f>F55-F60+F61+F62+F63</f>
        <v>0</v>
      </c>
      <c r="G65" s="430">
        <f>G55-G60+G61+G62+G63</f>
        <v>0</v>
      </c>
      <c r="H65" s="422" t="str">
        <f>IF(E65=F65+G65," ","ERROR")</f>
        <v> </v>
      </c>
    </row>
    <row r="66" ht="12.75" thickTop="1"/>
  </sheetData>
  <printOptions/>
  <pageMargins left="1" right="0.75" top="0.5" bottom="0.5" header="0.5" footer="0.5"/>
  <pageSetup horizontalDpi="600" verticalDpi="600" orientation="portrait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" sqref="A1:J70"/>
    </sheetView>
  </sheetViews>
  <sheetFormatPr defaultColWidth="9.140625" defaultRowHeight="12.75"/>
  <cols>
    <col min="1" max="1" width="4.7109375" style="940" customWidth="1"/>
    <col min="2" max="3" width="1.7109375" style="939" customWidth="1"/>
    <col min="4" max="4" width="2.7109375" style="939" customWidth="1"/>
    <col min="5" max="5" width="22.57421875" style="201" customWidth="1"/>
    <col min="6" max="9" width="11.7109375" style="201" customWidth="1"/>
    <col min="10" max="10" width="11.7109375" style="190" customWidth="1"/>
    <col min="11" max="16384" width="9.140625" style="190" customWidth="1"/>
  </cols>
  <sheetData>
    <row r="1" spans="1:4" ht="12.75">
      <c r="A1" s="938" t="s">
        <v>199</v>
      </c>
      <c r="D1" s="940"/>
    </row>
    <row r="2" spans="1:4" ht="12.75">
      <c r="A2" s="938" t="s">
        <v>0</v>
      </c>
      <c r="D2" s="940"/>
    </row>
    <row r="3" spans="1:4" ht="12.75">
      <c r="A3" s="938" t="s">
        <v>364</v>
      </c>
      <c r="D3" s="940"/>
    </row>
    <row r="4" spans="1:4" ht="12.75">
      <c r="A4" s="938" t="s">
        <v>348</v>
      </c>
      <c r="D4" s="940"/>
    </row>
    <row r="5" spans="1:4" ht="12.75">
      <c r="A5" s="938" t="s">
        <v>2</v>
      </c>
      <c r="D5" s="940"/>
    </row>
    <row r="6" spans="1:10" ht="12.75">
      <c r="A6" s="941"/>
      <c r="B6" s="941"/>
      <c r="C6" s="942"/>
      <c r="D6" s="942"/>
      <c r="E6" s="941"/>
      <c r="F6" s="943" t="s">
        <v>365</v>
      </c>
      <c r="G6" s="944"/>
      <c r="H6" s="945"/>
      <c r="I6" s="945" t="s">
        <v>366</v>
      </c>
      <c r="J6" s="945"/>
    </row>
    <row r="7" spans="1:10" ht="12.75">
      <c r="A7" s="946"/>
      <c r="B7" s="947"/>
      <c r="C7" s="948"/>
      <c r="D7" s="949"/>
      <c r="E7" s="950"/>
      <c r="F7" s="210" t="s">
        <v>367</v>
      </c>
      <c r="G7" s="210"/>
      <c r="H7" s="210"/>
      <c r="I7" s="210" t="s">
        <v>368</v>
      </c>
      <c r="J7" s="210" t="s">
        <v>28</v>
      </c>
    </row>
    <row r="8" spans="1:10" ht="12.75">
      <c r="A8" s="951" t="s">
        <v>11</v>
      </c>
      <c r="B8" s="952"/>
      <c r="C8" s="953"/>
      <c r="D8" s="954"/>
      <c r="E8" s="955"/>
      <c r="F8" s="215" t="s">
        <v>12</v>
      </c>
      <c r="G8" s="215" t="s">
        <v>45</v>
      </c>
      <c r="H8" s="215" t="s">
        <v>28</v>
      </c>
      <c r="I8" s="215" t="s">
        <v>369</v>
      </c>
      <c r="J8" s="215" t="s">
        <v>368</v>
      </c>
    </row>
    <row r="9" spans="1:10" ht="12.75">
      <c r="A9" s="956" t="s">
        <v>29</v>
      </c>
      <c r="B9" s="957"/>
      <c r="C9" s="958"/>
      <c r="D9" s="959"/>
      <c r="E9" s="960" t="s">
        <v>30</v>
      </c>
      <c r="F9" s="220" t="s">
        <v>31</v>
      </c>
      <c r="G9" s="220" t="s">
        <v>266</v>
      </c>
      <c r="H9" s="220" t="s">
        <v>45</v>
      </c>
      <c r="I9" s="220" t="s">
        <v>370</v>
      </c>
      <c r="J9" s="220" t="s">
        <v>45</v>
      </c>
    </row>
    <row r="10" spans="1:10" ht="12.75">
      <c r="A10" s="961"/>
      <c r="B10" s="961"/>
      <c r="C10" s="962"/>
      <c r="D10" s="962"/>
      <c r="E10" s="962" t="s">
        <v>46</v>
      </c>
      <c r="F10" s="224" t="s">
        <v>47</v>
      </c>
      <c r="G10" s="224" t="s">
        <v>48</v>
      </c>
      <c r="H10" s="224" t="s">
        <v>49</v>
      </c>
      <c r="I10" s="224" t="s">
        <v>50</v>
      </c>
      <c r="J10" s="224" t="s">
        <v>51</v>
      </c>
    </row>
    <row r="11" spans="1:10" ht="12.75">
      <c r="A11" s="18"/>
      <c r="B11" s="2" t="s">
        <v>69</v>
      </c>
      <c r="C11" s="2"/>
      <c r="D11" s="2"/>
      <c r="E11" s="2"/>
      <c r="F11" s="859"/>
      <c r="G11" s="859"/>
      <c r="J11" s="201"/>
    </row>
    <row r="12" spans="1:10" ht="12.75">
      <c r="A12" s="18">
        <v>1</v>
      </c>
      <c r="B12" s="19"/>
      <c r="C12" s="19" t="s">
        <v>70</v>
      </c>
      <c r="D12" s="19"/>
      <c r="E12" s="19"/>
      <c r="F12" s="876">
        <f>WAGas12_04!F13</f>
        <v>145940</v>
      </c>
      <c r="G12" s="876">
        <f>H12-F12</f>
        <v>13325</v>
      </c>
      <c r="H12" s="876">
        <f>WAGas12_04!AL13</f>
        <v>159265</v>
      </c>
      <c r="I12" s="876">
        <f>ConverFac_Exh!G12</f>
        <v>2943</v>
      </c>
      <c r="J12" s="876">
        <f>H12+I12</f>
        <v>162208</v>
      </c>
    </row>
    <row r="13" spans="1:10" ht="12.75">
      <c r="A13" s="18">
        <v>2</v>
      </c>
      <c r="B13" s="2"/>
      <c r="C13" s="20" t="s">
        <v>71</v>
      </c>
      <c r="D13" s="20"/>
      <c r="E13" s="20"/>
      <c r="F13" s="20">
        <f>WAGas12_04!F14</f>
        <v>3643</v>
      </c>
      <c r="G13" s="20">
        <f>H13-F13</f>
        <v>-801</v>
      </c>
      <c r="H13" s="20">
        <f>WAGas12_04!AL14</f>
        <v>2842</v>
      </c>
      <c r="I13" s="20"/>
      <c r="J13" s="20">
        <f>H13+I13</f>
        <v>2842</v>
      </c>
    </row>
    <row r="14" spans="1:10" ht="12.75">
      <c r="A14" s="18">
        <v>3</v>
      </c>
      <c r="B14" s="2"/>
      <c r="C14" s="20" t="s">
        <v>72</v>
      </c>
      <c r="D14" s="20"/>
      <c r="E14" s="20"/>
      <c r="F14" s="865">
        <f>WAGas12_04!F15</f>
        <v>2168</v>
      </c>
      <c r="G14" s="865">
        <f>H14-F14</f>
        <v>0</v>
      </c>
      <c r="H14" s="865">
        <f>WAGas12_04!AL15</f>
        <v>2168</v>
      </c>
      <c r="I14" s="865"/>
      <c r="J14" s="865">
        <f>H14+I14</f>
        <v>2168</v>
      </c>
    </row>
    <row r="15" spans="1:10" ht="12.75">
      <c r="A15" s="18">
        <v>4</v>
      </c>
      <c r="B15" s="2" t="s">
        <v>73</v>
      </c>
      <c r="C15" s="20"/>
      <c r="D15" s="20"/>
      <c r="E15" s="20"/>
      <c r="F15" s="20">
        <f>WAGas12_04!F16</f>
        <v>151751</v>
      </c>
      <c r="G15" s="20">
        <f>H15-F15</f>
        <v>12524</v>
      </c>
      <c r="H15" s="20">
        <f>WAGas12_04!AL16</f>
        <v>164275</v>
      </c>
      <c r="I15" s="20">
        <f>SUM(I12:I14)</f>
        <v>2943</v>
      </c>
      <c r="J15" s="20">
        <f>H15+I15</f>
        <v>167218</v>
      </c>
    </row>
    <row r="16" spans="1:10" ht="12.75">
      <c r="A16" s="18"/>
      <c r="B16" s="2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18"/>
      <c r="B17" s="2" t="s">
        <v>74</v>
      </c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18">
        <v>5</v>
      </c>
      <c r="B18" s="2"/>
      <c r="C18" s="20" t="s">
        <v>75</v>
      </c>
      <c r="D18" s="20"/>
      <c r="E18" s="20"/>
      <c r="F18" s="20"/>
      <c r="G18" s="20"/>
      <c r="H18" s="20"/>
      <c r="I18" s="20"/>
      <c r="J18" s="20"/>
    </row>
    <row r="19" spans="1:10" ht="12.75">
      <c r="A19" s="18"/>
      <c r="B19" s="2"/>
      <c r="C19" s="20" t="s">
        <v>76</v>
      </c>
      <c r="D19" s="20"/>
      <c r="E19" s="20"/>
      <c r="F19" s="20"/>
      <c r="G19" s="20"/>
      <c r="H19" s="20"/>
      <c r="I19" s="20"/>
      <c r="J19" s="20"/>
    </row>
    <row r="20" spans="1:10" ht="12.75">
      <c r="A20" s="18">
        <v>6</v>
      </c>
      <c r="B20" s="2"/>
      <c r="C20" s="20"/>
      <c r="D20" s="20" t="s">
        <v>77</v>
      </c>
      <c r="E20" s="20"/>
      <c r="F20" s="20">
        <f>WAGas12_04!F21</f>
        <v>100951</v>
      </c>
      <c r="G20" s="20">
        <f>H20-F20</f>
        <v>13420</v>
      </c>
      <c r="H20" s="20">
        <f>WAGas12_04!AL21</f>
        <v>114371</v>
      </c>
      <c r="I20" s="20"/>
      <c r="J20" s="20">
        <f>H20+I20</f>
        <v>114371</v>
      </c>
    </row>
    <row r="21" spans="1:10" ht="12.75">
      <c r="A21" s="18">
        <v>7</v>
      </c>
      <c r="B21" s="2"/>
      <c r="C21" s="20"/>
      <c r="D21" s="20" t="s">
        <v>78</v>
      </c>
      <c r="E21" s="20"/>
      <c r="F21" s="20">
        <f>WAGas12_04!F22</f>
        <v>329</v>
      </c>
      <c r="G21" s="20">
        <f>H21-F21</f>
        <v>221</v>
      </c>
      <c r="H21" s="20">
        <f>WAGas12_04!AL22</f>
        <v>550</v>
      </c>
      <c r="I21" s="20"/>
      <c r="J21" s="20">
        <f>H21+I21</f>
        <v>550</v>
      </c>
    </row>
    <row r="22" spans="1:10" ht="12.75">
      <c r="A22" s="18">
        <v>8</v>
      </c>
      <c r="B22" s="2"/>
      <c r="C22" s="20"/>
      <c r="D22" s="20" t="s">
        <v>79</v>
      </c>
      <c r="E22" s="20"/>
      <c r="F22" s="865">
        <f>WAGas12_04!F23</f>
        <v>0</v>
      </c>
      <c r="G22" s="865">
        <f>H22-F22</f>
        <v>0</v>
      </c>
      <c r="H22" s="865">
        <f>WAGas12_04!AL23</f>
        <v>0</v>
      </c>
      <c r="I22" s="865"/>
      <c r="J22" s="865">
        <f>H22+I22</f>
        <v>0</v>
      </c>
    </row>
    <row r="23" spans="1:10" ht="12.75">
      <c r="A23" s="18">
        <v>9</v>
      </c>
      <c r="B23" s="2"/>
      <c r="C23" s="20"/>
      <c r="D23" s="20"/>
      <c r="E23" s="20" t="s">
        <v>80</v>
      </c>
      <c r="F23" s="20">
        <f>WAGas12_04!F24</f>
        <v>101280</v>
      </c>
      <c r="G23" s="20">
        <f>H23-F23</f>
        <v>13641</v>
      </c>
      <c r="H23" s="20">
        <f>WAGas12_04!AL24</f>
        <v>114921</v>
      </c>
      <c r="I23" s="20">
        <f>SUM(I19:I22)</f>
        <v>0</v>
      </c>
      <c r="J23" s="20">
        <f>H23+I23</f>
        <v>114921</v>
      </c>
    </row>
    <row r="24" spans="1:10" ht="12.75">
      <c r="A24" s="18"/>
      <c r="B24" s="2"/>
      <c r="C24" s="20" t="s">
        <v>81</v>
      </c>
      <c r="D24" s="20"/>
      <c r="E24" s="20"/>
      <c r="F24" s="20"/>
      <c r="G24" s="20"/>
      <c r="H24" s="20"/>
      <c r="I24" s="20"/>
      <c r="J24" s="20"/>
    </row>
    <row r="25" spans="1:10" ht="12.75">
      <c r="A25" s="18">
        <v>10</v>
      </c>
      <c r="B25" s="2"/>
      <c r="C25" s="20"/>
      <c r="D25" s="20" t="s">
        <v>82</v>
      </c>
      <c r="E25" s="20"/>
      <c r="F25" s="20">
        <f>WAGas12_04!F26</f>
        <v>381</v>
      </c>
      <c r="G25" s="20">
        <f>H25-F25</f>
        <v>1</v>
      </c>
      <c r="H25" s="20">
        <f>WAGas12_04!AL26</f>
        <v>382</v>
      </c>
      <c r="I25" s="20"/>
      <c r="J25" s="20">
        <f>H25+I25</f>
        <v>382</v>
      </c>
    </row>
    <row r="26" spans="1:10" ht="12.75">
      <c r="A26" s="18">
        <v>11</v>
      </c>
      <c r="B26" s="2"/>
      <c r="C26" s="20"/>
      <c r="D26" s="20" t="s">
        <v>83</v>
      </c>
      <c r="E26" s="20"/>
      <c r="F26" s="20">
        <f>WAGas12_04!F27</f>
        <v>313</v>
      </c>
      <c r="G26" s="20">
        <f>H26-F26</f>
        <v>-4</v>
      </c>
      <c r="H26" s="20">
        <f>WAGas12_04!AL27</f>
        <v>309</v>
      </c>
      <c r="I26" s="20"/>
      <c r="J26" s="20">
        <f>H26+I26</f>
        <v>309</v>
      </c>
    </row>
    <row r="27" spans="1:10" ht="12.75">
      <c r="A27" s="18">
        <v>12</v>
      </c>
      <c r="B27" s="2"/>
      <c r="C27" s="20"/>
      <c r="D27" s="20" t="s">
        <v>39</v>
      </c>
      <c r="E27" s="20"/>
      <c r="F27" s="865">
        <f>WAGas12_04!F28</f>
        <v>124</v>
      </c>
      <c r="G27" s="865">
        <f>H27-F27</f>
        <v>-4</v>
      </c>
      <c r="H27" s="865">
        <f>WAGas12_04!AL28</f>
        <v>120</v>
      </c>
      <c r="I27" s="865"/>
      <c r="J27" s="865">
        <f>H27+I27</f>
        <v>120</v>
      </c>
    </row>
    <row r="28" spans="1:10" ht="12.75">
      <c r="A28" s="18">
        <v>13</v>
      </c>
      <c r="B28" s="2"/>
      <c r="C28" s="20"/>
      <c r="D28" s="20"/>
      <c r="E28" s="20" t="s">
        <v>84</v>
      </c>
      <c r="F28" s="20">
        <f>WAGas12_04!F29</f>
        <v>818</v>
      </c>
      <c r="G28" s="20">
        <f>H28-F28</f>
        <v>-7</v>
      </c>
      <c r="H28" s="20">
        <f>WAGas12_04!AL29</f>
        <v>811</v>
      </c>
      <c r="I28" s="20">
        <f>SUM(I25:I27)</f>
        <v>0</v>
      </c>
      <c r="J28" s="20">
        <f>H28+I28</f>
        <v>811</v>
      </c>
    </row>
    <row r="29" spans="1:10" ht="12.75">
      <c r="A29" s="18"/>
      <c r="B29" s="2"/>
      <c r="C29" s="20" t="s">
        <v>85</v>
      </c>
      <c r="D29" s="20"/>
      <c r="E29" s="20"/>
      <c r="F29" s="20"/>
      <c r="G29" s="20"/>
      <c r="H29" s="20"/>
      <c r="I29" s="20"/>
      <c r="J29" s="20"/>
    </row>
    <row r="30" spans="1:10" ht="12.75">
      <c r="A30" s="18">
        <v>14</v>
      </c>
      <c r="B30" s="2"/>
      <c r="C30" s="20"/>
      <c r="D30" s="20" t="s">
        <v>82</v>
      </c>
      <c r="E30" s="20"/>
      <c r="F30" s="20">
        <f>WAGas12_04!F31</f>
        <v>6116</v>
      </c>
      <c r="G30" s="20">
        <f>H30-F30</f>
        <v>59</v>
      </c>
      <c r="H30" s="20">
        <f>WAGas12_04!AL31</f>
        <v>6175</v>
      </c>
      <c r="I30" s="20"/>
      <c r="J30" s="20">
        <f>H30+I30</f>
        <v>6175</v>
      </c>
    </row>
    <row r="31" spans="1:10" ht="12.75">
      <c r="A31" s="18">
        <v>15</v>
      </c>
      <c r="B31" s="2"/>
      <c r="C31" s="20"/>
      <c r="D31" s="20" t="s">
        <v>83</v>
      </c>
      <c r="E31" s="20"/>
      <c r="F31" s="20">
        <f>WAGas12_04!F32</f>
        <v>4894</v>
      </c>
      <c r="G31" s="20">
        <f>H31-F31</f>
        <v>8</v>
      </c>
      <c r="H31" s="20">
        <f>WAGas12_04!AL32</f>
        <v>4902</v>
      </c>
      <c r="I31" s="20"/>
      <c r="J31" s="20">
        <f>H31+I31</f>
        <v>4902</v>
      </c>
    </row>
    <row r="32" spans="1:10" ht="12.75">
      <c r="A32" s="18">
        <v>16</v>
      </c>
      <c r="B32" s="2"/>
      <c r="C32" s="20"/>
      <c r="D32" s="20" t="s">
        <v>39</v>
      </c>
      <c r="E32" s="20"/>
      <c r="F32" s="865">
        <f>WAGas12_04!F33</f>
        <v>12657</v>
      </c>
      <c r="G32" s="865">
        <f>H32-F32</f>
        <v>-4444</v>
      </c>
      <c r="H32" s="865">
        <f>WAGas12_04!AL33</f>
        <v>8213</v>
      </c>
      <c r="I32" s="865">
        <f>ConverFac_Exh!G19</f>
        <v>113</v>
      </c>
      <c r="J32" s="865">
        <f>H32+I32</f>
        <v>8326</v>
      </c>
    </row>
    <row r="33" spans="1:10" ht="12.75">
      <c r="A33" s="18">
        <v>17</v>
      </c>
      <c r="B33" s="2"/>
      <c r="C33" s="20"/>
      <c r="D33" s="20"/>
      <c r="E33" s="20" t="s">
        <v>86</v>
      </c>
      <c r="F33" s="20">
        <f>WAGas12_04!F34</f>
        <v>23667</v>
      </c>
      <c r="G33" s="20">
        <f>H33-F33</f>
        <v>-4377</v>
      </c>
      <c r="H33" s="20">
        <f>WAGas12_04!AL34</f>
        <v>19290</v>
      </c>
      <c r="I33" s="20">
        <f>SUM(I30:I32)</f>
        <v>113</v>
      </c>
      <c r="J33" s="20">
        <f>H33+I33</f>
        <v>19403</v>
      </c>
    </row>
    <row r="34" spans="1:10" ht="12.75">
      <c r="A34" s="18"/>
      <c r="B34" s="2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18">
        <v>18</v>
      </c>
      <c r="B35" s="2" t="s">
        <v>87</v>
      </c>
      <c r="C35" s="20"/>
      <c r="D35" s="20"/>
      <c r="E35" s="20"/>
      <c r="F35" s="20">
        <f>WAGas12_04!F36</f>
        <v>4726</v>
      </c>
      <c r="G35" s="20">
        <f>H35-F35</f>
        <v>-276</v>
      </c>
      <c r="H35" s="20">
        <f>WAGas12_04!AL36</f>
        <v>4450</v>
      </c>
      <c r="I35" s="20">
        <f>ConverFac_Exh!G15</f>
        <v>9</v>
      </c>
      <c r="J35" s="20">
        <f>H35+I35</f>
        <v>4459</v>
      </c>
    </row>
    <row r="36" spans="1:10" ht="12.75">
      <c r="A36" s="18">
        <v>19</v>
      </c>
      <c r="B36" s="2" t="s">
        <v>88</v>
      </c>
      <c r="C36" s="20"/>
      <c r="D36" s="20"/>
      <c r="E36" s="20"/>
      <c r="F36" s="20">
        <f>WAGas12_04!F37</f>
        <v>4199</v>
      </c>
      <c r="G36" s="20">
        <f>H36-F36</f>
        <v>-3718</v>
      </c>
      <c r="H36" s="20">
        <f>WAGas12_04!AL37</f>
        <v>481</v>
      </c>
      <c r="I36" s="20"/>
      <c r="J36" s="20">
        <f>H36+I36</f>
        <v>481</v>
      </c>
    </row>
    <row r="37" spans="1:10" ht="12.75">
      <c r="A37" s="18">
        <v>20</v>
      </c>
      <c r="B37" s="2" t="s">
        <v>89</v>
      </c>
      <c r="C37" s="20"/>
      <c r="D37" s="20"/>
      <c r="E37" s="20"/>
      <c r="F37" s="20">
        <f>WAGas12_04!F38</f>
        <v>438</v>
      </c>
      <c r="G37" s="20">
        <f>H37-F37</f>
        <v>3</v>
      </c>
      <c r="H37" s="20">
        <f>WAGas12_04!AL38</f>
        <v>441</v>
      </c>
      <c r="I37" s="20"/>
      <c r="J37" s="20">
        <f>H37+I37</f>
        <v>441</v>
      </c>
    </row>
    <row r="38" spans="1:10" ht="12.75">
      <c r="A38" s="18"/>
      <c r="B38" s="2" t="s">
        <v>90</v>
      </c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18">
        <v>21</v>
      </c>
      <c r="B39" s="2"/>
      <c r="C39" s="20" t="s">
        <v>82</v>
      </c>
      <c r="D39" s="20"/>
      <c r="E39" s="20"/>
      <c r="F39" s="20">
        <f>WAGas12_04!F40</f>
        <v>9044</v>
      </c>
      <c r="G39" s="20">
        <f>H39-F39</f>
        <v>42</v>
      </c>
      <c r="H39" s="20">
        <f>WAGas12_04!AL40</f>
        <v>9086</v>
      </c>
      <c r="I39" s="20">
        <f>ConverFac_Exh!G17+ConverFac_Exh!G21</f>
        <v>6</v>
      </c>
      <c r="J39" s="20">
        <f>H39+I39</f>
        <v>9092</v>
      </c>
    </row>
    <row r="40" spans="1:10" ht="12.75">
      <c r="A40" s="18">
        <v>22</v>
      </c>
      <c r="B40" s="2"/>
      <c r="C40" s="20" t="s">
        <v>83</v>
      </c>
      <c r="D40" s="20"/>
      <c r="E40" s="20"/>
      <c r="F40" s="20">
        <f>WAGas12_04!F41</f>
        <v>871</v>
      </c>
      <c r="G40" s="20">
        <f>H40-F40</f>
        <v>315</v>
      </c>
      <c r="H40" s="20">
        <f>WAGas12_04!AL41</f>
        <v>1186</v>
      </c>
      <c r="I40" s="20"/>
      <c r="J40" s="20">
        <f>H40+I40</f>
        <v>1186</v>
      </c>
    </row>
    <row r="41" spans="1:10" ht="12.75">
      <c r="A41" s="18">
        <v>23</v>
      </c>
      <c r="B41" s="2"/>
      <c r="C41" s="20" t="s">
        <v>39</v>
      </c>
      <c r="D41" s="20"/>
      <c r="E41" s="20"/>
      <c r="F41" s="865">
        <f>WAGas12_04!F42</f>
        <v>24</v>
      </c>
      <c r="G41" s="865">
        <f>H41-F41</f>
        <v>0</v>
      </c>
      <c r="H41" s="865">
        <f>WAGas12_04!AL42</f>
        <v>24</v>
      </c>
      <c r="I41" s="865"/>
      <c r="J41" s="865">
        <f>H41+I41</f>
        <v>24</v>
      </c>
    </row>
    <row r="42" spans="1:10" ht="12.75">
      <c r="A42" s="18">
        <v>24</v>
      </c>
      <c r="B42" s="2"/>
      <c r="C42" s="20"/>
      <c r="D42" s="20"/>
      <c r="E42" s="20" t="s">
        <v>91</v>
      </c>
      <c r="F42" s="865">
        <f>WAGas12_04!F43</f>
        <v>9939</v>
      </c>
      <c r="G42" s="865">
        <f>H42-F42</f>
        <v>357</v>
      </c>
      <c r="H42" s="865">
        <f>WAGas12_04!AL43</f>
        <v>10296</v>
      </c>
      <c r="I42" s="865">
        <f>SUM(I39:I41)</f>
        <v>6</v>
      </c>
      <c r="J42" s="865">
        <f>H42+I42</f>
        <v>10302</v>
      </c>
    </row>
    <row r="43" spans="1:10" ht="12.75">
      <c r="A43" s="18">
        <v>25</v>
      </c>
      <c r="B43" s="2" t="s">
        <v>92</v>
      </c>
      <c r="C43" s="20"/>
      <c r="D43" s="20"/>
      <c r="E43" s="20"/>
      <c r="F43" s="865">
        <f>WAGas12_04!F44</f>
        <v>145067</v>
      </c>
      <c r="G43" s="865">
        <f>H43-F43</f>
        <v>5623</v>
      </c>
      <c r="H43" s="865">
        <f>WAGas12_04!AL44</f>
        <v>150690</v>
      </c>
      <c r="I43" s="865">
        <f>I23+I28+I33+I35+I36+I37+I42</f>
        <v>128</v>
      </c>
      <c r="J43" s="865">
        <f>H43+I43</f>
        <v>150818</v>
      </c>
    </row>
    <row r="44" spans="1:10" ht="12.75">
      <c r="A44" s="18"/>
      <c r="B44" s="2"/>
      <c r="C44" s="20"/>
      <c r="D44" s="20"/>
      <c r="E44" s="20"/>
      <c r="F44" s="20"/>
      <c r="G44" s="20"/>
      <c r="H44" s="20"/>
      <c r="I44" s="20"/>
      <c r="J44" s="20"/>
    </row>
    <row r="45" spans="1:10" ht="12.75">
      <c r="A45" s="18">
        <v>26</v>
      </c>
      <c r="B45" s="2" t="s">
        <v>93</v>
      </c>
      <c r="C45" s="20"/>
      <c r="D45" s="20"/>
      <c r="E45" s="20"/>
      <c r="F45" s="20">
        <f>WAGas12_04!F46</f>
        <v>6684</v>
      </c>
      <c r="G45" s="20">
        <f>H45-F45</f>
        <v>6901</v>
      </c>
      <c r="H45" s="20">
        <f>WAGas12_04!AL46</f>
        <v>13585</v>
      </c>
      <c r="I45" s="20">
        <f>I15-I43</f>
        <v>2815</v>
      </c>
      <c r="J45" s="20">
        <f>H45+I45</f>
        <v>16400</v>
      </c>
    </row>
    <row r="46" spans="1:10" ht="12.75">
      <c r="A46" s="18"/>
      <c r="B46" s="2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18"/>
      <c r="B47" s="2" t="s">
        <v>94</v>
      </c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18">
        <v>27</v>
      </c>
      <c r="B48" s="2"/>
      <c r="C48" s="20" t="s">
        <v>95</v>
      </c>
      <c r="D48" s="20"/>
      <c r="E48" s="20"/>
      <c r="F48" s="20">
        <f>WAGas12_04!F48</f>
        <v>-3884</v>
      </c>
      <c r="G48" s="20">
        <f>H48-F48</f>
        <v>4349.908716471069</v>
      </c>
      <c r="H48" s="20">
        <f>WAGas12_04!AL48</f>
        <v>465.9087164710695</v>
      </c>
      <c r="I48" s="20">
        <f>ConverFac_Exh!G27</f>
        <v>985</v>
      </c>
      <c r="J48" s="20">
        <f>H48+I48</f>
        <v>1450.9087164710695</v>
      </c>
    </row>
    <row r="49" spans="1:10" ht="12.75">
      <c r="A49" s="18">
        <v>28</v>
      </c>
      <c r="B49" s="2"/>
      <c r="C49" s="20" t="s">
        <v>96</v>
      </c>
      <c r="D49" s="20"/>
      <c r="E49" s="20"/>
      <c r="F49" s="20">
        <f>WAGas12_04!F49</f>
        <v>3728</v>
      </c>
      <c r="G49" s="20">
        <f>H49-F49</f>
        <v>-1388</v>
      </c>
      <c r="H49" s="20">
        <f>WAGas12_04!AL49</f>
        <v>2340</v>
      </c>
      <c r="I49" s="20"/>
      <c r="J49" s="20">
        <f>H49+I49</f>
        <v>2340</v>
      </c>
    </row>
    <row r="50" spans="1:10" ht="12.75">
      <c r="A50" s="18">
        <v>29</v>
      </c>
      <c r="B50" s="2"/>
      <c r="C50" s="20" t="s">
        <v>97</v>
      </c>
      <c r="D50" s="20"/>
      <c r="E50" s="20"/>
      <c r="F50" s="865">
        <f>WAGas12_04!F50</f>
        <v>-31</v>
      </c>
      <c r="G50" s="865">
        <f>H50-F50</f>
        <v>0</v>
      </c>
      <c r="H50" s="865">
        <f>WAGas12_04!AL50</f>
        <v>-31</v>
      </c>
      <c r="I50" s="865"/>
      <c r="J50" s="865">
        <f>H50+I50</f>
        <v>-31</v>
      </c>
    </row>
    <row r="51" spans="1:10" ht="12.75">
      <c r="A51" s="18"/>
      <c r="B51" s="2"/>
      <c r="C51" s="2"/>
      <c r="D51" s="2"/>
      <c r="E51" s="2"/>
      <c r="F51" s="859"/>
      <c r="G51" s="859"/>
      <c r="H51" s="859"/>
      <c r="J51" s="859">
        <f>H51+I51</f>
        <v>0</v>
      </c>
    </row>
    <row r="52" spans="1:10" ht="13.5" thickBot="1">
      <c r="A52" s="18">
        <v>30</v>
      </c>
      <c r="B52" s="19" t="s">
        <v>98</v>
      </c>
      <c r="C52" s="19"/>
      <c r="D52" s="19"/>
      <c r="E52" s="19"/>
      <c r="F52" s="866">
        <f>WAGas12_04!F52</f>
        <v>6871</v>
      </c>
      <c r="G52" s="866">
        <f>H52-F52</f>
        <v>3939.091283528931</v>
      </c>
      <c r="H52" s="866">
        <f>WAGas12_04!AL52</f>
        <v>10810.091283528931</v>
      </c>
      <c r="I52" s="866">
        <f>I45-SUM(I47:I49)</f>
        <v>1830</v>
      </c>
      <c r="J52" s="866">
        <f>H52+I52</f>
        <v>12640.091283528931</v>
      </c>
    </row>
    <row r="53" spans="1:10" ht="13.5" thickTop="1">
      <c r="A53" s="18"/>
      <c r="B53" s="2"/>
      <c r="C53" s="2"/>
      <c r="D53" s="2"/>
      <c r="E53" s="2"/>
      <c r="F53" s="859"/>
      <c r="G53" s="859"/>
      <c r="H53" s="859"/>
      <c r="I53" s="859"/>
      <c r="J53" s="859"/>
    </row>
    <row r="54" spans="1:10" ht="12.75">
      <c r="A54" s="18"/>
      <c r="B54" s="2"/>
      <c r="C54" s="2"/>
      <c r="D54" s="2"/>
      <c r="E54" s="2"/>
      <c r="F54" s="859"/>
      <c r="G54" s="859"/>
      <c r="H54" s="859"/>
      <c r="I54" s="859"/>
      <c r="J54" s="859"/>
    </row>
    <row r="55" spans="1:10" ht="12.75">
      <c r="A55" s="18"/>
      <c r="B55" s="2" t="s">
        <v>99</v>
      </c>
      <c r="C55" s="2"/>
      <c r="D55" s="2"/>
      <c r="E55" s="2"/>
      <c r="F55" s="859"/>
      <c r="G55" s="859"/>
      <c r="H55" s="859"/>
      <c r="I55" s="859"/>
      <c r="J55" s="859"/>
    </row>
    <row r="56" spans="1:10" ht="12.75">
      <c r="A56" s="18">
        <v>31</v>
      </c>
      <c r="B56" s="20"/>
      <c r="C56" s="20" t="s">
        <v>81</v>
      </c>
      <c r="D56" s="20"/>
      <c r="E56" s="20"/>
      <c r="F56" s="20">
        <f>WAGas12_04!F56</f>
        <v>13632</v>
      </c>
      <c r="G56" s="20">
        <f>H56-F56</f>
        <v>0</v>
      </c>
      <c r="H56" s="20">
        <f>WAGas12_04!AL56</f>
        <v>13632</v>
      </c>
      <c r="I56" s="20"/>
      <c r="J56" s="20">
        <f>H56+I56</f>
        <v>13632</v>
      </c>
    </row>
    <row r="57" spans="1:10" ht="12.75">
      <c r="A57" s="18">
        <v>32</v>
      </c>
      <c r="B57" s="20"/>
      <c r="C57" s="20" t="s">
        <v>100</v>
      </c>
      <c r="D57" s="20"/>
      <c r="E57" s="20"/>
      <c r="F57" s="20">
        <f>WAGas12_04!F57</f>
        <v>200079</v>
      </c>
      <c r="G57" s="20">
        <f>H57-F57</f>
        <v>1119</v>
      </c>
      <c r="H57" s="20">
        <f>WAGas12_04!AL57</f>
        <v>201198</v>
      </c>
      <c r="I57" s="20"/>
      <c r="J57" s="20">
        <f>H57+I57</f>
        <v>201198</v>
      </c>
    </row>
    <row r="58" spans="1:10" ht="12.75">
      <c r="A58" s="18">
        <v>33</v>
      </c>
      <c r="B58" s="20"/>
      <c r="C58" s="20" t="s">
        <v>101</v>
      </c>
      <c r="D58" s="20"/>
      <c r="E58" s="20"/>
      <c r="F58" s="865">
        <f>WAGas12_04!F58</f>
        <v>16499</v>
      </c>
      <c r="G58" s="865">
        <f>H58-F58</f>
        <v>0</v>
      </c>
      <c r="H58" s="865">
        <f>WAGas12_04!AL58</f>
        <v>16499</v>
      </c>
      <c r="I58" s="865"/>
      <c r="J58" s="865">
        <f>H58+I58</f>
        <v>16499</v>
      </c>
    </row>
    <row r="59" spans="1:10" ht="12.75">
      <c r="A59" s="18">
        <v>34</v>
      </c>
      <c r="B59" s="20"/>
      <c r="C59" s="20"/>
      <c r="D59" s="20"/>
      <c r="E59" s="20" t="s">
        <v>102</v>
      </c>
      <c r="F59" s="20">
        <f>WAGas12_04!F59</f>
        <v>230210</v>
      </c>
      <c r="G59" s="20">
        <f>H59-F59</f>
        <v>1119</v>
      </c>
      <c r="H59" s="20">
        <f>WAGas12_04!AL59</f>
        <v>231329</v>
      </c>
      <c r="I59" s="20">
        <v>0</v>
      </c>
      <c r="J59" s="20">
        <f>H59+I59</f>
        <v>231329</v>
      </c>
    </row>
    <row r="60" spans="1:10" ht="12.75">
      <c r="A60" s="18"/>
      <c r="B60" s="20" t="s">
        <v>103</v>
      </c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18">
        <v>35</v>
      </c>
      <c r="B61" s="20"/>
      <c r="C61" s="20" t="s">
        <v>81</v>
      </c>
      <c r="D61" s="20"/>
      <c r="E61" s="20"/>
      <c r="F61" s="20">
        <f>WAGas12_04!F61</f>
        <v>6657</v>
      </c>
      <c r="G61" s="20">
        <f aca="true" t="shared" si="0" ref="G61:G67">H61-F61</f>
        <v>2</v>
      </c>
      <c r="H61" s="20">
        <f>WAGas12_04!AL61</f>
        <v>6659</v>
      </c>
      <c r="I61" s="20"/>
      <c r="J61" s="20">
        <f aca="true" t="shared" si="1" ref="J61:J67">H61+I61</f>
        <v>6659</v>
      </c>
    </row>
    <row r="62" spans="1:10" ht="12.75">
      <c r="A62" s="18">
        <v>36</v>
      </c>
      <c r="B62" s="20"/>
      <c r="C62" s="20" t="s">
        <v>100</v>
      </c>
      <c r="D62" s="20"/>
      <c r="E62" s="20"/>
      <c r="F62" s="20">
        <f>WAGas12_04!F62</f>
        <v>64811</v>
      </c>
      <c r="G62" s="20">
        <f t="shared" si="0"/>
        <v>6</v>
      </c>
      <c r="H62" s="20">
        <f>WAGas12_04!AL62</f>
        <v>64817</v>
      </c>
      <c r="I62" s="20"/>
      <c r="J62" s="20">
        <f t="shared" si="1"/>
        <v>64817</v>
      </c>
    </row>
    <row r="63" spans="1:10" ht="12.75">
      <c r="A63" s="18">
        <v>37</v>
      </c>
      <c r="B63" s="20"/>
      <c r="C63" s="20" t="s">
        <v>101</v>
      </c>
      <c r="D63" s="20"/>
      <c r="E63" s="20"/>
      <c r="F63" s="20">
        <f>WAGas12_04!F63</f>
        <v>7039</v>
      </c>
      <c r="G63" s="20">
        <f t="shared" si="0"/>
        <v>-55</v>
      </c>
      <c r="H63" s="20">
        <f>WAGas12_04!AL63</f>
        <v>6984</v>
      </c>
      <c r="I63" s="20"/>
      <c r="J63" s="20">
        <f t="shared" si="1"/>
        <v>6984</v>
      </c>
    </row>
    <row r="64" spans="1:10" ht="12.75">
      <c r="A64" s="18">
        <v>38</v>
      </c>
      <c r="B64" s="20"/>
      <c r="C64" s="20"/>
      <c r="D64" s="20"/>
      <c r="E64" s="20" t="s">
        <v>104</v>
      </c>
      <c r="F64" s="867">
        <f>WAGas12_04!F64</f>
        <v>78507</v>
      </c>
      <c r="G64" s="867">
        <f t="shared" si="0"/>
        <v>-47</v>
      </c>
      <c r="H64" s="867">
        <f>WAGas12_04!AL64</f>
        <v>78460</v>
      </c>
      <c r="I64" s="867">
        <v>0</v>
      </c>
      <c r="J64" s="867">
        <f t="shared" si="1"/>
        <v>78460</v>
      </c>
    </row>
    <row r="65" spans="1:10" ht="12.75">
      <c r="A65" s="21">
        <v>39</v>
      </c>
      <c r="B65" s="22" t="s">
        <v>105</v>
      </c>
      <c r="C65" s="22"/>
      <c r="D65" s="22"/>
      <c r="E65" s="22"/>
      <c r="F65" s="22">
        <f>WAGas12_04!F65</f>
        <v>0</v>
      </c>
      <c r="G65" s="22">
        <f t="shared" si="0"/>
        <v>-26715</v>
      </c>
      <c r="H65" s="22">
        <f>WAGas12_04!AL65</f>
        <v>-26715</v>
      </c>
      <c r="I65" s="22"/>
      <c r="J65" s="22">
        <f t="shared" si="1"/>
        <v>-26715</v>
      </c>
    </row>
    <row r="66" spans="1:10" ht="12.75">
      <c r="A66" s="18">
        <v>40</v>
      </c>
      <c r="B66" s="20" t="s">
        <v>106</v>
      </c>
      <c r="C66" s="20"/>
      <c r="D66" s="20"/>
      <c r="E66" s="20"/>
      <c r="F66" s="20">
        <f>WAGas12_04!F66</f>
        <v>0</v>
      </c>
      <c r="G66" s="20">
        <f t="shared" si="0"/>
        <v>4807</v>
      </c>
      <c r="H66" s="20">
        <f>WAGas12_04!AL66</f>
        <v>4807</v>
      </c>
      <c r="I66" s="20"/>
      <c r="J66" s="20">
        <f t="shared" si="1"/>
        <v>4807</v>
      </c>
    </row>
    <row r="67" spans="1:10" ht="12.75">
      <c r="A67" s="18">
        <v>41</v>
      </c>
      <c r="B67" s="20" t="s">
        <v>107</v>
      </c>
      <c r="C67" s="20"/>
      <c r="D67" s="20"/>
      <c r="E67" s="20"/>
      <c r="F67" s="865">
        <f>WAGas12_04!F67</f>
        <v>0</v>
      </c>
      <c r="G67" s="865">
        <f t="shared" si="0"/>
        <v>-243</v>
      </c>
      <c r="H67" s="865">
        <f>WAGas12_04!AL67</f>
        <v>-243</v>
      </c>
      <c r="I67" s="865"/>
      <c r="J67" s="865">
        <f t="shared" si="1"/>
        <v>-243</v>
      </c>
    </row>
    <row r="68" spans="1:10" ht="12.75">
      <c r="A68" s="18"/>
      <c r="B68" s="2"/>
      <c r="C68" s="2"/>
      <c r="D68" s="2"/>
      <c r="E68" s="2"/>
      <c r="F68" s="859"/>
      <c r="G68" s="859"/>
      <c r="H68" s="859"/>
      <c r="I68" s="859"/>
      <c r="J68" s="859"/>
    </row>
    <row r="69" spans="1:10" ht="13.5" thickBot="1">
      <c r="A69" s="18">
        <v>42</v>
      </c>
      <c r="B69" s="19" t="s">
        <v>108</v>
      </c>
      <c r="C69" s="19"/>
      <c r="D69" s="19"/>
      <c r="E69" s="19"/>
      <c r="F69" s="866">
        <f>WAGas12_04!F69</f>
        <v>151703</v>
      </c>
      <c r="G69" s="866">
        <f>H69-F69</f>
        <v>-20985</v>
      </c>
      <c r="H69" s="866">
        <f>WAGas12_04!AL69</f>
        <v>130718</v>
      </c>
      <c r="I69" s="866">
        <v>0</v>
      </c>
      <c r="J69" s="866">
        <f>H69+I69</f>
        <v>130718</v>
      </c>
    </row>
    <row r="70" spans="1:10" ht="13.5" thickTop="1">
      <c r="A70" s="18">
        <v>43</v>
      </c>
      <c r="B70" s="2" t="s">
        <v>109</v>
      </c>
      <c r="C70" s="2"/>
      <c r="D70" s="2"/>
      <c r="E70" s="2"/>
      <c r="F70" s="24">
        <f>ROUND(F52/F69,4)</f>
        <v>0.0453</v>
      </c>
      <c r="G70" s="963"/>
      <c r="H70" s="24">
        <f>ROUND(H52/H69,4)</f>
        <v>0.0827</v>
      </c>
      <c r="I70" s="24"/>
      <c r="J70" s="24">
        <f>ROUND(J52/J69,4)</f>
        <v>0.0967</v>
      </c>
    </row>
    <row r="71" spans="1:10" ht="12.75">
      <c r="A71" s="964"/>
      <c r="B71" s="965"/>
      <c r="C71" s="965"/>
      <c r="D71" s="965"/>
      <c r="E71" s="908"/>
      <c r="F71" s="908"/>
      <c r="G71" s="908"/>
      <c r="H71" s="908"/>
      <c r="I71" s="908"/>
      <c r="J71" s="908"/>
    </row>
  </sheetData>
  <printOptions/>
  <pageMargins left="0.75" right="0.5" top="0.72" bottom="0.84" header="0.5" footer="0.5"/>
  <pageSetup fitToHeight="1" fitToWidth="1" horizontalDpi="600" verticalDpi="600" orientation="portrait" scale="77" r:id="rId1"/>
  <headerFooter alignWithMargins="0">
    <oddHeader>&amp;R&amp;"Times,Regular"Exhibit No.____(DMF-3)</oddHeader>
    <oddFooter>&amp;L&amp;"Times,Regular"Docket UG-05-____________
Falkner, Avista&amp;R&amp;"Times,Regular"Page 1 of 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8" sqref="A28"/>
    </sheetView>
  </sheetViews>
  <sheetFormatPr defaultColWidth="9.140625" defaultRowHeight="12.75"/>
  <cols>
    <col min="1" max="1" width="10.7109375" style="190" customWidth="1"/>
    <col min="2" max="3" width="9.140625" style="190" customWidth="1"/>
    <col min="4" max="4" width="22.00390625" style="190" customWidth="1"/>
    <col min="5" max="5" width="10.7109375" style="190" customWidth="1"/>
    <col min="6" max="13" width="9.140625" style="190" customWidth="1"/>
  </cols>
  <sheetData>
    <row r="1" spans="1:13" ht="12.75">
      <c r="A1" s="890" t="s">
        <v>199</v>
      </c>
      <c r="B1" s="676"/>
      <c r="C1" s="676"/>
      <c r="D1" s="676"/>
      <c r="E1" s="676"/>
      <c r="F1" s="676"/>
      <c r="G1" s="200"/>
      <c r="H1" s="200"/>
      <c r="I1" s="200"/>
      <c r="J1" s="200"/>
      <c r="K1" s="200"/>
      <c r="L1" s="200"/>
      <c r="M1" s="200"/>
    </row>
    <row r="2" spans="1:13" ht="12.75">
      <c r="A2" s="890" t="s">
        <v>320</v>
      </c>
      <c r="B2" s="676"/>
      <c r="C2" s="676"/>
      <c r="D2" s="676"/>
      <c r="E2" s="676"/>
      <c r="F2" s="676"/>
      <c r="G2" s="200"/>
      <c r="H2" s="200"/>
      <c r="I2" s="200"/>
      <c r="J2" s="200"/>
      <c r="K2" s="200"/>
      <c r="L2" s="200"/>
      <c r="M2" s="200"/>
    </row>
    <row r="3" spans="1:13" ht="12.75">
      <c r="A3" s="890" t="s">
        <v>263</v>
      </c>
      <c r="B3" s="676"/>
      <c r="C3" s="676"/>
      <c r="D3" s="676"/>
      <c r="E3" s="676"/>
      <c r="F3" s="676"/>
      <c r="G3" s="200"/>
      <c r="H3" s="200"/>
      <c r="I3" s="200"/>
      <c r="J3" s="200"/>
      <c r="K3" s="200"/>
      <c r="L3" s="200"/>
      <c r="M3" s="200"/>
    </row>
    <row r="4" spans="1:13" ht="12.75">
      <c r="A4" s="890" t="str">
        <f>Inputs!D2</f>
        <v>TWELVE MONTHS ENDED DECEMBER 31, 2004</v>
      </c>
      <c r="B4" s="676"/>
      <c r="C4" s="676"/>
      <c r="D4" s="676"/>
      <c r="E4" s="676"/>
      <c r="F4" s="676"/>
      <c r="G4" s="200"/>
      <c r="H4" s="200"/>
      <c r="I4" s="200"/>
      <c r="J4" s="200"/>
      <c r="K4" s="200"/>
      <c r="L4" s="200"/>
      <c r="M4" s="200"/>
    </row>
    <row r="5" spans="1:6" ht="12.75">
      <c r="A5" s="986" t="s">
        <v>321</v>
      </c>
      <c r="B5" s="986"/>
      <c r="C5" s="986"/>
      <c r="D5" s="986"/>
      <c r="E5" s="986"/>
      <c r="F5" s="986"/>
    </row>
    <row r="6" ht="12.75"/>
    <row r="7" ht="12.75"/>
    <row r="8" spans="1:13" ht="12.75">
      <c r="A8" s="200"/>
      <c r="B8" s="200"/>
      <c r="C8" s="200"/>
      <c r="D8" s="200"/>
      <c r="E8" s="200"/>
      <c r="F8" s="213"/>
      <c r="G8" s="891"/>
      <c r="H8" s="891"/>
      <c r="I8" s="891"/>
      <c r="J8" s="892"/>
      <c r="K8" s="893" t="s">
        <v>342</v>
      </c>
      <c r="L8" s="894"/>
      <c r="M8" s="895"/>
    </row>
    <row r="9" spans="1:13" ht="12.75">
      <c r="A9" s="896" t="s">
        <v>322</v>
      </c>
      <c r="B9" s="203"/>
      <c r="C9" s="987" t="s">
        <v>114</v>
      </c>
      <c r="D9" s="988"/>
      <c r="E9" s="213"/>
      <c r="F9" s="896"/>
      <c r="G9" s="891"/>
      <c r="H9" s="203"/>
      <c r="I9" s="213"/>
      <c r="J9" s="203" t="s">
        <v>323</v>
      </c>
      <c r="K9" s="203"/>
      <c r="L9" s="203" t="s">
        <v>324</v>
      </c>
      <c r="M9" s="895"/>
    </row>
    <row r="10" spans="1:13" ht="12.75">
      <c r="A10" s="897" t="s">
        <v>29</v>
      </c>
      <c r="B10" s="203"/>
      <c r="C10" s="989"/>
      <c r="D10" s="990"/>
      <c r="E10" s="213"/>
      <c r="F10" s="897" t="s">
        <v>341</v>
      </c>
      <c r="G10" s="891"/>
      <c r="H10" s="218" t="s">
        <v>325</v>
      </c>
      <c r="I10" s="213"/>
      <c r="J10" s="218" t="s">
        <v>326</v>
      </c>
      <c r="K10" s="218" t="s">
        <v>327</v>
      </c>
      <c r="L10" s="218" t="s">
        <v>327</v>
      </c>
      <c r="M10" s="895"/>
    </row>
    <row r="11" spans="1:13" ht="12.75">
      <c r="A11" s="200"/>
      <c r="B11" s="200"/>
      <c r="C11" s="200"/>
      <c r="D11" s="200"/>
      <c r="E11" s="898"/>
      <c r="G11" s="891"/>
      <c r="H11" s="891"/>
      <c r="I11" s="899"/>
      <c r="J11" s="891"/>
      <c r="K11" s="891"/>
      <c r="L11" s="891"/>
      <c r="M11" s="895"/>
    </row>
    <row r="12" spans="1:13" ht="12.75">
      <c r="A12" s="223">
        <v>1</v>
      </c>
      <c r="B12" s="200"/>
      <c r="C12" s="200" t="s">
        <v>328</v>
      </c>
      <c r="D12" s="200"/>
      <c r="E12" s="200"/>
      <c r="F12" s="226">
        <f>WAGas12_04!AL69</f>
        <v>130718</v>
      </c>
      <c r="G12" s="891"/>
      <c r="H12" s="200" t="s">
        <v>329</v>
      </c>
      <c r="I12" s="900"/>
      <c r="J12" s="849">
        <v>0.494</v>
      </c>
      <c r="K12" s="849">
        <v>0.08441</v>
      </c>
      <c r="L12" s="24">
        <f>ROUND(J12*K12,4)</f>
        <v>0.0417</v>
      </c>
      <c r="M12" s="895"/>
    </row>
    <row r="13" spans="1:13" ht="12.75">
      <c r="A13" s="223"/>
      <c r="B13" s="200"/>
      <c r="C13" s="200"/>
      <c r="D13" s="200"/>
      <c r="E13" s="200"/>
      <c r="F13" s="226"/>
      <c r="G13" s="891"/>
      <c r="H13" s="200"/>
      <c r="I13" s="902"/>
      <c r="J13" s="849"/>
      <c r="K13" s="849"/>
      <c r="L13" s="903"/>
      <c r="M13" s="895"/>
    </row>
    <row r="14" spans="1:13" ht="12.75">
      <c r="A14" s="223">
        <v>2</v>
      </c>
      <c r="B14" s="200"/>
      <c r="C14" s="200" t="s">
        <v>330</v>
      </c>
      <c r="D14" s="200"/>
      <c r="E14" s="200"/>
      <c r="F14" s="901">
        <f>L20</f>
        <v>0.09670000000000001</v>
      </c>
      <c r="G14" s="891"/>
      <c r="H14" s="200" t="s">
        <v>332</v>
      </c>
      <c r="I14" s="900"/>
      <c r="J14" s="849">
        <v>0.0518</v>
      </c>
      <c r="K14" s="849">
        <v>0.06603</v>
      </c>
      <c r="L14" s="24">
        <f>ROUND(J14*K14,4)</f>
        <v>0.0034</v>
      </c>
      <c r="M14" s="895"/>
    </row>
    <row r="15" spans="1:13" ht="12.75">
      <c r="A15" s="223"/>
      <c r="B15" s="200"/>
      <c r="C15" s="200"/>
      <c r="D15" s="200"/>
      <c r="E15" s="200"/>
      <c r="F15" s="908"/>
      <c r="G15" s="891"/>
      <c r="H15" s="200"/>
      <c r="I15" s="902"/>
      <c r="J15" s="849"/>
      <c r="K15" s="849"/>
      <c r="L15" s="903"/>
      <c r="M15" s="895"/>
    </row>
    <row r="16" spans="1:13" ht="12.75">
      <c r="A16" s="223">
        <v>3</v>
      </c>
      <c r="B16" s="200"/>
      <c r="C16" s="200" t="s">
        <v>331</v>
      </c>
      <c r="D16" s="200"/>
      <c r="E16" s="200"/>
      <c r="F16" s="226">
        <f>ROUND(F12*F14,0)</f>
        <v>12640</v>
      </c>
      <c r="G16" s="891"/>
      <c r="H16" s="200" t="s">
        <v>334</v>
      </c>
      <c r="I16" s="900"/>
      <c r="J16" s="849">
        <v>0.0142</v>
      </c>
      <c r="K16" s="849">
        <v>0.07391</v>
      </c>
      <c r="L16" s="24">
        <f>ROUND(J16*K16,4)</f>
        <v>0.001</v>
      </c>
      <c r="M16" s="895"/>
    </row>
    <row r="17" spans="1:13" ht="12.75">
      <c r="A17" s="223"/>
      <c r="B17" s="200"/>
      <c r="C17" s="200"/>
      <c r="D17" s="200"/>
      <c r="E17" s="200"/>
      <c r="F17" s="226"/>
      <c r="G17" s="891"/>
      <c r="M17" s="895"/>
    </row>
    <row r="18" spans="1:13" ht="12.75">
      <c r="A18" s="223">
        <v>4</v>
      </c>
      <c r="B18" s="200"/>
      <c r="C18" s="200" t="s">
        <v>333</v>
      </c>
      <c r="D18" s="200"/>
      <c r="E18" s="200"/>
      <c r="F18" s="904">
        <f>WAGas12_04!AL52</f>
        <v>10810.091283528931</v>
      </c>
      <c r="G18" s="891"/>
      <c r="H18" s="200" t="s">
        <v>336</v>
      </c>
      <c r="I18" s="900"/>
      <c r="J18" s="849">
        <v>0.44</v>
      </c>
      <c r="K18" s="849">
        <v>0.115</v>
      </c>
      <c r="L18" s="24">
        <f>ROUND(J18*K18,4)</f>
        <v>0.0506</v>
      </c>
      <c r="M18" s="895"/>
    </row>
    <row r="19" spans="1:13" ht="12.75">
      <c r="A19" s="223"/>
      <c r="B19" s="200"/>
      <c r="C19" s="200"/>
      <c r="D19" s="200"/>
      <c r="E19" s="200"/>
      <c r="F19" s="200"/>
      <c r="G19" s="891"/>
      <c r="H19" s="200"/>
      <c r="I19" s="902"/>
      <c r="J19" s="849"/>
      <c r="K19" s="849"/>
      <c r="L19" s="903"/>
      <c r="M19" s="895"/>
    </row>
    <row r="20" spans="1:13" ht="13.5" thickBot="1">
      <c r="A20" s="223">
        <v>5</v>
      </c>
      <c r="B20" s="200"/>
      <c r="C20" s="200" t="s">
        <v>335</v>
      </c>
      <c r="D20" s="200"/>
      <c r="E20" s="200"/>
      <c r="F20" s="226">
        <f>F16-F18</f>
        <v>1829.908716471069</v>
      </c>
      <c r="G20" s="891"/>
      <c r="H20" s="200" t="s">
        <v>45</v>
      </c>
      <c r="I20" s="905"/>
      <c r="J20" s="906">
        <f>SUM(J12:J19)</f>
        <v>1</v>
      </c>
      <c r="K20" s="24"/>
      <c r="L20" s="906">
        <f>SUM(L12:L19)</f>
        <v>0.09670000000000001</v>
      </c>
      <c r="M20" s="895"/>
    </row>
    <row r="21" spans="1:13" ht="13.5" thickTop="1">
      <c r="A21" s="223"/>
      <c r="B21" s="200"/>
      <c r="C21" s="200"/>
      <c r="D21" s="200"/>
      <c r="E21" s="200"/>
      <c r="F21" s="200"/>
      <c r="G21" s="891"/>
      <c r="H21" s="200"/>
      <c r="I21" s="902"/>
      <c r="J21" s="24"/>
      <c r="K21" s="24"/>
      <c r="L21" s="903"/>
      <c r="M21" s="895"/>
    </row>
    <row r="22" spans="1:13" ht="12.75">
      <c r="A22" s="223">
        <v>6</v>
      </c>
      <c r="B22" s="200"/>
      <c r="C22" s="200" t="s">
        <v>337</v>
      </c>
      <c r="D22" s="200"/>
      <c r="E22" s="200"/>
      <c r="F22" s="909">
        <f>ConverFac_Exh!E29</f>
        <v>0.621746</v>
      </c>
      <c r="G22" s="891"/>
      <c r="H22" s="200"/>
      <c r="I22" s="902"/>
      <c r="J22" s="24"/>
      <c r="K22" s="24"/>
      <c r="L22" s="903"/>
      <c r="M22" s="895"/>
    </row>
    <row r="23" spans="1:13" ht="13.5" thickBot="1">
      <c r="A23" s="223"/>
      <c r="B23" s="200"/>
      <c r="C23" s="200"/>
      <c r="D23" s="200"/>
      <c r="E23" s="200"/>
      <c r="F23" s="200"/>
      <c r="G23" s="891"/>
      <c r="H23" s="200"/>
      <c r="I23" s="902"/>
      <c r="J23" s="24"/>
      <c r="K23" s="24"/>
      <c r="L23" s="903"/>
      <c r="M23" s="895"/>
    </row>
    <row r="24" spans="1:13" ht="13.5" thickBot="1">
      <c r="A24" s="223">
        <v>7</v>
      </c>
      <c r="B24" s="200"/>
      <c r="C24" s="200" t="s">
        <v>338</v>
      </c>
      <c r="D24" s="200"/>
      <c r="E24" s="200"/>
      <c r="F24" s="907">
        <f>ROUND(F20/F22,0)</f>
        <v>2943</v>
      </c>
      <c r="G24" s="891"/>
      <c r="H24" s="200"/>
      <c r="I24" s="902"/>
      <c r="J24" s="24"/>
      <c r="K24" s="24"/>
      <c r="L24" s="903"/>
      <c r="M24" s="895"/>
    </row>
    <row r="25" spans="1:13" ht="12.75">
      <c r="A25" s="200"/>
      <c r="B25" s="200"/>
      <c r="C25" s="200"/>
      <c r="D25" s="200"/>
      <c r="E25" s="200"/>
      <c r="F25" s="200"/>
      <c r="G25" s="891"/>
      <c r="M25" s="895"/>
    </row>
    <row r="26" spans="1:13" ht="12.75">
      <c r="A26" s="223">
        <v>8</v>
      </c>
      <c r="B26" s="200"/>
      <c r="C26" s="200" t="s">
        <v>339</v>
      </c>
      <c r="D26" s="200"/>
      <c r="E26" s="200"/>
      <c r="F26" s="905">
        <f>WAGas12_04!AL13+WAGas12_04!AL14</f>
        <v>162107</v>
      </c>
      <c r="G26" s="891"/>
      <c r="H26" s="200"/>
      <c r="I26" s="908"/>
      <c r="J26" s="903"/>
      <c r="K26" s="908"/>
      <c r="L26" s="891"/>
      <c r="M26" s="895"/>
    </row>
    <row r="27" spans="1:13" ht="12.75">
      <c r="A27" s="200"/>
      <c r="B27" s="200"/>
      <c r="C27" s="200"/>
      <c r="D27" s="200"/>
      <c r="E27" s="200"/>
      <c r="F27" s="200"/>
      <c r="G27" s="891"/>
      <c r="H27" s="898"/>
      <c r="I27" s="908"/>
      <c r="J27" s="908"/>
      <c r="K27" s="908"/>
      <c r="L27" s="891"/>
      <c r="M27" s="895"/>
    </row>
    <row r="28" spans="1:6" ht="13.5" thickBot="1">
      <c r="A28" s="223">
        <v>9</v>
      </c>
      <c r="B28" s="200"/>
      <c r="C28" s="200" t="s">
        <v>340</v>
      </c>
      <c r="D28" s="200"/>
      <c r="E28" s="200"/>
      <c r="F28" s="906">
        <f>ROUND(F24/F26,4)</f>
        <v>0.0182</v>
      </c>
    </row>
    <row r="29" spans="2:6" ht="13.5" thickTop="1">
      <c r="B29" s="200"/>
      <c r="C29" s="891"/>
      <c r="D29" s="891"/>
      <c r="E29" s="891"/>
      <c r="F29" s="891"/>
    </row>
    <row r="30" ht="12.75"/>
    <row r="31" ht="12.75"/>
  </sheetData>
  <mergeCells count="2">
    <mergeCell ref="A5:F5"/>
    <mergeCell ref="C9:D10"/>
  </mergeCells>
  <printOptions/>
  <pageMargins left="0.75" right="0.75" top="1" bottom="1" header="0.5" footer="0.5"/>
  <pageSetup horizontalDpi="600" verticalDpi="600" orientation="portrait" r:id="rId3"/>
  <headerFooter alignWithMargins="0">
    <oddHeader>&amp;R&amp;"Times,Regular"Exhibit No.____(DMF-3)</oddHeader>
    <oddFooter>&amp;L&amp;"Times,Regular"Docket No. UG-05-_________
Falkner, Avista&amp;R&amp;"Times,Regular"Page 2 of 8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0" sqref="A30"/>
    </sheetView>
  </sheetViews>
  <sheetFormatPr defaultColWidth="9.140625" defaultRowHeight="12.75"/>
  <cols>
    <col min="1" max="1" width="9.140625" style="190" customWidth="1"/>
    <col min="2" max="2" width="6.57421875" style="190" customWidth="1"/>
    <col min="3" max="3" width="42.00390625" style="190" customWidth="1"/>
    <col min="4" max="4" width="9.140625" style="190" customWidth="1"/>
    <col min="5" max="5" width="20.140625" style="984" customWidth="1"/>
    <col min="6" max="6" width="9.140625" style="190" customWidth="1"/>
    <col min="7" max="7" width="19.8515625" style="190" bestFit="1" customWidth="1"/>
    <col min="8" max="16384" width="9.140625" style="190" customWidth="1"/>
  </cols>
  <sheetData>
    <row r="1" spans="1:7" s="968" customFormat="1" ht="12.75">
      <c r="A1" s="190"/>
      <c r="B1" s="190"/>
      <c r="C1" s="980" t="s">
        <v>199</v>
      </c>
      <c r="D1" s="966"/>
      <c r="E1" s="967"/>
      <c r="G1" s="190"/>
    </row>
    <row r="2" spans="2:7" s="968" customFormat="1" ht="12.75">
      <c r="B2" s="190"/>
      <c r="C2" s="980" t="s">
        <v>400</v>
      </c>
      <c r="D2" s="966"/>
      <c r="E2" s="969"/>
      <c r="G2" s="190"/>
    </row>
    <row r="3" spans="2:7" s="968" customFormat="1" ht="12.75">
      <c r="B3" s="190"/>
      <c r="C3" s="980" t="s">
        <v>401</v>
      </c>
      <c r="D3" s="966"/>
      <c r="E3" s="969"/>
      <c r="G3" s="190"/>
    </row>
    <row r="4" spans="1:5" ht="12.75">
      <c r="A4" s="213"/>
      <c r="C4" s="980" t="s">
        <v>348</v>
      </c>
      <c r="D4" s="970"/>
      <c r="E4" s="966"/>
    </row>
    <row r="5" spans="1:5" ht="12.75">
      <c r="A5" s="213"/>
      <c r="C5" s="981"/>
      <c r="D5" s="970"/>
      <c r="E5" s="966"/>
    </row>
    <row r="6" spans="1:5" ht="12.75">
      <c r="A6" s="213"/>
      <c r="C6" s="981"/>
      <c r="D6" s="970"/>
      <c r="E6" s="966"/>
    </row>
    <row r="7" spans="1:5" ht="12.75">
      <c r="A7" s="213"/>
      <c r="C7" s="981"/>
      <c r="D7" s="970"/>
      <c r="E7" s="966"/>
    </row>
    <row r="8" spans="1:5" ht="12.75">
      <c r="A8" s="213"/>
      <c r="C8" s="970"/>
      <c r="D8" s="970"/>
      <c r="E8" s="970"/>
    </row>
    <row r="9" spans="1:5" ht="12.75">
      <c r="A9" s="213" t="s">
        <v>322</v>
      </c>
      <c r="C9" s="213"/>
      <c r="D9" s="970"/>
      <c r="E9" s="213"/>
    </row>
    <row r="10" spans="1:5" ht="12.75">
      <c r="A10" s="218" t="s">
        <v>29</v>
      </c>
      <c r="C10" s="218" t="s">
        <v>114</v>
      </c>
      <c r="D10" s="970"/>
      <c r="E10" s="218" t="s">
        <v>403</v>
      </c>
    </row>
    <row r="11" spans="1:5" ht="12.75">
      <c r="A11" s="213"/>
      <c r="C11" s="970"/>
      <c r="D11" s="970"/>
      <c r="E11" s="970"/>
    </row>
    <row r="12" spans="1:7" ht="12.75">
      <c r="A12" s="191">
        <v>1</v>
      </c>
      <c r="C12" s="982" t="s">
        <v>371</v>
      </c>
      <c r="D12" s="970"/>
      <c r="E12" s="970">
        <v>1</v>
      </c>
      <c r="G12" s="974">
        <f>RevReqEx!F24</f>
        <v>2943</v>
      </c>
    </row>
    <row r="13" spans="1:5" ht="12.75">
      <c r="A13" s="191"/>
      <c r="C13" s="982"/>
      <c r="D13" s="970"/>
      <c r="E13" s="970"/>
    </row>
    <row r="14" spans="1:5" ht="12.75">
      <c r="A14" s="191"/>
      <c r="C14" s="982" t="s">
        <v>372</v>
      </c>
      <c r="D14" s="970"/>
      <c r="E14" s="970"/>
    </row>
    <row r="15" spans="1:7" ht="12.75">
      <c r="A15" s="191">
        <v>2</v>
      </c>
      <c r="B15" s="203"/>
      <c r="C15" s="970" t="s">
        <v>396</v>
      </c>
      <c r="D15" s="970"/>
      <c r="E15" s="970">
        <v>0.003169</v>
      </c>
      <c r="G15" s="975">
        <f>ROUND($G$12*E15,0)</f>
        <v>9</v>
      </c>
    </row>
    <row r="16" spans="1:5" ht="12.75">
      <c r="A16" s="191"/>
      <c r="C16" s="970"/>
      <c r="D16" s="970"/>
      <c r="E16" s="970"/>
    </row>
    <row r="17" spans="1:7" ht="12.75">
      <c r="A17" s="191">
        <v>3</v>
      </c>
      <c r="C17" s="970" t="s">
        <v>397</v>
      </c>
      <c r="D17" s="970"/>
      <c r="E17" s="971">
        <v>0.0019</v>
      </c>
      <c r="G17" s="975">
        <f>ROUND($G$12*E17,0)</f>
        <v>6</v>
      </c>
    </row>
    <row r="18" spans="1:5" ht="12.75">
      <c r="A18" s="191"/>
      <c r="C18" s="970"/>
      <c r="D18" s="970"/>
      <c r="E18" s="970"/>
    </row>
    <row r="19" spans="1:7" ht="12.75">
      <c r="A19" s="191">
        <v>4</v>
      </c>
      <c r="C19" s="970" t="s">
        <v>398</v>
      </c>
      <c r="D19" s="970"/>
      <c r="E19" s="970">
        <v>0.038398</v>
      </c>
      <c r="G19" s="975">
        <f>ROUND($G$12*E19,0)</f>
        <v>113</v>
      </c>
    </row>
    <row r="20" spans="1:5" ht="12.75">
      <c r="A20" s="191"/>
      <c r="C20" s="970"/>
      <c r="D20" s="970"/>
      <c r="E20" s="970"/>
    </row>
    <row r="21" spans="1:7" ht="12.75">
      <c r="A21" s="191">
        <v>5</v>
      </c>
      <c r="C21" s="970" t="s">
        <v>399</v>
      </c>
      <c r="D21" s="970"/>
      <c r="E21" s="970">
        <v>0</v>
      </c>
      <c r="G21" s="975">
        <f>ROUND($G$12*E21,0)</f>
        <v>0</v>
      </c>
    </row>
    <row r="22" spans="1:5" ht="12.75">
      <c r="A22" s="191"/>
      <c r="C22" s="970"/>
      <c r="D22" s="970"/>
      <c r="E22" s="970"/>
    </row>
    <row r="23" spans="1:7" ht="12.75">
      <c r="A23" s="191">
        <v>6</v>
      </c>
      <c r="C23" s="970" t="s">
        <v>373</v>
      </c>
      <c r="D23" s="970"/>
      <c r="E23" s="972">
        <v>0.043467</v>
      </c>
      <c r="G23" s="976">
        <f>SUM(G15:G22)</f>
        <v>128</v>
      </c>
    </row>
    <row r="24" spans="1:7" ht="12.75">
      <c r="A24" s="191"/>
      <c r="C24" s="970"/>
      <c r="D24" s="970"/>
      <c r="E24" s="970"/>
      <c r="G24" s="977"/>
    </row>
    <row r="25" spans="1:7" ht="12.75">
      <c r="A25" s="191">
        <v>7</v>
      </c>
      <c r="C25" s="970" t="s">
        <v>374</v>
      </c>
      <c r="D25" s="970"/>
      <c r="E25" s="970">
        <v>0.956533</v>
      </c>
      <c r="G25" s="977">
        <f>G12-G23</f>
        <v>2815</v>
      </c>
    </row>
    <row r="26" spans="1:5" ht="12.75">
      <c r="A26" s="191"/>
      <c r="C26" s="970"/>
      <c r="D26" s="970"/>
      <c r="E26" s="970"/>
    </row>
    <row r="27" spans="1:7" ht="12.75">
      <c r="A27" s="191">
        <v>8</v>
      </c>
      <c r="C27" s="970" t="s">
        <v>402</v>
      </c>
      <c r="D27" s="973"/>
      <c r="E27" s="970">
        <v>0.334787</v>
      </c>
      <c r="G27" s="978">
        <f>ROUND(G25*0.35,0)</f>
        <v>985</v>
      </c>
    </row>
    <row r="28" spans="3:5" ht="12.75">
      <c r="C28" s="970"/>
      <c r="D28" s="970"/>
      <c r="E28" s="970"/>
    </row>
    <row r="29" spans="1:7" ht="13.5" thickBot="1">
      <c r="A29" s="191">
        <v>9</v>
      </c>
      <c r="C29" s="970" t="s">
        <v>375</v>
      </c>
      <c r="D29" s="970"/>
      <c r="E29" s="983">
        <v>0.621746</v>
      </c>
      <c r="G29" s="979">
        <f>G25-G27</f>
        <v>1830</v>
      </c>
    </row>
    <row r="30" spans="3:4" ht="13.5" thickTop="1">
      <c r="C30" s="970"/>
      <c r="D30" s="970"/>
    </row>
    <row r="31" spans="3:4" ht="12.75">
      <c r="C31" s="970" t="s">
        <v>376</v>
      </c>
      <c r="D31" s="970"/>
    </row>
    <row r="32" spans="3:4" ht="12.75">
      <c r="C32" s="970" t="s">
        <v>377</v>
      </c>
      <c r="D32" s="970"/>
    </row>
    <row r="33" spans="3:4" ht="12.75">
      <c r="C33" s="970" t="s">
        <v>378</v>
      </c>
      <c r="D33" s="970"/>
    </row>
    <row r="34" spans="3:4" ht="12.75">
      <c r="C34" s="970" t="s">
        <v>379</v>
      </c>
      <c r="D34" s="970"/>
    </row>
    <row r="35" spans="3:4" ht="12.75">
      <c r="C35" s="970" t="s">
        <v>380</v>
      </c>
      <c r="D35" s="970"/>
    </row>
    <row r="36" spans="3:5" ht="12.75">
      <c r="C36" s="970" t="s">
        <v>381</v>
      </c>
      <c r="D36" s="970"/>
      <c r="E36" s="984">
        <v>0.003168635443483313</v>
      </c>
    </row>
    <row r="37" spans="3:7" ht="12.75">
      <c r="C37" s="970" t="s">
        <v>382</v>
      </c>
      <c r="D37" s="970"/>
      <c r="G37" s="190">
        <v>190386</v>
      </c>
    </row>
    <row r="38" spans="3:4" ht="12.75">
      <c r="C38" s="970" t="s">
        <v>383</v>
      </c>
      <c r="D38" s="970"/>
    </row>
    <row r="39" spans="3:7" ht="12.75">
      <c r="C39" s="970"/>
      <c r="D39" s="970"/>
      <c r="G39" s="190">
        <v>60181224</v>
      </c>
    </row>
    <row r="40" spans="3:4" ht="12.75">
      <c r="C40" s="971" t="s">
        <v>384</v>
      </c>
      <c r="D40" s="970"/>
    </row>
    <row r="41" spans="3:4" ht="12.75">
      <c r="C41" s="970"/>
      <c r="D41" s="970"/>
    </row>
    <row r="42" spans="3:4" ht="12.75">
      <c r="C42" s="970" t="s">
        <v>385</v>
      </c>
      <c r="D42" s="970"/>
    </row>
    <row r="43" spans="3:4" ht="12.75">
      <c r="C43" s="970" t="s">
        <v>386</v>
      </c>
      <c r="D43" s="970"/>
    </row>
    <row r="44" spans="3:4" ht="12.75">
      <c r="C44" s="970" t="s">
        <v>387</v>
      </c>
      <c r="D44" s="970"/>
    </row>
    <row r="45" spans="3:4" ht="12.75">
      <c r="C45" s="970" t="s">
        <v>388</v>
      </c>
      <c r="D45" s="970"/>
    </row>
    <row r="46" ht="12.75">
      <c r="C46" s="970" t="s">
        <v>389</v>
      </c>
    </row>
    <row r="47" spans="3:7" ht="12.75">
      <c r="C47" s="970" t="s">
        <v>390</v>
      </c>
      <c r="G47" s="190">
        <v>0.142655</v>
      </c>
    </row>
    <row r="48" spans="3:5" ht="12.75">
      <c r="C48" s="970" t="s">
        <v>391</v>
      </c>
      <c r="D48" s="970"/>
      <c r="E48" s="984">
        <v>0.038397944162717024</v>
      </c>
    </row>
    <row r="49" spans="3:7" ht="12.75">
      <c r="C49" s="970" t="s">
        <v>392</v>
      </c>
      <c r="D49" s="970"/>
      <c r="G49" s="190">
        <v>0.076</v>
      </c>
    </row>
    <row r="50" spans="3:7" ht="12.75">
      <c r="C50" s="970"/>
      <c r="D50" s="970"/>
      <c r="G50" s="190">
        <v>0.01084178</v>
      </c>
    </row>
    <row r="51" spans="3:4" ht="12.75">
      <c r="C51" s="970" t="s">
        <v>393</v>
      </c>
      <c r="D51" s="970"/>
    </row>
    <row r="52" spans="3:7" ht="12.75">
      <c r="C52" s="970" t="s">
        <v>394</v>
      </c>
      <c r="D52" s="970"/>
      <c r="G52" s="190">
        <v>0.005740544829197891</v>
      </c>
    </row>
    <row r="53" spans="3:4" ht="12.75">
      <c r="C53" s="970" t="s">
        <v>379</v>
      </c>
      <c r="D53" s="970"/>
    </row>
    <row r="54" spans="3:4" ht="12.75">
      <c r="C54" s="970" t="s">
        <v>380</v>
      </c>
      <c r="D54" s="970"/>
    </row>
    <row r="55" spans="3:5" ht="12.75">
      <c r="C55" s="190" t="s">
        <v>391</v>
      </c>
      <c r="D55" s="970"/>
      <c r="E55" s="984">
        <v>0</v>
      </c>
    </row>
    <row r="56" spans="3:4" ht="12.75">
      <c r="C56" s="970" t="s">
        <v>395</v>
      </c>
      <c r="D56" s="970"/>
    </row>
    <row r="57" spans="3:4" ht="12.75">
      <c r="C57" s="970" t="s">
        <v>383</v>
      </c>
      <c r="D57" s="97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&amp;R&amp;"Times,Regular"Exhibit No.____(DMF-3)</oddHeader>
    <oddFooter>&amp;L&amp;"Times,Regular"Docket No. UG-05-_________
Falkner, Avista&amp;R&amp;"Times,Regular"Page 3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35">
      <selection activeCell="F62" sqref="F62"/>
    </sheetView>
  </sheetViews>
  <sheetFormatPr defaultColWidth="9.140625" defaultRowHeight="10.5" customHeight="1"/>
  <cols>
    <col min="1" max="1" width="5.57421875" style="233" customWidth="1"/>
    <col min="2" max="2" width="26.140625" style="233" customWidth="1"/>
    <col min="3" max="3" width="12.421875" style="233" customWidth="1"/>
    <col min="4" max="4" width="6.7109375" style="233" customWidth="1"/>
    <col min="5" max="5" width="12.421875" style="253" customWidth="1"/>
    <col min="6" max="6" width="12.421875" style="254" customWidth="1"/>
    <col min="7" max="7" width="12.421875" style="253" customWidth="1"/>
    <col min="8" max="16384" width="12.421875" style="233" customWidth="1"/>
  </cols>
  <sheetData>
    <row r="1" spans="1:7" ht="12">
      <c r="A1" s="232" t="str">
        <f>Inputs!$D$6</f>
        <v>AVISTA UTILITIES</v>
      </c>
      <c r="B1" s="232"/>
      <c r="C1" s="232"/>
      <c r="E1" s="234"/>
      <c r="F1" s="235"/>
      <c r="G1" s="234"/>
    </row>
    <row r="2" spans="1:7" ht="12">
      <c r="A2" s="232" t="s">
        <v>122</v>
      </c>
      <c r="B2" s="232"/>
      <c r="C2" s="232"/>
      <c r="E2" s="236" t="s">
        <v>161</v>
      </c>
      <c r="F2" s="237"/>
      <c r="G2" s="236"/>
    </row>
    <row r="3" spans="1:7" ht="12">
      <c r="A3" s="232" t="str">
        <f>Inputs!$D$2</f>
        <v>TWELVE MONTHS ENDED DECEMBER 31, 2004</v>
      </c>
      <c r="B3" s="232"/>
      <c r="C3" s="232"/>
      <c r="E3" s="234"/>
      <c r="F3" s="238" t="s">
        <v>162</v>
      </c>
      <c r="G3" s="233"/>
    </row>
    <row r="4" spans="1:7" ht="12">
      <c r="A4" s="232" t="s">
        <v>125</v>
      </c>
      <c r="B4" s="232"/>
      <c r="C4" s="232"/>
      <c r="E4" s="239"/>
      <c r="F4" s="240" t="s">
        <v>126</v>
      </c>
      <c r="G4" s="239"/>
    </row>
    <row r="5" spans="1:7" ht="12">
      <c r="A5" s="241" t="s">
        <v>11</v>
      </c>
      <c r="E5" s="234"/>
      <c r="F5" s="238"/>
      <c r="G5" s="234"/>
    </row>
    <row r="6" spans="1:8" ht="12">
      <c r="A6" s="242" t="s">
        <v>29</v>
      </c>
      <c r="B6" s="243" t="s">
        <v>114</v>
      </c>
      <c r="C6" s="243"/>
      <c r="E6" s="244" t="s">
        <v>127</v>
      </c>
      <c r="F6" s="245" t="s">
        <v>128</v>
      </c>
      <c r="G6" s="244" t="s">
        <v>129</v>
      </c>
      <c r="H6" s="246" t="s">
        <v>130</v>
      </c>
    </row>
    <row r="7" spans="1:7" ht="12">
      <c r="A7" s="241"/>
      <c r="B7" s="233" t="s">
        <v>69</v>
      </c>
      <c r="E7" s="247"/>
      <c r="F7" s="238"/>
      <c r="G7" s="247"/>
    </row>
    <row r="8" spans="1:8" ht="12">
      <c r="A8" s="241">
        <v>1</v>
      </c>
      <c r="B8" s="233" t="s">
        <v>131</v>
      </c>
      <c r="E8" s="248"/>
      <c r="F8" s="248"/>
      <c r="G8" s="248"/>
      <c r="H8" s="249" t="str">
        <f>IF(E8=F8+G8," ","ERROR")</f>
        <v> </v>
      </c>
    </row>
    <row r="9" spans="1:8" ht="12">
      <c r="A9" s="241">
        <v>2</v>
      </c>
      <c r="B9" s="233" t="s">
        <v>132</v>
      </c>
      <c r="E9" s="250"/>
      <c r="F9" s="250"/>
      <c r="G9" s="250"/>
      <c r="H9" s="249" t="str">
        <f>IF(E9=F9+G9," ","ERROR")</f>
        <v> </v>
      </c>
    </row>
    <row r="10" spans="1:8" ht="12">
      <c r="A10" s="241">
        <v>3</v>
      </c>
      <c r="B10" s="233" t="s">
        <v>72</v>
      </c>
      <c r="E10" s="251"/>
      <c r="F10" s="251"/>
      <c r="G10" s="251"/>
      <c r="H10" s="249" t="str">
        <f>IF(E10=F10+G10," ","ERROR")</f>
        <v> </v>
      </c>
    </row>
    <row r="11" spans="1:8" ht="12">
      <c r="A11" s="241">
        <v>4</v>
      </c>
      <c r="B11" s="233" t="s">
        <v>133</v>
      </c>
      <c r="E11" s="250">
        <f>SUM(E8:E10)</f>
        <v>0</v>
      </c>
      <c r="F11" s="250">
        <f>SUM(F8:F10)</f>
        <v>0</v>
      </c>
      <c r="G11" s="250">
        <f>SUM(G8:G10)</f>
        <v>0</v>
      </c>
      <c r="H11" s="249" t="str">
        <f>IF(E11=F11+G11," ","ERROR")</f>
        <v> </v>
      </c>
    </row>
    <row r="12" spans="1:8" ht="12">
      <c r="A12" s="241"/>
      <c r="E12" s="250"/>
      <c r="F12" s="250"/>
      <c r="G12" s="250"/>
      <c r="H12" s="249"/>
    </row>
    <row r="13" spans="1:8" ht="12">
      <c r="A13" s="241"/>
      <c r="B13" s="233" t="s">
        <v>74</v>
      </c>
      <c r="E13" s="250"/>
      <c r="F13" s="250"/>
      <c r="G13" s="250"/>
      <c r="H13" s="249"/>
    </row>
    <row r="14" spans="1:8" ht="12">
      <c r="A14" s="241">
        <v>5</v>
      </c>
      <c r="B14" s="233" t="s">
        <v>134</v>
      </c>
      <c r="E14" s="250"/>
      <c r="F14" s="250"/>
      <c r="G14" s="250"/>
      <c r="H14" s="249" t="str">
        <f>IF(E14=F14+G14," ","ERROR")</f>
        <v> </v>
      </c>
    </row>
    <row r="15" spans="1:8" ht="12">
      <c r="A15" s="241"/>
      <c r="B15" s="233" t="s">
        <v>76</v>
      </c>
      <c r="E15" s="250"/>
      <c r="F15" s="250"/>
      <c r="G15" s="250"/>
      <c r="H15" s="249"/>
    </row>
    <row r="16" spans="1:8" ht="12">
      <c r="A16" s="241">
        <v>6</v>
      </c>
      <c r="B16" s="233" t="s">
        <v>135</v>
      </c>
      <c r="E16" s="250"/>
      <c r="F16" s="250"/>
      <c r="G16" s="250"/>
      <c r="H16" s="249" t="str">
        <f>IF(E16=F16+G16," ","ERROR")</f>
        <v> </v>
      </c>
    </row>
    <row r="17" spans="1:8" ht="12">
      <c r="A17" s="241">
        <v>7</v>
      </c>
      <c r="B17" s="233" t="s">
        <v>136</v>
      </c>
      <c r="E17" s="250"/>
      <c r="F17" s="250"/>
      <c r="G17" s="250"/>
      <c r="H17" s="249" t="str">
        <f>IF(E17=F17+G17," ","ERROR")</f>
        <v> </v>
      </c>
    </row>
    <row r="18" spans="1:8" ht="12">
      <c r="A18" s="241">
        <v>8</v>
      </c>
      <c r="B18" s="233" t="s">
        <v>137</v>
      </c>
      <c r="E18" s="251"/>
      <c r="F18" s="251"/>
      <c r="G18" s="251"/>
      <c r="H18" s="249" t="str">
        <f>IF(E18=F18+G18," ","ERROR")</f>
        <v> </v>
      </c>
    </row>
    <row r="19" spans="1:8" ht="12">
      <c r="A19" s="241">
        <v>9</v>
      </c>
      <c r="B19" s="233" t="s">
        <v>138</v>
      </c>
      <c r="E19" s="250">
        <f>SUM(E16:E18)</f>
        <v>0</v>
      </c>
      <c r="F19" s="250">
        <f>SUM(F16:F18)</f>
        <v>0</v>
      </c>
      <c r="G19" s="250">
        <f>SUM(G16:G18)</f>
        <v>0</v>
      </c>
      <c r="H19" s="249" t="str">
        <f>IF(E19=F19+G19," ","ERROR")</f>
        <v> </v>
      </c>
    </row>
    <row r="20" spans="1:8" ht="12">
      <c r="A20" s="241"/>
      <c r="B20" s="233" t="s">
        <v>81</v>
      </c>
      <c r="E20" s="250"/>
      <c r="F20" s="250"/>
      <c r="G20" s="250"/>
      <c r="H20" s="249"/>
    </row>
    <row r="21" spans="1:8" ht="12">
      <c r="A21" s="241">
        <v>10</v>
      </c>
      <c r="B21" s="233" t="s">
        <v>139</v>
      </c>
      <c r="E21" s="250"/>
      <c r="F21" s="250"/>
      <c r="G21" s="250"/>
      <c r="H21" s="249" t="str">
        <f>IF(E21=F21+G21," ","ERROR")</f>
        <v> </v>
      </c>
    </row>
    <row r="22" spans="1:8" ht="12">
      <c r="A22" s="241">
        <v>11</v>
      </c>
      <c r="B22" s="233" t="s">
        <v>140</v>
      </c>
      <c r="E22" s="250"/>
      <c r="F22" s="250"/>
      <c r="G22" s="250"/>
      <c r="H22" s="249" t="str">
        <f>IF(E22=F22+G22," ","ERROR")</f>
        <v> </v>
      </c>
    </row>
    <row r="23" spans="1:8" ht="12">
      <c r="A23" s="241">
        <v>12</v>
      </c>
      <c r="B23" s="233" t="s">
        <v>141</v>
      </c>
      <c r="E23" s="251"/>
      <c r="F23" s="251"/>
      <c r="G23" s="251"/>
      <c r="H23" s="249" t="str">
        <f>IF(E23=F23+G23," ","ERROR")</f>
        <v> </v>
      </c>
    </row>
    <row r="24" spans="1:8" ht="12">
      <c r="A24" s="241">
        <v>13</v>
      </c>
      <c r="B24" s="233" t="s">
        <v>142</v>
      </c>
      <c r="E24" s="250">
        <f>SUM(E21:E23)</f>
        <v>0</v>
      </c>
      <c r="F24" s="250">
        <f>SUM(F21:F23)</f>
        <v>0</v>
      </c>
      <c r="G24" s="250">
        <f>SUM(G21:G23)</f>
        <v>0</v>
      </c>
      <c r="H24" s="249" t="str">
        <f>IF(E24=F24+G24," ","ERROR")</f>
        <v> </v>
      </c>
    </row>
    <row r="25" spans="1:8" ht="12">
      <c r="A25" s="241"/>
      <c r="B25" s="233" t="s">
        <v>85</v>
      </c>
      <c r="E25" s="250"/>
      <c r="F25" s="250"/>
      <c r="G25" s="250"/>
      <c r="H25" s="249"/>
    </row>
    <row r="26" spans="1:8" ht="12">
      <c r="A26" s="241">
        <v>14</v>
      </c>
      <c r="B26" s="233" t="s">
        <v>139</v>
      </c>
      <c r="E26" s="250"/>
      <c r="F26" s="250"/>
      <c r="G26" s="250"/>
      <c r="H26" s="249" t="str">
        <f>IF(E26=F26+G26," ","ERROR")</f>
        <v> </v>
      </c>
    </row>
    <row r="27" spans="1:8" ht="12">
      <c r="A27" s="241">
        <v>15</v>
      </c>
      <c r="B27" s="233" t="s">
        <v>140</v>
      </c>
      <c r="E27" s="250"/>
      <c r="F27" s="250"/>
      <c r="G27" s="250"/>
      <c r="H27" s="249" t="str">
        <f>IF(E27=F27+G27," ","ERROR")</f>
        <v> </v>
      </c>
    </row>
    <row r="28" spans="1:8" ht="12">
      <c r="A28" s="241">
        <v>16</v>
      </c>
      <c r="B28" s="233" t="s">
        <v>141</v>
      </c>
      <c r="E28" s="251">
        <f>F28+G28</f>
        <v>0</v>
      </c>
      <c r="F28" s="251"/>
      <c r="G28" s="251">
        <f>F111</f>
        <v>0</v>
      </c>
      <c r="H28" s="249" t="str">
        <f>IF(E28=F28+G28," ","ERROR")</f>
        <v> </v>
      </c>
    </row>
    <row r="29" spans="1:8" ht="12">
      <c r="A29" s="241">
        <v>17</v>
      </c>
      <c r="B29" s="233" t="s">
        <v>143</v>
      </c>
      <c r="E29" s="250">
        <f>SUM(E26:E28)</f>
        <v>0</v>
      </c>
      <c r="F29" s="250">
        <f>SUM(F26:F28)</f>
        <v>0</v>
      </c>
      <c r="G29" s="250">
        <f>SUM(G26:G28)</f>
        <v>0</v>
      </c>
      <c r="H29" s="249" t="str">
        <f>IF(E29=F29+G29," ","ERROR")</f>
        <v> </v>
      </c>
    </row>
    <row r="30" spans="1:8" ht="12">
      <c r="A30" s="241"/>
      <c r="E30" s="250"/>
      <c r="F30" s="250"/>
      <c r="G30" s="250"/>
      <c r="H30" s="249"/>
    </row>
    <row r="31" spans="1:8" ht="12">
      <c r="A31" s="241">
        <v>18</v>
      </c>
      <c r="B31" s="233" t="s">
        <v>87</v>
      </c>
      <c r="E31" s="250"/>
      <c r="F31" s="250"/>
      <c r="G31" s="250"/>
      <c r="H31" s="249" t="str">
        <f>IF(E31=F31+G31," ","ERROR")</f>
        <v> </v>
      </c>
    </row>
    <row r="32" spans="1:8" ht="12">
      <c r="A32" s="241">
        <v>19</v>
      </c>
      <c r="B32" s="233" t="s">
        <v>88</v>
      </c>
      <c r="E32" s="250"/>
      <c r="F32" s="250"/>
      <c r="G32" s="250"/>
      <c r="H32" s="249" t="str">
        <f>IF(E32=F32+G32," ","ERROR")</f>
        <v> </v>
      </c>
    </row>
    <row r="33" spans="1:8" ht="12">
      <c r="A33" s="241">
        <v>20</v>
      </c>
      <c r="B33" s="233" t="s">
        <v>144</v>
      </c>
      <c r="E33" s="250"/>
      <c r="F33" s="250"/>
      <c r="G33" s="250"/>
      <c r="H33" s="249" t="str">
        <f>IF(E33=F33+G33," ","ERROR")</f>
        <v> </v>
      </c>
    </row>
    <row r="34" spans="1:8" ht="12">
      <c r="A34" s="241"/>
      <c r="B34" s="233" t="s">
        <v>145</v>
      </c>
      <c r="E34" s="250"/>
      <c r="F34" s="250"/>
      <c r="G34" s="250"/>
      <c r="H34" s="249"/>
    </row>
    <row r="35" spans="1:8" ht="12">
      <c r="A35" s="241">
        <v>21</v>
      </c>
      <c r="B35" s="233" t="s">
        <v>139</v>
      </c>
      <c r="E35" s="250"/>
      <c r="F35" s="250"/>
      <c r="G35" s="250"/>
      <c r="H35" s="249" t="str">
        <f>IF(E35=F35+G35," ","ERROR")</f>
        <v> </v>
      </c>
    </row>
    <row r="36" spans="1:8" ht="12">
      <c r="A36" s="241">
        <v>22</v>
      </c>
      <c r="B36" s="233" t="s">
        <v>140</v>
      </c>
      <c r="E36" s="250"/>
      <c r="F36" s="250"/>
      <c r="G36" s="250"/>
      <c r="H36" s="249" t="str">
        <f>IF(E36=F36+G36," ","ERROR")</f>
        <v> </v>
      </c>
    </row>
    <row r="37" spans="1:8" ht="12">
      <c r="A37" s="241">
        <v>23</v>
      </c>
      <c r="B37" s="233" t="s">
        <v>141</v>
      </c>
      <c r="E37" s="251"/>
      <c r="F37" s="251"/>
      <c r="G37" s="251"/>
      <c r="H37" s="249" t="str">
        <f>IF(E37=F37+G37," ","ERROR")</f>
        <v> </v>
      </c>
    </row>
    <row r="38" spans="1:8" ht="12">
      <c r="A38" s="241">
        <v>24</v>
      </c>
      <c r="B38" s="233" t="s">
        <v>146</v>
      </c>
      <c r="E38" s="251">
        <f>SUM(E35:E37)</f>
        <v>0</v>
      </c>
      <c r="F38" s="251">
        <f>SUM(F35:F37)</f>
        <v>0</v>
      </c>
      <c r="G38" s="251">
        <f>SUM(G35:G37)</f>
        <v>0</v>
      </c>
      <c r="H38" s="249" t="str">
        <f>IF(E38=F38+G38," ","ERROR")</f>
        <v> </v>
      </c>
    </row>
    <row r="39" spans="1:8" ht="12">
      <c r="A39" s="241">
        <v>25</v>
      </c>
      <c r="B39" s="233" t="s">
        <v>92</v>
      </c>
      <c r="E39" s="251">
        <f>E19+E24+E29+E31+E32+E33+E38+E14</f>
        <v>0</v>
      </c>
      <c r="F39" s="251">
        <f>F19+F24+F29+F31+F32+F33+F38+F14</f>
        <v>0</v>
      </c>
      <c r="G39" s="251">
        <f>G19+G24+G29+G31+G32+G33+G38+G14</f>
        <v>0</v>
      </c>
      <c r="H39" s="249" t="str">
        <f>IF(E39=F39+G39," ","ERROR")</f>
        <v> </v>
      </c>
    </row>
    <row r="40" spans="1:8" ht="12">
      <c r="A40" s="241"/>
      <c r="E40" s="250"/>
      <c r="F40" s="250"/>
      <c r="G40" s="250"/>
      <c r="H40" s="249"/>
    </row>
    <row r="41" spans="1:8" ht="12">
      <c r="A41" s="241">
        <v>26</v>
      </c>
      <c r="B41" s="233" t="s">
        <v>147</v>
      </c>
      <c r="E41" s="250">
        <f>E11-E39</f>
        <v>0</v>
      </c>
      <c r="F41" s="250">
        <f>F11-F39</f>
        <v>0</v>
      </c>
      <c r="G41" s="250">
        <f>G11-G39</f>
        <v>0</v>
      </c>
      <c r="H41" s="249" t="str">
        <f>IF(E41=F41+G41," ","ERROR")</f>
        <v> </v>
      </c>
    </row>
    <row r="42" spans="1:8" ht="12">
      <c r="A42" s="241"/>
      <c r="E42" s="250"/>
      <c r="F42" s="250"/>
      <c r="G42" s="250"/>
      <c r="H42" s="249"/>
    </row>
    <row r="43" spans="1:8" ht="12">
      <c r="A43" s="241"/>
      <c r="B43" s="233" t="s">
        <v>148</v>
      </c>
      <c r="E43" s="250"/>
      <c r="F43" s="250"/>
      <c r="G43" s="250"/>
      <c r="H43" s="249"/>
    </row>
    <row r="44" spans="1:8" ht="12">
      <c r="A44" s="241">
        <v>27</v>
      </c>
      <c r="B44" s="252" t="s">
        <v>163</v>
      </c>
      <c r="E44" s="250">
        <f>F44+G44</f>
        <v>0</v>
      </c>
      <c r="F44" s="250">
        <f>ROUND(F41*0.34,0)</f>
        <v>0</v>
      </c>
      <c r="G44" s="250">
        <f>ROUND(G41*0.34,0)</f>
        <v>0</v>
      </c>
      <c r="H44" s="249" t="str">
        <f>IF(E44=F44+G44," ","ERROR")</f>
        <v> </v>
      </c>
    </row>
    <row r="45" spans="1:8" ht="12">
      <c r="A45" s="241">
        <v>28</v>
      </c>
      <c r="B45" s="233" t="s">
        <v>151</v>
      </c>
      <c r="E45" s="250"/>
      <c r="F45" s="250"/>
      <c r="G45" s="250"/>
      <c r="H45" s="249" t="str">
        <f>IF(E45=F45+G45," ","ERROR")</f>
        <v> </v>
      </c>
    </row>
    <row r="46" spans="1:8" ht="12">
      <c r="A46" s="241">
        <v>29</v>
      </c>
      <c r="B46" s="233" t="s">
        <v>150</v>
      </c>
      <c r="E46" s="251"/>
      <c r="F46" s="251"/>
      <c r="G46" s="251"/>
      <c r="H46" s="249" t="str">
        <f>IF(E46=F46+G46," ","ERROR")</f>
        <v> </v>
      </c>
    </row>
    <row r="47" spans="1:8" ht="12">
      <c r="A47" s="241"/>
      <c r="H47" s="249"/>
    </row>
    <row r="48" spans="1:8" ht="12">
      <c r="A48" s="241">
        <v>30</v>
      </c>
      <c r="B48" s="255" t="s">
        <v>98</v>
      </c>
      <c r="E48" s="248">
        <f>E41-(+E44+E45+E46)</f>
        <v>0</v>
      </c>
      <c r="F48" s="248">
        <f>F41-F44+F45+F46</f>
        <v>0</v>
      </c>
      <c r="G48" s="248">
        <f>G41-SUM(G44:G46)</f>
        <v>0</v>
      </c>
      <c r="H48" s="249" t="str">
        <f>IF(E48=F48+G48," ","ERROR")</f>
        <v> </v>
      </c>
    </row>
    <row r="49" spans="1:8" ht="12">
      <c r="A49" s="241"/>
      <c r="H49" s="249"/>
    </row>
    <row r="50" spans="1:8" ht="12">
      <c r="A50" s="241"/>
      <c r="B50" s="252" t="s">
        <v>152</v>
      </c>
      <c r="H50" s="249"/>
    </row>
    <row r="51" spans="1:8" ht="12">
      <c r="A51" s="241"/>
      <c r="B51" s="252" t="s">
        <v>153</v>
      </c>
      <c r="H51" s="249"/>
    </row>
    <row r="52" spans="1:8" ht="12">
      <c r="A52" s="241">
        <v>31</v>
      </c>
      <c r="B52" s="233" t="s">
        <v>154</v>
      </c>
      <c r="E52" s="248"/>
      <c r="F52" s="248"/>
      <c r="G52" s="248"/>
      <c r="H52" s="249" t="str">
        <f aca="true" t="shared" si="0" ref="H52:H61">IF(E52=F52+G52," ","ERROR")</f>
        <v> </v>
      </c>
    </row>
    <row r="53" spans="1:8" ht="12">
      <c r="A53" s="241">
        <v>32</v>
      </c>
      <c r="B53" s="233" t="s">
        <v>155</v>
      </c>
      <c r="E53" s="250"/>
      <c r="F53" s="250"/>
      <c r="G53" s="250"/>
      <c r="H53" s="249" t="str">
        <f t="shared" si="0"/>
        <v> </v>
      </c>
    </row>
    <row r="54" spans="1:8" ht="12">
      <c r="A54" s="241">
        <v>33</v>
      </c>
      <c r="B54" s="233" t="s">
        <v>164</v>
      </c>
      <c r="E54" s="251"/>
      <c r="F54" s="251"/>
      <c r="G54" s="251"/>
      <c r="H54" s="249" t="str">
        <f t="shared" si="0"/>
        <v> </v>
      </c>
    </row>
    <row r="55" spans="1:8" ht="12">
      <c r="A55" s="241">
        <v>34</v>
      </c>
      <c r="B55" s="233" t="s">
        <v>157</v>
      </c>
      <c r="E55" s="250">
        <f>SUM(E52:E54)</f>
        <v>0</v>
      </c>
      <c r="F55" s="250">
        <f>SUM(F52:F54)</f>
        <v>0</v>
      </c>
      <c r="G55" s="250">
        <f>SUM(G52:G54)</f>
        <v>0</v>
      </c>
      <c r="H55" s="249" t="str">
        <f t="shared" si="0"/>
        <v> </v>
      </c>
    </row>
    <row r="56" spans="1:8" ht="12">
      <c r="A56" s="241"/>
      <c r="B56" s="233" t="s">
        <v>103</v>
      </c>
      <c r="E56" s="250"/>
      <c r="F56" s="250"/>
      <c r="G56" s="250"/>
      <c r="H56" s="249" t="str">
        <f t="shared" si="0"/>
        <v> </v>
      </c>
    </row>
    <row r="57" spans="1:8" ht="12">
      <c r="A57" s="241">
        <v>35</v>
      </c>
      <c r="B57" s="233" t="s">
        <v>154</v>
      </c>
      <c r="E57" s="250"/>
      <c r="F57" s="250"/>
      <c r="G57" s="250"/>
      <c r="H57" s="249" t="str">
        <f t="shared" si="0"/>
        <v> </v>
      </c>
    </row>
    <row r="58" spans="1:8" ht="12">
      <c r="A58" s="241">
        <v>36</v>
      </c>
      <c r="B58" s="233" t="s">
        <v>155</v>
      </c>
      <c r="E58" s="250"/>
      <c r="F58" s="250"/>
      <c r="G58" s="250"/>
      <c r="H58" s="249" t="str">
        <f t="shared" si="0"/>
        <v> </v>
      </c>
    </row>
    <row r="59" spans="1:8" ht="12">
      <c r="A59" s="241">
        <v>37</v>
      </c>
      <c r="B59" s="233" t="s">
        <v>164</v>
      </c>
      <c r="E59" s="251"/>
      <c r="F59" s="251"/>
      <c r="G59" s="251"/>
      <c r="H59" s="249" t="str">
        <f t="shared" si="0"/>
        <v> </v>
      </c>
    </row>
    <row r="60" spans="1:8" ht="12">
      <c r="A60" s="241">
        <v>38</v>
      </c>
      <c r="B60" s="233" t="s">
        <v>158</v>
      </c>
      <c r="E60" s="250">
        <f>SUM(E57:E59)</f>
        <v>0</v>
      </c>
      <c r="F60" s="250">
        <f>SUM(F57:F59)</f>
        <v>0</v>
      </c>
      <c r="G60" s="250">
        <f>SUM(G57:G59)</f>
        <v>0</v>
      </c>
      <c r="H60" s="249" t="str">
        <f t="shared" si="0"/>
        <v> </v>
      </c>
    </row>
    <row r="61" spans="1:8" ht="12">
      <c r="A61" s="241">
        <v>39</v>
      </c>
      <c r="B61" s="252" t="s">
        <v>159</v>
      </c>
      <c r="E61" s="250">
        <f>F61+G61</f>
        <v>-26800</v>
      </c>
      <c r="F61" s="250">
        <v>-26800</v>
      </c>
      <c r="G61" s="250">
        <v>0</v>
      </c>
      <c r="H61" s="249" t="str">
        <f t="shared" si="0"/>
        <v> </v>
      </c>
    </row>
    <row r="62" spans="1:8" ht="12">
      <c r="A62" s="241">
        <v>40</v>
      </c>
      <c r="B62" s="233" t="s">
        <v>106</v>
      </c>
      <c r="E62" s="250"/>
      <c r="F62" s="250"/>
      <c r="G62" s="250"/>
      <c r="H62" s="249" t="str">
        <f>IF(E62=F62+G62," ","ERROR")</f>
        <v> </v>
      </c>
    </row>
    <row r="63" spans="1:8" ht="12">
      <c r="A63" s="241">
        <v>41</v>
      </c>
      <c r="B63" s="252" t="s">
        <v>107</v>
      </c>
      <c r="E63" s="251"/>
      <c r="F63" s="251"/>
      <c r="G63" s="251"/>
      <c r="H63" s="249" t="str">
        <f>IF(E63=F63+G63," ","ERROR")</f>
        <v> </v>
      </c>
    </row>
    <row r="64" spans="1:8" ht="12">
      <c r="A64" s="241"/>
      <c r="B64" s="233" t="s">
        <v>160</v>
      </c>
      <c r="H64" s="249"/>
    </row>
    <row r="65" spans="1:8" ht="12.75" thickBot="1">
      <c r="A65" s="241">
        <v>42</v>
      </c>
      <c r="B65" s="255" t="s">
        <v>108</v>
      </c>
      <c r="E65" s="256">
        <f>E55-E60+E61+E62+E63</f>
        <v>-26800</v>
      </c>
      <c r="F65" s="256">
        <f>F55-F60+F61+F62+F63</f>
        <v>-26800</v>
      </c>
      <c r="G65" s="256">
        <f>G55-G60+G61+G62+G63</f>
        <v>0</v>
      </c>
      <c r="H65" s="249" t="str">
        <f>IF(E65=F65+G65," ","ERROR")</f>
        <v> </v>
      </c>
    </row>
    <row r="66" spans="1:7" ht="12.75" thickTop="1">
      <c r="A66" s="257"/>
      <c r="B66" s="257"/>
      <c r="C66" s="257"/>
      <c r="D66" s="258"/>
      <c r="E66" s="259"/>
      <c r="F66" s="260"/>
      <c r="G66" s="258"/>
    </row>
    <row r="67" spans="1:7" ht="12">
      <c r="A67" s="257"/>
      <c r="B67" s="257"/>
      <c r="C67" s="257"/>
      <c r="D67" s="258"/>
      <c r="E67" s="259"/>
      <c r="F67" s="260"/>
      <c r="G67" s="258"/>
    </row>
    <row r="68" spans="1:7" ht="12">
      <c r="A68" s="257"/>
      <c r="B68" s="257"/>
      <c r="C68" s="257"/>
      <c r="D68" s="258"/>
      <c r="E68" s="259"/>
      <c r="F68" s="261"/>
      <c r="G68" s="258"/>
    </row>
    <row r="69" spans="1:7" ht="12">
      <c r="A69" s="257"/>
      <c r="B69" s="257"/>
      <c r="C69" s="257"/>
      <c r="D69" s="258"/>
      <c r="E69" s="259"/>
      <c r="F69" s="261"/>
      <c r="G69" s="258"/>
    </row>
    <row r="70" spans="1:7" ht="12">
      <c r="A70" s="258"/>
      <c r="B70" s="258"/>
      <c r="C70" s="258"/>
      <c r="D70" s="258"/>
      <c r="E70" s="259"/>
      <c r="F70" s="261"/>
      <c r="G70" s="258"/>
    </row>
    <row r="71" spans="1:7" ht="12">
      <c r="A71" s="242"/>
      <c r="B71" s="258"/>
      <c r="C71" s="258"/>
      <c r="D71" s="258"/>
      <c r="E71" s="259"/>
      <c r="F71" s="261"/>
      <c r="G71" s="259"/>
    </row>
    <row r="72" spans="1:7" ht="12">
      <c r="A72" s="242"/>
      <c r="B72" s="257"/>
      <c r="C72" s="257"/>
      <c r="D72" s="258"/>
      <c r="E72" s="259"/>
      <c r="F72" s="261"/>
      <c r="G72" s="259"/>
    </row>
    <row r="73" spans="1:7" ht="12">
      <c r="A73" s="242"/>
      <c r="B73" s="258"/>
      <c r="C73" s="258"/>
      <c r="D73" s="258"/>
      <c r="E73" s="258"/>
      <c r="F73" s="260"/>
      <c r="G73" s="258"/>
    </row>
    <row r="74" spans="1:7" ht="12">
      <c r="A74" s="242"/>
      <c r="B74" s="258"/>
      <c r="C74" s="258"/>
      <c r="D74" s="258"/>
      <c r="E74" s="258"/>
      <c r="F74" s="262"/>
      <c r="G74" s="258"/>
    </row>
    <row r="75" spans="1:7" ht="12">
      <c r="A75" s="242"/>
      <c r="B75" s="258"/>
      <c r="C75" s="258"/>
      <c r="D75" s="258"/>
      <c r="E75" s="258"/>
      <c r="F75" s="263"/>
      <c r="G75" s="258"/>
    </row>
    <row r="76" spans="1:7" ht="12">
      <c r="A76" s="242"/>
      <c r="B76" s="258"/>
      <c r="C76" s="258"/>
      <c r="D76" s="258"/>
      <c r="E76" s="258"/>
      <c r="F76" s="263"/>
      <c r="G76" s="258"/>
    </row>
    <row r="77" spans="1:7" ht="12">
      <c r="A77" s="242"/>
      <c r="B77" s="258"/>
      <c r="C77" s="258"/>
      <c r="D77" s="258"/>
      <c r="E77" s="258"/>
      <c r="F77" s="263"/>
      <c r="G77" s="258"/>
    </row>
    <row r="78" spans="1:7" ht="12">
      <c r="A78" s="242"/>
      <c r="B78" s="258"/>
      <c r="C78" s="258"/>
      <c r="D78" s="258"/>
      <c r="E78" s="258"/>
      <c r="F78" s="263"/>
      <c r="G78" s="258"/>
    </row>
    <row r="79" spans="1:7" ht="12">
      <c r="A79" s="242"/>
      <c r="B79" s="258"/>
      <c r="C79" s="258"/>
      <c r="D79" s="258"/>
      <c r="E79" s="258"/>
      <c r="F79" s="263"/>
      <c r="G79" s="258"/>
    </row>
    <row r="80" spans="1:7" ht="12">
      <c r="A80" s="242"/>
      <c r="B80" s="258"/>
      <c r="C80" s="258"/>
      <c r="D80" s="258"/>
      <c r="E80" s="258"/>
      <c r="F80" s="263"/>
      <c r="G80" s="258"/>
    </row>
    <row r="81" spans="1:7" ht="12">
      <c r="A81" s="242"/>
      <c r="B81" s="258"/>
      <c r="C81" s="258"/>
      <c r="D81" s="258"/>
      <c r="E81" s="258"/>
      <c r="F81" s="263"/>
      <c r="G81" s="258"/>
    </row>
    <row r="82" spans="1:7" ht="12">
      <c r="A82" s="242"/>
      <c r="B82" s="258"/>
      <c r="C82" s="258"/>
      <c r="D82" s="258"/>
      <c r="E82" s="258"/>
      <c r="F82" s="263"/>
      <c r="G82" s="258"/>
    </row>
    <row r="83" spans="1:7" ht="12">
      <c r="A83" s="242"/>
      <c r="B83" s="258"/>
      <c r="C83" s="258"/>
      <c r="D83" s="258"/>
      <c r="E83" s="258"/>
      <c r="F83" s="263"/>
      <c r="G83" s="258"/>
    </row>
    <row r="84" spans="1:7" ht="12">
      <c r="A84" s="242"/>
      <c r="B84" s="258"/>
      <c r="C84" s="258"/>
      <c r="D84" s="258"/>
      <c r="E84" s="258"/>
      <c r="F84" s="263"/>
      <c r="G84" s="258"/>
    </row>
    <row r="85" spans="1:7" ht="12">
      <c r="A85" s="242"/>
      <c r="B85" s="258"/>
      <c r="C85" s="258"/>
      <c r="D85" s="258"/>
      <c r="E85" s="258"/>
      <c r="F85" s="263"/>
      <c r="G85" s="258"/>
    </row>
    <row r="86" spans="1:7" ht="12">
      <c r="A86" s="242"/>
      <c r="B86" s="258"/>
      <c r="C86" s="258"/>
      <c r="D86" s="258"/>
      <c r="E86" s="258"/>
      <c r="F86" s="263"/>
      <c r="G86" s="258"/>
    </row>
    <row r="87" spans="1:7" ht="12">
      <c r="A87" s="242"/>
      <c r="B87" s="258"/>
      <c r="C87" s="258"/>
      <c r="D87" s="258"/>
      <c r="E87" s="258"/>
      <c r="F87" s="263"/>
      <c r="G87" s="258"/>
    </row>
    <row r="88" spans="1:7" ht="12">
      <c r="A88" s="242"/>
      <c r="B88" s="258"/>
      <c r="C88" s="258"/>
      <c r="D88" s="258"/>
      <c r="E88" s="258"/>
      <c r="F88" s="263"/>
      <c r="G88" s="258"/>
    </row>
    <row r="89" spans="1:7" ht="12">
      <c r="A89" s="242"/>
      <c r="B89" s="258"/>
      <c r="C89" s="258"/>
      <c r="D89" s="258"/>
      <c r="E89" s="258"/>
      <c r="F89" s="263"/>
      <c r="G89" s="258"/>
    </row>
    <row r="90" spans="1:7" ht="12">
      <c r="A90" s="242"/>
      <c r="B90" s="258"/>
      <c r="C90" s="258"/>
      <c r="D90" s="258"/>
      <c r="E90" s="258"/>
      <c r="F90" s="263"/>
      <c r="G90" s="258"/>
    </row>
    <row r="91" spans="1:7" ht="12">
      <c r="A91" s="242"/>
      <c r="B91" s="258"/>
      <c r="C91" s="258"/>
      <c r="D91" s="258"/>
      <c r="E91" s="258"/>
      <c r="F91" s="263"/>
      <c r="G91" s="258"/>
    </row>
    <row r="92" spans="1:7" ht="12">
      <c r="A92" s="242"/>
      <c r="B92" s="258"/>
      <c r="C92" s="258"/>
      <c r="D92" s="258"/>
      <c r="E92" s="258"/>
      <c r="F92" s="263"/>
      <c r="G92" s="258"/>
    </row>
    <row r="93" spans="1:7" ht="12">
      <c r="A93" s="242"/>
      <c r="B93" s="258"/>
      <c r="C93" s="258"/>
      <c r="D93" s="258"/>
      <c r="E93" s="258"/>
      <c r="F93" s="263"/>
      <c r="G93" s="258"/>
    </row>
    <row r="94" spans="1:7" ht="12">
      <c r="A94" s="242"/>
      <c r="B94" s="258"/>
      <c r="C94" s="258"/>
      <c r="D94" s="258"/>
      <c r="E94" s="258"/>
      <c r="F94" s="263"/>
      <c r="G94" s="258"/>
    </row>
    <row r="95" spans="1:7" ht="12">
      <c r="A95" s="242"/>
      <c r="B95" s="258"/>
      <c r="C95" s="258"/>
      <c r="D95" s="258"/>
      <c r="E95" s="258"/>
      <c r="F95" s="263"/>
      <c r="G95" s="258"/>
    </row>
    <row r="96" spans="1:7" ht="12">
      <c r="A96" s="242"/>
      <c r="B96" s="258"/>
      <c r="C96" s="258"/>
      <c r="D96" s="258"/>
      <c r="E96" s="258"/>
      <c r="F96" s="263"/>
      <c r="G96" s="258"/>
    </row>
    <row r="97" spans="1:7" ht="12">
      <c r="A97" s="242"/>
      <c r="B97" s="258"/>
      <c r="C97" s="258"/>
      <c r="D97" s="258"/>
      <c r="E97" s="258"/>
      <c r="F97" s="263"/>
      <c r="G97" s="258"/>
    </row>
    <row r="98" spans="1:7" ht="12">
      <c r="A98" s="242"/>
      <c r="B98" s="258"/>
      <c r="C98" s="258"/>
      <c r="D98" s="258"/>
      <c r="E98" s="258"/>
      <c r="F98" s="263"/>
      <c r="G98" s="258"/>
    </row>
    <row r="99" spans="1:7" ht="12">
      <c r="A99" s="242"/>
      <c r="B99" s="258"/>
      <c r="C99" s="258"/>
      <c r="D99" s="258"/>
      <c r="E99" s="258"/>
      <c r="F99" s="263"/>
      <c r="G99" s="258"/>
    </row>
    <row r="100" spans="1:7" ht="12">
      <c r="A100" s="242"/>
      <c r="B100" s="258"/>
      <c r="C100" s="258"/>
      <c r="D100" s="258"/>
      <c r="E100" s="258"/>
      <c r="F100" s="263"/>
      <c r="G100" s="258"/>
    </row>
    <row r="101" spans="1:7" ht="12">
      <c r="A101" s="242"/>
      <c r="B101" s="258"/>
      <c r="C101" s="258"/>
      <c r="D101" s="258"/>
      <c r="E101" s="258"/>
      <c r="F101" s="263"/>
      <c r="G101" s="258"/>
    </row>
    <row r="102" spans="1:7" ht="12">
      <c r="A102" s="242"/>
      <c r="B102" s="258"/>
      <c r="C102" s="258"/>
      <c r="D102" s="258"/>
      <c r="E102" s="258"/>
      <c r="F102" s="263"/>
      <c r="G102" s="258"/>
    </row>
    <row r="103" spans="1:7" ht="12">
      <c r="A103" s="242"/>
      <c r="B103" s="258"/>
      <c r="C103" s="258"/>
      <c r="D103" s="258"/>
      <c r="E103" s="258"/>
      <c r="F103" s="263"/>
      <c r="G103" s="258"/>
    </row>
    <row r="104" spans="1:7" ht="12">
      <c r="A104" s="242"/>
      <c r="B104" s="258"/>
      <c r="C104" s="258"/>
      <c r="D104" s="258"/>
      <c r="E104" s="258"/>
      <c r="F104" s="263"/>
      <c r="G104" s="258"/>
    </row>
    <row r="105" spans="1:7" ht="12">
      <c r="A105" s="242"/>
      <c r="B105" s="258"/>
      <c r="C105" s="258"/>
      <c r="D105" s="258"/>
      <c r="E105" s="258"/>
      <c r="F105" s="263"/>
      <c r="G105" s="258"/>
    </row>
    <row r="106" spans="1:7" ht="12">
      <c r="A106" s="242"/>
      <c r="B106" s="258"/>
      <c r="C106" s="258"/>
      <c r="D106" s="258"/>
      <c r="E106" s="258"/>
      <c r="F106" s="263"/>
      <c r="G106" s="258"/>
    </row>
    <row r="107" spans="1:7" ht="12">
      <c r="A107" s="242"/>
      <c r="B107" s="258"/>
      <c r="C107" s="258"/>
      <c r="D107" s="258"/>
      <c r="E107" s="258"/>
      <c r="F107" s="263"/>
      <c r="G107" s="258"/>
    </row>
    <row r="108" spans="1:7" ht="12">
      <c r="A108" s="242"/>
      <c r="B108" s="258"/>
      <c r="C108" s="258"/>
      <c r="D108" s="258"/>
      <c r="E108" s="258"/>
      <c r="F108" s="263"/>
      <c r="G108" s="258"/>
    </row>
    <row r="109" spans="1:7" ht="12">
      <c r="A109" s="242"/>
      <c r="B109" s="258"/>
      <c r="C109" s="258"/>
      <c r="D109" s="258"/>
      <c r="E109" s="258"/>
      <c r="F109" s="260"/>
      <c r="G109" s="258"/>
    </row>
    <row r="110" spans="1:7" ht="12">
      <c r="A110" s="242"/>
      <c r="B110" s="258"/>
      <c r="C110" s="258"/>
      <c r="D110" s="258"/>
      <c r="E110" s="259"/>
      <c r="F110" s="260"/>
      <c r="G110" s="258"/>
    </row>
    <row r="111" spans="1:7" ht="12">
      <c r="A111" s="242"/>
      <c r="B111" s="264"/>
      <c r="C111" s="265"/>
      <c r="D111" s="258"/>
      <c r="E111" s="259"/>
      <c r="F111" s="262"/>
      <c r="G111" s="258"/>
    </row>
    <row r="112" spans="1:7" ht="12">
      <c r="A112" s="242"/>
      <c r="B112" s="258"/>
      <c r="C112" s="258"/>
      <c r="D112" s="258"/>
      <c r="E112" s="259"/>
      <c r="F112" s="260"/>
      <c r="G112" s="258"/>
    </row>
  </sheetData>
  <printOptions/>
  <pageMargins left="1" right="0.75" top="0.5" bottom="0.5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37">
      <selection activeCell="G62" sqref="G62"/>
    </sheetView>
  </sheetViews>
  <sheetFormatPr defaultColWidth="9.140625" defaultRowHeight="10.5" customHeight="1"/>
  <cols>
    <col min="1" max="1" width="5.57421875" style="267" customWidth="1"/>
    <col min="2" max="2" width="26.140625" style="267" customWidth="1"/>
    <col min="3" max="3" width="12.421875" style="267" customWidth="1"/>
    <col min="4" max="4" width="6.7109375" style="267" customWidth="1"/>
    <col min="5" max="5" width="12.421875" style="287" customWidth="1"/>
    <col min="6" max="6" width="12.421875" style="288" customWidth="1"/>
    <col min="7" max="7" width="12.421875" style="287" customWidth="1"/>
    <col min="8" max="16384" width="12.421875" style="267" customWidth="1"/>
  </cols>
  <sheetData>
    <row r="1" spans="1:7" ht="12" customHeight="1">
      <c r="A1" s="266" t="str">
        <f>Inputs!$D$6</f>
        <v>AVISTA UTILITIES</v>
      </c>
      <c r="B1" s="266"/>
      <c r="C1" s="266"/>
      <c r="E1" s="268"/>
      <c r="F1" s="269"/>
      <c r="G1" s="268"/>
    </row>
    <row r="2" spans="1:7" ht="12" customHeight="1">
      <c r="A2" s="266" t="s">
        <v>122</v>
      </c>
      <c r="B2" s="266"/>
      <c r="C2" s="266"/>
      <c r="E2" s="270" t="s">
        <v>165</v>
      </c>
      <c r="F2" s="271"/>
      <c r="G2" s="270"/>
    </row>
    <row r="3" spans="1:7" ht="12" customHeight="1">
      <c r="A3" s="266" t="str">
        <f>Inputs!$D$2</f>
        <v>TWELVE MONTHS ENDED DECEMBER 31, 2004</v>
      </c>
      <c r="B3" s="266"/>
      <c r="C3" s="266"/>
      <c r="E3" s="268"/>
      <c r="F3" s="272" t="s">
        <v>162</v>
      </c>
      <c r="G3" s="267"/>
    </row>
    <row r="4" spans="1:7" ht="12" customHeight="1">
      <c r="A4" s="266" t="s">
        <v>125</v>
      </c>
      <c r="B4" s="266"/>
      <c r="C4" s="266"/>
      <c r="E4" s="273"/>
      <c r="F4" s="274" t="s">
        <v>126</v>
      </c>
      <c r="G4" s="273"/>
    </row>
    <row r="5" spans="1:7" ht="12" customHeight="1">
      <c r="A5" s="275" t="s">
        <v>11</v>
      </c>
      <c r="E5" s="268"/>
      <c r="F5" s="272"/>
      <c r="G5" s="268"/>
    </row>
    <row r="6" spans="1:8" ht="12" customHeight="1">
      <c r="A6" s="276" t="s">
        <v>29</v>
      </c>
      <c r="B6" s="277" t="s">
        <v>114</v>
      </c>
      <c r="C6" s="277"/>
      <c r="E6" s="278" t="s">
        <v>127</v>
      </c>
      <c r="F6" s="279" t="s">
        <v>128</v>
      </c>
      <c r="G6" s="278" t="s">
        <v>129</v>
      </c>
      <c r="H6" s="280" t="s">
        <v>130</v>
      </c>
    </row>
    <row r="7" spans="1:7" ht="12" customHeight="1">
      <c r="A7" s="275"/>
      <c r="B7" s="267" t="s">
        <v>69</v>
      </c>
      <c r="E7" s="281"/>
      <c r="F7" s="272"/>
      <c r="G7" s="281"/>
    </row>
    <row r="8" spans="1:8" ht="12" customHeight="1">
      <c r="A8" s="275">
        <v>1</v>
      </c>
      <c r="B8" s="267" t="s">
        <v>131</v>
      </c>
      <c r="E8" s="282"/>
      <c r="F8" s="282"/>
      <c r="G8" s="282"/>
      <c r="H8" s="283" t="str">
        <f>IF(E8=F8+G8," ","ERROR")</f>
        <v> </v>
      </c>
    </row>
    <row r="9" spans="1:8" ht="12" customHeight="1">
      <c r="A9" s="275">
        <v>2</v>
      </c>
      <c r="B9" s="267" t="s">
        <v>132</v>
      </c>
      <c r="E9" s="284"/>
      <c r="F9" s="284"/>
      <c r="G9" s="284"/>
      <c r="H9" s="283" t="str">
        <f>IF(E9=F9+G9," ","ERROR")</f>
        <v> </v>
      </c>
    </row>
    <row r="10" spans="1:8" ht="12" customHeight="1">
      <c r="A10" s="275">
        <v>3</v>
      </c>
      <c r="B10" s="267" t="s">
        <v>72</v>
      </c>
      <c r="E10" s="285"/>
      <c r="F10" s="285"/>
      <c r="G10" s="285"/>
      <c r="H10" s="283" t="str">
        <f>IF(E10=F10+G10," ","ERROR")</f>
        <v> </v>
      </c>
    </row>
    <row r="11" spans="1:8" ht="12" customHeight="1">
      <c r="A11" s="275">
        <v>4</v>
      </c>
      <c r="B11" s="267" t="s">
        <v>133</v>
      </c>
      <c r="E11" s="284">
        <f>SUM(E8:E10)</f>
        <v>0</v>
      </c>
      <c r="F11" s="284">
        <f>SUM(F8:F10)</f>
        <v>0</v>
      </c>
      <c r="G11" s="284">
        <f>SUM(G8:G10)</f>
        <v>0</v>
      </c>
      <c r="H11" s="283" t="str">
        <f>IF(E11=F11+G11," ","ERROR")</f>
        <v> </v>
      </c>
    </row>
    <row r="12" spans="1:8" ht="12" customHeight="1">
      <c r="A12" s="275"/>
      <c r="E12" s="284"/>
      <c r="F12" s="284"/>
      <c r="G12" s="284"/>
      <c r="H12" s="283"/>
    </row>
    <row r="13" spans="1:8" ht="12" customHeight="1">
      <c r="A13" s="275"/>
      <c r="B13" s="267" t="s">
        <v>74</v>
      </c>
      <c r="E13" s="284"/>
      <c r="F13" s="284"/>
      <c r="G13" s="284"/>
      <c r="H13" s="283"/>
    </row>
    <row r="14" spans="1:8" ht="12" customHeight="1">
      <c r="A14" s="275">
        <v>5</v>
      </c>
      <c r="B14" s="267" t="s">
        <v>134</v>
      </c>
      <c r="E14" s="284"/>
      <c r="F14" s="284"/>
      <c r="G14" s="284"/>
      <c r="H14" s="283" t="str">
        <f>IF(E14=F14+G14," ","ERROR")</f>
        <v> </v>
      </c>
    </row>
    <row r="15" spans="1:8" ht="12" customHeight="1">
      <c r="A15" s="275"/>
      <c r="B15" s="267" t="s">
        <v>76</v>
      </c>
      <c r="E15" s="284"/>
      <c r="F15" s="284"/>
      <c r="G15" s="284"/>
      <c r="H15" s="283"/>
    </row>
    <row r="16" spans="1:8" ht="12" customHeight="1">
      <c r="A16" s="275">
        <v>6</v>
      </c>
      <c r="B16" s="267" t="s">
        <v>135</v>
      </c>
      <c r="E16" s="284"/>
      <c r="F16" s="284"/>
      <c r="G16" s="284"/>
      <c r="H16" s="283" t="str">
        <f>IF(E16=F16+G16," ","ERROR")</f>
        <v> </v>
      </c>
    </row>
    <row r="17" spans="1:8" ht="12" customHeight="1">
      <c r="A17" s="275">
        <v>7</v>
      </c>
      <c r="B17" s="267" t="s">
        <v>136</v>
      </c>
      <c r="E17" s="284"/>
      <c r="F17" s="284"/>
      <c r="G17" s="284"/>
      <c r="H17" s="283" t="str">
        <f>IF(E17=F17+G17," ","ERROR")</f>
        <v> </v>
      </c>
    </row>
    <row r="18" spans="1:8" ht="12" customHeight="1">
      <c r="A18" s="275">
        <v>8</v>
      </c>
      <c r="B18" s="267" t="s">
        <v>137</v>
      </c>
      <c r="E18" s="285"/>
      <c r="F18" s="285"/>
      <c r="G18" s="285"/>
      <c r="H18" s="283" t="str">
        <f>IF(E18=F18+G18," ","ERROR")</f>
        <v> </v>
      </c>
    </row>
    <row r="19" spans="1:8" ht="12" customHeight="1">
      <c r="A19" s="275">
        <v>9</v>
      </c>
      <c r="B19" s="267" t="s">
        <v>138</v>
      </c>
      <c r="E19" s="284">
        <f>SUM(E16:E18)</f>
        <v>0</v>
      </c>
      <c r="F19" s="284">
        <f>SUM(F16:F18)</f>
        <v>0</v>
      </c>
      <c r="G19" s="284">
        <f>SUM(G16:G18)</f>
        <v>0</v>
      </c>
      <c r="H19" s="283" t="str">
        <f>IF(E19=F19+G19," ","ERROR")</f>
        <v> </v>
      </c>
    </row>
    <row r="20" spans="1:8" ht="12" customHeight="1">
      <c r="A20" s="275"/>
      <c r="B20" s="267" t="s">
        <v>81</v>
      </c>
      <c r="E20" s="284"/>
      <c r="F20" s="284"/>
      <c r="G20" s="284"/>
      <c r="H20" s="283"/>
    </row>
    <row r="21" spans="1:8" ht="12" customHeight="1">
      <c r="A21" s="275">
        <v>10</v>
      </c>
      <c r="B21" s="267" t="s">
        <v>139</v>
      </c>
      <c r="E21" s="284"/>
      <c r="F21" s="284"/>
      <c r="G21" s="284"/>
      <c r="H21" s="283" t="str">
        <f>IF(E21=F21+G21," ","ERROR")</f>
        <v> </v>
      </c>
    </row>
    <row r="22" spans="1:8" ht="12" customHeight="1">
      <c r="A22" s="275">
        <v>11</v>
      </c>
      <c r="B22" s="267" t="s">
        <v>140</v>
      </c>
      <c r="E22" s="284"/>
      <c r="F22" s="284"/>
      <c r="G22" s="284"/>
      <c r="H22" s="283" t="str">
        <f>IF(E22=F22+G22," ","ERROR")</f>
        <v> </v>
      </c>
    </row>
    <row r="23" spans="1:8" ht="12" customHeight="1">
      <c r="A23" s="275">
        <v>12</v>
      </c>
      <c r="B23" s="267" t="s">
        <v>141</v>
      </c>
      <c r="E23" s="285"/>
      <c r="F23" s="285"/>
      <c r="G23" s="285"/>
      <c r="H23" s="283" t="str">
        <f>IF(E23=F23+G23," ","ERROR")</f>
        <v> </v>
      </c>
    </row>
    <row r="24" spans="1:8" ht="12" customHeight="1">
      <c r="A24" s="275">
        <v>13</v>
      </c>
      <c r="B24" s="267" t="s">
        <v>142</v>
      </c>
      <c r="E24" s="284">
        <f>SUM(E21:E23)</f>
        <v>0</v>
      </c>
      <c r="F24" s="284">
        <f>SUM(F21:F23)</f>
        <v>0</v>
      </c>
      <c r="G24" s="284">
        <f>SUM(G21:G23)</f>
        <v>0</v>
      </c>
      <c r="H24" s="283" t="str">
        <f>IF(E24=F24+G24," ","ERROR")</f>
        <v> </v>
      </c>
    </row>
    <row r="25" spans="1:8" ht="12" customHeight="1">
      <c r="A25" s="275"/>
      <c r="B25" s="267" t="s">
        <v>85</v>
      </c>
      <c r="E25" s="284"/>
      <c r="F25" s="284"/>
      <c r="G25" s="284"/>
      <c r="H25" s="283"/>
    </row>
    <row r="26" spans="1:8" ht="12" customHeight="1">
      <c r="A26" s="275">
        <v>14</v>
      </c>
      <c r="B26" s="267" t="s">
        <v>139</v>
      </c>
      <c r="E26" s="284"/>
      <c r="F26" s="284"/>
      <c r="G26" s="284"/>
      <c r="H26" s="283" t="str">
        <f>IF(E26=F26+G26," ","ERROR")</f>
        <v> </v>
      </c>
    </row>
    <row r="27" spans="1:8" ht="12" customHeight="1">
      <c r="A27" s="275">
        <v>15</v>
      </c>
      <c r="B27" s="267" t="s">
        <v>140</v>
      </c>
      <c r="E27" s="284"/>
      <c r="F27" s="284"/>
      <c r="G27" s="284"/>
      <c r="H27" s="283" t="str">
        <f>IF(E27=F27+G27," ","ERROR")</f>
        <v> </v>
      </c>
    </row>
    <row r="28" spans="1:8" ht="12" customHeight="1">
      <c r="A28" s="275">
        <v>16</v>
      </c>
      <c r="B28" s="267" t="s">
        <v>141</v>
      </c>
      <c r="E28" s="285">
        <f>F28+G28</f>
        <v>0</v>
      </c>
      <c r="F28" s="285"/>
      <c r="G28" s="285">
        <f>F111</f>
        <v>0</v>
      </c>
      <c r="H28" s="283" t="str">
        <f>IF(E28=F28+G28," ","ERROR")</f>
        <v> </v>
      </c>
    </row>
    <row r="29" spans="1:8" ht="12" customHeight="1">
      <c r="A29" s="275">
        <v>17</v>
      </c>
      <c r="B29" s="267" t="s">
        <v>143</v>
      </c>
      <c r="E29" s="284">
        <f>SUM(E26:E28)</f>
        <v>0</v>
      </c>
      <c r="F29" s="284">
        <f>SUM(F26:F28)</f>
        <v>0</v>
      </c>
      <c r="G29" s="284">
        <f>SUM(G26:G28)</f>
        <v>0</v>
      </c>
      <c r="H29" s="283" t="str">
        <f>IF(E29=F29+G29," ","ERROR")</f>
        <v> </v>
      </c>
    </row>
    <row r="30" spans="1:8" ht="12" customHeight="1">
      <c r="A30" s="275"/>
      <c r="E30" s="284"/>
      <c r="F30" s="284"/>
      <c r="G30" s="284"/>
      <c r="H30" s="283"/>
    </row>
    <row r="31" spans="1:8" ht="12" customHeight="1">
      <c r="A31" s="275">
        <v>18</v>
      </c>
      <c r="B31" s="267" t="s">
        <v>87</v>
      </c>
      <c r="E31" s="284"/>
      <c r="F31" s="284"/>
      <c r="G31" s="284"/>
      <c r="H31" s="283" t="str">
        <f>IF(E31=F31+G31," ","ERROR")</f>
        <v> </v>
      </c>
    </row>
    <row r="32" spans="1:8" ht="12" customHeight="1">
      <c r="A32" s="275">
        <v>19</v>
      </c>
      <c r="B32" s="267" t="s">
        <v>88</v>
      </c>
      <c r="E32" s="284"/>
      <c r="F32" s="284"/>
      <c r="G32" s="284"/>
      <c r="H32" s="283" t="str">
        <f>IF(E32=F32+G32," ","ERROR")</f>
        <v> </v>
      </c>
    </row>
    <row r="33" spans="1:8" ht="12" customHeight="1">
      <c r="A33" s="275">
        <v>20</v>
      </c>
      <c r="B33" s="267" t="s">
        <v>144</v>
      </c>
      <c r="E33" s="284"/>
      <c r="F33" s="284"/>
      <c r="G33" s="284"/>
      <c r="H33" s="283" t="str">
        <f>IF(E33=F33+G33," ","ERROR")</f>
        <v> </v>
      </c>
    </row>
    <row r="34" spans="1:8" ht="12" customHeight="1">
      <c r="A34" s="275"/>
      <c r="B34" s="267" t="s">
        <v>145</v>
      </c>
      <c r="E34" s="284"/>
      <c r="F34" s="284"/>
      <c r="G34" s="284"/>
      <c r="H34" s="283"/>
    </row>
    <row r="35" spans="1:8" ht="12" customHeight="1">
      <c r="A35" s="275">
        <v>21</v>
      </c>
      <c r="B35" s="267" t="s">
        <v>139</v>
      </c>
      <c r="E35" s="284"/>
      <c r="F35" s="284"/>
      <c r="G35" s="284"/>
      <c r="H35" s="283" t="str">
        <f>IF(E35=F35+G35," ","ERROR")</f>
        <v> </v>
      </c>
    </row>
    <row r="36" spans="1:8" ht="12" customHeight="1">
      <c r="A36" s="275">
        <v>22</v>
      </c>
      <c r="B36" s="267" t="s">
        <v>140</v>
      </c>
      <c r="E36" s="284"/>
      <c r="F36" s="284"/>
      <c r="G36" s="284"/>
      <c r="H36" s="283" t="str">
        <f>IF(E36=F36+G36," ","ERROR")</f>
        <v> </v>
      </c>
    </row>
    <row r="37" spans="1:8" ht="12" customHeight="1">
      <c r="A37" s="275">
        <v>23</v>
      </c>
      <c r="B37" s="267" t="s">
        <v>141</v>
      </c>
      <c r="E37" s="285"/>
      <c r="F37" s="285"/>
      <c r="G37" s="285"/>
      <c r="H37" s="283" t="str">
        <f>IF(E37=F37+G37," ","ERROR")</f>
        <v> </v>
      </c>
    </row>
    <row r="38" spans="1:8" ht="12" customHeight="1">
      <c r="A38" s="275">
        <v>24</v>
      </c>
      <c r="B38" s="267" t="s">
        <v>146</v>
      </c>
      <c r="E38" s="285">
        <f>SUM(E35:E37)</f>
        <v>0</v>
      </c>
      <c r="F38" s="285">
        <f>SUM(F35:F37)</f>
        <v>0</v>
      </c>
      <c r="G38" s="285">
        <f>SUM(G35:G37)</f>
        <v>0</v>
      </c>
      <c r="H38" s="283" t="str">
        <f>IF(E38=F38+G38," ","ERROR")</f>
        <v> </v>
      </c>
    </row>
    <row r="39" spans="1:8" ht="12" customHeight="1">
      <c r="A39" s="275">
        <v>25</v>
      </c>
      <c r="B39" s="267" t="s">
        <v>92</v>
      </c>
      <c r="E39" s="285">
        <f>E19+E24+E29+E31+E32+E33+E38+E14</f>
        <v>0</v>
      </c>
      <c r="F39" s="285">
        <f>F19+F24+F29+F31+F32+F33+F38+F14</f>
        <v>0</v>
      </c>
      <c r="G39" s="285">
        <f>G19+G24+G29+G31+G32+G33+G38+G14</f>
        <v>0</v>
      </c>
      <c r="H39" s="283" t="str">
        <f>IF(E39=F39+G39," ","ERROR")</f>
        <v> </v>
      </c>
    </row>
    <row r="40" spans="1:8" ht="12" customHeight="1">
      <c r="A40" s="275"/>
      <c r="E40" s="284"/>
      <c r="F40" s="284"/>
      <c r="G40" s="284"/>
      <c r="H40" s="283"/>
    </row>
    <row r="41" spans="1:8" ht="12" customHeight="1">
      <c r="A41" s="275">
        <v>26</v>
      </c>
      <c r="B41" s="267" t="s">
        <v>147</v>
      </c>
      <c r="E41" s="284">
        <f>E11-E39</f>
        <v>0</v>
      </c>
      <c r="F41" s="284">
        <f>F11-F39</f>
        <v>0</v>
      </c>
      <c r="G41" s="284">
        <f>G11-G39</f>
        <v>0</v>
      </c>
      <c r="H41" s="283" t="str">
        <f>IF(E41=F41+G41," ","ERROR")</f>
        <v> </v>
      </c>
    </row>
    <row r="42" spans="1:8" ht="12" customHeight="1">
      <c r="A42" s="275"/>
      <c r="E42" s="284"/>
      <c r="F42" s="284"/>
      <c r="G42" s="284"/>
      <c r="H42" s="283"/>
    </row>
    <row r="43" spans="1:8" ht="12" customHeight="1">
      <c r="A43" s="275"/>
      <c r="B43" s="267" t="s">
        <v>148</v>
      </c>
      <c r="E43" s="284"/>
      <c r="F43" s="284"/>
      <c r="G43" s="284"/>
      <c r="H43" s="283"/>
    </row>
    <row r="44" spans="1:8" ht="12" customHeight="1">
      <c r="A44" s="275">
        <v>27</v>
      </c>
      <c r="B44" s="286" t="s">
        <v>163</v>
      </c>
      <c r="E44" s="284">
        <f>F44+G44</f>
        <v>0</v>
      </c>
      <c r="F44" s="284">
        <f>ROUND(F41*0.34,0)</f>
        <v>0</v>
      </c>
      <c r="G44" s="284">
        <f>ROUND(G41*0.34,0)</f>
        <v>0</v>
      </c>
      <c r="H44" s="283" t="str">
        <f>IF(E44=F44+G44," ","ERROR")</f>
        <v> </v>
      </c>
    </row>
    <row r="45" spans="1:8" ht="12" customHeight="1">
      <c r="A45" s="275">
        <v>28</v>
      </c>
      <c r="B45" s="267" t="s">
        <v>151</v>
      </c>
      <c r="E45" s="284"/>
      <c r="F45" s="284"/>
      <c r="G45" s="284"/>
      <c r="H45" s="283" t="str">
        <f>IF(E45=F45+G45," ","ERROR")</f>
        <v> </v>
      </c>
    </row>
    <row r="46" spans="1:8" ht="12" customHeight="1">
      <c r="A46" s="275">
        <v>29</v>
      </c>
      <c r="B46" s="267" t="s">
        <v>150</v>
      </c>
      <c r="E46" s="285"/>
      <c r="F46" s="285"/>
      <c r="G46" s="285"/>
      <c r="H46" s="283" t="str">
        <f>IF(E46=F46+G46," ","ERROR")</f>
        <v> </v>
      </c>
    </row>
    <row r="47" spans="1:8" ht="12" customHeight="1">
      <c r="A47" s="275"/>
      <c r="H47" s="283"/>
    </row>
    <row r="48" spans="1:8" ht="12" customHeight="1">
      <c r="A48" s="275">
        <v>30</v>
      </c>
      <c r="B48" s="289" t="s">
        <v>98</v>
      </c>
      <c r="E48" s="282">
        <f>E41-(+E44+E45+E46)</f>
        <v>0</v>
      </c>
      <c r="F48" s="282">
        <f>F41-F44+F45+F46</f>
        <v>0</v>
      </c>
      <c r="G48" s="282">
        <f>G41-SUM(G44:G46)</f>
        <v>0</v>
      </c>
      <c r="H48" s="283" t="str">
        <f>IF(E48=F48+G48," ","ERROR")</f>
        <v> </v>
      </c>
    </row>
    <row r="49" spans="1:8" ht="12" customHeight="1">
      <c r="A49" s="275"/>
      <c r="H49" s="283"/>
    </row>
    <row r="50" spans="1:8" ht="12" customHeight="1">
      <c r="A50" s="275"/>
      <c r="B50" s="286" t="s">
        <v>152</v>
      </c>
      <c r="H50" s="283"/>
    </row>
    <row r="51" spans="1:8" ht="12" customHeight="1">
      <c r="A51" s="275"/>
      <c r="B51" s="286" t="s">
        <v>153</v>
      </c>
      <c r="H51" s="283"/>
    </row>
    <row r="52" spans="1:8" ht="12" customHeight="1">
      <c r="A52" s="275">
        <v>31</v>
      </c>
      <c r="B52" s="267" t="s">
        <v>154</v>
      </c>
      <c r="E52" s="282"/>
      <c r="F52" s="282"/>
      <c r="G52" s="282"/>
      <c r="H52" s="283" t="str">
        <f aca="true" t="shared" si="0" ref="H52:H63">IF(E52=F52+G52," ","ERROR")</f>
        <v> </v>
      </c>
    </row>
    <row r="53" spans="1:8" ht="12" customHeight="1">
      <c r="A53" s="275">
        <v>32</v>
      </c>
      <c r="B53" s="267" t="s">
        <v>155</v>
      </c>
      <c r="E53" s="284"/>
      <c r="F53" s="284"/>
      <c r="G53" s="284"/>
      <c r="H53" s="283" t="str">
        <f t="shared" si="0"/>
        <v> </v>
      </c>
    </row>
    <row r="54" spans="1:8" ht="12" customHeight="1">
      <c r="A54" s="275">
        <v>33</v>
      </c>
      <c r="B54" s="267" t="s">
        <v>164</v>
      </c>
      <c r="E54" s="285"/>
      <c r="F54" s="285"/>
      <c r="G54" s="285"/>
      <c r="H54" s="283" t="str">
        <f t="shared" si="0"/>
        <v> </v>
      </c>
    </row>
    <row r="55" spans="1:8" ht="12" customHeight="1">
      <c r="A55" s="275">
        <v>34</v>
      </c>
      <c r="B55" s="267" t="s">
        <v>157</v>
      </c>
      <c r="E55" s="284">
        <f>SUM(E52:E54)</f>
        <v>0</v>
      </c>
      <c r="F55" s="284">
        <f>SUM(F52:F54)</f>
        <v>0</v>
      </c>
      <c r="G55" s="284">
        <f>SUM(G52:G54)</f>
        <v>0</v>
      </c>
      <c r="H55" s="283" t="str">
        <f t="shared" si="0"/>
        <v> </v>
      </c>
    </row>
    <row r="56" spans="1:8" ht="12" customHeight="1">
      <c r="A56" s="275"/>
      <c r="B56" s="267" t="s">
        <v>103</v>
      </c>
      <c r="E56" s="284"/>
      <c r="F56" s="284"/>
      <c r="G56" s="284"/>
      <c r="H56" s="283" t="str">
        <f t="shared" si="0"/>
        <v> </v>
      </c>
    </row>
    <row r="57" spans="1:8" ht="12" customHeight="1">
      <c r="A57" s="275">
        <v>35</v>
      </c>
      <c r="B57" s="267" t="s">
        <v>154</v>
      </c>
      <c r="E57" s="284"/>
      <c r="F57" s="284"/>
      <c r="G57" s="284"/>
      <c r="H57" s="283" t="str">
        <f t="shared" si="0"/>
        <v> </v>
      </c>
    </row>
    <row r="58" spans="1:8" ht="12" customHeight="1">
      <c r="A58" s="275">
        <v>36</v>
      </c>
      <c r="B58" s="267" t="s">
        <v>155</v>
      </c>
      <c r="E58" s="284"/>
      <c r="F58" s="284"/>
      <c r="G58" s="284"/>
      <c r="H58" s="283" t="str">
        <f t="shared" si="0"/>
        <v> </v>
      </c>
    </row>
    <row r="59" spans="1:8" ht="12" customHeight="1">
      <c r="A59" s="275">
        <v>37</v>
      </c>
      <c r="B59" s="267" t="s">
        <v>164</v>
      </c>
      <c r="E59" s="285"/>
      <c r="F59" s="285"/>
      <c r="G59" s="285"/>
      <c r="H59" s="283" t="str">
        <f t="shared" si="0"/>
        <v> </v>
      </c>
    </row>
    <row r="60" spans="1:8" ht="12" customHeight="1">
      <c r="A60" s="275">
        <v>38</v>
      </c>
      <c r="B60" s="267" t="s">
        <v>158</v>
      </c>
      <c r="E60" s="284">
        <f>SUM(E57:E59)</f>
        <v>0</v>
      </c>
      <c r="F60" s="284">
        <f>SUM(F57:F59)</f>
        <v>0</v>
      </c>
      <c r="G60" s="284">
        <f>SUM(G57:G59)</f>
        <v>0</v>
      </c>
      <c r="H60" s="283" t="str">
        <f t="shared" si="0"/>
        <v> </v>
      </c>
    </row>
    <row r="61" spans="1:8" ht="12" customHeight="1">
      <c r="A61" s="275">
        <v>39</v>
      </c>
      <c r="B61" s="286" t="s">
        <v>159</v>
      </c>
      <c r="E61" s="284">
        <f>F61+G61</f>
        <v>-11756</v>
      </c>
      <c r="F61" s="284">
        <v>0</v>
      </c>
      <c r="G61" s="284">
        <v>-11756</v>
      </c>
      <c r="H61" s="283" t="str">
        <f t="shared" si="0"/>
        <v> </v>
      </c>
    </row>
    <row r="62" spans="1:8" ht="12" customHeight="1">
      <c r="A62" s="275">
        <v>40</v>
      </c>
      <c r="B62" s="267" t="s">
        <v>106</v>
      </c>
      <c r="E62" s="284"/>
      <c r="F62" s="284"/>
      <c r="G62" s="284"/>
      <c r="H62" s="283" t="str">
        <f t="shared" si="0"/>
        <v> </v>
      </c>
    </row>
    <row r="63" spans="1:8" ht="12" customHeight="1">
      <c r="A63" s="275">
        <v>41</v>
      </c>
      <c r="B63" s="286" t="s">
        <v>107</v>
      </c>
      <c r="E63" s="285"/>
      <c r="F63" s="285"/>
      <c r="G63" s="285"/>
      <c r="H63" s="283" t="str">
        <f t="shared" si="0"/>
        <v> </v>
      </c>
    </row>
    <row r="64" spans="1:8" ht="12" customHeight="1">
      <c r="A64" s="275"/>
      <c r="B64" s="267" t="s">
        <v>160</v>
      </c>
      <c r="H64" s="283"/>
    </row>
    <row r="65" spans="1:8" ht="12" customHeight="1" thickBot="1">
      <c r="A65" s="275">
        <v>42</v>
      </c>
      <c r="B65" s="289" t="s">
        <v>108</v>
      </c>
      <c r="E65" s="290">
        <f>E55-E60+E61+E62+E63</f>
        <v>-11756</v>
      </c>
      <c r="F65" s="290">
        <f>F55-F60+F61+F62+F63</f>
        <v>0</v>
      </c>
      <c r="G65" s="290">
        <f>G55-G60+G61+G62+G63</f>
        <v>-11756</v>
      </c>
      <c r="H65" s="283" t="str">
        <f>IF(E65=F65+G65," ","ERROR")</f>
        <v> </v>
      </c>
    </row>
    <row r="66" spans="1:7" ht="12" customHeight="1" thickTop="1">
      <c r="A66" s="291"/>
      <c r="B66" s="291"/>
      <c r="C66" s="291"/>
      <c r="D66" s="292"/>
      <c r="E66" s="293"/>
      <c r="F66" s="294"/>
      <c r="G66" s="292"/>
    </row>
    <row r="67" spans="1:7" ht="12">
      <c r="A67" s="291"/>
      <c r="B67" s="291"/>
      <c r="C67" s="291"/>
      <c r="D67" s="292"/>
      <c r="E67" s="293"/>
      <c r="F67" s="294"/>
      <c r="G67" s="292"/>
    </row>
    <row r="68" spans="1:7" ht="12">
      <c r="A68" s="291"/>
      <c r="B68" s="291"/>
      <c r="C68" s="291"/>
      <c r="D68" s="292"/>
      <c r="E68" s="293"/>
      <c r="F68" s="295"/>
      <c r="G68" s="292"/>
    </row>
    <row r="69" spans="1:7" ht="12">
      <c r="A69" s="291"/>
      <c r="B69" s="291"/>
      <c r="C69" s="291"/>
      <c r="D69" s="292"/>
      <c r="E69" s="293"/>
      <c r="F69" s="295"/>
      <c r="G69" s="292"/>
    </row>
    <row r="70" spans="1:7" ht="12">
      <c r="A70" s="292"/>
      <c r="B70" s="292"/>
      <c r="C70" s="292"/>
      <c r="D70" s="292"/>
      <c r="E70" s="293"/>
      <c r="F70" s="295"/>
      <c r="G70" s="292"/>
    </row>
    <row r="71" spans="1:7" ht="12">
      <c r="A71" s="276"/>
      <c r="B71" s="292"/>
      <c r="C71" s="292"/>
      <c r="D71" s="292"/>
      <c r="E71" s="293"/>
      <c r="F71" s="295"/>
      <c r="G71" s="293"/>
    </row>
    <row r="72" spans="1:7" ht="12">
      <c r="A72" s="276"/>
      <c r="B72" s="291"/>
      <c r="C72" s="291"/>
      <c r="D72" s="292"/>
      <c r="E72" s="293"/>
      <c r="F72" s="295"/>
      <c r="G72" s="293"/>
    </row>
    <row r="73" spans="1:7" ht="12">
      <c r="A73" s="276"/>
      <c r="B73" s="292"/>
      <c r="C73" s="292"/>
      <c r="D73" s="292"/>
      <c r="E73" s="292"/>
      <c r="F73" s="294"/>
      <c r="G73" s="292"/>
    </row>
    <row r="74" spans="1:7" ht="12">
      <c r="A74" s="276"/>
      <c r="B74" s="292"/>
      <c r="C74" s="292"/>
      <c r="D74" s="292"/>
      <c r="E74" s="292"/>
      <c r="F74" s="296"/>
      <c r="G74" s="292"/>
    </row>
    <row r="75" spans="1:7" ht="12">
      <c r="A75" s="276"/>
      <c r="B75" s="292"/>
      <c r="C75" s="292"/>
      <c r="D75" s="292"/>
      <c r="E75" s="292"/>
      <c r="F75" s="297"/>
      <c r="G75" s="292"/>
    </row>
    <row r="76" spans="1:7" ht="12">
      <c r="A76" s="276"/>
      <c r="B76" s="292"/>
      <c r="C76" s="292"/>
      <c r="D76" s="292"/>
      <c r="E76" s="292"/>
      <c r="F76" s="297"/>
      <c r="G76" s="292"/>
    </row>
    <row r="77" spans="1:7" ht="12">
      <c r="A77" s="276"/>
      <c r="B77" s="292"/>
      <c r="C77" s="292"/>
      <c r="D77" s="292"/>
      <c r="E77" s="292"/>
      <c r="F77" s="297"/>
      <c r="G77" s="292"/>
    </row>
    <row r="78" spans="1:7" ht="12">
      <c r="A78" s="276"/>
      <c r="B78" s="292"/>
      <c r="C78" s="292"/>
      <c r="D78" s="292"/>
      <c r="E78" s="292"/>
      <c r="F78" s="297"/>
      <c r="G78" s="292"/>
    </row>
    <row r="79" spans="1:7" ht="12">
      <c r="A79" s="276"/>
      <c r="B79" s="292"/>
      <c r="C79" s="292"/>
      <c r="D79" s="292"/>
      <c r="E79" s="292"/>
      <c r="F79" s="297"/>
      <c r="G79" s="292"/>
    </row>
    <row r="80" spans="1:7" ht="12">
      <c r="A80" s="276"/>
      <c r="B80" s="292"/>
      <c r="C80" s="292"/>
      <c r="D80" s="292"/>
      <c r="E80" s="292"/>
      <c r="F80" s="297"/>
      <c r="G80" s="292"/>
    </row>
    <row r="81" spans="1:7" ht="12">
      <c r="A81" s="276"/>
      <c r="B81" s="292"/>
      <c r="C81" s="292"/>
      <c r="D81" s="292"/>
      <c r="E81" s="292"/>
      <c r="F81" s="297"/>
      <c r="G81" s="292"/>
    </row>
    <row r="82" spans="1:7" ht="12">
      <c r="A82" s="276"/>
      <c r="B82" s="292"/>
      <c r="C82" s="292"/>
      <c r="D82" s="292"/>
      <c r="E82" s="292"/>
      <c r="F82" s="297"/>
      <c r="G82" s="292"/>
    </row>
    <row r="83" spans="1:7" ht="12">
      <c r="A83" s="276"/>
      <c r="B83" s="292"/>
      <c r="C83" s="292"/>
      <c r="D83" s="292"/>
      <c r="E83" s="292"/>
      <c r="F83" s="297"/>
      <c r="G83" s="292"/>
    </row>
    <row r="84" spans="1:7" ht="12">
      <c r="A84" s="276"/>
      <c r="B84" s="292"/>
      <c r="C84" s="292"/>
      <c r="D84" s="292"/>
      <c r="E84" s="292"/>
      <c r="F84" s="297"/>
      <c r="G84" s="292"/>
    </row>
    <row r="85" spans="1:7" ht="12">
      <c r="A85" s="276"/>
      <c r="B85" s="292"/>
      <c r="C85" s="292"/>
      <c r="D85" s="292"/>
      <c r="E85" s="292"/>
      <c r="F85" s="297"/>
      <c r="G85" s="292"/>
    </row>
    <row r="86" spans="1:7" ht="12">
      <c r="A86" s="276"/>
      <c r="B86" s="292"/>
      <c r="C86" s="292"/>
      <c r="D86" s="292"/>
      <c r="E86" s="292"/>
      <c r="F86" s="297"/>
      <c r="G86" s="292"/>
    </row>
    <row r="87" spans="1:7" ht="12">
      <c r="A87" s="276"/>
      <c r="B87" s="292"/>
      <c r="C87" s="292"/>
      <c r="D87" s="292"/>
      <c r="E87" s="292"/>
      <c r="F87" s="297"/>
      <c r="G87" s="292"/>
    </row>
    <row r="88" spans="1:7" ht="12">
      <c r="A88" s="276"/>
      <c r="B88" s="292"/>
      <c r="C88" s="292"/>
      <c r="D88" s="292"/>
      <c r="E88" s="292"/>
      <c r="F88" s="297"/>
      <c r="G88" s="292"/>
    </row>
    <row r="89" spans="1:7" ht="12">
      <c r="A89" s="276"/>
      <c r="B89" s="292"/>
      <c r="C89" s="292"/>
      <c r="D89" s="292"/>
      <c r="E89" s="292"/>
      <c r="F89" s="297"/>
      <c r="G89" s="292"/>
    </row>
    <row r="90" spans="1:7" ht="12">
      <c r="A90" s="276"/>
      <c r="B90" s="292"/>
      <c r="C90" s="292"/>
      <c r="D90" s="292"/>
      <c r="E90" s="292"/>
      <c r="F90" s="297"/>
      <c r="G90" s="292"/>
    </row>
    <row r="91" spans="1:7" ht="12">
      <c r="A91" s="276"/>
      <c r="B91" s="292"/>
      <c r="C91" s="292"/>
      <c r="D91" s="292"/>
      <c r="E91" s="292"/>
      <c r="F91" s="297"/>
      <c r="G91" s="292"/>
    </row>
    <row r="92" spans="1:7" ht="12">
      <c r="A92" s="276"/>
      <c r="B92" s="292"/>
      <c r="C92" s="292"/>
      <c r="D92" s="292"/>
      <c r="E92" s="292"/>
      <c r="F92" s="297"/>
      <c r="G92" s="292"/>
    </row>
    <row r="93" spans="1:7" ht="12">
      <c r="A93" s="276"/>
      <c r="B93" s="292"/>
      <c r="C93" s="292"/>
      <c r="D93" s="292"/>
      <c r="E93" s="292"/>
      <c r="F93" s="297"/>
      <c r="G93" s="292"/>
    </row>
    <row r="94" spans="1:7" ht="12">
      <c r="A94" s="276"/>
      <c r="B94" s="292"/>
      <c r="C94" s="292"/>
      <c r="D94" s="292"/>
      <c r="E94" s="292"/>
      <c r="F94" s="297"/>
      <c r="G94" s="292"/>
    </row>
    <row r="95" spans="1:7" ht="12">
      <c r="A95" s="276"/>
      <c r="B95" s="292"/>
      <c r="C95" s="292"/>
      <c r="D95" s="292"/>
      <c r="E95" s="292"/>
      <c r="F95" s="297"/>
      <c r="G95" s="292"/>
    </row>
    <row r="96" spans="1:7" ht="12">
      <c r="A96" s="276"/>
      <c r="B96" s="292"/>
      <c r="C96" s="292"/>
      <c r="D96" s="292"/>
      <c r="E96" s="292"/>
      <c r="F96" s="297"/>
      <c r="G96" s="292"/>
    </row>
    <row r="97" spans="1:7" ht="12">
      <c r="A97" s="276"/>
      <c r="B97" s="292"/>
      <c r="C97" s="292"/>
      <c r="D97" s="292"/>
      <c r="E97" s="292"/>
      <c r="F97" s="297"/>
      <c r="G97" s="292"/>
    </row>
    <row r="98" spans="1:7" ht="12">
      <c r="A98" s="276"/>
      <c r="B98" s="292"/>
      <c r="C98" s="292"/>
      <c r="D98" s="292"/>
      <c r="E98" s="292"/>
      <c r="F98" s="297"/>
      <c r="G98" s="292"/>
    </row>
    <row r="99" spans="1:7" ht="12">
      <c r="A99" s="276"/>
      <c r="B99" s="292"/>
      <c r="C99" s="292"/>
      <c r="D99" s="292"/>
      <c r="E99" s="292"/>
      <c r="F99" s="297"/>
      <c r="G99" s="292"/>
    </row>
    <row r="100" spans="1:7" ht="12">
      <c r="A100" s="276"/>
      <c r="B100" s="292"/>
      <c r="C100" s="292"/>
      <c r="D100" s="292"/>
      <c r="E100" s="292"/>
      <c r="F100" s="297"/>
      <c r="G100" s="292"/>
    </row>
    <row r="101" spans="1:7" ht="12">
      <c r="A101" s="276"/>
      <c r="B101" s="292"/>
      <c r="C101" s="292"/>
      <c r="D101" s="292"/>
      <c r="E101" s="292"/>
      <c r="F101" s="297"/>
      <c r="G101" s="292"/>
    </row>
    <row r="102" spans="1:7" ht="12">
      <c r="A102" s="276"/>
      <c r="B102" s="292"/>
      <c r="C102" s="292"/>
      <c r="D102" s="292"/>
      <c r="E102" s="292"/>
      <c r="F102" s="297"/>
      <c r="G102" s="292"/>
    </row>
    <row r="103" spans="1:7" ht="12">
      <c r="A103" s="276"/>
      <c r="B103" s="292"/>
      <c r="C103" s="292"/>
      <c r="D103" s="292"/>
      <c r="E103" s="292"/>
      <c r="F103" s="297"/>
      <c r="G103" s="292"/>
    </row>
    <row r="104" spans="1:7" ht="12">
      <c r="A104" s="276"/>
      <c r="B104" s="292"/>
      <c r="C104" s="292"/>
      <c r="D104" s="292"/>
      <c r="E104" s="292"/>
      <c r="F104" s="297"/>
      <c r="G104" s="292"/>
    </row>
    <row r="105" spans="1:7" ht="12">
      <c r="A105" s="276"/>
      <c r="B105" s="292"/>
      <c r="C105" s="292"/>
      <c r="D105" s="292"/>
      <c r="E105" s="292"/>
      <c r="F105" s="297"/>
      <c r="G105" s="292"/>
    </row>
    <row r="106" spans="1:7" ht="12">
      <c r="A106" s="276"/>
      <c r="B106" s="292"/>
      <c r="C106" s="292"/>
      <c r="D106" s="292"/>
      <c r="E106" s="292"/>
      <c r="F106" s="297"/>
      <c r="G106" s="292"/>
    </row>
    <row r="107" spans="1:7" ht="12">
      <c r="A107" s="276"/>
      <c r="B107" s="292"/>
      <c r="C107" s="292"/>
      <c r="D107" s="292"/>
      <c r="E107" s="292"/>
      <c r="F107" s="297"/>
      <c r="G107" s="292"/>
    </row>
    <row r="108" spans="1:7" ht="12">
      <c r="A108" s="276"/>
      <c r="B108" s="292"/>
      <c r="C108" s="292"/>
      <c r="D108" s="292"/>
      <c r="E108" s="292"/>
      <c r="F108" s="297"/>
      <c r="G108" s="292"/>
    </row>
    <row r="109" spans="1:7" ht="12">
      <c r="A109" s="276"/>
      <c r="B109" s="292"/>
      <c r="C109" s="292"/>
      <c r="D109" s="292"/>
      <c r="E109" s="292"/>
      <c r="F109" s="294"/>
      <c r="G109" s="292"/>
    </row>
    <row r="110" spans="1:7" ht="12">
      <c r="A110" s="276"/>
      <c r="B110" s="292"/>
      <c r="C110" s="292"/>
      <c r="D110" s="292"/>
      <c r="E110" s="293"/>
      <c r="F110" s="294"/>
      <c r="G110" s="292"/>
    </row>
    <row r="111" spans="1:7" ht="12">
      <c r="A111" s="276"/>
      <c r="B111" s="298"/>
      <c r="C111" s="299"/>
      <c r="D111" s="292"/>
      <c r="E111" s="293"/>
      <c r="F111" s="296"/>
      <c r="G111" s="292"/>
    </row>
    <row r="112" spans="1:7" ht="12">
      <c r="A112" s="276"/>
      <c r="B112" s="292"/>
      <c r="C112" s="292"/>
      <c r="D112" s="292"/>
      <c r="E112" s="293"/>
      <c r="F112" s="294"/>
      <c r="G112" s="292"/>
    </row>
  </sheetData>
  <printOptions/>
  <pageMargins left="1" right="0.75" top="0.5" bottom="0.5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35">
      <selection activeCell="G63" sqref="G63"/>
    </sheetView>
  </sheetViews>
  <sheetFormatPr defaultColWidth="9.140625" defaultRowHeight="10.5" customHeight="1"/>
  <cols>
    <col min="1" max="1" width="5.57421875" style="104" customWidth="1"/>
    <col min="2" max="2" width="26.140625" style="104" customWidth="1"/>
    <col min="3" max="3" width="12.421875" style="104" customWidth="1"/>
    <col min="4" max="4" width="6.7109375" style="104" customWidth="1"/>
    <col min="5" max="5" width="12.421875" style="121" customWidth="1"/>
    <col min="6" max="6" width="12.421875" style="122" customWidth="1"/>
    <col min="7" max="7" width="12.421875" style="121" customWidth="1"/>
    <col min="8" max="16384" width="12.421875" style="104" customWidth="1"/>
  </cols>
  <sheetData>
    <row r="1" spans="1:7" ht="12">
      <c r="A1" s="101" t="str">
        <f>Inputs!$D$6</f>
        <v>AVISTA UTILITIES</v>
      </c>
      <c r="B1" s="101"/>
      <c r="C1" s="101"/>
      <c r="D1" s="101"/>
      <c r="E1" s="102"/>
      <c r="F1" s="103"/>
      <c r="G1" s="102"/>
    </row>
    <row r="2" spans="1:7" ht="12">
      <c r="A2" s="101" t="s">
        <v>122</v>
      </c>
      <c r="B2" s="101"/>
      <c r="C2" s="101"/>
      <c r="D2" s="101"/>
      <c r="E2" s="102"/>
      <c r="F2" s="105" t="s">
        <v>166</v>
      </c>
      <c r="G2" s="102"/>
    </row>
    <row r="3" spans="1:7" ht="12">
      <c r="A3" s="101" t="str">
        <f>Inputs!$D$2</f>
        <v>TWELVE MONTHS ENDED DECEMBER 31, 2004</v>
      </c>
      <c r="B3" s="101"/>
      <c r="C3" s="101"/>
      <c r="D3" s="101"/>
      <c r="E3" s="102"/>
      <c r="F3" s="105" t="s">
        <v>167</v>
      </c>
      <c r="G3" s="104"/>
    </row>
    <row r="4" spans="1:7" ht="12">
      <c r="A4" s="101" t="s">
        <v>125</v>
      </c>
      <c r="B4" s="101"/>
      <c r="C4" s="101"/>
      <c r="D4" s="101"/>
      <c r="E4" s="106"/>
      <c r="F4" s="107" t="s">
        <v>126</v>
      </c>
      <c r="G4" s="106"/>
    </row>
    <row r="5" spans="1:7" ht="12">
      <c r="A5" s="108" t="s">
        <v>11</v>
      </c>
      <c r="E5" s="102"/>
      <c r="F5" s="105"/>
      <c r="G5" s="102"/>
    </row>
    <row r="6" spans="1:8" ht="12">
      <c r="A6" s="109" t="s">
        <v>29</v>
      </c>
      <c r="B6" s="110" t="s">
        <v>114</v>
      </c>
      <c r="C6" s="110"/>
      <c r="E6" s="111" t="s">
        <v>127</v>
      </c>
      <c r="F6" s="112" t="s">
        <v>128</v>
      </c>
      <c r="G6" s="111" t="s">
        <v>129</v>
      </c>
      <c r="H6" s="113" t="s">
        <v>130</v>
      </c>
    </row>
    <row r="7" spans="1:7" ht="12">
      <c r="A7" s="108"/>
      <c r="B7" s="104" t="s">
        <v>69</v>
      </c>
      <c r="E7" s="114"/>
      <c r="F7" s="105"/>
      <c r="G7" s="114"/>
    </row>
    <row r="8" spans="1:8" ht="12">
      <c r="A8" s="108">
        <v>1</v>
      </c>
      <c r="B8" s="104" t="s">
        <v>131</v>
      </c>
      <c r="E8" s="115"/>
      <c r="F8" s="115"/>
      <c r="G8" s="115"/>
      <c r="H8" s="116" t="str">
        <f>IF(E8=F8+G8," ","ERROR")</f>
        <v> </v>
      </c>
    </row>
    <row r="9" spans="1:8" ht="12">
      <c r="A9" s="108">
        <v>2</v>
      </c>
      <c r="B9" s="104" t="s">
        <v>132</v>
      </c>
      <c r="E9" s="117"/>
      <c r="F9" s="117"/>
      <c r="G9" s="117"/>
      <c r="H9" s="116" t="str">
        <f>IF(E9=F9+G9," ","ERROR")</f>
        <v> </v>
      </c>
    </row>
    <row r="10" spans="1:8" ht="12">
      <c r="A10" s="108">
        <v>3</v>
      </c>
      <c r="B10" s="104" t="s">
        <v>72</v>
      </c>
      <c r="E10" s="118"/>
      <c r="F10" s="118"/>
      <c r="G10" s="118"/>
      <c r="H10" s="116" t="str">
        <f>IF(E10=F10+G10," ","ERROR")</f>
        <v> </v>
      </c>
    </row>
    <row r="11" spans="1:8" ht="12">
      <c r="A11" s="108">
        <v>4</v>
      </c>
      <c r="B11" s="104" t="s">
        <v>133</v>
      </c>
      <c r="E11" s="117">
        <f>SUM(E8:E10)</f>
        <v>0</v>
      </c>
      <c r="F11" s="117">
        <f>SUM(F8:F10)</f>
        <v>0</v>
      </c>
      <c r="G11" s="117">
        <f>SUM(G8:G10)</f>
        <v>0</v>
      </c>
      <c r="H11" s="116" t="str">
        <f>IF(E11=F11+G11," ","ERROR")</f>
        <v> </v>
      </c>
    </row>
    <row r="12" spans="1:8" ht="12">
      <c r="A12" s="108"/>
      <c r="E12" s="117"/>
      <c r="F12" s="117"/>
      <c r="G12" s="117"/>
      <c r="H12" s="116"/>
    </row>
    <row r="13" spans="1:8" ht="12">
      <c r="A13" s="108"/>
      <c r="B13" s="104" t="s">
        <v>74</v>
      </c>
      <c r="E13" s="117"/>
      <c r="F13" s="117"/>
      <c r="G13" s="117"/>
      <c r="H13" s="116"/>
    </row>
    <row r="14" spans="1:8" ht="12">
      <c r="A14" s="108">
        <v>5</v>
      </c>
      <c r="B14" s="104" t="s">
        <v>134</v>
      </c>
      <c r="E14" s="117"/>
      <c r="F14" s="117"/>
      <c r="G14" s="117"/>
      <c r="H14" s="116" t="str">
        <f>IF(E14=F14+G14," ","ERROR")</f>
        <v> </v>
      </c>
    </row>
    <row r="15" spans="1:8" ht="12">
      <c r="A15" s="108"/>
      <c r="B15" s="104" t="s">
        <v>76</v>
      </c>
      <c r="E15" s="117"/>
      <c r="F15" s="117"/>
      <c r="G15" s="117"/>
      <c r="H15" s="116"/>
    </row>
    <row r="16" spans="1:8" ht="12">
      <c r="A16" s="108">
        <v>6</v>
      </c>
      <c r="B16" s="104" t="s">
        <v>135</v>
      </c>
      <c r="E16" s="117"/>
      <c r="F16" s="117"/>
      <c r="G16" s="117"/>
      <c r="H16" s="116" t="str">
        <f>IF(E16=F16+G16," ","ERROR")</f>
        <v> </v>
      </c>
    </row>
    <row r="17" spans="1:8" ht="12">
      <c r="A17" s="108">
        <v>7</v>
      </c>
      <c r="B17" s="104" t="s">
        <v>136</v>
      </c>
      <c r="E17" s="117"/>
      <c r="F17" s="117"/>
      <c r="G17" s="117"/>
      <c r="H17" s="116" t="str">
        <f>IF(E17=F17+G17," ","ERROR")</f>
        <v> </v>
      </c>
    </row>
    <row r="18" spans="1:8" ht="12">
      <c r="A18" s="108">
        <v>8</v>
      </c>
      <c r="B18" s="104" t="s">
        <v>137</v>
      </c>
      <c r="E18" s="118"/>
      <c r="F18" s="118"/>
      <c r="G18" s="118"/>
      <c r="H18" s="116" t="str">
        <f>IF(E18=F18+G18," ","ERROR")</f>
        <v> </v>
      </c>
    </row>
    <row r="19" spans="1:8" ht="12">
      <c r="A19" s="108">
        <v>9</v>
      </c>
      <c r="B19" s="104" t="s">
        <v>138</v>
      </c>
      <c r="E19" s="117">
        <f>SUM(E16:E18)</f>
        <v>0</v>
      </c>
      <c r="F19" s="117">
        <f>SUM(F16:F18)</f>
        <v>0</v>
      </c>
      <c r="G19" s="117">
        <f>SUM(G16:G18)</f>
        <v>0</v>
      </c>
      <c r="H19" s="116" t="str">
        <f>IF(E19=F19+G19," ","ERROR")</f>
        <v> </v>
      </c>
    </row>
    <row r="20" spans="1:8" ht="12">
      <c r="A20" s="108"/>
      <c r="B20" s="104" t="s">
        <v>81</v>
      </c>
      <c r="E20" s="117"/>
      <c r="F20" s="117"/>
      <c r="G20" s="117"/>
      <c r="H20" s="116"/>
    </row>
    <row r="21" spans="1:8" ht="12">
      <c r="A21" s="108">
        <v>10</v>
      </c>
      <c r="B21" s="104" t="s">
        <v>139</v>
      </c>
      <c r="E21" s="117"/>
      <c r="F21" s="117"/>
      <c r="G21" s="117"/>
      <c r="H21" s="116" t="str">
        <f>IF(E21=F21+G21," ","ERROR")</f>
        <v> </v>
      </c>
    </row>
    <row r="22" spans="1:8" ht="12">
      <c r="A22" s="108">
        <v>11</v>
      </c>
      <c r="B22" s="104" t="s">
        <v>140</v>
      </c>
      <c r="E22" s="117"/>
      <c r="F22" s="117"/>
      <c r="G22" s="117"/>
      <c r="H22" s="116" t="str">
        <f>IF(E22=F22+G22," ","ERROR")</f>
        <v> </v>
      </c>
    </row>
    <row r="23" spans="1:8" ht="12">
      <c r="A23" s="108">
        <v>12</v>
      </c>
      <c r="B23" s="104" t="s">
        <v>141</v>
      </c>
      <c r="E23" s="118"/>
      <c r="F23" s="118"/>
      <c r="G23" s="118"/>
      <c r="H23" s="116" t="str">
        <f>IF(E23=F23+G23," ","ERROR")</f>
        <v> </v>
      </c>
    </row>
    <row r="24" spans="1:8" ht="12">
      <c r="A24" s="108">
        <v>13</v>
      </c>
      <c r="B24" s="104" t="s">
        <v>142</v>
      </c>
      <c r="E24" s="117">
        <f>SUM(E21:E23)</f>
        <v>0</v>
      </c>
      <c r="F24" s="117">
        <f>SUM(F21:F23)</f>
        <v>0</v>
      </c>
      <c r="G24" s="117">
        <f>SUM(G21:G23)</f>
        <v>0</v>
      </c>
      <c r="H24" s="116" t="str">
        <f>IF(E24=F24+G24," ","ERROR")</f>
        <v> </v>
      </c>
    </row>
    <row r="25" spans="1:8" ht="12">
      <c r="A25" s="108"/>
      <c r="B25" s="104" t="s">
        <v>85</v>
      </c>
      <c r="E25" s="117"/>
      <c r="F25" s="117"/>
      <c r="G25" s="117"/>
      <c r="H25" s="116"/>
    </row>
    <row r="26" spans="1:8" ht="12">
      <c r="A26" s="108">
        <v>14</v>
      </c>
      <c r="B26" s="104" t="s">
        <v>139</v>
      </c>
      <c r="E26" s="117"/>
      <c r="F26" s="117"/>
      <c r="G26" s="117"/>
      <c r="H26" s="116" t="str">
        <f>IF(E26=F26+G26," ","ERROR")</f>
        <v> </v>
      </c>
    </row>
    <row r="27" spans="1:8" ht="12">
      <c r="A27" s="108">
        <v>15</v>
      </c>
      <c r="B27" s="104" t="s">
        <v>140</v>
      </c>
      <c r="E27" s="117"/>
      <c r="F27" s="117"/>
      <c r="G27" s="117"/>
      <c r="H27" s="116" t="str">
        <f>IF(E27=F27+G27," ","ERROR")</f>
        <v> </v>
      </c>
    </row>
    <row r="28" spans="1:8" ht="12">
      <c r="A28" s="108">
        <v>16</v>
      </c>
      <c r="B28" s="104" t="s">
        <v>141</v>
      </c>
      <c r="E28" s="118">
        <f>F28+G28</f>
        <v>0</v>
      </c>
      <c r="F28" s="118"/>
      <c r="G28" s="118"/>
      <c r="H28" s="116" t="str">
        <f>IF(E28=F28+G28," ","ERROR")</f>
        <v> </v>
      </c>
    </row>
    <row r="29" spans="1:8" ht="12">
      <c r="A29" s="108">
        <v>17</v>
      </c>
      <c r="B29" s="104" t="s">
        <v>143</v>
      </c>
      <c r="E29" s="117">
        <f>SUM(E26:E28)</f>
        <v>0</v>
      </c>
      <c r="F29" s="117">
        <f>SUM(F26:F28)</f>
        <v>0</v>
      </c>
      <c r="G29" s="117">
        <f>SUM(G26:G28)</f>
        <v>0</v>
      </c>
      <c r="H29" s="116" t="str">
        <f>IF(E29=F29+G29," ","ERROR")</f>
        <v> </v>
      </c>
    </row>
    <row r="30" spans="1:8" ht="12">
      <c r="A30" s="108"/>
      <c r="E30" s="117"/>
      <c r="F30" s="117"/>
      <c r="G30" s="117"/>
      <c r="H30" s="116"/>
    </row>
    <row r="31" spans="1:8" ht="12">
      <c r="A31" s="108">
        <v>18</v>
      </c>
      <c r="B31" s="104" t="s">
        <v>87</v>
      </c>
      <c r="E31" s="117"/>
      <c r="F31" s="117"/>
      <c r="G31" s="117"/>
      <c r="H31" s="116" t="str">
        <f>IF(E31=F31+G31," ","ERROR")</f>
        <v> </v>
      </c>
    </row>
    <row r="32" spans="1:8" ht="12">
      <c r="A32" s="108">
        <v>19</v>
      </c>
      <c r="B32" s="104" t="s">
        <v>88</v>
      </c>
      <c r="E32" s="117"/>
      <c r="F32" s="117"/>
      <c r="G32" s="117"/>
      <c r="H32" s="116" t="str">
        <f>IF(E32=F32+G32," ","ERROR")</f>
        <v> </v>
      </c>
    </row>
    <row r="33" spans="1:8" ht="12">
      <c r="A33" s="108">
        <v>20</v>
      </c>
      <c r="B33" s="104" t="s">
        <v>144</v>
      </c>
      <c r="E33" s="117"/>
      <c r="F33" s="117"/>
      <c r="G33" s="117"/>
      <c r="H33" s="116" t="str">
        <f>IF(E33=F33+G33," ","ERROR")</f>
        <v> </v>
      </c>
    </row>
    <row r="34" spans="1:8" ht="12">
      <c r="A34" s="108"/>
      <c r="B34" s="104" t="s">
        <v>145</v>
      </c>
      <c r="E34" s="117"/>
      <c r="F34" s="117"/>
      <c r="G34" s="117"/>
      <c r="H34" s="116"/>
    </row>
    <row r="35" spans="1:8" ht="12">
      <c r="A35" s="108">
        <v>21</v>
      </c>
      <c r="B35" s="104" t="s">
        <v>139</v>
      </c>
      <c r="E35" s="117"/>
      <c r="F35" s="117"/>
      <c r="G35" s="117"/>
      <c r="H35" s="116" t="str">
        <f>IF(E35=F35+G35," ","ERROR")</f>
        <v> </v>
      </c>
    </row>
    <row r="36" spans="1:8" ht="12">
      <c r="A36" s="108">
        <v>22</v>
      </c>
      <c r="B36" s="104" t="s">
        <v>140</v>
      </c>
      <c r="E36" s="117"/>
      <c r="F36" s="117"/>
      <c r="G36" s="117"/>
      <c r="H36" s="116" t="str">
        <f>IF(E36=F36+G36," ","ERROR")</f>
        <v> </v>
      </c>
    </row>
    <row r="37" spans="1:8" ht="12">
      <c r="A37" s="108">
        <v>23</v>
      </c>
      <c r="B37" s="104" t="s">
        <v>141</v>
      </c>
      <c r="E37" s="118"/>
      <c r="F37" s="118"/>
      <c r="G37" s="118"/>
      <c r="H37" s="116" t="str">
        <f>IF(E37=F37+G37," ","ERROR")</f>
        <v> </v>
      </c>
    </row>
    <row r="38" spans="1:8" ht="12">
      <c r="A38" s="108">
        <v>24</v>
      </c>
      <c r="B38" s="104" t="s">
        <v>146</v>
      </c>
      <c r="E38" s="118">
        <f>SUM(E35:E37)</f>
        <v>0</v>
      </c>
      <c r="F38" s="118">
        <f>SUM(F35:F37)</f>
        <v>0</v>
      </c>
      <c r="G38" s="118">
        <f>SUM(G35:G37)</f>
        <v>0</v>
      </c>
      <c r="H38" s="116" t="str">
        <f>IF(E38=F38+G38," ","ERROR")</f>
        <v> </v>
      </c>
    </row>
    <row r="39" spans="1:8" ht="12">
      <c r="A39" s="108">
        <v>25</v>
      </c>
      <c r="B39" s="104" t="s">
        <v>92</v>
      </c>
      <c r="E39" s="118">
        <f>E19+E24+E29+E31+E32+E33+E38+E14</f>
        <v>0</v>
      </c>
      <c r="F39" s="118">
        <f>F19+F24+F29+F31+F32+F33+F38+F14</f>
        <v>0</v>
      </c>
      <c r="G39" s="118">
        <f>G19+G24+G29+G31+G32+G33+G38+G14</f>
        <v>0</v>
      </c>
      <c r="H39" s="116" t="str">
        <f>IF(E39=F39+G39," ","ERROR")</f>
        <v> </v>
      </c>
    </row>
    <row r="40" spans="1:8" ht="12">
      <c r="A40" s="108"/>
      <c r="E40" s="117"/>
      <c r="F40" s="117"/>
      <c r="G40" s="117"/>
      <c r="H40" s="116"/>
    </row>
    <row r="41" spans="1:8" ht="12">
      <c r="A41" s="108">
        <v>26</v>
      </c>
      <c r="B41" s="104" t="s">
        <v>147</v>
      </c>
      <c r="E41" s="117">
        <f>E11-E39</f>
        <v>0</v>
      </c>
      <c r="F41" s="117">
        <f>F11-F39</f>
        <v>0</v>
      </c>
      <c r="G41" s="117">
        <f>G11-G39</f>
        <v>0</v>
      </c>
      <c r="H41" s="116" t="str">
        <f>IF(E41=F41+G41," ","ERROR")</f>
        <v> </v>
      </c>
    </row>
    <row r="42" spans="1:8" ht="12">
      <c r="A42" s="108"/>
      <c r="E42" s="117"/>
      <c r="F42" s="117"/>
      <c r="G42" s="117"/>
      <c r="H42" s="116"/>
    </row>
    <row r="43" spans="1:8" ht="12">
      <c r="A43" s="108"/>
      <c r="B43" s="104" t="s">
        <v>148</v>
      </c>
      <c r="E43" s="117"/>
      <c r="F43" s="117"/>
      <c r="G43" s="117"/>
      <c r="H43" s="116"/>
    </row>
    <row r="44" spans="1:8" ht="12">
      <c r="A44" s="108">
        <v>27</v>
      </c>
      <c r="B44" s="119" t="s">
        <v>149</v>
      </c>
      <c r="D44" s="120">
        <v>0.35</v>
      </c>
      <c r="E44" s="117">
        <f>F44+G44</f>
        <v>0</v>
      </c>
      <c r="F44" s="117">
        <f>ROUND(F41*D44,0)</f>
        <v>0</v>
      </c>
      <c r="G44" s="117">
        <f>ROUND(G41*D44,0)</f>
        <v>0</v>
      </c>
      <c r="H44" s="116" t="str">
        <f>IF(E44=F44+G44," ","ERROR")</f>
        <v> </v>
      </c>
    </row>
    <row r="45" spans="1:8" ht="12">
      <c r="A45" s="108">
        <v>28</v>
      </c>
      <c r="B45" s="104" t="s">
        <v>151</v>
      </c>
      <c r="E45" s="117"/>
      <c r="F45" s="117"/>
      <c r="G45" s="117"/>
      <c r="H45" s="116" t="str">
        <f>IF(E45=F45+G45," ","ERROR")</f>
        <v> </v>
      </c>
    </row>
    <row r="46" spans="1:8" ht="12">
      <c r="A46" s="108">
        <v>29</v>
      </c>
      <c r="B46" s="104" t="s">
        <v>150</v>
      </c>
      <c r="E46" s="118"/>
      <c r="F46" s="118"/>
      <c r="G46" s="118"/>
      <c r="H46" s="116" t="str">
        <f>IF(E46=F46+G46," ","ERROR")</f>
        <v> </v>
      </c>
    </row>
    <row r="47" spans="1:8" ht="12">
      <c r="A47" s="108"/>
      <c r="H47" s="116"/>
    </row>
    <row r="48" spans="1:8" ht="12.75" thickBot="1">
      <c r="A48" s="108">
        <v>30</v>
      </c>
      <c r="B48" s="123" t="s">
        <v>98</v>
      </c>
      <c r="E48" s="124">
        <f>E41-(+E44+E45+E46)</f>
        <v>0</v>
      </c>
      <c r="F48" s="124">
        <f>F41-F44+F45+F46</f>
        <v>0</v>
      </c>
      <c r="G48" s="124">
        <f>G41-SUM(G44:G46)</f>
        <v>0</v>
      </c>
      <c r="H48" s="116" t="str">
        <f>IF(E48=F48+G48," ","ERROR")</f>
        <v> </v>
      </c>
    </row>
    <row r="49" spans="1:8" ht="12.75" thickTop="1">
      <c r="A49" s="108"/>
      <c r="H49" s="116"/>
    </row>
    <row r="50" spans="1:8" ht="12">
      <c r="A50" s="108"/>
      <c r="B50" s="119" t="s">
        <v>152</v>
      </c>
      <c r="H50" s="116"/>
    </row>
    <row r="51" spans="1:8" ht="12">
      <c r="A51" s="108"/>
      <c r="B51" s="119" t="s">
        <v>153</v>
      </c>
      <c r="H51" s="116"/>
    </row>
    <row r="52" spans="1:8" ht="12">
      <c r="A52" s="108">
        <v>31</v>
      </c>
      <c r="B52" s="104" t="s">
        <v>154</v>
      </c>
      <c r="E52" s="115"/>
      <c r="F52" s="115"/>
      <c r="G52" s="115"/>
      <c r="H52" s="116" t="str">
        <f aca="true" t="shared" si="0" ref="H52:H63">IF(E52=F52+G52," ","ERROR")</f>
        <v> </v>
      </c>
    </row>
    <row r="53" spans="1:8" ht="12">
      <c r="A53" s="108">
        <v>32</v>
      </c>
      <c r="B53" s="104" t="s">
        <v>155</v>
      </c>
      <c r="E53" s="117"/>
      <c r="F53" s="117"/>
      <c r="G53" s="117"/>
      <c r="H53" s="116" t="str">
        <f t="shared" si="0"/>
        <v> </v>
      </c>
    </row>
    <row r="54" spans="1:8" ht="12">
      <c r="A54" s="108">
        <v>33</v>
      </c>
      <c r="B54" s="104" t="s">
        <v>164</v>
      </c>
      <c r="E54" s="118"/>
      <c r="F54" s="118"/>
      <c r="G54" s="118"/>
      <c r="H54" s="116" t="str">
        <f t="shared" si="0"/>
        <v> </v>
      </c>
    </row>
    <row r="55" spans="1:8" ht="12">
      <c r="A55" s="108">
        <v>34</v>
      </c>
      <c r="B55" s="104" t="s">
        <v>157</v>
      </c>
      <c r="E55" s="117">
        <f>SUM(E52:E54)</f>
        <v>0</v>
      </c>
      <c r="F55" s="117">
        <f>SUM(F52:F54)</f>
        <v>0</v>
      </c>
      <c r="G55" s="117">
        <f>SUM(G52:G54)</f>
        <v>0</v>
      </c>
      <c r="H55" s="116" t="str">
        <f t="shared" si="0"/>
        <v> </v>
      </c>
    </row>
    <row r="56" spans="1:8" ht="12">
      <c r="A56" s="108"/>
      <c r="B56" s="104" t="s">
        <v>103</v>
      </c>
      <c r="E56" s="117"/>
      <c r="F56" s="117"/>
      <c r="G56" s="117"/>
      <c r="H56" s="116" t="str">
        <f t="shared" si="0"/>
        <v> </v>
      </c>
    </row>
    <row r="57" spans="1:8" ht="12" customHeight="1">
      <c r="A57" s="108">
        <v>35</v>
      </c>
      <c r="B57" s="104" t="s">
        <v>154</v>
      </c>
      <c r="E57" s="117"/>
      <c r="F57" s="117"/>
      <c r="G57" s="117"/>
      <c r="H57" s="116" t="str">
        <f t="shared" si="0"/>
        <v> </v>
      </c>
    </row>
    <row r="58" spans="1:8" ht="12">
      <c r="A58" s="108">
        <v>36</v>
      </c>
      <c r="B58" s="104" t="s">
        <v>155</v>
      </c>
      <c r="E58" s="117"/>
      <c r="F58" s="117"/>
      <c r="G58" s="117"/>
      <c r="H58" s="116" t="str">
        <f t="shared" si="0"/>
        <v> </v>
      </c>
    </row>
    <row r="59" spans="1:8" ht="12">
      <c r="A59" s="108">
        <v>37</v>
      </c>
      <c r="B59" s="104" t="s">
        <v>164</v>
      </c>
      <c r="E59" s="118"/>
      <c r="F59" s="118"/>
      <c r="G59" s="118"/>
      <c r="H59" s="116" t="str">
        <f t="shared" si="0"/>
        <v> </v>
      </c>
    </row>
    <row r="60" spans="1:8" ht="12">
      <c r="A60" s="108">
        <v>38</v>
      </c>
      <c r="B60" s="104" t="s">
        <v>158</v>
      </c>
      <c r="E60" s="117">
        <f>SUM(E57:E59)</f>
        <v>0</v>
      </c>
      <c r="F60" s="117">
        <f>SUM(F57:F59)</f>
        <v>0</v>
      </c>
      <c r="G60" s="117">
        <f>SUM(G57:G59)</f>
        <v>0</v>
      </c>
      <c r="H60" s="116" t="str">
        <f t="shared" si="0"/>
        <v> </v>
      </c>
    </row>
    <row r="61" spans="1:8" ht="12">
      <c r="A61" s="108">
        <v>39</v>
      </c>
      <c r="B61" s="119" t="s">
        <v>159</v>
      </c>
      <c r="E61" s="117">
        <f>SUM(F61:G61)</f>
        <v>85</v>
      </c>
      <c r="F61" s="117">
        <v>85</v>
      </c>
      <c r="G61" s="117"/>
      <c r="H61" s="116" t="str">
        <f t="shared" si="0"/>
        <v> </v>
      </c>
    </row>
    <row r="62" spans="1:8" ht="12">
      <c r="A62" s="108">
        <v>40</v>
      </c>
      <c r="B62" s="104" t="s">
        <v>106</v>
      </c>
      <c r="E62" s="117"/>
      <c r="F62" s="117"/>
      <c r="G62" s="117"/>
      <c r="H62" s="116" t="str">
        <f t="shared" si="0"/>
        <v> </v>
      </c>
    </row>
    <row r="63" spans="1:8" ht="12">
      <c r="A63" s="108">
        <v>41</v>
      </c>
      <c r="B63" s="119" t="s">
        <v>107</v>
      </c>
      <c r="E63" s="118">
        <f>SUM(F63:G63)</f>
        <v>-243</v>
      </c>
      <c r="F63" s="118">
        <v>-243</v>
      </c>
      <c r="G63" s="118"/>
      <c r="H63" s="116" t="str">
        <f t="shared" si="0"/>
        <v> </v>
      </c>
    </row>
    <row r="64" spans="1:8" ht="9" customHeight="1">
      <c r="A64" s="108"/>
      <c r="B64" s="104" t="s">
        <v>160</v>
      </c>
      <c r="H64" s="116"/>
    </row>
    <row r="65" spans="1:8" ht="12.75" thickBot="1">
      <c r="A65" s="108">
        <v>42</v>
      </c>
      <c r="B65" s="123" t="s">
        <v>108</v>
      </c>
      <c r="E65" s="124">
        <f>E55-E60+E61+E62+E63</f>
        <v>-158</v>
      </c>
      <c r="F65" s="124">
        <f>F55-F60+F61+F62+F63</f>
        <v>-158</v>
      </c>
      <c r="G65" s="124">
        <f>G55-G60+G61+G62+G63</f>
        <v>0</v>
      </c>
      <c r="H65" s="116" t="str">
        <f>IF(E65=F65+G65," ","ERROR")</f>
        <v> </v>
      </c>
    </row>
    <row r="66" spans="1:3" ht="10.5" customHeight="1" thickTop="1">
      <c r="A66" s="101" t="str">
        <f>Inputs!$D$6</f>
        <v>AVISTA UTILITIES</v>
      </c>
      <c r="B66" s="101"/>
      <c r="C66" s="101"/>
    </row>
    <row r="67" spans="1:3" ht="10.5" customHeight="1">
      <c r="A67" s="101" t="s">
        <v>168</v>
      </c>
      <c r="B67" s="101"/>
      <c r="C67" s="101"/>
    </row>
    <row r="68" spans="1:3" ht="10.5" customHeight="1">
      <c r="A68" s="101" t="str">
        <f>A3</f>
        <v>TWELVE MONTHS ENDED DECEMBER 31, 2004</v>
      </c>
      <c r="B68" s="101"/>
      <c r="C68" s="101"/>
    </row>
    <row r="69" spans="1:3" ht="10.5" customHeight="1">
      <c r="A69" s="101" t="s">
        <v>169</v>
      </c>
      <c r="B69" s="101"/>
      <c r="C69" s="101"/>
    </row>
    <row r="71" ht="10.5" customHeight="1">
      <c r="A71" s="108" t="s">
        <v>11</v>
      </c>
    </row>
    <row r="72" spans="1:3" ht="10.5" customHeight="1">
      <c r="A72" s="125" t="s">
        <v>29</v>
      </c>
      <c r="B72" s="110" t="s">
        <v>114</v>
      </c>
      <c r="C72" s="110"/>
    </row>
    <row r="73" spans="1:2" ht="10.5" customHeight="1">
      <c r="A73" s="108"/>
      <c r="B73" s="104" t="s">
        <v>69</v>
      </c>
    </row>
    <row r="74" spans="1:2" ht="10.5" customHeight="1">
      <c r="A74" s="108">
        <v>1</v>
      </c>
      <c r="B74" s="104" t="s">
        <v>131</v>
      </c>
    </row>
    <row r="75" spans="1:2" ht="10.5" customHeight="1">
      <c r="A75" s="108">
        <v>2</v>
      </c>
      <c r="B75" s="104" t="s">
        <v>132</v>
      </c>
    </row>
    <row r="76" spans="1:2" ht="10.5" customHeight="1">
      <c r="A76" s="108">
        <v>3</v>
      </c>
      <c r="B76" s="104" t="s">
        <v>72</v>
      </c>
    </row>
    <row r="77" ht="10.5" customHeight="1">
      <c r="A77" s="108"/>
    </row>
    <row r="78" spans="1:2" ht="10.5" customHeight="1">
      <c r="A78" s="108">
        <v>4</v>
      </c>
      <c r="B78" s="104" t="s">
        <v>133</v>
      </c>
    </row>
    <row r="79" ht="10.5" customHeight="1">
      <c r="A79" s="108"/>
    </row>
    <row r="80" spans="1:2" ht="10.5" customHeight="1">
      <c r="A80" s="108"/>
      <c r="B80" s="104" t="s">
        <v>74</v>
      </c>
    </row>
    <row r="81" spans="1:2" ht="10.5" customHeight="1">
      <c r="A81" s="108">
        <v>5</v>
      </c>
      <c r="B81" s="104" t="s">
        <v>134</v>
      </c>
    </row>
    <row r="82" spans="1:2" ht="10.5" customHeight="1">
      <c r="A82" s="108"/>
      <c r="B82" s="104" t="s">
        <v>76</v>
      </c>
    </row>
    <row r="83" spans="1:2" ht="10.5" customHeight="1">
      <c r="A83" s="108">
        <v>6</v>
      </c>
      <c r="B83" s="104" t="s">
        <v>135</v>
      </c>
    </row>
    <row r="84" spans="1:2" ht="10.5" customHeight="1">
      <c r="A84" s="108">
        <v>7</v>
      </c>
      <c r="B84" s="104" t="s">
        <v>136</v>
      </c>
    </row>
    <row r="85" spans="1:2" ht="10.5" customHeight="1">
      <c r="A85" s="108">
        <v>8</v>
      </c>
      <c r="B85" s="104" t="s">
        <v>137</v>
      </c>
    </row>
    <row r="86" spans="1:2" ht="10.5" customHeight="1">
      <c r="A86" s="108">
        <v>9</v>
      </c>
      <c r="B86" s="104" t="s">
        <v>138</v>
      </c>
    </row>
    <row r="87" spans="1:2" ht="10.5" customHeight="1">
      <c r="A87" s="108"/>
      <c r="B87" s="104" t="s">
        <v>81</v>
      </c>
    </row>
    <row r="88" spans="1:2" ht="10.5" customHeight="1">
      <c r="A88" s="108">
        <v>10</v>
      </c>
      <c r="B88" s="104" t="s">
        <v>139</v>
      </c>
    </row>
    <row r="89" spans="1:2" ht="10.5" customHeight="1">
      <c r="A89" s="108">
        <v>11</v>
      </c>
      <c r="B89" s="104" t="s">
        <v>140</v>
      </c>
    </row>
    <row r="90" spans="1:2" ht="10.5" customHeight="1">
      <c r="A90" s="108">
        <v>12</v>
      </c>
      <c r="B90" s="104" t="s">
        <v>141</v>
      </c>
    </row>
    <row r="91" spans="1:2" ht="10.5" customHeight="1">
      <c r="A91" s="108">
        <v>13</v>
      </c>
      <c r="B91" s="104" t="s">
        <v>142</v>
      </c>
    </row>
    <row r="92" spans="1:2" ht="10.5" customHeight="1">
      <c r="A92" s="108"/>
      <c r="B92" s="104" t="s">
        <v>85</v>
      </c>
    </row>
    <row r="93" spans="1:2" ht="10.5" customHeight="1">
      <c r="A93" s="108">
        <v>14</v>
      </c>
      <c r="B93" s="104" t="s">
        <v>139</v>
      </c>
    </row>
    <row r="94" spans="1:2" ht="10.5" customHeight="1">
      <c r="A94" s="108">
        <v>15</v>
      </c>
      <c r="B94" s="104" t="s">
        <v>140</v>
      </c>
    </row>
    <row r="95" spans="1:2" ht="10.5" customHeight="1">
      <c r="A95" s="108">
        <v>16</v>
      </c>
      <c r="B95" s="104" t="s">
        <v>141</v>
      </c>
    </row>
    <row r="96" spans="1:2" ht="10.5" customHeight="1">
      <c r="A96" s="108">
        <v>17</v>
      </c>
      <c r="B96" s="104" t="s">
        <v>143</v>
      </c>
    </row>
    <row r="97" spans="1:2" ht="10.5" customHeight="1">
      <c r="A97" s="108">
        <v>18</v>
      </c>
      <c r="B97" s="104" t="s">
        <v>87</v>
      </c>
    </row>
    <row r="98" spans="1:2" ht="10.5" customHeight="1">
      <c r="A98" s="108">
        <v>19</v>
      </c>
      <c r="B98" s="104" t="s">
        <v>88</v>
      </c>
    </row>
    <row r="99" spans="1:2" ht="10.5" customHeight="1">
      <c r="A99" s="108">
        <v>20</v>
      </c>
      <c r="B99" s="104" t="s">
        <v>144</v>
      </c>
    </row>
    <row r="100" spans="1:2" ht="10.5" customHeight="1">
      <c r="A100" s="108"/>
      <c r="B100" s="104" t="s">
        <v>145</v>
      </c>
    </row>
    <row r="101" spans="1:2" ht="10.5" customHeight="1">
      <c r="A101" s="108">
        <v>21</v>
      </c>
      <c r="B101" s="104" t="s">
        <v>139</v>
      </c>
    </row>
    <row r="102" spans="1:2" ht="10.5" customHeight="1">
      <c r="A102" s="108">
        <v>22</v>
      </c>
      <c r="B102" s="104" t="s">
        <v>140</v>
      </c>
    </row>
    <row r="103" spans="1:2" ht="10.5" customHeight="1">
      <c r="A103" s="108">
        <v>23</v>
      </c>
      <c r="B103" s="104" t="s">
        <v>141</v>
      </c>
    </row>
    <row r="104" spans="1:2" ht="10.5" customHeight="1">
      <c r="A104" s="108">
        <v>24</v>
      </c>
      <c r="B104" s="104" t="s">
        <v>146</v>
      </c>
    </row>
    <row r="105" ht="10.5" customHeight="1">
      <c r="A105" s="108"/>
    </row>
    <row r="106" spans="1:2" ht="10.5" customHeight="1">
      <c r="A106" s="108">
        <v>25</v>
      </c>
      <c r="B106" s="104" t="s">
        <v>92</v>
      </c>
    </row>
    <row r="107" ht="10.5" customHeight="1">
      <c r="A107" s="108"/>
    </row>
    <row r="108" spans="1:2" ht="10.5" customHeight="1">
      <c r="A108" s="108">
        <v>26</v>
      </c>
      <c r="B108" s="104" t="s">
        <v>170</v>
      </c>
    </row>
    <row r="109" ht="10.5" customHeight="1">
      <c r="A109" s="108"/>
    </row>
    <row r="110" spans="1:2" ht="10.5" customHeight="1">
      <c r="A110" s="108">
        <v>27</v>
      </c>
      <c r="B110" s="104" t="s">
        <v>171</v>
      </c>
    </row>
    <row r="111" spans="1:3" ht="10.5" customHeight="1">
      <c r="A111" s="108"/>
      <c r="B111" s="126" t="s">
        <v>172</v>
      </c>
      <c r="C111" s="127">
        <f>Inputs!$D$4</f>
        <v>0.01065</v>
      </c>
    </row>
    <row r="112" ht="10.5" customHeight="1">
      <c r="A112" s="108"/>
    </row>
  </sheetData>
  <printOptions/>
  <pageMargins left="1" right="0.5" top="0.5" bottom="0.5" header="0.5" footer="0.5"/>
  <pageSetup horizontalDpi="300" verticalDpi="3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36">
      <selection activeCell="E62" sqref="E62"/>
    </sheetView>
  </sheetViews>
  <sheetFormatPr defaultColWidth="9.140625" defaultRowHeight="10.5" customHeight="1"/>
  <cols>
    <col min="1" max="1" width="5.57421875" style="301" customWidth="1"/>
    <col min="2" max="2" width="26.140625" style="301" customWidth="1"/>
    <col min="3" max="3" width="12.421875" style="301" customWidth="1"/>
    <col min="4" max="4" width="6.7109375" style="301" customWidth="1"/>
    <col min="5" max="5" width="12.421875" style="320" customWidth="1"/>
    <col min="6" max="6" width="12.421875" style="321" customWidth="1"/>
    <col min="7" max="7" width="12.421875" style="320" customWidth="1"/>
    <col min="8" max="16384" width="12.421875" style="301" customWidth="1"/>
  </cols>
  <sheetData>
    <row r="1" spans="1:7" ht="12">
      <c r="A1" s="300" t="str">
        <f>Inputs!$D$6</f>
        <v>AVISTA UTILITIES</v>
      </c>
      <c r="B1" s="300"/>
      <c r="C1" s="300"/>
      <c r="E1" s="302"/>
      <c r="F1" s="303"/>
      <c r="G1" s="302"/>
    </row>
    <row r="2" spans="1:7" ht="12">
      <c r="A2" s="300" t="s">
        <v>122</v>
      </c>
      <c r="B2" s="300"/>
      <c r="C2" s="300"/>
      <c r="E2" s="302"/>
      <c r="F2" s="304" t="s">
        <v>106</v>
      </c>
      <c r="G2" s="302"/>
    </row>
    <row r="3" spans="1:7" ht="12">
      <c r="A3" s="300" t="str">
        <f>Inputs!$D$2</f>
        <v>TWELVE MONTHS ENDED DECEMBER 31, 2004</v>
      </c>
      <c r="B3" s="300"/>
      <c r="C3" s="300"/>
      <c r="E3" s="302"/>
      <c r="F3" s="304" t="s">
        <v>173</v>
      </c>
      <c r="G3" s="301"/>
    </row>
    <row r="4" spans="1:7" ht="12">
      <c r="A4" s="300" t="s">
        <v>125</v>
      </c>
      <c r="B4" s="300"/>
      <c r="C4" s="300"/>
      <c r="E4" s="305"/>
      <c r="F4" s="306" t="s">
        <v>126</v>
      </c>
      <c r="G4" s="305"/>
    </row>
    <row r="5" spans="1:7" ht="12">
      <c r="A5" s="307" t="s">
        <v>11</v>
      </c>
      <c r="E5" s="302"/>
      <c r="F5" s="304"/>
      <c r="G5" s="302"/>
    </row>
    <row r="6" spans="1:8" ht="12">
      <c r="A6" s="308" t="s">
        <v>29</v>
      </c>
      <c r="B6" s="309" t="s">
        <v>114</v>
      </c>
      <c r="C6" s="309"/>
      <c r="E6" s="310" t="s">
        <v>127</v>
      </c>
      <c r="F6" s="311" t="s">
        <v>128</v>
      </c>
      <c r="G6" s="310" t="s">
        <v>129</v>
      </c>
      <c r="H6" s="312" t="s">
        <v>130</v>
      </c>
    </row>
    <row r="7" spans="1:7" ht="12">
      <c r="A7" s="307"/>
      <c r="B7" s="301" t="s">
        <v>69</v>
      </c>
      <c r="E7" s="313"/>
      <c r="F7" s="304"/>
      <c r="G7" s="313"/>
    </row>
    <row r="8" spans="1:8" ht="12">
      <c r="A8" s="307">
        <v>1</v>
      </c>
      <c r="B8" s="301" t="s">
        <v>131</v>
      </c>
      <c r="E8" s="314"/>
      <c r="F8" s="314"/>
      <c r="G8" s="314"/>
      <c r="H8" s="315" t="str">
        <f>IF(E8=F8+G8," ","ERROR")</f>
        <v> </v>
      </c>
    </row>
    <row r="9" spans="1:8" ht="12">
      <c r="A9" s="307">
        <v>2</v>
      </c>
      <c r="B9" s="301" t="s">
        <v>132</v>
      </c>
      <c r="E9" s="316"/>
      <c r="F9" s="316"/>
      <c r="G9" s="316"/>
      <c r="H9" s="315" t="str">
        <f>IF(E9=F9+G9," ","ERROR")</f>
        <v> </v>
      </c>
    </row>
    <row r="10" spans="1:8" ht="12">
      <c r="A10" s="307">
        <v>3</v>
      </c>
      <c r="B10" s="301" t="s">
        <v>72</v>
      </c>
      <c r="E10" s="317"/>
      <c r="F10" s="317"/>
      <c r="G10" s="317"/>
      <c r="H10" s="315" t="str">
        <f>IF(E10=F10+G10," ","ERROR")</f>
        <v> </v>
      </c>
    </row>
    <row r="11" spans="1:8" ht="12">
      <c r="A11" s="307">
        <v>4</v>
      </c>
      <c r="B11" s="301" t="s">
        <v>133</v>
      </c>
      <c r="E11" s="316">
        <f>SUM(E8:E10)</f>
        <v>0</v>
      </c>
      <c r="F11" s="316">
        <f>SUM(F8:F10)</f>
        <v>0</v>
      </c>
      <c r="G11" s="316">
        <f>SUM(G8:G10)</f>
        <v>0</v>
      </c>
      <c r="H11" s="315" t="str">
        <f>IF(E11=F11+G11," ","ERROR")</f>
        <v> </v>
      </c>
    </row>
    <row r="12" spans="1:8" ht="12">
      <c r="A12" s="307"/>
      <c r="E12" s="316"/>
      <c r="F12" s="316"/>
      <c r="G12" s="316"/>
      <c r="H12" s="315"/>
    </row>
    <row r="13" spans="1:8" ht="12">
      <c r="A13" s="307"/>
      <c r="B13" s="301" t="s">
        <v>74</v>
      </c>
      <c r="E13" s="316"/>
      <c r="F13" s="316"/>
      <c r="G13" s="316"/>
      <c r="H13" s="315"/>
    </row>
    <row r="14" spans="1:8" ht="12">
      <c r="A14" s="307">
        <v>5</v>
      </c>
      <c r="B14" s="301" t="s">
        <v>134</v>
      </c>
      <c r="E14" s="316"/>
      <c r="F14" s="316"/>
      <c r="G14" s="316"/>
      <c r="H14" s="315" t="str">
        <f>IF(E14=F14+G14," ","ERROR")</f>
        <v> </v>
      </c>
    </row>
    <row r="15" spans="1:8" ht="12">
      <c r="A15" s="307"/>
      <c r="B15" s="301" t="s">
        <v>76</v>
      </c>
      <c r="E15" s="316"/>
      <c r="F15" s="316"/>
      <c r="G15" s="316"/>
      <c r="H15" s="315"/>
    </row>
    <row r="16" spans="1:8" ht="12">
      <c r="A16" s="307">
        <v>6</v>
      </c>
      <c r="B16" s="301" t="s">
        <v>135</v>
      </c>
      <c r="E16" s="316"/>
      <c r="F16" s="316"/>
      <c r="G16" s="316"/>
      <c r="H16" s="315" t="str">
        <f>IF(E16=F16+G16," ","ERROR")</f>
        <v> </v>
      </c>
    </row>
    <row r="17" spans="1:8" ht="12">
      <c r="A17" s="307">
        <v>7</v>
      </c>
      <c r="B17" s="301" t="s">
        <v>136</v>
      </c>
      <c r="E17" s="316"/>
      <c r="F17" s="316"/>
      <c r="G17" s="316"/>
      <c r="H17" s="315" t="str">
        <f>IF(E17=F17+G17," ","ERROR")</f>
        <v> </v>
      </c>
    </row>
    <row r="18" spans="1:8" ht="12">
      <c r="A18" s="307">
        <v>8</v>
      </c>
      <c r="B18" s="301" t="s">
        <v>137</v>
      </c>
      <c r="E18" s="317"/>
      <c r="F18" s="317"/>
      <c r="G18" s="317"/>
      <c r="H18" s="315" t="str">
        <f>IF(E18=F18+G18," ","ERROR")</f>
        <v> </v>
      </c>
    </row>
    <row r="19" spans="1:8" ht="12">
      <c r="A19" s="307">
        <v>9</v>
      </c>
      <c r="B19" s="301" t="s">
        <v>138</v>
      </c>
      <c r="E19" s="316">
        <f>SUM(E16:E18)</f>
        <v>0</v>
      </c>
      <c r="F19" s="316">
        <f>SUM(F16:F18)</f>
        <v>0</v>
      </c>
      <c r="G19" s="316">
        <f>SUM(G16:G18)</f>
        <v>0</v>
      </c>
      <c r="H19" s="315" t="str">
        <f>IF(E19=F19+G19," ","ERROR")</f>
        <v> </v>
      </c>
    </row>
    <row r="20" spans="1:8" ht="12">
      <c r="A20" s="307"/>
      <c r="B20" s="301" t="s">
        <v>81</v>
      </c>
      <c r="E20" s="316"/>
      <c r="F20" s="316"/>
      <c r="G20" s="316"/>
      <c r="H20" s="315"/>
    </row>
    <row r="21" spans="1:8" ht="12">
      <c r="A21" s="307">
        <v>10</v>
      </c>
      <c r="B21" s="301" t="s">
        <v>139</v>
      </c>
      <c r="E21" s="316"/>
      <c r="F21" s="316"/>
      <c r="G21" s="316"/>
      <c r="H21" s="315" t="str">
        <f>IF(E21=F21+G21," ","ERROR")</f>
        <v> </v>
      </c>
    </row>
    <row r="22" spans="1:8" ht="12">
      <c r="A22" s="307">
        <v>11</v>
      </c>
      <c r="B22" s="301" t="s">
        <v>140</v>
      </c>
      <c r="E22" s="316"/>
      <c r="F22" s="316"/>
      <c r="G22" s="316"/>
      <c r="H22" s="315" t="str">
        <f>IF(E22=F22+G22," ","ERROR")</f>
        <v> </v>
      </c>
    </row>
    <row r="23" spans="1:8" ht="12">
      <c r="A23" s="307">
        <v>12</v>
      </c>
      <c r="B23" s="301" t="s">
        <v>141</v>
      </c>
      <c r="E23" s="317"/>
      <c r="F23" s="317"/>
      <c r="G23" s="317"/>
      <c r="H23" s="315" t="str">
        <f>IF(E23=F23+G23," ","ERROR")</f>
        <v> </v>
      </c>
    </row>
    <row r="24" spans="1:8" ht="12">
      <c r="A24" s="307">
        <v>13</v>
      </c>
      <c r="B24" s="301" t="s">
        <v>142</v>
      </c>
      <c r="E24" s="316">
        <f>SUM(E21:E23)</f>
        <v>0</v>
      </c>
      <c r="F24" s="316">
        <f>SUM(F21:F23)</f>
        <v>0</v>
      </c>
      <c r="G24" s="316">
        <f>SUM(G21:G23)</f>
        <v>0</v>
      </c>
      <c r="H24" s="315" t="str">
        <f>IF(E24=F24+G24," ","ERROR")</f>
        <v> </v>
      </c>
    </row>
    <row r="25" spans="1:8" ht="12">
      <c r="A25" s="307"/>
      <c r="B25" s="301" t="s">
        <v>85</v>
      </c>
      <c r="E25" s="316"/>
      <c r="F25" s="316"/>
      <c r="G25" s="316"/>
      <c r="H25" s="315"/>
    </row>
    <row r="26" spans="1:8" ht="12">
      <c r="A26" s="307">
        <v>14</v>
      </c>
      <c r="B26" s="301" t="s">
        <v>139</v>
      </c>
      <c r="E26" s="316"/>
      <c r="F26" s="316"/>
      <c r="G26" s="316"/>
      <c r="H26" s="315" t="str">
        <f>IF(E26=F26+G26," ","ERROR")</f>
        <v> </v>
      </c>
    </row>
    <row r="27" spans="1:8" ht="12">
      <c r="A27" s="307">
        <v>15</v>
      </c>
      <c r="B27" s="301" t="s">
        <v>140</v>
      </c>
      <c r="E27" s="316"/>
      <c r="F27" s="316"/>
      <c r="G27" s="316"/>
      <c r="H27" s="315" t="str">
        <f>IF(E27=F27+G27," ","ERROR")</f>
        <v> </v>
      </c>
    </row>
    <row r="28" spans="1:8" ht="12">
      <c r="A28" s="307">
        <v>16</v>
      </c>
      <c r="B28" s="301" t="s">
        <v>141</v>
      </c>
      <c r="E28" s="317">
        <f>F28+G28</f>
        <v>0</v>
      </c>
      <c r="F28" s="317"/>
      <c r="G28" s="317"/>
      <c r="H28" s="315" t="str">
        <f>IF(E28=F28+G28," ","ERROR")</f>
        <v> </v>
      </c>
    </row>
    <row r="29" spans="1:8" ht="12">
      <c r="A29" s="307">
        <v>17</v>
      </c>
      <c r="B29" s="301" t="s">
        <v>143</v>
      </c>
      <c r="E29" s="316">
        <f>SUM(E26:E28)</f>
        <v>0</v>
      </c>
      <c r="F29" s="316">
        <f>SUM(F26:F28)</f>
        <v>0</v>
      </c>
      <c r="G29" s="316">
        <f>SUM(G26:G28)</f>
        <v>0</v>
      </c>
      <c r="H29" s="315" t="str">
        <f>IF(E29=F29+G29," ","ERROR")</f>
        <v> </v>
      </c>
    </row>
    <row r="30" spans="1:8" ht="12">
      <c r="A30" s="307"/>
      <c r="E30" s="316"/>
      <c r="F30" s="316"/>
      <c r="G30" s="316"/>
      <c r="H30" s="315"/>
    </row>
    <row r="31" spans="1:8" ht="12">
      <c r="A31" s="307">
        <v>18</v>
      </c>
      <c r="B31" s="301" t="s">
        <v>87</v>
      </c>
      <c r="E31" s="316"/>
      <c r="F31" s="316"/>
      <c r="G31" s="316"/>
      <c r="H31" s="315" t="str">
        <f>IF(E31=F31+G31," ","ERROR")</f>
        <v> </v>
      </c>
    </row>
    <row r="32" spans="1:8" ht="12">
      <c r="A32" s="307">
        <v>19</v>
      </c>
      <c r="B32" s="301" t="s">
        <v>88</v>
      </c>
      <c r="E32" s="316"/>
      <c r="F32" s="316"/>
      <c r="G32" s="316"/>
      <c r="H32" s="315" t="str">
        <f>IF(E32=F32+G32," ","ERROR")</f>
        <v> </v>
      </c>
    </row>
    <row r="33" spans="1:8" ht="12">
      <c r="A33" s="307">
        <v>20</v>
      </c>
      <c r="B33" s="301" t="s">
        <v>144</v>
      </c>
      <c r="E33" s="316"/>
      <c r="F33" s="316"/>
      <c r="G33" s="316"/>
      <c r="H33" s="315" t="str">
        <f>IF(E33=F33+G33," ","ERROR")</f>
        <v> </v>
      </c>
    </row>
    <row r="34" spans="1:8" ht="12">
      <c r="A34" s="307"/>
      <c r="B34" s="301" t="s">
        <v>145</v>
      </c>
      <c r="E34" s="316"/>
      <c r="F34" s="316"/>
      <c r="G34" s="316"/>
      <c r="H34" s="315"/>
    </row>
    <row r="35" spans="1:8" ht="12">
      <c r="A35" s="307">
        <v>21</v>
      </c>
      <c r="B35" s="301" t="s">
        <v>139</v>
      </c>
      <c r="E35" s="316"/>
      <c r="F35" s="316"/>
      <c r="G35" s="316"/>
      <c r="H35" s="315" t="str">
        <f>IF(E35=F35+G35," ","ERROR")</f>
        <v> </v>
      </c>
    </row>
    <row r="36" spans="1:8" ht="12">
      <c r="A36" s="307">
        <v>22</v>
      </c>
      <c r="B36" s="301" t="s">
        <v>140</v>
      </c>
      <c r="E36" s="316"/>
      <c r="F36" s="316"/>
      <c r="G36" s="316"/>
      <c r="H36" s="315" t="str">
        <f>IF(E36=F36+G36," ","ERROR")</f>
        <v> </v>
      </c>
    </row>
    <row r="37" spans="1:8" ht="12">
      <c r="A37" s="307">
        <v>23</v>
      </c>
      <c r="B37" s="301" t="s">
        <v>141</v>
      </c>
      <c r="E37" s="317"/>
      <c r="F37" s="317"/>
      <c r="G37" s="317"/>
      <c r="H37" s="315" t="str">
        <f>IF(E37=F37+G37," ","ERROR")</f>
        <v> </v>
      </c>
    </row>
    <row r="38" spans="1:8" ht="12">
      <c r="A38" s="307">
        <v>24</v>
      </c>
      <c r="B38" s="301" t="s">
        <v>146</v>
      </c>
      <c r="E38" s="317">
        <f>SUM(E35:E37)</f>
        <v>0</v>
      </c>
      <c r="F38" s="317">
        <f>SUM(F35:F37)</f>
        <v>0</v>
      </c>
      <c r="G38" s="317">
        <f>SUM(G35:G37)</f>
        <v>0</v>
      </c>
      <c r="H38" s="315" t="str">
        <f>IF(E38=F38+G38," ","ERROR")</f>
        <v> </v>
      </c>
    </row>
    <row r="39" spans="1:8" ht="12">
      <c r="A39" s="307">
        <v>25</v>
      </c>
      <c r="B39" s="301" t="s">
        <v>92</v>
      </c>
      <c r="E39" s="317">
        <f>E19+E24+E29+E31+E32+E33+E38+E14</f>
        <v>0</v>
      </c>
      <c r="F39" s="317">
        <f>F19+F24+F29+F31+F32+F33+F38+F14</f>
        <v>0</v>
      </c>
      <c r="G39" s="317">
        <f>G19+G24+G29+G31+G32+G33+G38+G14</f>
        <v>0</v>
      </c>
      <c r="H39" s="315" t="str">
        <f>IF(E39=F39+G39," ","ERROR")</f>
        <v> </v>
      </c>
    </row>
    <row r="40" spans="1:8" ht="12">
      <c r="A40" s="307"/>
      <c r="E40" s="316"/>
      <c r="F40" s="316"/>
      <c r="G40" s="316"/>
      <c r="H40" s="315"/>
    </row>
    <row r="41" spans="1:8" ht="12">
      <c r="A41" s="307">
        <v>26</v>
      </c>
      <c r="B41" s="301" t="s">
        <v>147</v>
      </c>
      <c r="E41" s="316">
        <f>E11-E39</f>
        <v>0</v>
      </c>
      <c r="F41" s="316">
        <f>F11-F39</f>
        <v>0</v>
      </c>
      <c r="G41" s="316">
        <f>G11-G39</f>
        <v>0</v>
      </c>
      <c r="H41" s="315" t="str">
        <f>IF(E41=F41+G41," ","ERROR")</f>
        <v> </v>
      </c>
    </row>
    <row r="42" spans="1:8" ht="12">
      <c r="A42" s="307"/>
      <c r="E42" s="316"/>
      <c r="F42" s="316"/>
      <c r="G42" s="316"/>
      <c r="H42" s="315"/>
    </row>
    <row r="43" spans="1:8" ht="12">
      <c r="A43" s="307"/>
      <c r="B43" s="301" t="s">
        <v>148</v>
      </c>
      <c r="E43" s="316"/>
      <c r="F43" s="316"/>
      <c r="G43" s="316"/>
      <c r="H43" s="315"/>
    </row>
    <row r="44" spans="1:8" ht="12">
      <c r="A44" s="307">
        <v>27</v>
      </c>
      <c r="B44" s="318" t="s">
        <v>149</v>
      </c>
      <c r="D44" s="319">
        <v>0.35</v>
      </c>
      <c r="E44" s="316">
        <f>F44+G44</f>
        <v>0</v>
      </c>
      <c r="F44" s="316">
        <f>ROUND(F41*D44,0)</f>
        <v>0</v>
      </c>
      <c r="G44" s="316">
        <f>ROUND(G41*D44,0)</f>
        <v>0</v>
      </c>
      <c r="H44" s="315" t="str">
        <f>IF(E44=F44+G44," ","ERROR")</f>
        <v> </v>
      </c>
    </row>
    <row r="45" spans="1:8" ht="12">
      <c r="A45" s="307">
        <v>28</v>
      </c>
      <c r="B45" s="301" t="s">
        <v>150</v>
      </c>
      <c r="E45" s="316"/>
      <c r="F45" s="316"/>
      <c r="G45" s="316"/>
      <c r="H45" s="315" t="str">
        <f>IF(E45=F45+G45," ","ERROR")</f>
        <v> </v>
      </c>
    </row>
    <row r="46" spans="1:8" ht="12">
      <c r="A46" s="307">
        <v>29</v>
      </c>
      <c r="B46" s="301" t="s">
        <v>151</v>
      </c>
      <c r="E46" s="317"/>
      <c r="F46" s="317"/>
      <c r="G46" s="317"/>
      <c r="H46" s="315" t="str">
        <f>IF(E46=F46+G46," ","ERROR")</f>
        <v> </v>
      </c>
    </row>
    <row r="47" spans="1:8" ht="12">
      <c r="A47" s="307"/>
      <c r="H47" s="315"/>
    </row>
    <row r="48" spans="1:8" ht="12.75" thickBot="1">
      <c r="A48" s="307">
        <v>30</v>
      </c>
      <c r="B48" s="322" t="s">
        <v>98</v>
      </c>
      <c r="E48" s="323">
        <f>E41-(+E44+E45+E46)</f>
        <v>0</v>
      </c>
      <c r="F48" s="323">
        <f>F41-F44+F45+F46</f>
        <v>0</v>
      </c>
      <c r="G48" s="323">
        <f>G41-SUM(G44:G46)</f>
        <v>0</v>
      </c>
      <c r="H48" s="315" t="str">
        <f>IF(E48=F48+G48," ","ERROR")</f>
        <v> </v>
      </c>
    </row>
    <row r="49" spans="1:8" ht="12.75" thickTop="1">
      <c r="A49" s="307"/>
      <c r="H49" s="315"/>
    </row>
    <row r="50" spans="1:8" ht="12">
      <c r="A50" s="307"/>
      <c r="B50" s="318" t="s">
        <v>152</v>
      </c>
      <c r="H50" s="315"/>
    </row>
    <row r="51" spans="1:8" ht="12">
      <c r="A51" s="307"/>
      <c r="B51" s="318" t="s">
        <v>153</v>
      </c>
      <c r="H51" s="315"/>
    </row>
    <row r="52" spans="1:8" ht="12">
      <c r="A52" s="307">
        <v>31</v>
      </c>
      <c r="B52" s="301" t="s">
        <v>154</v>
      </c>
      <c r="E52" s="314"/>
      <c r="F52" s="314"/>
      <c r="G52" s="314"/>
      <c r="H52" s="315" t="str">
        <f aca="true" t="shared" si="0" ref="H52:H63">IF(E52=F52+G52," ","ERROR")</f>
        <v> </v>
      </c>
    </row>
    <row r="53" spans="1:8" ht="12">
      <c r="A53" s="307">
        <v>32</v>
      </c>
      <c r="B53" s="301" t="s">
        <v>155</v>
      </c>
      <c r="E53" s="316"/>
      <c r="F53" s="316"/>
      <c r="G53" s="316"/>
      <c r="H53" s="315" t="str">
        <f t="shared" si="0"/>
        <v> </v>
      </c>
    </row>
    <row r="54" spans="1:8" ht="12">
      <c r="A54" s="307">
        <v>33</v>
      </c>
      <c r="B54" s="301" t="s">
        <v>164</v>
      </c>
      <c r="E54" s="317"/>
      <c r="F54" s="317"/>
      <c r="G54" s="317"/>
      <c r="H54" s="315" t="str">
        <f t="shared" si="0"/>
        <v> </v>
      </c>
    </row>
    <row r="55" spans="1:8" ht="12">
      <c r="A55" s="307">
        <v>34</v>
      </c>
      <c r="B55" s="301" t="s">
        <v>157</v>
      </c>
      <c r="E55" s="316">
        <f>SUM(E52:E54)</f>
        <v>0</v>
      </c>
      <c r="F55" s="316">
        <f>SUM(F52:F54)</f>
        <v>0</v>
      </c>
      <c r="G55" s="316">
        <f>SUM(G52:G54)</f>
        <v>0</v>
      </c>
      <c r="H55" s="315" t="str">
        <f t="shared" si="0"/>
        <v> </v>
      </c>
    </row>
    <row r="56" spans="1:8" ht="12">
      <c r="A56" s="307"/>
      <c r="B56" s="301" t="s">
        <v>103</v>
      </c>
      <c r="E56" s="316"/>
      <c r="F56" s="316"/>
      <c r="G56" s="316"/>
      <c r="H56" s="315" t="str">
        <f t="shared" si="0"/>
        <v> </v>
      </c>
    </row>
    <row r="57" spans="1:8" ht="12">
      <c r="A57" s="307">
        <v>35</v>
      </c>
      <c r="B57" s="301" t="s">
        <v>154</v>
      </c>
      <c r="E57" s="316"/>
      <c r="F57" s="316"/>
      <c r="G57" s="316"/>
      <c r="H57" s="315" t="str">
        <f t="shared" si="0"/>
        <v> </v>
      </c>
    </row>
    <row r="58" spans="1:8" ht="12">
      <c r="A58" s="307">
        <v>36</v>
      </c>
      <c r="B58" s="301" t="s">
        <v>155</v>
      </c>
      <c r="E58" s="316"/>
      <c r="F58" s="316"/>
      <c r="G58" s="316"/>
      <c r="H58" s="315" t="str">
        <f t="shared" si="0"/>
        <v> </v>
      </c>
    </row>
    <row r="59" spans="1:8" ht="12">
      <c r="A59" s="307">
        <v>37</v>
      </c>
      <c r="B59" s="301" t="s">
        <v>164</v>
      </c>
      <c r="E59" s="317"/>
      <c r="F59" s="317"/>
      <c r="G59" s="317"/>
      <c r="H59" s="315" t="str">
        <f t="shared" si="0"/>
        <v> </v>
      </c>
    </row>
    <row r="60" spans="1:8" ht="12">
      <c r="A60" s="307">
        <v>38</v>
      </c>
      <c r="B60" s="301" t="s">
        <v>158</v>
      </c>
      <c r="E60" s="316">
        <f>SUM(E57:E59)</f>
        <v>0</v>
      </c>
      <c r="F60" s="316">
        <f>SUM(F57:F59)</f>
        <v>0</v>
      </c>
      <c r="G60" s="316">
        <f>SUM(G57:G59)</f>
        <v>0</v>
      </c>
      <c r="H60" s="315" t="str">
        <f t="shared" si="0"/>
        <v> </v>
      </c>
    </row>
    <row r="61" spans="1:8" ht="12">
      <c r="A61" s="307">
        <v>39</v>
      </c>
      <c r="B61" s="318" t="s">
        <v>159</v>
      </c>
      <c r="E61" s="316"/>
      <c r="F61" s="316"/>
      <c r="G61" s="316"/>
      <c r="H61" s="315" t="str">
        <f t="shared" si="0"/>
        <v> </v>
      </c>
    </row>
    <row r="62" spans="1:8" ht="12">
      <c r="A62" s="307">
        <v>40</v>
      </c>
      <c r="B62" s="301" t="s">
        <v>106</v>
      </c>
      <c r="E62" s="316">
        <f>SUM(F62:G62)</f>
        <v>4807</v>
      </c>
      <c r="F62" s="316">
        <v>4807</v>
      </c>
      <c r="G62" s="316">
        <v>0</v>
      </c>
      <c r="H62" s="315" t="str">
        <f t="shared" si="0"/>
        <v> </v>
      </c>
    </row>
    <row r="63" spans="1:8" ht="12">
      <c r="A63" s="307">
        <v>41</v>
      </c>
      <c r="B63" s="318" t="s">
        <v>107</v>
      </c>
      <c r="E63" s="317"/>
      <c r="F63" s="317"/>
      <c r="G63" s="317"/>
      <c r="H63" s="315" t="str">
        <f t="shared" si="0"/>
        <v> </v>
      </c>
    </row>
    <row r="64" spans="1:8" ht="9" customHeight="1">
      <c r="A64" s="307"/>
      <c r="B64" s="301" t="s">
        <v>160</v>
      </c>
      <c r="H64" s="315"/>
    </row>
    <row r="65" spans="1:8" ht="12.75" thickBot="1">
      <c r="A65" s="307">
        <v>42</v>
      </c>
      <c r="B65" s="322" t="s">
        <v>108</v>
      </c>
      <c r="E65" s="323">
        <f>E55-E60+E61+E62+E63</f>
        <v>4807</v>
      </c>
      <c r="F65" s="323">
        <f>F55-F60+F61+F62+F63</f>
        <v>4807</v>
      </c>
      <c r="G65" s="323">
        <f>G55-G60+G61+G62+G63</f>
        <v>0</v>
      </c>
      <c r="H65" s="315" t="str">
        <f>IF(E65=F65+G65," ","ERROR")</f>
        <v> </v>
      </c>
    </row>
    <row r="66" spans="1:3" ht="10.5" customHeight="1" thickTop="1">
      <c r="A66" s="300" t="str">
        <f>Inputs!$D$6</f>
        <v>AVISTA UTILITIES</v>
      </c>
      <c r="B66" s="300"/>
      <c r="C66" s="300"/>
    </row>
    <row r="67" spans="1:3" ht="10.5" customHeight="1">
      <c r="A67" s="300" t="s">
        <v>168</v>
      </c>
      <c r="B67" s="300"/>
      <c r="C67" s="300"/>
    </row>
    <row r="68" spans="1:3" ht="10.5" customHeight="1">
      <c r="A68" s="300" t="str">
        <f>A3</f>
        <v>TWELVE MONTHS ENDED DECEMBER 31, 2004</v>
      </c>
      <c r="B68" s="300"/>
      <c r="C68" s="300"/>
    </row>
    <row r="69" spans="1:3" ht="10.5" customHeight="1">
      <c r="A69" s="300" t="s">
        <v>169</v>
      </c>
      <c r="B69" s="300"/>
      <c r="C69" s="300"/>
    </row>
    <row r="71" ht="10.5" customHeight="1">
      <c r="A71" s="307" t="s">
        <v>11</v>
      </c>
    </row>
    <row r="72" spans="1:3" ht="10.5" customHeight="1">
      <c r="A72" s="324" t="s">
        <v>29</v>
      </c>
      <c r="B72" s="309" t="s">
        <v>114</v>
      </c>
      <c r="C72" s="309"/>
    </row>
    <row r="73" spans="1:2" ht="10.5" customHeight="1">
      <c r="A73" s="307"/>
      <c r="B73" s="301" t="s">
        <v>69</v>
      </c>
    </row>
    <row r="74" spans="1:2" ht="10.5" customHeight="1">
      <c r="A74" s="307">
        <v>1</v>
      </c>
      <c r="B74" s="301" t="s">
        <v>131</v>
      </c>
    </row>
    <row r="75" spans="1:2" ht="10.5" customHeight="1">
      <c r="A75" s="307">
        <v>2</v>
      </c>
      <c r="B75" s="301" t="s">
        <v>132</v>
      </c>
    </row>
    <row r="76" spans="1:2" ht="10.5" customHeight="1">
      <c r="A76" s="307">
        <v>3</v>
      </c>
      <c r="B76" s="301" t="s">
        <v>72</v>
      </c>
    </row>
    <row r="77" ht="10.5" customHeight="1">
      <c r="A77" s="307"/>
    </row>
    <row r="78" spans="1:2" ht="10.5" customHeight="1">
      <c r="A78" s="307">
        <v>4</v>
      </c>
      <c r="B78" s="301" t="s">
        <v>133</v>
      </c>
    </row>
    <row r="79" ht="10.5" customHeight="1">
      <c r="A79" s="307"/>
    </row>
    <row r="80" spans="1:2" ht="10.5" customHeight="1">
      <c r="A80" s="307"/>
      <c r="B80" s="301" t="s">
        <v>74</v>
      </c>
    </row>
    <row r="81" spans="1:2" ht="10.5" customHeight="1">
      <c r="A81" s="307">
        <v>5</v>
      </c>
      <c r="B81" s="301" t="s">
        <v>134</v>
      </c>
    </row>
    <row r="82" spans="1:2" ht="10.5" customHeight="1">
      <c r="A82" s="307"/>
      <c r="B82" s="301" t="s">
        <v>76</v>
      </c>
    </row>
    <row r="83" spans="1:2" ht="10.5" customHeight="1">
      <c r="A83" s="307">
        <v>6</v>
      </c>
      <c r="B83" s="301" t="s">
        <v>135</v>
      </c>
    </row>
    <row r="84" spans="1:2" ht="10.5" customHeight="1">
      <c r="A84" s="307">
        <v>7</v>
      </c>
      <c r="B84" s="301" t="s">
        <v>136</v>
      </c>
    </row>
    <row r="85" spans="1:2" ht="10.5" customHeight="1">
      <c r="A85" s="307">
        <v>8</v>
      </c>
      <c r="B85" s="301" t="s">
        <v>137</v>
      </c>
    </row>
    <row r="86" spans="1:2" ht="10.5" customHeight="1">
      <c r="A86" s="307">
        <v>9</v>
      </c>
      <c r="B86" s="301" t="s">
        <v>138</v>
      </c>
    </row>
    <row r="87" spans="1:2" ht="10.5" customHeight="1">
      <c r="A87" s="307"/>
      <c r="B87" s="301" t="s">
        <v>81</v>
      </c>
    </row>
    <row r="88" spans="1:2" ht="10.5" customHeight="1">
      <c r="A88" s="307">
        <v>10</v>
      </c>
      <c r="B88" s="301" t="s">
        <v>139</v>
      </c>
    </row>
    <row r="89" spans="1:2" ht="10.5" customHeight="1">
      <c r="A89" s="307">
        <v>11</v>
      </c>
      <c r="B89" s="301" t="s">
        <v>140</v>
      </c>
    </row>
    <row r="90" spans="1:2" ht="10.5" customHeight="1">
      <c r="A90" s="307">
        <v>12</v>
      </c>
      <c r="B90" s="301" t="s">
        <v>141</v>
      </c>
    </row>
    <row r="91" spans="1:2" ht="10.5" customHeight="1">
      <c r="A91" s="307">
        <v>13</v>
      </c>
      <c r="B91" s="301" t="s">
        <v>142</v>
      </c>
    </row>
    <row r="92" spans="1:2" ht="10.5" customHeight="1">
      <c r="A92" s="307"/>
      <c r="B92" s="301" t="s">
        <v>85</v>
      </c>
    </row>
    <row r="93" spans="1:2" ht="10.5" customHeight="1">
      <c r="A93" s="307">
        <v>14</v>
      </c>
      <c r="B93" s="301" t="s">
        <v>139</v>
      </c>
    </row>
    <row r="94" spans="1:2" ht="10.5" customHeight="1">
      <c r="A94" s="307">
        <v>15</v>
      </c>
      <c r="B94" s="301" t="s">
        <v>140</v>
      </c>
    </row>
    <row r="95" spans="1:2" ht="10.5" customHeight="1">
      <c r="A95" s="307">
        <v>16</v>
      </c>
      <c r="B95" s="301" t="s">
        <v>141</v>
      </c>
    </row>
    <row r="96" spans="1:2" ht="10.5" customHeight="1">
      <c r="A96" s="307">
        <v>17</v>
      </c>
      <c r="B96" s="301" t="s">
        <v>143</v>
      </c>
    </row>
    <row r="97" spans="1:2" ht="10.5" customHeight="1">
      <c r="A97" s="307">
        <v>18</v>
      </c>
      <c r="B97" s="301" t="s">
        <v>87</v>
      </c>
    </row>
    <row r="98" spans="1:2" ht="10.5" customHeight="1">
      <c r="A98" s="307">
        <v>19</v>
      </c>
      <c r="B98" s="301" t="s">
        <v>88</v>
      </c>
    </row>
    <row r="99" spans="1:2" ht="10.5" customHeight="1">
      <c r="A99" s="307">
        <v>20</v>
      </c>
      <c r="B99" s="301" t="s">
        <v>144</v>
      </c>
    </row>
    <row r="100" spans="1:2" ht="10.5" customHeight="1">
      <c r="A100" s="307"/>
      <c r="B100" s="301" t="s">
        <v>145</v>
      </c>
    </row>
    <row r="101" spans="1:2" ht="10.5" customHeight="1">
      <c r="A101" s="307">
        <v>21</v>
      </c>
      <c r="B101" s="301" t="s">
        <v>139</v>
      </c>
    </row>
    <row r="102" spans="1:2" ht="10.5" customHeight="1">
      <c r="A102" s="307">
        <v>22</v>
      </c>
      <c r="B102" s="301" t="s">
        <v>140</v>
      </c>
    </row>
    <row r="103" spans="1:2" ht="10.5" customHeight="1">
      <c r="A103" s="307">
        <v>23</v>
      </c>
      <c r="B103" s="301" t="s">
        <v>141</v>
      </c>
    </row>
    <row r="104" spans="1:2" ht="10.5" customHeight="1">
      <c r="A104" s="307">
        <v>24</v>
      </c>
      <c r="B104" s="301" t="s">
        <v>146</v>
      </c>
    </row>
    <row r="105" ht="10.5" customHeight="1">
      <c r="A105" s="307"/>
    </row>
    <row r="106" spans="1:2" ht="10.5" customHeight="1">
      <c r="A106" s="307">
        <v>25</v>
      </c>
      <c r="B106" s="301" t="s">
        <v>92</v>
      </c>
    </row>
    <row r="107" ht="10.5" customHeight="1">
      <c r="A107" s="307"/>
    </row>
    <row r="108" spans="1:2" ht="10.5" customHeight="1">
      <c r="A108" s="307">
        <v>26</v>
      </c>
      <c r="B108" s="301" t="s">
        <v>170</v>
      </c>
    </row>
    <row r="109" ht="10.5" customHeight="1">
      <c r="A109" s="307"/>
    </row>
    <row r="110" spans="1:2" ht="10.5" customHeight="1">
      <c r="A110" s="307">
        <v>27</v>
      </c>
      <c r="B110" s="301" t="s">
        <v>171</v>
      </c>
    </row>
    <row r="111" spans="1:3" ht="10.5" customHeight="1">
      <c r="A111" s="307"/>
      <c r="B111" s="325" t="s">
        <v>172</v>
      </c>
      <c r="C111" s="326">
        <f>Inputs!$D$4</f>
        <v>0.01065</v>
      </c>
    </row>
    <row r="112" ht="10.5" customHeight="1">
      <c r="A112" s="307"/>
    </row>
  </sheetData>
  <printOptions horizontalCentered="1"/>
  <pageMargins left="1" right="1" top="0.5" bottom="0.5" header="0.5" footer="0.5"/>
  <pageSetup horizontalDpi="300" verticalDpi="3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48">
      <selection activeCell="F5" sqref="F5"/>
    </sheetView>
  </sheetViews>
  <sheetFormatPr defaultColWidth="9.140625" defaultRowHeight="10.5" customHeight="1"/>
  <cols>
    <col min="1" max="1" width="5.57421875" style="328" customWidth="1"/>
    <col min="2" max="2" width="26.140625" style="328" customWidth="1"/>
    <col min="3" max="3" width="12.421875" style="328" customWidth="1"/>
    <col min="4" max="4" width="6.7109375" style="328" customWidth="1"/>
    <col min="5" max="5" width="12.421875" style="347" customWidth="1"/>
    <col min="6" max="6" width="12.421875" style="348" customWidth="1"/>
    <col min="7" max="7" width="12.421875" style="347" customWidth="1"/>
    <col min="8" max="16384" width="12.421875" style="328" customWidth="1"/>
  </cols>
  <sheetData>
    <row r="1" spans="1:7" ht="12">
      <c r="A1" s="327" t="str">
        <f>Inputs!$D$6</f>
        <v>AVISTA UTILITIES</v>
      </c>
      <c r="B1" s="327"/>
      <c r="C1" s="327"/>
      <c r="E1" s="329"/>
      <c r="F1" s="330"/>
      <c r="G1" s="329"/>
    </row>
    <row r="2" spans="1:7" ht="12">
      <c r="A2" s="327" t="s">
        <v>122</v>
      </c>
      <c r="B2" s="327"/>
      <c r="C2" s="327"/>
      <c r="E2" s="329"/>
      <c r="F2" s="331" t="s">
        <v>308</v>
      </c>
      <c r="G2" s="329"/>
    </row>
    <row r="3" spans="1:7" ht="12">
      <c r="A3" s="327" t="str">
        <f>Inputs!$D$2</f>
        <v>TWELVE MONTHS ENDED DECEMBER 31, 2004</v>
      </c>
      <c r="B3" s="327"/>
      <c r="C3" s="327"/>
      <c r="E3" s="329"/>
      <c r="F3" s="331" t="s">
        <v>174</v>
      </c>
      <c r="G3" s="328"/>
    </row>
    <row r="4" spans="1:7" ht="12">
      <c r="A4" s="327" t="s">
        <v>125</v>
      </c>
      <c r="B4" s="327"/>
      <c r="C4" s="327"/>
      <c r="E4" s="332"/>
      <c r="F4" s="333" t="s">
        <v>126</v>
      </c>
      <c r="G4" s="332"/>
    </row>
    <row r="5" spans="1:7" ht="12">
      <c r="A5" s="334" t="s">
        <v>11</v>
      </c>
      <c r="E5" s="329"/>
      <c r="F5" s="331"/>
      <c r="G5" s="329"/>
    </row>
    <row r="6" spans="1:8" ht="12">
      <c r="A6" s="335" t="s">
        <v>29</v>
      </c>
      <c r="B6" s="336" t="s">
        <v>114</v>
      </c>
      <c r="C6" s="336"/>
      <c r="E6" s="337" t="s">
        <v>127</v>
      </c>
      <c r="F6" s="338" t="s">
        <v>128</v>
      </c>
      <c r="G6" s="337" t="s">
        <v>129</v>
      </c>
      <c r="H6" s="339" t="s">
        <v>130</v>
      </c>
    </row>
    <row r="7" spans="1:7" ht="12">
      <c r="A7" s="334"/>
      <c r="B7" s="328" t="s">
        <v>69</v>
      </c>
      <c r="E7" s="340"/>
      <c r="F7" s="331"/>
      <c r="G7" s="340"/>
    </row>
    <row r="8" spans="1:8" ht="12">
      <c r="A8" s="334">
        <v>1</v>
      </c>
      <c r="B8" s="328" t="s">
        <v>131</v>
      </c>
      <c r="E8" s="341"/>
      <c r="F8" s="341"/>
      <c r="G8" s="341"/>
      <c r="H8" s="342" t="str">
        <f>IF(E8=F8+G8," ","ERROR")</f>
        <v> </v>
      </c>
    </row>
    <row r="9" spans="1:8" ht="12">
      <c r="A9" s="334">
        <v>2</v>
      </c>
      <c r="B9" s="328" t="s">
        <v>132</v>
      </c>
      <c r="E9" s="343"/>
      <c r="F9" s="343"/>
      <c r="G9" s="343"/>
      <c r="H9" s="342" t="str">
        <f>IF(E9=F9+G9," ","ERROR")</f>
        <v> </v>
      </c>
    </row>
    <row r="10" spans="1:8" ht="12">
      <c r="A10" s="334">
        <v>3</v>
      </c>
      <c r="B10" s="328" t="s">
        <v>72</v>
      </c>
      <c r="E10" s="344"/>
      <c r="F10" s="344"/>
      <c r="G10" s="344"/>
      <c r="H10" s="342" t="str">
        <f>IF(E10=F10+G10," ","ERROR")</f>
        <v> </v>
      </c>
    </row>
    <row r="11" spans="1:8" ht="12">
      <c r="A11" s="334">
        <v>4</v>
      </c>
      <c r="B11" s="328" t="s">
        <v>133</v>
      </c>
      <c r="E11" s="343">
        <f>SUM(E8:E10)</f>
        <v>0</v>
      </c>
      <c r="F11" s="343">
        <f>SUM(F8:F10)</f>
        <v>0</v>
      </c>
      <c r="G11" s="343">
        <f>SUM(G8:G10)</f>
        <v>0</v>
      </c>
      <c r="H11" s="342" t="str">
        <f>IF(E11=F11+G11," ","ERROR")</f>
        <v> </v>
      </c>
    </row>
    <row r="12" spans="1:8" ht="12">
      <c r="A12" s="334"/>
      <c r="E12" s="343"/>
      <c r="F12" s="343"/>
      <c r="G12" s="343"/>
      <c r="H12" s="342"/>
    </row>
    <row r="13" spans="1:8" ht="12">
      <c r="A13" s="334"/>
      <c r="B13" s="328" t="s">
        <v>74</v>
      </c>
      <c r="E13" s="343"/>
      <c r="F13" s="343"/>
      <c r="G13" s="343"/>
      <c r="H13" s="342"/>
    </row>
    <row r="14" spans="1:8" ht="12">
      <c r="A14" s="334">
        <v>5</v>
      </c>
      <c r="B14" s="328" t="s">
        <v>134</v>
      </c>
      <c r="E14" s="343"/>
      <c r="F14" s="343"/>
      <c r="G14" s="343"/>
      <c r="H14" s="342" t="str">
        <f>IF(E14=F14+G14," ","ERROR")</f>
        <v> </v>
      </c>
    </row>
    <row r="15" spans="1:8" ht="12">
      <c r="A15" s="334"/>
      <c r="B15" s="328" t="s">
        <v>76</v>
      </c>
      <c r="E15" s="343"/>
      <c r="F15" s="343"/>
      <c r="G15" s="343"/>
      <c r="H15" s="342"/>
    </row>
    <row r="16" spans="1:8" ht="12">
      <c r="A16" s="334">
        <v>6</v>
      </c>
      <c r="B16" s="328" t="s">
        <v>135</v>
      </c>
      <c r="E16" s="343"/>
      <c r="F16" s="343"/>
      <c r="G16" s="343"/>
      <c r="H16" s="342" t="str">
        <f>IF(E16=F16+G16," ","ERROR")</f>
        <v> </v>
      </c>
    </row>
    <row r="17" spans="1:8" ht="12">
      <c r="A17" s="334">
        <v>7</v>
      </c>
      <c r="B17" s="328" t="s">
        <v>136</v>
      </c>
      <c r="E17" s="343"/>
      <c r="F17" s="343"/>
      <c r="G17" s="343"/>
      <c r="H17" s="342" t="str">
        <f>IF(E17=F17+G17," ","ERROR")</f>
        <v> </v>
      </c>
    </row>
    <row r="18" spans="1:8" ht="12">
      <c r="A18" s="334">
        <v>8</v>
      </c>
      <c r="B18" s="328" t="s">
        <v>137</v>
      </c>
      <c r="E18" s="344"/>
      <c r="F18" s="344"/>
      <c r="G18" s="344"/>
      <c r="H18" s="342" t="str">
        <f>IF(E18=F18+G18," ","ERROR")</f>
        <v> </v>
      </c>
    </row>
    <row r="19" spans="1:8" ht="12">
      <c r="A19" s="334">
        <v>9</v>
      </c>
      <c r="B19" s="328" t="s">
        <v>138</v>
      </c>
      <c r="E19" s="343">
        <f>SUM(E16:E18)</f>
        <v>0</v>
      </c>
      <c r="F19" s="343">
        <f>SUM(F16:F18)</f>
        <v>0</v>
      </c>
      <c r="G19" s="343">
        <f>SUM(G16:G18)</f>
        <v>0</v>
      </c>
      <c r="H19" s="342" t="str">
        <f>IF(E19=F19+G19," ","ERROR")</f>
        <v> </v>
      </c>
    </row>
    <row r="20" spans="1:8" ht="12">
      <c r="A20" s="334"/>
      <c r="B20" s="328" t="s">
        <v>81</v>
      </c>
      <c r="E20" s="343"/>
      <c r="F20" s="343"/>
      <c r="G20" s="343"/>
      <c r="H20" s="342"/>
    </row>
    <row r="21" spans="1:8" ht="12">
      <c r="A21" s="334">
        <v>10</v>
      </c>
      <c r="B21" s="328" t="s">
        <v>139</v>
      </c>
      <c r="E21" s="343"/>
      <c r="F21" s="343"/>
      <c r="G21" s="343"/>
      <c r="H21" s="342" t="str">
        <f>IF(E21=F21+G21," ","ERROR")</f>
        <v> </v>
      </c>
    </row>
    <row r="22" spans="1:8" ht="12">
      <c r="A22" s="334">
        <v>11</v>
      </c>
      <c r="B22" s="328" t="s">
        <v>140</v>
      </c>
      <c r="E22" s="343"/>
      <c r="F22" s="343"/>
      <c r="G22" s="343"/>
      <c r="H22" s="342" t="str">
        <f>IF(E22=F22+G22," ","ERROR")</f>
        <v> </v>
      </c>
    </row>
    <row r="23" spans="1:8" ht="12">
      <c r="A23" s="334">
        <v>12</v>
      </c>
      <c r="B23" s="328" t="s">
        <v>141</v>
      </c>
      <c r="E23" s="344"/>
      <c r="F23" s="344"/>
      <c r="G23" s="344"/>
      <c r="H23" s="342" t="str">
        <f>IF(E23=F23+G23," ","ERROR")</f>
        <v> </v>
      </c>
    </row>
    <row r="24" spans="1:8" ht="12">
      <c r="A24" s="334">
        <v>13</v>
      </c>
      <c r="B24" s="328" t="s">
        <v>142</v>
      </c>
      <c r="E24" s="343">
        <f>SUM(E21:E23)</f>
        <v>0</v>
      </c>
      <c r="F24" s="343">
        <f>SUM(F21:F23)</f>
        <v>0</v>
      </c>
      <c r="G24" s="343">
        <f>SUM(G21:G23)</f>
        <v>0</v>
      </c>
      <c r="H24" s="342" t="str">
        <f>IF(E24=F24+G24," ","ERROR")</f>
        <v> </v>
      </c>
    </row>
    <row r="25" spans="1:8" ht="12">
      <c r="A25" s="334"/>
      <c r="B25" s="328" t="s">
        <v>85</v>
      </c>
      <c r="E25" s="343"/>
      <c r="F25" s="343"/>
      <c r="G25" s="343"/>
      <c r="H25" s="342"/>
    </row>
    <row r="26" spans="1:8" ht="12">
      <c r="A26" s="334">
        <v>14</v>
      </c>
      <c r="B26" s="328" t="s">
        <v>139</v>
      </c>
      <c r="E26" s="343"/>
      <c r="F26" s="343"/>
      <c r="G26" s="343"/>
      <c r="H26" s="342" t="str">
        <f>IF(E26=F26+G26," ","ERROR")</f>
        <v> </v>
      </c>
    </row>
    <row r="27" spans="1:8" ht="12">
      <c r="A27" s="334">
        <v>15</v>
      </c>
      <c r="B27" s="328" t="s">
        <v>140</v>
      </c>
      <c r="E27" s="343"/>
      <c r="F27" s="343"/>
      <c r="G27" s="343"/>
      <c r="H27" s="342" t="str">
        <f>IF(E27=F27+G27," ","ERROR")</f>
        <v> </v>
      </c>
    </row>
    <row r="28" spans="1:8" ht="12">
      <c r="A28" s="334">
        <v>16</v>
      </c>
      <c r="B28" s="328" t="s">
        <v>141</v>
      </c>
      <c r="E28" s="344">
        <f>F28+G28</f>
        <v>0</v>
      </c>
      <c r="F28" s="344"/>
      <c r="G28" s="344">
        <f>F111</f>
        <v>0</v>
      </c>
      <c r="H28" s="342" t="str">
        <f>IF(E28=F28+G28," ","ERROR")</f>
        <v> </v>
      </c>
    </row>
    <row r="29" spans="1:8" ht="12">
      <c r="A29" s="334">
        <v>17</v>
      </c>
      <c r="B29" s="328" t="s">
        <v>143</v>
      </c>
      <c r="E29" s="343">
        <f>SUM(E26:E28)</f>
        <v>0</v>
      </c>
      <c r="F29" s="343">
        <f>SUM(F26:F28)</f>
        <v>0</v>
      </c>
      <c r="G29" s="343">
        <f>SUM(G26:G28)</f>
        <v>0</v>
      </c>
      <c r="H29" s="342" t="str">
        <f>IF(E29=F29+G29," ","ERROR")</f>
        <v> </v>
      </c>
    </row>
    <row r="30" spans="1:8" ht="12">
      <c r="A30" s="334"/>
      <c r="E30" s="343"/>
      <c r="F30" s="343"/>
      <c r="G30" s="343"/>
      <c r="H30" s="342"/>
    </row>
    <row r="31" spans="1:8" ht="12">
      <c r="A31" s="334">
        <v>18</v>
      </c>
      <c r="B31" s="328" t="s">
        <v>87</v>
      </c>
      <c r="E31" s="343"/>
      <c r="F31" s="343"/>
      <c r="G31" s="343"/>
      <c r="H31" s="342" t="str">
        <f>IF(E31=F31+G31," ","ERROR")</f>
        <v> </v>
      </c>
    </row>
    <row r="32" spans="1:8" ht="12">
      <c r="A32" s="334">
        <v>19</v>
      </c>
      <c r="B32" s="328" t="s">
        <v>88</v>
      </c>
      <c r="E32" s="343">
        <f>F32+G32</f>
        <v>-97</v>
      </c>
      <c r="F32" s="343">
        <v>-97</v>
      </c>
      <c r="G32" s="343">
        <v>0</v>
      </c>
      <c r="H32" s="342" t="str">
        <f>IF(E32=F32+G32," ","ERROR")</f>
        <v> </v>
      </c>
    </row>
    <row r="33" spans="1:8" ht="12">
      <c r="A33" s="334">
        <v>20</v>
      </c>
      <c r="B33" s="328" t="s">
        <v>144</v>
      </c>
      <c r="E33" s="343"/>
      <c r="F33" s="343"/>
      <c r="G33" s="343"/>
      <c r="H33" s="342" t="str">
        <f>IF(E33=F33+G33," ","ERROR")</f>
        <v> </v>
      </c>
    </row>
    <row r="34" spans="1:8" ht="12">
      <c r="A34" s="334"/>
      <c r="B34" s="328" t="s">
        <v>145</v>
      </c>
      <c r="E34" s="343"/>
      <c r="F34" s="343"/>
      <c r="G34" s="343"/>
      <c r="H34" s="342"/>
    </row>
    <row r="35" spans="1:8" ht="12">
      <c r="A35" s="334">
        <v>21</v>
      </c>
      <c r="B35" s="328" t="s">
        <v>139</v>
      </c>
      <c r="E35" s="343">
        <f>F35+G35</f>
        <v>0</v>
      </c>
      <c r="F35" s="343"/>
      <c r="G35" s="343"/>
      <c r="H35" s="342" t="str">
        <f>IF(E35=F35+G35," ","ERROR")</f>
        <v> </v>
      </c>
    </row>
    <row r="36" spans="1:8" ht="12">
      <c r="A36" s="334">
        <v>22</v>
      </c>
      <c r="B36" s="328" t="s">
        <v>140</v>
      </c>
      <c r="E36" s="343"/>
      <c r="F36" s="343"/>
      <c r="G36" s="343"/>
      <c r="H36" s="342" t="str">
        <f>IF(E36=F36+G36," ","ERROR")</f>
        <v> </v>
      </c>
    </row>
    <row r="37" spans="1:8" ht="12">
      <c r="A37" s="334">
        <v>23</v>
      </c>
      <c r="B37" s="328" t="s">
        <v>141</v>
      </c>
      <c r="E37" s="344"/>
      <c r="F37" s="344"/>
      <c r="G37" s="344"/>
      <c r="H37" s="342" t="str">
        <f>IF(E37=F37+G37," ","ERROR")</f>
        <v> </v>
      </c>
    </row>
    <row r="38" spans="1:8" ht="12">
      <c r="A38" s="334">
        <v>24</v>
      </c>
      <c r="B38" s="328" t="s">
        <v>146</v>
      </c>
      <c r="E38" s="344">
        <f>SUM(E35:E37)</f>
        <v>0</v>
      </c>
      <c r="F38" s="344">
        <f>SUM(F35:F37)</f>
        <v>0</v>
      </c>
      <c r="G38" s="344">
        <f>SUM(G35:G37)</f>
        <v>0</v>
      </c>
      <c r="H38" s="342" t="str">
        <f>IF(E38=F38+G38," ","ERROR")</f>
        <v> </v>
      </c>
    </row>
    <row r="39" spans="1:8" ht="12">
      <c r="A39" s="334">
        <v>25</v>
      </c>
      <c r="B39" s="328" t="s">
        <v>92</v>
      </c>
      <c r="E39" s="344">
        <f>E19+E24+E29+E31+E32+E33+E38+E14</f>
        <v>-97</v>
      </c>
      <c r="F39" s="344">
        <f>F19+F24+F29+F31+F32+F33+F38+F14</f>
        <v>-97</v>
      </c>
      <c r="G39" s="344">
        <f>G19+G24+G29+G31+G32+G33+G38+G14</f>
        <v>0</v>
      </c>
      <c r="H39" s="342" t="str">
        <f>IF(E39=F39+G39," ","ERROR")</f>
        <v> </v>
      </c>
    </row>
    <row r="40" spans="1:8" ht="12">
      <c r="A40" s="334"/>
      <c r="E40" s="343"/>
      <c r="F40" s="343"/>
      <c r="G40" s="343"/>
      <c r="H40" s="342"/>
    </row>
    <row r="41" spans="1:8" ht="12">
      <c r="A41" s="334">
        <v>26</v>
      </c>
      <c r="B41" s="328" t="s">
        <v>147</v>
      </c>
      <c r="E41" s="343">
        <f>E11-E39</f>
        <v>97</v>
      </c>
      <c r="F41" s="343">
        <f>F11-F39</f>
        <v>97</v>
      </c>
      <c r="G41" s="343">
        <f>G11-G39</f>
        <v>0</v>
      </c>
      <c r="H41" s="342" t="str">
        <f>IF(E41=F41+G41," ","ERROR")</f>
        <v> </v>
      </c>
    </row>
    <row r="42" spans="1:8" ht="12">
      <c r="A42" s="334"/>
      <c r="E42" s="343"/>
      <c r="F42" s="343"/>
      <c r="G42" s="343"/>
      <c r="H42" s="342"/>
    </row>
    <row r="43" spans="1:8" ht="12">
      <c r="A43" s="334"/>
      <c r="B43" s="328" t="s">
        <v>148</v>
      </c>
      <c r="E43" s="343"/>
      <c r="F43" s="343"/>
      <c r="G43" s="343"/>
      <c r="H43" s="342"/>
    </row>
    <row r="44" spans="1:8" ht="12">
      <c r="A44" s="334">
        <v>27</v>
      </c>
      <c r="B44" s="345" t="s">
        <v>149</v>
      </c>
      <c r="D44" s="346">
        <v>0.35</v>
      </c>
      <c r="E44" s="343">
        <f>F44+G44</f>
        <v>34</v>
      </c>
      <c r="F44" s="343">
        <f>ROUND(F41*D44,0)</f>
        <v>34</v>
      </c>
      <c r="G44" s="343">
        <f>ROUND(G41*D44,0)</f>
        <v>0</v>
      </c>
      <c r="H44" s="342" t="str">
        <f>IF(E44=F44+G44," ","ERROR")</f>
        <v> </v>
      </c>
    </row>
    <row r="45" spans="1:8" ht="12">
      <c r="A45" s="334">
        <v>28</v>
      </c>
      <c r="B45" s="328" t="s">
        <v>151</v>
      </c>
      <c r="E45" s="343"/>
      <c r="F45" s="343"/>
      <c r="G45" s="343"/>
      <c r="H45" s="342" t="str">
        <f>IF(E45=F45+G45," ","ERROR")</f>
        <v> </v>
      </c>
    </row>
    <row r="46" spans="1:8" ht="12">
      <c r="A46" s="334">
        <v>29</v>
      </c>
      <c r="B46" s="328" t="s">
        <v>150</v>
      </c>
      <c r="E46" s="344"/>
      <c r="F46" s="344"/>
      <c r="G46" s="344"/>
      <c r="H46" s="342" t="str">
        <f>IF(E46=F46+G46," ","ERROR")</f>
        <v> </v>
      </c>
    </row>
    <row r="47" spans="1:8" ht="12">
      <c r="A47" s="334"/>
      <c r="H47" s="342"/>
    </row>
    <row r="48" spans="1:8" ht="12.75" thickBot="1">
      <c r="A48" s="334">
        <v>30</v>
      </c>
      <c r="B48" s="349" t="s">
        <v>98</v>
      </c>
      <c r="E48" s="350">
        <f>E41-(+E44+E45+E46)</f>
        <v>63</v>
      </c>
      <c r="F48" s="350">
        <f>F41-F44+F45+F46</f>
        <v>63</v>
      </c>
      <c r="G48" s="350">
        <f>G41-SUM(G44:G46)</f>
        <v>0</v>
      </c>
      <c r="H48" s="342" t="str">
        <f>IF(E48=F48+G48," ","ERROR")</f>
        <v> </v>
      </c>
    </row>
    <row r="49" spans="1:8" ht="12.75" thickTop="1">
      <c r="A49" s="334"/>
      <c r="H49" s="342"/>
    </row>
    <row r="50" spans="1:8" ht="12">
      <c r="A50" s="334"/>
      <c r="B50" s="345" t="s">
        <v>152</v>
      </c>
      <c r="H50" s="342"/>
    </row>
    <row r="51" spans="1:8" ht="12">
      <c r="A51" s="334"/>
      <c r="B51" s="345" t="s">
        <v>153</v>
      </c>
      <c r="H51" s="342"/>
    </row>
    <row r="52" spans="1:8" ht="12">
      <c r="A52" s="334">
        <v>31</v>
      </c>
      <c r="B52" s="328" t="s">
        <v>154</v>
      </c>
      <c r="E52" s="341"/>
      <c r="F52" s="341"/>
      <c r="G52" s="341"/>
      <c r="H52" s="342" t="str">
        <f aca="true" t="shared" si="0" ref="H52:H63">IF(E52=F52+G52," ","ERROR")</f>
        <v> </v>
      </c>
    </row>
    <row r="53" spans="1:8" ht="12">
      <c r="A53" s="334">
        <v>32</v>
      </c>
      <c r="B53" s="328" t="s">
        <v>155</v>
      </c>
      <c r="E53" s="343">
        <f>F53+G53</f>
        <v>1120</v>
      </c>
      <c r="F53" s="343">
        <v>1120</v>
      </c>
      <c r="G53" s="343"/>
      <c r="H53" s="342" t="str">
        <f t="shared" si="0"/>
        <v> </v>
      </c>
    </row>
    <row r="54" spans="1:8" ht="12">
      <c r="A54" s="334">
        <v>33</v>
      </c>
      <c r="B54" s="328" t="s">
        <v>164</v>
      </c>
      <c r="E54" s="344"/>
      <c r="F54" s="344"/>
      <c r="G54" s="344"/>
      <c r="H54" s="342" t="str">
        <f t="shared" si="0"/>
        <v> </v>
      </c>
    </row>
    <row r="55" spans="1:8" ht="12">
      <c r="A55" s="334">
        <v>34</v>
      </c>
      <c r="B55" s="328" t="s">
        <v>157</v>
      </c>
      <c r="E55" s="343">
        <f>SUM(E52:E54)</f>
        <v>1120</v>
      </c>
      <c r="F55" s="343">
        <f>SUM(F52:F54)</f>
        <v>1120</v>
      </c>
      <c r="G55" s="343">
        <f>SUM(G52:G54)</f>
        <v>0</v>
      </c>
      <c r="H55" s="342" t="str">
        <f t="shared" si="0"/>
        <v> </v>
      </c>
    </row>
    <row r="56" spans="1:8" ht="12">
      <c r="A56" s="334"/>
      <c r="B56" s="328" t="s">
        <v>103</v>
      </c>
      <c r="E56" s="343"/>
      <c r="F56" s="343"/>
      <c r="G56" s="343"/>
      <c r="H56" s="342" t="str">
        <f t="shared" si="0"/>
        <v> </v>
      </c>
    </row>
    <row r="57" spans="1:8" ht="12">
      <c r="A57" s="334">
        <v>35</v>
      </c>
      <c r="B57" s="328" t="s">
        <v>154</v>
      </c>
      <c r="E57" s="343"/>
      <c r="F57" s="343"/>
      <c r="G57" s="343"/>
      <c r="H57" s="342" t="str">
        <f t="shared" si="0"/>
        <v> </v>
      </c>
    </row>
    <row r="58" spans="1:8" ht="12">
      <c r="A58" s="334">
        <v>36</v>
      </c>
      <c r="B58" s="328" t="s">
        <v>155</v>
      </c>
      <c r="E58" s="343"/>
      <c r="F58" s="343"/>
      <c r="G58" s="343"/>
      <c r="H58" s="342" t="str">
        <f t="shared" si="0"/>
        <v> </v>
      </c>
    </row>
    <row r="59" spans="1:8" ht="12">
      <c r="A59" s="334">
        <v>37</v>
      </c>
      <c r="B59" s="328" t="s">
        <v>164</v>
      </c>
      <c r="E59" s="344">
        <f>F59+G59</f>
        <v>0</v>
      </c>
      <c r="F59" s="344"/>
      <c r="G59" s="344"/>
      <c r="H59" s="342" t="str">
        <f t="shared" si="0"/>
        <v> </v>
      </c>
    </row>
    <row r="60" spans="1:8" ht="12">
      <c r="A60" s="334">
        <v>38</v>
      </c>
      <c r="B60" s="328" t="s">
        <v>158</v>
      </c>
      <c r="E60" s="343">
        <f>SUM(E57:E59)</f>
        <v>0</v>
      </c>
      <c r="F60" s="343">
        <f>SUM(F57:F59)</f>
        <v>0</v>
      </c>
      <c r="G60" s="343">
        <f>SUM(G57:G59)</f>
        <v>0</v>
      </c>
      <c r="H60" s="342" t="str">
        <f t="shared" si="0"/>
        <v> </v>
      </c>
    </row>
    <row r="61" spans="1:8" ht="12">
      <c r="A61" s="334">
        <v>39</v>
      </c>
      <c r="B61" s="345" t="s">
        <v>159</v>
      </c>
      <c r="E61" s="343"/>
      <c r="F61" s="343"/>
      <c r="G61" s="343"/>
      <c r="H61" s="342" t="str">
        <f t="shared" si="0"/>
        <v> </v>
      </c>
    </row>
    <row r="62" spans="1:8" ht="12">
      <c r="A62" s="334">
        <v>40</v>
      </c>
      <c r="B62" s="328" t="s">
        <v>106</v>
      </c>
      <c r="E62" s="343"/>
      <c r="F62" s="343"/>
      <c r="G62" s="343"/>
      <c r="H62" s="342" t="str">
        <f t="shared" si="0"/>
        <v> </v>
      </c>
    </row>
    <row r="63" spans="1:8" ht="12">
      <c r="A63" s="334">
        <v>41</v>
      </c>
      <c r="B63" s="345" t="s">
        <v>107</v>
      </c>
      <c r="E63" s="344"/>
      <c r="F63" s="344"/>
      <c r="G63" s="344"/>
      <c r="H63" s="342" t="str">
        <f t="shared" si="0"/>
        <v> </v>
      </c>
    </row>
    <row r="64" spans="1:8" ht="9" customHeight="1">
      <c r="A64" s="334"/>
      <c r="B64" s="328" t="s">
        <v>160</v>
      </c>
      <c r="H64" s="342"/>
    </row>
    <row r="65" spans="1:8" ht="12.75" thickBot="1">
      <c r="A65" s="334">
        <v>42</v>
      </c>
      <c r="B65" s="349" t="s">
        <v>108</v>
      </c>
      <c r="E65" s="350">
        <f>E55-E60+E61+E62+E63</f>
        <v>1120</v>
      </c>
      <c r="F65" s="350">
        <f>F55-F60+F61+F62+F63</f>
        <v>1120</v>
      </c>
      <c r="G65" s="350">
        <f>G55-G60+G61+G62+G63</f>
        <v>0</v>
      </c>
      <c r="H65" s="342" t="str">
        <f>IF(E65=F65+G65," ","ERROR")</f>
        <v> </v>
      </c>
    </row>
    <row r="66" spans="1:7" ht="12.75" thickTop="1">
      <c r="A66" s="327" t="str">
        <f>Inputs!$D$6</f>
        <v>AVISTA UTILITIES</v>
      </c>
      <c r="B66" s="327"/>
      <c r="C66" s="327"/>
      <c r="G66" s="328"/>
    </row>
    <row r="67" spans="1:7" ht="12">
      <c r="A67" s="327" t="s">
        <v>168</v>
      </c>
      <c r="B67" s="327"/>
      <c r="C67" s="327"/>
      <c r="G67" s="328"/>
    </row>
    <row r="68" spans="1:7" ht="12">
      <c r="A68" s="327" t="str">
        <f>A3</f>
        <v>TWELVE MONTHS ENDED DECEMBER 31, 2004</v>
      </c>
      <c r="B68" s="327"/>
      <c r="C68" s="327"/>
      <c r="F68" s="331" t="str">
        <f>F2</f>
        <v>PRO FORMA</v>
      </c>
      <c r="G68" s="328"/>
    </row>
    <row r="69" spans="1:7" ht="12">
      <c r="A69" s="327" t="s">
        <v>169</v>
      </c>
      <c r="B69" s="327"/>
      <c r="C69" s="327"/>
      <c r="F69" s="331" t="str">
        <f>F3</f>
        <v>DSM INVESTMENT</v>
      </c>
      <c r="G69" s="328"/>
    </row>
    <row r="70" spans="5:7" ht="12">
      <c r="E70" s="351"/>
      <c r="F70" s="338" t="str">
        <f>F4</f>
        <v>GAS</v>
      </c>
      <c r="G70" s="352"/>
    </row>
    <row r="71" spans="1:6" ht="12">
      <c r="A71" s="334" t="s">
        <v>11</v>
      </c>
      <c r="F71" s="331"/>
    </row>
    <row r="72" spans="1:6" ht="12">
      <c r="A72" s="353" t="s">
        <v>29</v>
      </c>
      <c r="B72" s="336" t="s">
        <v>114</v>
      </c>
      <c r="C72" s="336"/>
      <c r="F72" s="338" t="s">
        <v>129</v>
      </c>
    </row>
    <row r="73" spans="1:7" ht="12">
      <c r="A73" s="334"/>
      <c r="B73" s="328" t="s">
        <v>69</v>
      </c>
      <c r="E73" s="328"/>
      <c r="G73" s="328"/>
    </row>
    <row r="74" spans="1:7" ht="12">
      <c r="A74" s="334">
        <v>1</v>
      </c>
      <c r="B74" s="328" t="s">
        <v>131</v>
      </c>
      <c r="E74" s="328"/>
      <c r="F74" s="341">
        <f>G8</f>
        <v>0</v>
      </c>
      <c r="G74" s="328"/>
    </row>
    <row r="75" spans="1:7" ht="12">
      <c r="A75" s="334">
        <v>2</v>
      </c>
      <c r="B75" s="328" t="s">
        <v>132</v>
      </c>
      <c r="E75" s="328"/>
      <c r="F75" s="343">
        <f>G9</f>
        <v>0</v>
      </c>
      <c r="G75" s="328"/>
    </row>
    <row r="76" spans="1:7" ht="12">
      <c r="A76" s="334">
        <v>3</v>
      </c>
      <c r="B76" s="328" t="s">
        <v>72</v>
      </c>
      <c r="E76" s="328"/>
      <c r="F76" s="344">
        <f>G10</f>
        <v>0</v>
      </c>
      <c r="G76" s="328"/>
    </row>
    <row r="77" spans="1:7" ht="12">
      <c r="A77" s="334"/>
      <c r="E77" s="328"/>
      <c r="F77" s="343"/>
      <c r="G77" s="328"/>
    </row>
    <row r="78" spans="1:7" ht="12">
      <c r="A78" s="334">
        <v>4</v>
      </c>
      <c r="B78" s="328" t="s">
        <v>133</v>
      </c>
      <c r="E78" s="328"/>
      <c r="F78" s="343">
        <f>F74+F75+F76</f>
        <v>0</v>
      </c>
      <c r="G78" s="328"/>
    </row>
    <row r="79" spans="1:7" ht="12">
      <c r="A79" s="334"/>
      <c r="E79" s="328"/>
      <c r="F79" s="343"/>
      <c r="G79" s="328"/>
    </row>
    <row r="80" spans="1:7" ht="12">
      <c r="A80" s="334"/>
      <c r="B80" s="328" t="s">
        <v>74</v>
      </c>
      <c r="E80" s="328"/>
      <c r="F80" s="343"/>
      <c r="G80" s="328"/>
    </row>
    <row r="81" spans="1:7" ht="12">
      <c r="A81" s="334">
        <v>5</v>
      </c>
      <c r="B81" s="328" t="s">
        <v>134</v>
      </c>
      <c r="E81" s="328"/>
      <c r="F81" s="343">
        <f>G14</f>
        <v>0</v>
      </c>
      <c r="G81" s="328"/>
    </row>
    <row r="82" spans="1:7" ht="12">
      <c r="A82" s="334"/>
      <c r="B82" s="328" t="s">
        <v>76</v>
      </c>
      <c r="E82" s="328"/>
      <c r="F82" s="343"/>
      <c r="G82" s="328"/>
    </row>
    <row r="83" spans="1:7" ht="12">
      <c r="A83" s="334">
        <v>6</v>
      </c>
      <c r="B83" s="328" t="s">
        <v>135</v>
      </c>
      <c r="E83" s="328"/>
      <c r="F83" s="343">
        <f>G16</f>
        <v>0</v>
      </c>
      <c r="G83" s="328"/>
    </row>
    <row r="84" spans="1:7" ht="12">
      <c r="A84" s="334">
        <v>7</v>
      </c>
      <c r="B84" s="328" t="s">
        <v>136</v>
      </c>
      <c r="E84" s="328"/>
      <c r="F84" s="343">
        <f>G17</f>
        <v>0</v>
      </c>
      <c r="G84" s="328"/>
    </row>
    <row r="85" spans="1:7" ht="12">
      <c r="A85" s="334">
        <v>8</v>
      </c>
      <c r="B85" s="328" t="s">
        <v>137</v>
      </c>
      <c r="E85" s="328"/>
      <c r="F85" s="344">
        <f>G18</f>
        <v>0</v>
      </c>
      <c r="G85" s="328"/>
    </row>
    <row r="86" spans="1:7" ht="12">
      <c r="A86" s="334">
        <v>9</v>
      </c>
      <c r="B86" s="328" t="s">
        <v>138</v>
      </c>
      <c r="E86" s="328"/>
      <c r="F86" s="343">
        <f>F83+F84+F85</f>
        <v>0</v>
      </c>
      <c r="G86" s="328"/>
    </row>
    <row r="87" spans="1:7" ht="12">
      <c r="A87" s="334"/>
      <c r="B87" s="328" t="s">
        <v>81</v>
      </c>
      <c r="E87" s="328"/>
      <c r="F87" s="343"/>
      <c r="G87" s="328"/>
    </row>
    <row r="88" spans="1:7" ht="12">
      <c r="A88" s="334">
        <v>10</v>
      </c>
      <c r="B88" s="328" t="s">
        <v>139</v>
      </c>
      <c r="E88" s="328"/>
      <c r="F88" s="343">
        <f>G21</f>
        <v>0</v>
      </c>
      <c r="G88" s="328"/>
    </row>
    <row r="89" spans="1:7" ht="12">
      <c r="A89" s="334">
        <v>11</v>
      </c>
      <c r="B89" s="328" t="s">
        <v>140</v>
      </c>
      <c r="E89" s="328"/>
      <c r="F89" s="343">
        <f>G22</f>
        <v>0</v>
      </c>
      <c r="G89" s="328"/>
    </row>
    <row r="90" spans="1:7" ht="12">
      <c r="A90" s="334">
        <v>12</v>
      </c>
      <c r="B90" s="328" t="s">
        <v>141</v>
      </c>
      <c r="E90" s="328"/>
      <c r="F90" s="344">
        <f>G23</f>
        <v>0</v>
      </c>
      <c r="G90" s="328"/>
    </row>
    <row r="91" spans="1:7" ht="12">
      <c r="A91" s="334">
        <v>13</v>
      </c>
      <c r="B91" s="328" t="s">
        <v>142</v>
      </c>
      <c r="E91" s="328"/>
      <c r="F91" s="343">
        <f>F88+F89+F90</f>
        <v>0</v>
      </c>
      <c r="G91" s="328"/>
    </row>
    <row r="92" spans="1:7" ht="12">
      <c r="A92" s="334"/>
      <c r="B92" s="328" t="s">
        <v>85</v>
      </c>
      <c r="E92" s="328"/>
      <c r="F92" s="343"/>
      <c r="G92" s="328"/>
    </row>
    <row r="93" spans="1:7" ht="12">
      <c r="A93" s="334">
        <v>14</v>
      </c>
      <c r="B93" s="328" t="s">
        <v>139</v>
      </c>
      <c r="E93" s="328"/>
      <c r="F93" s="343">
        <f>G26</f>
        <v>0</v>
      </c>
      <c r="G93" s="328"/>
    </row>
    <row r="94" spans="1:7" ht="12">
      <c r="A94" s="334">
        <v>15</v>
      </c>
      <c r="B94" s="328" t="s">
        <v>140</v>
      </c>
      <c r="E94" s="328"/>
      <c r="F94" s="343">
        <f>G27</f>
        <v>0</v>
      </c>
      <c r="G94" s="328"/>
    </row>
    <row r="95" spans="1:7" ht="12">
      <c r="A95" s="334">
        <v>16</v>
      </c>
      <c r="B95" s="328" t="s">
        <v>141</v>
      </c>
      <c r="E95" s="328"/>
      <c r="F95" s="344"/>
      <c r="G95" s="328"/>
    </row>
    <row r="96" spans="1:7" ht="12">
      <c r="A96" s="334">
        <v>17</v>
      </c>
      <c r="B96" s="328" t="s">
        <v>143</v>
      </c>
      <c r="E96" s="328"/>
      <c r="F96" s="343">
        <f>F93+F94+F95</f>
        <v>0</v>
      </c>
      <c r="G96" s="328"/>
    </row>
    <row r="97" spans="1:7" ht="12">
      <c r="A97" s="334">
        <v>18</v>
      </c>
      <c r="B97" s="328" t="s">
        <v>87</v>
      </c>
      <c r="E97" s="328"/>
      <c r="F97" s="343">
        <f>G31</f>
        <v>0</v>
      </c>
      <c r="G97" s="328"/>
    </row>
    <row r="98" spans="1:7" ht="12">
      <c r="A98" s="334">
        <v>19</v>
      </c>
      <c r="B98" s="328" t="s">
        <v>88</v>
      </c>
      <c r="E98" s="328"/>
      <c r="F98" s="343">
        <f>G32</f>
        <v>0</v>
      </c>
      <c r="G98" s="328"/>
    </row>
    <row r="99" spans="1:7" ht="12">
      <c r="A99" s="334">
        <v>20</v>
      </c>
      <c r="B99" s="328" t="s">
        <v>144</v>
      </c>
      <c r="E99" s="328"/>
      <c r="F99" s="343">
        <f>G33</f>
        <v>0</v>
      </c>
      <c r="G99" s="328"/>
    </row>
    <row r="100" spans="1:7" ht="12">
      <c r="A100" s="334"/>
      <c r="B100" s="328" t="s">
        <v>145</v>
      </c>
      <c r="E100" s="328"/>
      <c r="F100" s="343"/>
      <c r="G100" s="328"/>
    </row>
    <row r="101" spans="1:7" ht="12">
      <c r="A101" s="334">
        <v>21</v>
      </c>
      <c r="B101" s="328" t="s">
        <v>139</v>
      </c>
      <c r="E101" s="328"/>
      <c r="F101" s="343">
        <f>G35</f>
        <v>0</v>
      </c>
      <c r="G101" s="328"/>
    </row>
    <row r="102" spans="1:7" ht="12">
      <c r="A102" s="334">
        <v>22</v>
      </c>
      <c r="B102" s="328" t="s">
        <v>140</v>
      </c>
      <c r="E102" s="328"/>
      <c r="F102" s="343">
        <f>G36</f>
        <v>0</v>
      </c>
      <c r="G102" s="328"/>
    </row>
    <row r="103" spans="1:7" ht="12">
      <c r="A103" s="334">
        <v>23</v>
      </c>
      <c r="B103" s="328" t="s">
        <v>141</v>
      </c>
      <c r="E103" s="328"/>
      <c r="F103" s="344">
        <f>G37</f>
        <v>0</v>
      </c>
      <c r="G103" s="328"/>
    </row>
    <row r="104" spans="1:7" ht="12">
      <c r="A104" s="334">
        <v>24</v>
      </c>
      <c r="B104" s="328" t="s">
        <v>146</v>
      </c>
      <c r="E104" s="328"/>
      <c r="F104" s="344">
        <f>F101+F102+F103</f>
        <v>0</v>
      </c>
      <c r="G104" s="328"/>
    </row>
    <row r="105" spans="1:7" ht="12">
      <c r="A105" s="334"/>
      <c r="E105" s="328"/>
      <c r="F105" s="343"/>
      <c r="G105" s="328"/>
    </row>
    <row r="106" spans="1:7" ht="12">
      <c r="A106" s="334">
        <v>25</v>
      </c>
      <c r="B106" s="328" t="s">
        <v>92</v>
      </c>
      <c r="E106" s="328"/>
      <c r="F106" s="344">
        <f>F104+F99+F98+F97+F96+F91+F86+F81</f>
        <v>0</v>
      </c>
      <c r="G106" s="328"/>
    </row>
    <row r="107" spans="1:7" ht="12">
      <c r="A107" s="334"/>
      <c r="E107" s="328"/>
      <c r="F107" s="343"/>
      <c r="G107" s="328"/>
    </row>
    <row r="108" spans="1:7" ht="12">
      <c r="A108" s="334">
        <v>26</v>
      </c>
      <c r="B108" s="328" t="s">
        <v>170</v>
      </c>
      <c r="E108" s="328"/>
      <c r="F108" s="344">
        <f>F78-F106</f>
        <v>0</v>
      </c>
      <c r="G108" s="328"/>
    </row>
    <row r="109" spans="1:7" ht="12">
      <c r="A109" s="334"/>
      <c r="E109" s="328"/>
      <c r="G109" s="328"/>
    </row>
    <row r="110" spans="1:7" ht="12">
      <c r="A110" s="334">
        <v>27</v>
      </c>
      <c r="B110" s="328" t="s">
        <v>171</v>
      </c>
      <c r="G110" s="328"/>
    </row>
    <row r="111" spans="1:7" ht="12.75" thickBot="1">
      <c r="A111" s="334"/>
      <c r="B111" s="354" t="s">
        <v>172</v>
      </c>
      <c r="C111" s="355">
        <f>Inputs!$D$4</f>
        <v>0.01065</v>
      </c>
      <c r="F111" s="350">
        <f>ROUND(F108*C111,0)</f>
        <v>0</v>
      </c>
      <c r="G111" s="328"/>
    </row>
    <row r="112" spans="1:7" ht="12.75" thickTop="1">
      <c r="A112" s="334"/>
      <c r="G112" s="328"/>
    </row>
  </sheetData>
  <printOptions horizontalCentered="1"/>
  <pageMargins left="1" right="1" top="0.74" bottom="0.5" header="0.5" footer="0.5"/>
  <pageSetup horizontalDpi="300" verticalDpi="300" orientation="portrait" scale="90" r:id="rId1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Falkner</cp:lastModifiedBy>
  <cp:lastPrinted>2005-03-23T00:40:43Z</cp:lastPrinted>
  <dcterms:created xsi:type="dcterms:W3CDTF">1997-05-15T21:41:44Z</dcterms:created>
  <dcterms:modified xsi:type="dcterms:W3CDTF">2005-09-13T21:49:24Z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