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521" windowWidth="7650" windowHeight="8715" tabRatio="793" activeTab="0"/>
  </bookViews>
  <sheets>
    <sheet name="WAElec12_04" sheetId="1" r:id="rId1"/>
    <sheet name="PFRstmtSheet" sheetId="2" r:id="rId2"/>
    <sheet name="SYSElec12_04" sheetId="3" r:id="rId3"/>
    <sheet name="ResultSumEl" sheetId="4" r:id="rId4"/>
    <sheet name="DFITWaEl" sheetId="5" r:id="rId5"/>
    <sheet name="DFITIdEl" sheetId="6" r:id="rId6"/>
    <sheet name="BldGain" sheetId="7" r:id="rId7"/>
    <sheet name="ColstripAFUDC" sheetId="8" r:id="rId8"/>
    <sheet name="ColstripCommon" sheetId="9" r:id="rId9"/>
    <sheet name="KFSumm" sheetId="10" r:id="rId10"/>
    <sheet name="CustAdv" sheetId="11" r:id="rId11"/>
    <sheet name="SettleEx" sheetId="12" r:id="rId12"/>
    <sheet name="HydroRel" sheetId="13" r:id="rId13"/>
    <sheet name="BandO" sheetId="14" r:id="rId14"/>
    <sheet name="PropTax" sheetId="15" r:id="rId15"/>
    <sheet name="UncollExp" sheetId="16" r:id="rId16"/>
    <sheet name="RegExp" sheetId="17" r:id="rId17"/>
    <sheet name="InjDam" sheetId="18" r:id="rId18"/>
    <sheet name="FIT" sheetId="19" r:id="rId19"/>
    <sheet name="ElimPowerCost" sheetId="20" r:id="rId20"/>
    <sheet name="NezPerce" sheetId="21" r:id="rId21"/>
    <sheet name="PayClear" sheetId="22" r:id="rId22"/>
    <sheet name="CS2" sheetId="23" r:id="rId23"/>
    <sheet name="WAPGE" sheetId="24" r:id="rId24"/>
    <sheet name="ElimAR" sheetId="25" r:id="rId25"/>
    <sheet name="SubSpace" sheetId="26" r:id="rId26"/>
    <sheet name="XFranchTax" sheetId="27" r:id="rId27"/>
    <sheet name="WARevAdj" sheetId="28" r:id="rId28"/>
    <sheet name="MiscTariffs" sheetId="29" r:id="rId29"/>
    <sheet name="Depr" sheetId="30" r:id="rId30"/>
    <sheet name="Incent" sheetId="31" r:id="rId31"/>
    <sheet name="DebtInt" sheetId="32" r:id="rId32"/>
    <sheet name="PFPSWA" sheetId="33" r:id="rId33"/>
    <sheet name="PFPension" sheetId="34" r:id="rId34"/>
    <sheet name="PFIns" sheetId="35" r:id="rId35"/>
    <sheet name="PFLabor" sheetId="36" r:id="rId36"/>
    <sheet name="PFExec" sheetId="37" r:id="rId37"/>
    <sheet name="PFVeg" sheetId="38" r:id="rId38"/>
    <sheet name="PFTransm" sheetId="39" r:id="rId39"/>
    <sheet name="PFCabinet" sheetId="40" r:id="rId40"/>
    <sheet name="PFSkook" sheetId="41" r:id="rId41"/>
    <sheet name="PFCanSmGen" sheetId="42" r:id="rId42"/>
    <sheet name="ProdTaxCr" sheetId="43" r:id="rId43"/>
    <sheet name="PFAlloc" sheetId="44" r:id="rId44"/>
    <sheet name="Inputs" sheetId="45" r:id="rId45"/>
    <sheet name="DebtCalc" sheetId="46" r:id="rId46"/>
    <sheet name="CWIPAllocDebt" sheetId="47" r:id="rId47"/>
    <sheet name="ExhDMF1" sheetId="48" r:id="rId48"/>
    <sheet name="RevReq_Exh" sheetId="49" r:id="rId49"/>
    <sheet name="ConverFac_Exh" sheetId="50" r:id="rId50"/>
    <sheet name="Proposed Rates" sheetId="51" r:id="rId51"/>
  </sheets>
  <definedNames>
    <definedName name="ID_Elec">'DebtCalc'!$A$82:$F$161</definedName>
    <definedName name="ID_Gas">'DebtCalc'!#REF!</definedName>
    <definedName name="_xlnm.Print_Area" localSheetId="13">'BandO'!$A$1:$G$110</definedName>
    <definedName name="_xlnm.Print_Area" localSheetId="6">'BldGain'!$A$1:$G$63</definedName>
    <definedName name="_xlnm.Print_Area" localSheetId="7">'ColstripAFUDC'!$A$1:$G$63</definedName>
    <definedName name="_xlnm.Print_Area" localSheetId="8">'ColstripCommon'!$A$1:$G$63</definedName>
    <definedName name="_xlnm.Print_Area" localSheetId="49">'ConverFac_Exh'!$A$1:$E$27</definedName>
    <definedName name="_xlnm.Print_Area" localSheetId="22">'CS2'!$A$1:$G$63</definedName>
    <definedName name="_xlnm.Print_Area" localSheetId="10">'CustAdv'!$A$1:$G$63</definedName>
    <definedName name="_xlnm.Print_Area" localSheetId="46">'CWIPAllocDebt'!$A$1:$W$99,'CWIPAllocDebt'!$X$1:$AC$16</definedName>
    <definedName name="_xlnm.Print_Area" localSheetId="45">'DebtCalc'!$A$1:$F$161</definedName>
    <definedName name="_xlnm.Print_Area" localSheetId="31">'DebtInt'!$A$1:$G$110</definedName>
    <definedName name="_xlnm.Print_Area" localSheetId="29">'Depr'!$A$1:$G$64</definedName>
    <definedName name="_xlnm.Print_Area" localSheetId="5">'DFITIdEl'!$A$1:$G$63</definedName>
    <definedName name="_xlnm.Print_Area" localSheetId="4">'DFITWaEl'!$A$1:$G$63</definedName>
    <definedName name="_xlnm.Print_Area" localSheetId="24">'ElimAR'!$A$1:$G$63</definedName>
    <definedName name="_xlnm.Print_Area" localSheetId="19">'ElimPowerCost'!$A$1:$G$65</definedName>
    <definedName name="_xlnm.Print_Area" localSheetId="18">'FIT'!$A$1:$G$63</definedName>
    <definedName name="_xlnm.Print_Area" localSheetId="12">'HydroRel'!$A$1:$G$110</definedName>
    <definedName name="_xlnm.Print_Area" localSheetId="17">'InjDam'!$A$1:$G$110</definedName>
    <definedName name="_xlnm.Print_Area" localSheetId="9">'KFSumm'!$A$1:$G$63</definedName>
    <definedName name="_xlnm.Print_Area" localSheetId="28">'MiscTariffs'!$A$1:$G$64</definedName>
    <definedName name="_xlnm.Print_Area" localSheetId="20">'NezPerce'!$A$1:$G$110</definedName>
    <definedName name="_xlnm.Print_Area" localSheetId="21">'PayClear'!$A$1:$G$111</definedName>
    <definedName name="_xlnm.Print_Area" localSheetId="43">'PFAlloc'!$A$1:$G$64</definedName>
    <definedName name="_xlnm.Print_Area" localSheetId="41">'PFCanSmGen'!$A$1:$G$64</definedName>
    <definedName name="_xlnm.Print_Area" localSheetId="33">'PFPension'!$A$1:$G$112</definedName>
    <definedName name="_xlnm.Print_Area" localSheetId="32">'PFPSWA'!$A$1:$G$65</definedName>
    <definedName name="_xlnm.Print_Area" localSheetId="1">'PFRstmtSheet'!$A$1:$J$62</definedName>
    <definedName name="_xlnm.Print_Area" localSheetId="42">'ProdTaxCr'!$A$1:$G$64</definedName>
    <definedName name="_xlnm.Print_Area" localSheetId="50">'Proposed Rates'!$A$1:$K$72</definedName>
    <definedName name="_xlnm.Print_Area" localSheetId="14">'PropTax'!$A$1:$G$110</definedName>
    <definedName name="_xlnm.Print_Area" localSheetId="16">'RegExp'!$A$1:$G$110</definedName>
    <definedName name="_xlnm.Print_Area" localSheetId="3">'ResultSumEl'!$A$1:$G$63</definedName>
    <definedName name="_xlnm.Print_Area" localSheetId="48">'RevReq_Exh'!$A$1:$E$25</definedName>
    <definedName name="_xlnm.Print_Area" localSheetId="11">'SettleEx'!$A$1:$G$63</definedName>
    <definedName name="_xlnm.Print_Area" localSheetId="25">'SubSpace'!$A$1:$G$63</definedName>
    <definedName name="_xlnm.Print_Area" localSheetId="2">'SYSElec12_04'!$E$11:$AT$73</definedName>
    <definedName name="_xlnm.Print_Area" localSheetId="15">'UncollExp'!$A$1:$G$110</definedName>
    <definedName name="_xlnm.Print_Area" localSheetId="0">'WAElec12_04'!$A$1:$AV$69</definedName>
    <definedName name="_xlnm.Print_Area" localSheetId="23">'WAPGE'!$A$1:$G$64</definedName>
    <definedName name="_xlnm.Print_Area" localSheetId="27">'WARevAdj'!$A$1:$G$63</definedName>
    <definedName name="_xlnm.Print_Area" localSheetId="26">'XFranchTax'!$A$1:$G$63</definedName>
    <definedName name="Print_for_CBReport">'PFRstmtSheet'!$A$1:$H$62</definedName>
    <definedName name="Print_for_Checking">'PFRstmtSheet'!$A$1:'PFRstmtSheet'!#REF!</definedName>
    <definedName name="_xlnm.Print_Titles" localSheetId="46">'CWIPAllocDebt'!$1:$4</definedName>
    <definedName name="_xlnm.Print_Titles" localSheetId="2">'SYSElec12_04'!$1:$10,'SYSElec12_04'!$A:$D</definedName>
    <definedName name="_xlnm.Print_Titles" localSheetId="0">'WAElec12_04'!$A:$D,'WAElec12_04'!$1:$10</definedName>
    <definedName name="proforma" localSheetId="2">'SYSElec12_04'!$E$11:$AT$73</definedName>
    <definedName name="restated" localSheetId="2">'SYSElec12_04'!$E$11:$AI$73</definedName>
    <definedName name="Summary">'CWIPAllocDebt'!$AD$1:$AJ$16</definedName>
    <definedName name="WA_Elec">'DebtCalc'!$A$1:$F$81</definedName>
    <definedName name="WA_Gas">'DebtCalc'!#REF!</definedName>
    <definedName name="Z_6E1B8C45_B07F_11D2_B0DC_0000832CDFF0_.wvu.Cols" localSheetId="31" hidden="1">'DebtInt'!#REF!</definedName>
    <definedName name="Z_6E1B8C45_B07F_11D2_B0DC_0000832CDFF0_.wvu.Cols" localSheetId="18" hidden="1">'FIT'!#REF!</definedName>
    <definedName name="Z_6E1B8C45_B07F_11D2_B0DC_0000832CDFF0_.wvu.Cols" localSheetId="9" hidden="1">'KFSumm'!#REF!</definedName>
    <definedName name="Z_6E1B8C45_B07F_11D2_B0DC_0000832CDFF0_.wvu.Cols" localSheetId="33" hidden="1">'PFPension'!#REF!</definedName>
    <definedName name="Z_6E1B8C45_B07F_11D2_B0DC_0000832CDFF0_.wvu.Cols" localSheetId="11" hidden="1">'SettleEx'!#REF!</definedName>
    <definedName name="Z_6E1B8C45_B07F_11D2_B0DC_0000832CDFF0_.wvu.Cols" localSheetId="2" hidden="1">'SYSElec12_04'!$AN:$AP</definedName>
    <definedName name="Z_6E1B8C45_B07F_11D2_B0DC_0000832CDFF0_.wvu.Cols" localSheetId="0" hidden="1">'WAElec12_04'!$AB:$AB,'WAElec12_04'!$AJ:$AV</definedName>
    <definedName name="Z_6E1B8C45_B07F_11D2_B0DC_0000832CDFF0_.wvu.Cols" localSheetId="23" hidden="1">'WAPGE'!#REF!</definedName>
    <definedName name="Z_6E1B8C45_B07F_11D2_B0DC_0000832CDFF0_.wvu.PrintArea" localSheetId="13" hidden="1">'BandO'!$A$1:$G$110</definedName>
    <definedName name="Z_6E1B8C45_B07F_11D2_B0DC_0000832CDFF0_.wvu.PrintArea" localSheetId="6" hidden="1">'BldGain'!$A$1:$G$63</definedName>
    <definedName name="Z_6E1B8C45_B07F_11D2_B0DC_0000832CDFF0_.wvu.PrintArea" localSheetId="7" hidden="1">'ColstripAFUDC'!$A$1:$G$63</definedName>
    <definedName name="Z_6E1B8C45_B07F_11D2_B0DC_0000832CDFF0_.wvu.PrintArea" localSheetId="8" hidden="1">'ColstripCommon'!$A$1:$G$63</definedName>
    <definedName name="Z_6E1B8C45_B07F_11D2_B0DC_0000832CDFF0_.wvu.PrintArea" localSheetId="10" hidden="1">'CustAdv'!$A$1:$G$63</definedName>
    <definedName name="Z_6E1B8C45_B07F_11D2_B0DC_0000832CDFF0_.wvu.PrintArea" localSheetId="31" hidden="1">'DebtInt'!$A$1:$G$110</definedName>
    <definedName name="Z_6E1B8C45_B07F_11D2_B0DC_0000832CDFF0_.wvu.PrintArea" localSheetId="5" hidden="1">'DFITIdEl'!$A$1:$G$63</definedName>
    <definedName name="Z_6E1B8C45_B07F_11D2_B0DC_0000832CDFF0_.wvu.PrintArea" localSheetId="4" hidden="1">'DFITWaEl'!$A$1:$G$63</definedName>
    <definedName name="Z_6E1B8C45_B07F_11D2_B0DC_0000832CDFF0_.wvu.PrintArea" localSheetId="24" hidden="1">'ElimAR'!$A$1:$G$63</definedName>
    <definedName name="Z_6E1B8C45_B07F_11D2_B0DC_0000832CDFF0_.wvu.PrintArea" localSheetId="19" hidden="1">'ElimPowerCost'!$A$1:$G$65</definedName>
    <definedName name="Z_6E1B8C45_B07F_11D2_B0DC_0000832CDFF0_.wvu.PrintArea" localSheetId="18" hidden="1">'FIT'!$A$1:$G$63</definedName>
    <definedName name="Z_6E1B8C45_B07F_11D2_B0DC_0000832CDFF0_.wvu.PrintArea" localSheetId="12" hidden="1">'HydroRel'!$A$1:$G$110</definedName>
    <definedName name="Z_6E1B8C45_B07F_11D2_B0DC_0000832CDFF0_.wvu.PrintArea" localSheetId="9" hidden="1">'KFSumm'!$A$1:$G$63</definedName>
    <definedName name="Z_6E1B8C45_B07F_11D2_B0DC_0000832CDFF0_.wvu.PrintArea" localSheetId="20" hidden="1">'NezPerce'!$A$1:$G$110</definedName>
    <definedName name="Z_6E1B8C45_B07F_11D2_B0DC_0000832CDFF0_.wvu.PrintArea" localSheetId="1" hidden="1">'PFRstmtSheet'!$A$1:$I$62</definedName>
    <definedName name="Z_6E1B8C45_B07F_11D2_B0DC_0000832CDFF0_.wvu.PrintArea" localSheetId="14" hidden="1">'PropTax'!$A$1:$G$110</definedName>
    <definedName name="Z_6E1B8C45_B07F_11D2_B0DC_0000832CDFF0_.wvu.PrintArea" localSheetId="16" hidden="1">'RegExp'!$A$1:$G$110</definedName>
    <definedName name="Z_6E1B8C45_B07F_11D2_B0DC_0000832CDFF0_.wvu.PrintArea" localSheetId="3" hidden="1">'ResultSumEl'!$A$1:$G$63</definedName>
    <definedName name="Z_6E1B8C45_B07F_11D2_B0DC_0000832CDFF0_.wvu.PrintArea" localSheetId="11" hidden="1">'SettleEx'!$A$1:$G$63</definedName>
    <definedName name="Z_6E1B8C45_B07F_11D2_B0DC_0000832CDFF0_.wvu.PrintArea" localSheetId="25" hidden="1">'SubSpace'!$A$1:$G$64</definedName>
    <definedName name="Z_6E1B8C45_B07F_11D2_B0DC_0000832CDFF0_.wvu.PrintArea" localSheetId="2" hidden="1">'SYSElec12_04'!$E$11:$AT$73</definedName>
    <definedName name="Z_6E1B8C45_B07F_11D2_B0DC_0000832CDFF0_.wvu.PrintArea" localSheetId="15" hidden="1">'UncollExp'!$A$1:$G$110</definedName>
    <definedName name="Z_6E1B8C45_B07F_11D2_B0DC_0000832CDFF0_.wvu.PrintArea" localSheetId="0" hidden="1">'WAElec12_04'!$E:$AI</definedName>
    <definedName name="Z_6E1B8C45_B07F_11D2_B0DC_0000832CDFF0_.wvu.PrintArea" localSheetId="23" hidden="1">'WAPGE'!$A$1:$G$64</definedName>
    <definedName name="Z_6E1B8C45_B07F_11D2_B0DC_0000832CDFF0_.wvu.PrintArea" localSheetId="27" hidden="1">'WARevAdj'!$A$1:$G$64</definedName>
    <definedName name="Z_6E1B8C45_B07F_11D2_B0DC_0000832CDFF0_.wvu.PrintArea" localSheetId="26" hidden="1">'XFranchTax'!$A$1:$G$64</definedName>
    <definedName name="Z_6E1B8C45_B07F_11D2_B0DC_0000832CDFF0_.wvu.PrintTitles" localSheetId="2" hidden="1">'SYSElec12_04'!$1:$10,'SYSElec12_04'!$A:$D</definedName>
    <definedName name="Z_6E1B8C45_B07F_11D2_B0DC_0000832CDFF0_.wvu.PrintTitles" localSheetId="0" hidden="1">'WAElec12_04'!$A:$D,'WAElec12_04'!$1:$10</definedName>
    <definedName name="Z_6E1B8C45_B07F_11D2_B0DC_0000832CDFF0_.wvu.Rows" localSheetId="1" hidden="1">'PFRstmtSheet'!$18:$18,'PFRstmtSheet'!$32:$35,'PFRstmtSheet'!$44:$44,'PFRstmtSheet'!$50:$62,'PFRstmtSheet'!#REF!,'PFRstmtSheet'!#REF!,'PFRstmtSheet'!#REF!</definedName>
    <definedName name="Z_A15D1962_B049_11D2_8670_0000832CEEE8_.wvu.Cols" localSheetId="0" hidden="1">'WAElec12_04'!$AJ:$AW</definedName>
    <definedName name="Z_A15D1962_B049_11D2_8670_0000832CEEE8_.wvu.Rows" localSheetId="1" hidden="1">'PFRstmtSheet'!$50:$60,'PFRstmtSheet'!#REF!</definedName>
  </definedNames>
  <calcPr fullCalcOnLoad="1"/>
</workbook>
</file>

<file path=xl/sharedStrings.xml><?xml version="1.0" encoding="utf-8"?>
<sst xmlns="http://schemas.openxmlformats.org/spreadsheetml/2006/main" count="4010" uniqueCount="539">
  <si>
    <t>ELECTRIC RESULTS OF OPERATION</t>
  </si>
  <si>
    <t>(000'S OF DOLLARS)</t>
  </si>
  <si>
    <t>Per</t>
  </si>
  <si>
    <t xml:space="preserve">Deferred </t>
  </si>
  <si>
    <t>Colstrip 3</t>
  </si>
  <si>
    <t>Colstrip</t>
  </si>
  <si>
    <t>Kettle</t>
  </si>
  <si>
    <t>Settlement</t>
  </si>
  <si>
    <t>Eliminate</t>
  </si>
  <si>
    <t>Injuries</t>
  </si>
  <si>
    <t>Restate</t>
  </si>
  <si>
    <t>Office Space</t>
  </si>
  <si>
    <t>Pro Forma</t>
  </si>
  <si>
    <t>Line</t>
  </si>
  <si>
    <t xml:space="preserve">Results </t>
  </si>
  <si>
    <t>FIT</t>
  </si>
  <si>
    <t>on Office</t>
  </si>
  <si>
    <t>AFUDC</t>
  </si>
  <si>
    <t>Common</t>
  </si>
  <si>
    <t>Falls</t>
  </si>
  <si>
    <t>Customer</t>
  </si>
  <si>
    <t>Exchange</t>
  </si>
  <si>
    <t>Subtotal</t>
  </si>
  <si>
    <t>Power</t>
  </si>
  <si>
    <t>B &amp; O</t>
  </si>
  <si>
    <t>Property</t>
  </si>
  <si>
    <t>Uncollect.</t>
  </si>
  <si>
    <t>Regulatory</t>
  </si>
  <si>
    <t xml:space="preserve">and </t>
  </si>
  <si>
    <t>Debt</t>
  </si>
  <si>
    <t>A/R</t>
  </si>
  <si>
    <t>Charges to</t>
  </si>
  <si>
    <t>Restated</t>
  </si>
  <si>
    <t>No.</t>
  </si>
  <si>
    <t>DESCRIPTION</t>
  </si>
  <si>
    <t>Report</t>
  </si>
  <si>
    <t>Rate Base</t>
  </si>
  <si>
    <t>Building</t>
  </si>
  <si>
    <t>Elimination</t>
  </si>
  <si>
    <t>Disallow.</t>
  </si>
  <si>
    <t>Advances</t>
  </si>
  <si>
    <t>Actual</t>
  </si>
  <si>
    <t>Adjustment</t>
  </si>
  <si>
    <t>Supply</t>
  </si>
  <si>
    <t>Taxes</t>
  </si>
  <si>
    <t>Tax</t>
  </si>
  <si>
    <t>Expense</t>
  </si>
  <si>
    <t>Damages</t>
  </si>
  <si>
    <t xml:space="preserve">FIT </t>
  </si>
  <si>
    <t>Interest</t>
  </si>
  <si>
    <t>Revenues</t>
  </si>
  <si>
    <t>Expenses</t>
  </si>
  <si>
    <t>TOTAL</t>
  </si>
  <si>
    <t>blank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</si>
  <si>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</si>
  <si>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</si>
  <si>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</si>
  <si>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</si>
  <si>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</si>
  <si>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</si>
  <si>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</si>
  <si>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</si>
  <si>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</si>
  <si>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</si>
  <si>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</si>
  <si>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-</t>
  </si>
  <si>
    <t>l</t>
  </si>
  <si>
    <t>o</t>
  </si>
  <si>
    <t>p</t>
  </si>
  <si>
    <t>q</t>
  </si>
  <si>
    <t>r</t>
  </si>
  <si>
    <t>s</t>
  </si>
  <si>
    <t>t</t>
  </si>
  <si>
    <t>u</t>
  </si>
  <si>
    <t>w</t>
  </si>
  <si>
    <t>x</t>
  </si>
  <si>
    <t>y</t>
  </si>
  <si>
    <t>z</t>
  </si>
  <si>
    <t>PF1</t>
  </si>
  <si>
    <t>PF2</t>
  </si>
  <si>
    <t>REVENUES</t>
  </si>
  <si>
    <t>Total General Business</t>
  </si>
  <si>
    <t>Interdepartmental Sales</t>
  </si>
  <si>
    <t>Sales for Resale</t>
  </si>
  <si>
    <t>Total Sales of Electricity</t>
  </si>
  <si>
    <t>Other Revenue</t>
  </si>
  <si>
    <t>Total Electric Revenue</t>
  </si>
  <si>
    <t>EXPENSES</t>
  </si>
  <si>
    <t>Production and Transmission</t>
  </si>
  <si>
    <t>Operating Expenses</t>
  </si>
  <si>
    <t>Purchased Power</t>
  </si>
  <si>
    <t>Depreciation and Amortization</t>
  </si>
  <si>
    <t>Total Production &amp; Transmission</t>
  </si>
  <si>
    <t>Distribution</t>
  </si>
  <si>
    <t>Depreciation</t>
  </si>
  <si>
    <t>Total Distribution</t>
  </si>
  <si>
    <t>Customer Accounting</t>
  </si>
  <si>
    <t>Customer Service &amp; Information</t>
  </si>
  <si>
    <t>Sales Expenses</t>
  </si>
  <si>
    <t>Administrative &amp; General</t>
  </si>
  <si>
    <t>Total Admin. &amp; General</t>
  </si>
  <si>
    <t>Total Electric Expenses</t>
  </si>
  <si>
    <t>OPERATING INCOME BEFORE FIT</t>
  </si>
  <si>
    <t>FEDERAL INCOME TAX</t>
  </si>
  <si>
    <t>Current Accrual</t>
  </si>
  <si>
    <t>Deferred Income Taxes</t>
  </si>
  <si>
    <t>Amortized Investment Tax Credit</t>
  </si>
  <si>
    <t>SETTLEMENT EXCHANGE POWER</t>
  </si>
  <si>
    <t>NET OPERATING INCOME</t>
  </si>
  <si>
    <t>RATE BASE</t>
  </si>
  <si>
    <t>PLANT IN SERVICE</t>
  </si>
  <si>
    <t>Intangible</t>
  </si>
  <si>
    <t>Production</t>
  </si>
  <si>
    <t>Transmission</t>
  </si>
  <si>
    <t>General</t>
  </si>
  <si>
    <t>Total Plant in Service</t>
  </si>
  <si>
    <t>ACCUMULATED DEPRECIATION</t>
  </si>
  <si>
    <t>ACCUM. PROVISION FOR AMORTIZATION</t>
  </si>
  <si>
    <t>Total Accum. Depreciation &amp; Amort.</t>
  </si>
  <si>
    <t>GAIN ON SALE OF BUILDING</t>
  </si>
  <si>
    <t>DEFERRED TAXES</t>
  </si>
  <si>
    <t>TOTAL RATE BASE</t>
  </si>
  <si>
    <t>RATE OF RETURN</t>
  </si>
  <si>
    <t>Idaho</t>
  </si>
  <si>
    <t xml:space="preserve"> </t>
  </si>
  <si>
    <t>Restatement Summary</t>
  </si>
  <si>
    <t>Washington Electric</t>
  </si>
  <si>
    <t>Column</t>
  </si>
  <si>
    <t>Description</t>
  </si>
  <si>
    <t xml:space="preserve">NOI   </t>
  </si>
  <si>
    <t>ROR</t>
  </si>
  <si>
    <t xml:space="preserve">     Actual </t>
  </si>
  <si>
    <t xml:space="preserve">     Restated Total</t>
  </si>
  <si>
    <t>SYSTEM RESTATED RESULTS</t>
  </si>
  <si>
    <t>ELECTRIC ADJUSTMENT SUMMARY</t>
  </si>
  <si>
    <t>PER RESULTS OF</t>
  </si>
  <si>
    <t>OPERATIONS REPORTS</t>
  </si>
  <si>
    <t>ELECTRIC</t>
  </si>
  <si>
    <t xml:space="preserve"> No.</t>
  </si>
  <si>
    <t>System</t>
  </si>
  <si>
    <t>Washington</t>
  </si>
  <si>
    <t>Check</t>
  </si>
  <si>
    <t>Sales For Resale</t>
  </si>
  <si>
    <t xml:space="preserve">   Total Sales of Electricity</t>
  </si>
  <si>
    <t xml:space="preserve">   Total Electric Revenue</t>
  </si>
  <si>
    <t xml:space="preserve">   Operating Expenses</t>
  </si>
  <si>
    <t xml:space="preserve">   Purchased Power</t>
  </si>
  <si>
    <t xml:space="preserve">   Depreciation and Amortization</t>
  </si>
  <si>
    <t xml:space="preserve">   Taxes</t>
  </si>
  <si>
    <t xml:space="preserve">      Total Production &amp; Transmission</t>
  </si>
  <si>
    <t xml:space="preserve">   Depreciation</t>
  </si>
  <si>
    <t xml:space="preserve">      Total Distribution</t>
  </si>
  <si>
    <t>Marketing</t>
  </si>
  <si>
    <t xml:space="preserve">      Total Admin. &amp; General</t>
  </si>
  <si>
    <t>Operating Income before FIT</t>
  </si>
  <si>
    <t>Federal Income Taxes</t>
  </si>
  <si>
    <t xml:space="preserve">   Current Accrual </t>
  </si>
  <si>
    <t xml:space="preserve">   Deferred Income Taxes</t>
  </si>
  <si>
    <t xml:space="preserve">   Amortized ITC</t>
  </si>
  <si>
    <t xml:space="preserve">   Intangible</t>
  </si>
  <si>
    <t xml:space="preserve">   Production</t>
  </si>
  <si>
    <t xml:space="preserve">   Transmission</t>
  </si>
  <si>
    <t xml:space="preserve">   Distribution</t>
  </si>
  <si>
    <t xml:space="preserve">   General</t>
  </si>
  <si>
    <t xml:space="preserve">      Total Plant in Service</t>
  </si>
  <si>
    <t xml:space="preserve">   Total Accum. Depreciation &amp; Amort.</t>
  </si>
  <si>
    <t>INPUTS</t>
  </si>
  <si>
    <t>NET PLANT</t>
  </si>
  <si>
    <t>ELECTRIC NOI</t>
  </si>
  <si>
    <t>Sales to Ultimate Cust excl Interdprt.</t>
  </si>
  <si>
    <t>Interdepartmental</t>
  </si>
  <si>
    <t>Other Revenues</t>
  </si>
  <si>
    <t>TOTAL REVENUES</t>
  </si>
  <si>
    <t>POWER PRODUCTION EXPENSES</t>
  </si>
  <si>
    <t>Steam Power</t>
  </si>
  <si>
    <t>Hydro Power</t>
  </si>
  <si>
    <t>Other Power Generation</t>
  </si>
  <si>
    <t>Total Other Power Supply Expense</t>
  </si>
  <si>
    <t xml:space="preserve">    Total Production</t>
  </si>
  <si>
    <t>TRANSMISSION EXPENSES</t>
  </si>
  <si>
    <t>Transmission O&amp;M</t>
  </si>
  <si>
    <t>Depreciation &amp; Amortization</t>
  </si>
  <si>
    <t>Other Taxes</t>
  </si>
  <si>
    <t xml:space="preserve">     Total Production &amp; Transmission </t>
  </si>
  <si>
    <t>DISTRIBUTION EXPENSES</t>
  </si>
  <si>
    <t>Distribution O&amp;M</t>
  </si>
  <si>
    <t xml:space="preserve">     Total Distribution</t>
  </si>
  <si>
    <t>CUSTOMER ACCOUNTS</t>
  </si>
  <si>
    <t>CUSTOMER SERVICE &amp; INFO</t>
  </si>
  <si>
    <t>SALES</t>
  </si>
  <si>
    <t>ADMIN &amp; GENERAL</t>
  </si>
  <si>
    <t>Operating Expense</t>
  </si>
  <si>
    <t xml:space="preserve">     Total Admin &amp; General</t>
  </si>
  <si>
    <t>TOTAL EXPENSES</t>
  </si>
  <si>
    <t>NOI BEFORE FIT</t>
  </si>
  <si>
    <t>FIT-Current</t>
  </si>
  <si>
    <t>DFIT</t>
  </si>
  <si>
    <t>Amort ITC</t>
  </si>
  <si>
    <t xml:space="preserve">     Total FIT</t>
  </si>
  <si>
    <t>ELECTRIC UTILITY PLANT</t>
  </si>
  <si>
    <t>INTANGIBLE PLANT</t>
  </si>
  <si>
    <t>PRODUCTION PLANT</t>
  </si>
  <si>
    <t xml:space="preserve">  Steam</t>
  </si>
  <si>
    <t xml:space="preserve">  Hydro</t>
  </si>
  <si>
    <t xml:space="preserve">  Other</t>
  </si>
  <si>
    <t xml:space="preserve">     Total Production</t>
  </si>
  <si>
    <t>TRANSMISSION PLANT</t>
  </si>
  <si>
    <t>DISTRIBUTION PLANT</t>
  </si>
  <si>
    <t>GENERAL PLANT</t>
  </si>
  <si>
    <t>GROSS PLANT</t>
  </si>
  <si>
    <t>ACCUMULATED AMORTIZATION</t>
  </si>
  <si>
    <t>NET UTILITY PLANT</t>
  </si>
  <si>
    <t>WASHINGTON</t>
  </si>
  <si>
    <t>DEFERRED FIT RATE BASE</t>
  </si>
  <si>
    <t xml:space="preserve">   Current Accrual (at 35%)</t>
  </si>
  <si>
    <t>IDAHO</t>
  </si>
  <si>
    <t>DEFERRED GAIN</t>
  </si>
  <si>
    <t>ON OFFICE BUILDING</t>
  </si>
  <si>
    <t>CALCULATION OF IDAHO STATE INCOME TAX</t>
  </si>
  <si>
    <t>(000'S) OF DOLLARS</t>
  </si>
  <si>
    <t>Operating Income before  SIT</t>
  </si>
  <si>
    <t>Idaho State Income Tax</t>
  </si>
  <si>
    <t xml:space="preserve">      Adjusted Rate of </t>
  </si>
  <si>
    <t>ELIMINATION REALLOCATION</t>
  </si>
  <si>
    <t>NO TAX EFFECT</t>
  </si>
  <si>
    <t>COMMON AFUDC ADJUSTMENT</t>
  </si>
  <si>
    <t>CUSTOMER</t>
  </si>
  <si>
    <t>ADVANCES</t>
  </si>
  <si>
    <t xml:space="preserve">   Deferred income Taxes</t>
  </si>
  <si>
    <t>SETTLEMENT</t>
  </si>
  <si>
    <t>EXCHANGE POWER</t>
  </si>
  <si>
    <t>POWER SUPPLY</t>
  </si>
  <si>
    <t>ADJUSTMENT</t>
  </si>
  <si>
    <t>ELIMINATE</t>
  </si>
  <si>
    <t>B &amp; O TAXES</t>
  </si>
  <si>
    <t>PROPERTY TAX</t>
  </si>
  <si>
    <t>UNCOLLECTIBLE</t>
  </si>
  <si>
    <t>EXPENSE</t>
  </si>
  <si>
    <t>REGULATORY EXPENSE</t>
  </si>
  <si>
    <t>INJURIES</t>
  </si>
  <si>
    <t>AND DAMAGES</t>
  </si>
  <si>
    <t>FEDERAL</t>
  </si>
  <si>
    <t>INCOME TAX</t>
  </si>
  <si>
    <t>RESTATE</t>
  </si>
  <si>
    <t>DEBT INTEREST</t>
  </si>
  <si>
    <t>A/R EXPENSES</t>
  </si>
  <si>
    <t>OFFICE SPACE CHARGES</t>
  </si>
  <si>
    <t>TO SUBSIDIARIES</t>
  </si>
  <si>
    <t>PRO FORMA ADJUSTMENT</t>
  </si>
  <si>
    <t>Twelve Month Period Ending</t>
  </si>
  <si>
    <t>Idaho State Income Tax Rate of</t>
  </si>
  <si>
    <t>Company Name</t>
  </si>
  <si>
    <t>AVISTA UTILITIES</t>
  </si>
  <si>
    <t>Deferred Gain</t>
  </si>
  <si>
    <t>HYDRO RELICENSING</t>
  </si>
  <si>
    <t>ACCOUNTING ADJUSTMENT</t>
  </si>
  <si>
    <t>Excise/Franchise</t>
  </si>
  <si>
    <t>RESTATE EXCISE</t>
  </si>
  <si>
    <t>AND FRANCHISE TAXES</t>
  </si>
  <si>
    <t>aa</t>
  </si>
  <si>
    <t>Nez Perce</t>
  </si>
  <si>
    <t>NEZ PERCE SETTLEMENT</t>
  </si>
  <si>
    <t>PGE</t>
  </si>
  <si>
    <t>PGE MONETIZATION</t>
  </si>
  <si>
    <t>Monetization</t>
  </si>
  <si>
    <t xml:space="preserve">Line </t>
  </si>
  <si>
    <t>(000's of</t>
  </si>
  <si>
    <t>Dollars)</t>
  </si>
  <si>
    <t>Amount</t>
  </si>
  <si>
    <t>Proposed Rate of Return</t>
  </si>
  <si>
    <t>Net Operating Income Requirement</t>
  </si>
  <si>
    <t>Pro Forma Net Operating Income</t>
  </si>
  <si>
    <t>Net Operating Income Deficiency</t>
  </si>
  <si>
    <t>Total</t>
  </si>
  <si>
    <t>Conversion Factor</t>
  </si>
  <si>
    <t>Revenue Requirement</t>
  </si>
  <si>
    <t>Total General Business Revenues</t>
  </si>
  <si>
    <t>Percentage Revenue Increase</t>
  </si>
  <si>
    <t>Coyote</t>
  </si>
  <si>
    <t>Springs</t>
  </si>
  <si>
    <t>AUTHORIZED 1998 TEST YEAR</t>
  </si>
  <si>
    <t>RESULTS OF OPERATIONS</t>
  </si>
  <si>
    <t>PRO FORMA</t>
  </si>
  <si>
    <t>PF7</t>
  </si>
  <si>
    <t>Small</t>
  </si>
  <si>
    <t>Generation</t>
  </si>
  <si>
    <t>Description of Adjustment</t>
  </si>
  <si>
    <t>Relicensing</t>
  </si>
  <si>
    <t>Susidiaries</t>
  </si>
  <si>
    <t>SMALL GENERATION</t>
  </si>
  <si>
    <t>m</t>
  </si>
  <si>
    <t>n</t>
  </si>
  <si>
    <t>v</t>
  </si>
  <si>
    <t>(000's)</t>
  </si>
  <si>
    <t>Adjustment Description</t>
  </si>
  <si>
    <t>Adjustments</t>
  </si>
  <si>
    <t>Restated Debt Interest</t>
  </si>
  <si>
    <t>Capitalized Interest</t>
  </si>
  <si>
    <t>Net Deductible Interest</t>
  </si>
  <si>
    <t>Increase (Decrease) in Interest Expense</t>
  </si>
  <si>
    <t>FIT Rate</t>
  </si>
  <si>
    <t>Increase (Decrease) in FIT</t>
  </si>
  <si>
    <t>Equity AFUDC</t>
  </si>
  <si>
    <t>Borrowed AFUDC</t>
  </si>
  <si>
    <t xml:space="preserve">   Capitalized Interest</t>
  </si>
  <si>
    <t>Allocated</t>
  </si>
  <si>
    <t>Percentage</t>
  </si>
  <si>
    <t>Electric CWIP</t>
  </si>
  <si>
    <t>Gas CWIP</t>
  </si>
  <si>
    <t>WPNG CWIP</t>
  </si>
  <si>
    <t xml:space="preserve">   Total</t>
  </si>
  <si>
    <t>WA Electric CWIP</t>
  </si>
  <si>
    <t>ID Electric CWIP</t>
  </si>
  <si>
    <t>WA Gas CWIP</t>
  </si>
  <si>
    <t>ID Gas CWIP</t>
  </si>
  <si>
    <t>Washington - Electric</t>
  </si>
  <si>
    <t>Weighted Average Cost of Debt</t>
  </si>
  <si>
    <t>Actual Interest (E-FIT-12A)</t>
  </si>
  <si>
    <t>Idaho - Electric</t>
  </si>
  <si>
    <t>Jurisdictional Allocation</t>
  </si>
  <si>
    <t>Allocator</t>
  </si>
  <si>
    <t>Oregon</t>
  </si>
  <si>
    <t>California</t>
  </si>
  <si>
    <t xml:space="preserve">This calcualtion uses a calculation like that of AMA </t>
  </si>
  <si>
    <t>TOTAL ELECTRIC</t>
  </si>
  <si>
    <t>It adds the "first" and "last" together , divides by 2,</t>
  </si>
  <si>
    <t>then adds the result to the "middle" and divides by 2</t>
  </si>
  <si>
    <t>TOTAL GAS</t>
  </si>
  <si>
    <t>Direct Distribution</t>
  </si>
  <si>
    <t>TOTAL WPNG</t>
  </si>
  <si>
    <t>Allocated Distribution</t>
  </si>
  <si>
    <t>Check Figure</t>
  </si>
  <si>
    <t>Direct General</t>
  </si>
  <si>
    <t>To update this sheet for a new 12 month period:</t>
  </si>
  <si>
    <t>Allocated General</t>
  </si>
  <si>
    <t xml:space="preserve">Allocated Common </t>
  </si>
  <si>
    <t>Update the date in cell X2</t>
  </si>
  <si>
    <t>Subtotal Electric</t>
  </si>
  <si>
    <t>Percent</t>
  </si>
  <si>
    <t>Electric Overhead</t>
  </si>
  <si>
    <t>Allocation Factors - From Roo E-ALL-12A</t>
  </si>
  <si>
    <t>Production Transmission Ratio</t>
  </si>
  <si>
    <t>Jurisdictional Four Factor</t>
  </si>
  <si>
    <t>Net Electric Distribution Plant</t>
  </si>
  <si>
    <t>Direct Assignment</t>
  </si>
  <si>
    <t>GAS</t>
  </si>
  <si>
    <t>Underground Storage</t>
  </si>
  <si>
    <t>1C</t>
  </si>
  <si>
    <t>Allocated Common</t>
  </si>
  <si>
    <t>Subtotal Gas</t>
  </si>
  <si>
    <t>Gas Overhead</t>
  </si>
  <si>
    <t>Allocation Factors - From ROO G-ALL-12A</t>
  </si>
  <si>
    <t>System Contract Demand</t>
  </si>
  <si>
    <t>Actual Therms Purchased</t>
  </si>
  <si>
    <t>WPNG</t>
  </si>
  <si>
    <t>Subtotal WPNG</t>
  </si>
  <si>
    <t>WPNG Overhead</t>
  </si>
  <si>
    <t>Allocation Factors - From Roo W-ALL-12A</t>
  </si>
  <si>
    <t>Total Company</t>
  </si>
  <si>
    <t>WWP Electric</t>
  </si>
  <si>
    <t>WWP Gas</t>
  </si>
  <si>
    <t xml:space="preserve">COMMON </t>
  </si>
  <si>
    <t>Common All</t>
  </si>
  <si>
    <t>Common Gas</t>
  </si>
  <si>
    <t>Common WWP</t>
  </si>
  <si>
    <t xml:space="preserve">     Total Common</t>
  </si>
  <si>
    <t>Allocation Factors</t>
  </si>
  <si>
    <t>Utility 7</t>
  </si>
  <si>
    <t>Utility 8</t>
  </si>
  <si>
    <t>Utility 9</t>
  </si>
  <si>
    <t>Hide the rows you don't need</t>
  </si>
  <si>
    <t>Unhide the rows to make sure you've captured all adjustments with Ratebase impact</t>
  </si>
  <si>
    <t>Comes from "DebtCalc"</t>
  </si>
  <si>
    <t>WASHINGTON PRO FORMA RESULTS</t>
  </si>
  <si>
    <t>WITH PRESENT RATES</t>
  </si>
  <si>
    <t>WITH PROPOSED RATES</t>
  </si>
  <si>
    <t>Actual Per</t>
  </si>
  <si>
    <t>Proposed</t>
  </si>
  <si>
    <t>Revenues &amp;</t>
  </si>
  <si>
    <t>Related Exp</t>
  </si>
  <si>
    <t>Washington - Electric System</t>
  </si>
  <si>
    <t>Revenue Conversion Factor</t>
  </si>
  <si>
    <t>Factor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</si>
  <si>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</si>
  <si>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</si>
  <si>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</si>
  <si>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</si>
  <si>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Franchise Fees</t>
  </si>
  <si>
    <t xml:space="preserve">    Total Expense</t>
  </si>
  <si>
    <t>Net Operating Income Before FIT</t>
  </si>
  <si>
    <t xml:space="preserve">  Federal Income Tax @ 35%</t>
  </si>
  <si>
    <t>REVENUE CONVERSION FACTOR</t>
  </si>
  <si>
    <t>Pro Forma Rate Base</t>
  </si>
  <si>
    <t>Rev and</t>
  </si>
  <si>
    <t>Calculation of General Revenue Requirement</t>
  </si>
  <si>
    <t>ab</t>
  </si>
  <si>
    <t>Hydro</t>
  </si>
  <si>
    <t>WORKPAPERS</t>
  </si>
  <si>
    <t>In support of</t>
  </si>
  <si>
    <t>Exhibit No.___(DMF-1)</t>
  </si>
  <si>
    <t>Docket No. UE-</t>
  </si>
  <si>
    <t>Witness:  Don Falkner</t>
  </si>
  <si>
    <t>ac</t>
  </si>
  <si>
    <t>Adj</t>
  </si>
  <si>
    <t>Restated Rate Base</t>
  </si>
  <si>
    <t>ad</t>
  </si>
  <si>
    <t xml:space="preserve">COYOTE SPRINGS 2 </t>
  </si>
  <si>
    <t>Insurance</t>
  </si>
  <si>
    <t>Pension</t>
  </si>
  <si>
    <t>PENSION</t>
  </si>
  <si>
    <t>Payroll</t>
  </si>
  <si>
    <t>Clearing</t>
  </si>
  <si>
    <t>PAYROLL CLEARING</t>
  </si>
  <si>
    <t>WASHINGTON ADJUSTMENT</t>
  </si>
  <si>
    <t>PF 3</t>
  </si>
  <si>
    <t xml:space="preserve">    Pro Forma Total</t>
  </si>
  <si>
    <t xml:space="preserve">AVISTA UTILITIES  </t>
  </si>
  <si>
    <t xml:space="preserve">WASHINGTON RESTATED RESULTS  </t>
  </si>
  <si>
    <t xml:space="preserve">ELECTRIC RESULTS OF OPERATION    </t>
  </si>
  <si>
    <t xml:space="preserve">(000'S OF DOLLARS)  </t>
  </si>
  <si>
    <t xml:space="preserve">REVENUES  </t>
  </si>
  <si>
    <t xml:space="preserve">Total General Business  </t>
  </si>
  <si>
    <t xml:space="preserve">Interdepartmental Sales  </t>
  </si>
  <si>
    <t xml:space="preserve">Sales for Resale  </t>
  </si>
  <si>
    <t xml:space="preserve">Total Sales of Electricity  </t>
  </si>
  <si>
    <t xml:space="preserve">Other Revenue  </t>
  </si>
  <si>
    <t xml:space="preserve">Total Electric Revenue  </t>
  </si>
  <si>
    <t xml:space="preserve">EXPENSES  </t>
  </si>
  <si>
    <t xml:space="preserve">Production and Transmission  </t>
  </si>
  <si>
    <t xml:space="preserve">Operating Expenses  </t>
  </si>
  <si>
    <t xml:space="preserve">Purchased Power  </t>
  </si>
  <si>
    <t xml:space="preserve">Depreciation and Amortization  </t>
  </si>
  <si>
    <t xml:space="preserve">Taxes  </t>
  </si>
  <si>
    <t xml:space="preserve">Total Production &amp; Transmission  </t>
  </si>
  <si>
    <t xml:space="preserve">Distribution  </t>
  </si>
  <si>
    <t xml:space="preserve">Depreciation  </t>
  </si>
  <si>
    <t xml:space="preserve">Total Distribution  </t>
  </si>
  <si>
    <t xml:space="preserve">Customer Accounting  </t>
  </si>
  <si>
    <t xml:space="preserve">Customer Service &amp; Information  </t>
  </si>
  <si>
    <t xml:space="preserve">Sales Expenses  </t>
  </si>
  <si>
    <t xml:space="preserve">Administrative &amp; General  </t>
  </si>
  <si>
    <t xml:space="preserve">Total Admin. &amp; General  </t>
  </si>
  <si>
    <t xml:space="preserve">Total Electric Expenses  </t>
  </si>
  <si>
    <t xml:space="preserve">OPERATING INCOME BEFORE FIT  </t>
  </si>
  <si>
    <t xml:space="preserve">FEDERAL INCOME TAX  </t>
  </si>
  <si>
    <t xml:space="preserve">Current Accrual  </t>
  </si>
  <si>
    <t xml:space="preserve">Deferred Income Taxes  </t>
  </si>
  <si>
    <t xml:space="preserve">NET OPERATING INCOME  </t>
  </si>
  <si>
    <t xml:space="preserve">RATE BASE  </t>
  </si>
  <si>
    <t xml:space="preserve">PLANT IN SERVICE  </t>
  </si>
  <si>
    <t xml:space="preserve">Intangible  </t>
  </si>
  <si>
    <t xml:space="preserve">Production  </t>
  </si>
  <si>
    <t xml:space="preserve">Transmission  </t>
  </si>
  <si>
    <t xml:space="preserve">General  </t>
  </si>
  <si>
    <t xml:space="preserve">Total Plant in Service  </t>
  </si>
  <si>
    <t xml:space="preserve">ACCUMULATED DEPRECIATION  </t>
  </si>
  <si>
    <t xml:space="preserve">ACCUM. PROVISION FOR AMORTIZATION  </t>
  </si>
  <si>
    <t xml:space="preserve">Total Accum. Depreciation &amp; Amort.  </t>
  </si>
  <si>
    <t xml:space="preserve">GAIN ON SALE OF BUILDING  </t>
  </si>
  <si>
    <t xml:space="preserve">DEFERRED TAXES  </t>
  </si>
  <si>
    <t xml:space="preserve">TOTAL RATE BASE  </t>
  </si>
  <si>
    <t xml:space="preserve">RATE OF RETURN  </t>
  </si>
  <si>
    <t>KETTLE FALLS DISALLOWANCE</t>
  </si>
  <si>
    <t>Revenue</t>
  </si>
  <si>
    <t>Labor</t>
  </si>
  <si>
    <t>Non-Exec</t>
  </si>
  <si>
    <t>Executive</t>
  </si>
  <si>
    <t>Vegetation</t>
  </si>
  <si>
    <t>Management</t>
  </si>
  <si>
    <t>Project</t>
  </si>
  <si>
    <t>PF 4</t>
  </si>
  <si>
    <t>PF 5</t>
  </si>
  <si>
    <t>PF 6</t>
  </si>
  <si>
    <t>PF 7</t>
  </si>
  <si>
    <t>PF 8</t>
  </si>
  <si>
    <t>NON-EXECUTIVE LABOR</t>
  </si>
  <si>
    <t>EXECUTIVE LABOR</t>
  </si>
  <si>
    <t>VEGETATION</t>
  </si>
  <si>
    <t>MANAGEMENT PRO FORMA</t>
  </si>
  <si>
    <t>TRANSMISSION</t>
  </si>
  <si>
    <t>PROJECT PRO FORMA</t>
  </si>
  <si>
    <t>CABINET GORGE</t>
  </si>
  <si>
    <t>Sale of</t>
  </si>
  <si>
    <t>Skookumchuck</t>
  </si>
  <si>
    <t>PF 9</t>
  </si>
  <si>
    <t>Skookumchuck Hydro Sale</t>
  </si>
  <si>
    <t>Restate Debt Interest - Proforma</t>
  </si>
  <si>
    <t>Ending Balance CWIP December 31, 2003</t>
  </si>
  <si>
    <t>Copy columns Q:W over A:G</t>
  </si>
  <si>
    <t>Then input into Q:W and  I:O</t>
  </si>
  <si>
    <t>WA REVENUE</t>
  </si>
  <si>
    <t>WA REMOVE MISCELLANEOUS</t>
  </si>
  <si>
    <t>TARIFFS</t>
  </si>
  <si>
    <t>Remove</t>
  </si>
  <si>
    <t>Misc Tariffs</t>
  </si>
  <si>
    <t>DEPRECIATION ADJUSTMENT</t>
  </si>
  <si>
    <t>INSURANCE</t>
  </si>
  <si>
    <t>Incentives</t>
  </si>
  <si>
    <t>ADJUST INCENTIVES</t>
  </si>
  <si>
    <t>Cancelled</t>
  </si>
  <si>
    <t>CANCELLED</t>
  </si>
  <si>
    <t>ELECTRIC PRO FORMA 12/2006</t>
  </si>
  <si>
    <t>PRO FORMA COLSTRIP #3 AFUDC</t>
  </si>
  <si>
    <t xml:space="preserve">PRO FORMA COLSTRIP #3 </t>
  </si>
  <si>
    <t>ADJUSTMENTS</t>
  </si>
  <si>
    <t>Capital</t>
  </si>
  <si>
    <t>Weighted</t>
  </si>
  <si>
    <t>Component</t>
  </si>
  <si>
    <t>Structure</t>
  </si>
  <si>
    <t>Cost</t>
  </si>
  <si>
    <t>Total Debt incl S/T</t>
  </si>
  <si>
    <t>Pref Trust</t>
  </si>
  <si>
    <t>Pref Stock</t>
  </si>
  <si>
    <t>Authorized Cost of Capital</t>
  </si>
  <si>
    <t>Total Debt-LT</t>
  </si>
  <si>
    <t>Total Debt-ST</t>
  </si>
  <si>
    <t>PRODUCTION</t>
  </si>
  <si>
    <t>TAX CREDIT</t>
  </si>
  <si>
    <t>PF11</t>
  </si>
  <si>
    <t>PF Dec. 2006 Cost of Capital with S/T Debt</t>
  </si>
  <si>
    <t>TWELVE MONTHS ENDED DECEMBER 31, 2004</t>
  </si>
  <si>
    <t xml:space="preserve">ELIMINATION OF </t>
  </si>
  <si>
    <t>Eliminate WA</t>
  </si>
  <si>
    <t>ERM Surcharge</t>
  </si>
  <si>
    <t>&amp; Deferrals</t>
  </si>
  <si>
    <t>Ending Balance CWIP June 30, 2004</t>
  </si>
  <si>
    <t>Ending Balance CWIP December 31, 2004</t>
  </si>
  <si>
    <t>Average CWIP for the Twelve Months Ended 12/31/04</t>
  </si>
  <si>
    <t>Ending CWIP at 12/31/04</t>
  </si>
  <si>
    <t xml:space="preserve">Pro Forma </t>
  </si>
  <si>
    <t>AND OTHER</t>
  </si>
  <si>
    <t>and Other</t>
  </si>
  <si>
    <t>WA ERM AMOUNTS</t>
  </si>
  <si>
    <t>For the Twelve Months Ended December 31, 2004</t>
  </si>
  <si>
    <t>Allocation</t>
  </si>
  <si>
    <t>PF10</t>
  </si>
  <si>
    <t>ALLOCATION ADJUSTMENT</t>
  </si>
  <si>
    <t>Tax Credit</t>
  </si>
  <si>
    <t>ROE test -&gt;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</si>
</sst>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General"/>
    <numFmt numFmtId="165" formatCode="&quot;$&quot;#,##0"/>
    <numFmt numFmtId="166" formatCode="0.0%"/>
    <numFmt numFmtId="167" formatCode="#,###_);\(#,###\)"/>
    <numFmt numFmtId="168" formatCode="_(&quot;$&quot;#,###_);_(&quot;$&quot;\ \(#,###\);_(* _);_(@_)"/>
    <numFmt numFmtId="169" formatCode="#,##0;\(#,##0\)"/>
    <numFmt numFmtId="170" formatCode="0.000000"/>
    <numFmt numFmtId="171" formatCode="#,##0\ ;\(#,##0\)"/>
    <numFmt numFmtId="172" formatCode="0.000%"/>
    <numFmt numFmtId="173" formatCode="&quot;@ &quot;0.00%"/>
    <numFmt numFmtId="174" formatCode="#,"/>
    <numFmt numFmtId="175" formatCode="#,##0,"/>
    <numFmt numFmtId="176" formatCode="#,##0.000_);[Red]\(#,##0.000\)"/>
    <numFmt numFmtId="177" formatCode="#,##0.0000_);[Red]\(#,##0.0000\)"/>
    <numFmt numFmtId="178" formatCode="#,##0.0_);[Red]\(#,##0.0\)"/>
    <numFmt numFmtId="179" formatCode="&quot;@&quot;\ 0%"/>
    <numFmt numFmtId="180" formatCode="&quot;$&quot;#,##0.0_);[Red]\(&quot;$&quot;#,##0.0\)"/>
    <numFmt numFmtId="181" formatCode="&quot;÷&quot;\ 0"/>
    <numFmt numFmtId="182" formatCode="0.00000"/>
    <numFmt numFmtId="183" formatCode="&quot;÷ &quot;0"/>
    <numFmt numFmtId="184" formatCode="0_);\(0\)"/>
    <numFmt numFmtId="185" formatCode="mmm"/>
    <numFmt numFmtId="186" formatCode="yyyy"/>
    <numFmt numFmtId="187" formatCode="m/dd/yy"/>
    <numFmt numFmtId="188" formatCode="0.0000"/>
    <numFmt numFmtId="189" formatCode="0.0"/>
    <numFmt numFmtId="190" formatCode="&quot;$&quot;#,##0.00"/>
    <numFmt numFmtId="191" formatCode="&quot;$&quot;#,##0.000_);[Red]\(&quot;$&quot;#,##0.000\)"/>
    <numFmt numFmtId="192" formatCode="&quot;$&quot;#,##0.0000_);[Red]\(&quot;$&quot;#,##0.0000\)"/>
    <numFmt numFmtId="193" formatCode="&quot;$&quot;#,##0.00000_);[Red]\(&quot;$&quot;#,##0.00000\)"/>
    <numFmt numFmtId="194" formatCode="&quot;$&quot;#,##0_)"/>
    <numFmt numFmtId="195" formatCode="&quot;$&quot;#,##0.0"/>
    <numFmt numFmtId="196" formatCode="0.0000%"/>
    <numFmt numFmtId="197" formatCode="#,##0.0"/>
    <numFmt numFmtId="198" formatCode="&quot;$&quot;#,##0.0_);\(&quot;$&quot;#,##0.0\)"/>
    <numFmt numFmtId="199" formatCode="#,##0.000"/>
    <numFmt numFmtId="200" formatCode="#,##0.0000"/>
    <numFmt numFmtId="201" formatCode="&quot;@&quot;\ 0.000000"/>
    <numFmt numFmtId="202" formatCode="_(* #,##0.0_);_(* \(#,##0.0\);_(* &quot;-&quot;??_);_(@_)"/>
    <numFmt numFmtId="203" formatCode="_(* #,##0_);_(* \(#,##0\);_(* &quot;-&quot;??_);_(@_)"/>
    <numFmt numFmtId="204" formatCode="0.00000%"/>
    <numFmt numFmtId="205" formatCode="#,##0.0_);\(#,##0.0\)"/>
    <numFmt numFmtId="206" formatCode="#,##0.000_);\(#,##0.000\)"/>
    <numFmt numFmtId="207" formatCode="#,##0.0000_);\(#,##0.0000\)"/>
    <numFmt numFmtId="208" formatCode="&quot;x &quot;0.00"/>
    <numFmt numFmtId="209" formatCode="&quot;x &quot;0.000"/>
    <numFmt numFmtId="210" formatCode="0.0000000"/>
    <numFmt numFmtId="211" formatCode="0.00000000"/>
    <numFmt numFmtId="212" formatCode="00000"/>
    <numFmt numFmtId="213" formatCode="&quot;$&quot;#,##0.000_);\(&quot;$&quot;#,##0.000\)"/>
    <numFmt numFmtId="214" formatCode="#,##0.000000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Geneva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u val="single"/>
      <sz val="9"/>
      <name val="Times New Roman"/>
      <family val="1"/>
    </font>
    <font>
      <sz val="10"/>
      <name val="Courier"/>
      <family val="0"/>
    </font>
    <font>
      <sz val="9"/>
      <name val="Calisto MT"/>
      <family val="1"/>
    </font>
    <font>
      <sz val="9"/>
      <color indexed="17"/>
      <name val="Times New Roman"/>
      <family val="1"/>
    </font>
    <font>
      <sz val="9"/>
      <color indexed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"/>
      <color indexed="8"/>
      <name val="Times New Roman"/>
      <family val="1"/>
    </font>
    <font>
      <sz val="9"/>
      <name val="Courier New"/>
      <family val="0"/>
    </font>
    <font>
      <sz val="9"/>
      <color indexed="10"/>
      <name val="Times New Roman"/>
      <family val="1"/>
    </font>
    <font>
      <sz val="10"/>
      <color indexed="20"/>
      <name val="Arial"/>
      <family val="0"/>
    </font>
    <font>
      <b/>
      <sz val="9"/>
      <color indexed="20"/>
      <name val="Times New Roman"/>
      <family val="1"/>
    </font>
    <font>
      <sz val="9"/>
      <color indexed="20"/>
      <name val="Times New Roman"/>
      <family val="1"/>
    </font>
    <font>
      <b/>
      <sz val="9"/>
      <color indexed="8"/>
      <name val="Times New Roman"/>
      <family val="1"/>
    </font>
    <font>
      <sz val="10"/>
      <name val="Calisto MT"/>
      <family val="1"/>
    </font>
    <font>
      <sz val="10"/>
      <color indexed="20"/>
      <name val="Calisto MT"/>
      <family val="1"/>
    </font>
    <font>
      <sz val="9"/>
      <color indexed="12"/>
      <name val="Times New Roman"/>
      <family val="1"/>
    </font>
    <font>
      <u val="single"/>
      <sz val="10"/>
      <color indexed="62"/>
      <name val="Times New Roman"/>
      <family val="1"/>
    </font>
    <font>
      <sz val="10"/>
      <color indexed="62"/>
      <name val="Times New Roman"/>
      <family val="1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57"/>
      <name val="Times New Roman"/>
      <family val="1"/>
    </font>
    <font>
      <b/>
      <sz val="10"/>
      <color indexed="57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name val="Courier New"/>
      <family val="0"/>
    </font>
    <font>
      <sz val="8"/>
      <name val="Courier New"/>
      <family val="3"/>
    </font>
    <font>
      <sz val="10"/>
      <color indexed="21"/>
      <name val="Times New Roman"/>
      <family val="1"/>
    </font>
    <font>
      <sz val="10"/>
      <color indexed="10"/>
      <name val="Times New Roman"/>
      <family val="1"/>
    </font>
    <font>
      <sz val="10"/>
      <color indexed="56"/>
      <name val="Times New Roman"/>
      <family val="1"/>
    </font>
    <font>
      <b/>
      <u val="single"/>
      <sz val="10"/>
      <name val="Times New Roman"/>
      <family val="1"/>
    </font>
    <font>
      <i/>
      <sz val="10"/>
      <color indexed="12"/>
      <name val="Times New Roman"/>
      <family val="1"/>
    </font>
    <font>
      <b/>
      <sz val="8"/>
      <name val="Times New Roman"/>
      <family val="0"/>
    </font>
    <font>
      <b/>
      <u val="single"/>
      <sz val="8"/>
      <name val="Times New Roman"/>
      <family val="0"/>
    </font>
    <font>
      <sz val="8"/>
      <name val="Times New Roman"/>
      <family val="1"/>
    </font>
    <font>
      <u val="single"/>
      <sz val="8"/>
      <name val="Times New Roman"/>
      <family val="1"/>
    </font>
    <font>
      <sz val="8"/>
      <color indexed="16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8"/>
      <color indexed="20"/>
      <name val="Times New Roman"/>
      <family val="1"/>
    </font>
    <font>
      <b/>
      <u val="single"/>
      <sz val="10"/>
      <color indexed="12"/>
      <name val="Times New Roman"/>
      <family val="1"/>
    </font>
    <font>
      <i/>
      <sz val="10"/>
      <color indexed="20"/>
      <name val="Times New Roman"/>
      <family val="1"/>
    </font>
    <font>
      <sz val="9"/>
      <color indexed="57"/>
      <name val="Times New Roman"/>
      <family val="1"/>
    </font>
    <font>
      <i/>
      <sz val="9"/>
      <color indexed="57"/>
      <name val="Times New Roman"/>
      <family val="1"/>
    </font>
    <font>
      <i/>
      <sz val="10"/>
      <color indexed="14"/>
      <name val="Times New Roman"/>
      <family val="1"/>
    </font>
    <font>
      <sz val="10"/>
      <color indexed="48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b/>
      <i/>
      <sz val="8"/>
      <name val="Times New Roman"/>
      <family val="1"/>
    </font>
    <font>
      <b/>
      <i/>
      <u val="single"/>
      <sz val="8"/>
      <name val="Times New Roman"/>
      <family val="1"/>
    </font>
    <font>
      <i/>
      <sz val="8"/>
      <name val="Times New Roman"/>
      <family val="1"/>
    </font>
    <font>
      <sz val="9"/>
      <color indexed="56"/>
      <name val="Times New Roman"/>
      <family val="1"/>
    </font>
    <font>
      <b/>
      <sz val="9"/>
      <color indexed="56"/>
      <name val="Times New Roman"/>
      <family val="1"/>
    </font>
    <font>
      <b/>
      <i/>
      <sz val="9"/>
      <name val="Times New Roman"/>
      <family val="1"/>
    </font>
    <font>
      <sz val="9"/>
      <color indexed="18"/>
      <name val="Times New Roman"/>
      <family val="1"/>
    </font>
    <font>
      <sz val="9"/>
      <color indexed="20"/>
      <name val="Calisto MT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029">
    <xf numFmtId="0" fontId="0" fillId="0" borderId="0" xfId="0" applyAlignment="1">
      <alignment/>
    </xf>
    <xf numFmtId="0" fontId="5" fillId="0" borderId="0" xfId="43" applyNumberFormat="1" applyFont="1" applyAlignment="1">
      <alignment horizontal="left"/>
      <protection/>
    </xf>
    <xf numFmtId="0" fontId="5" fillId="0" borderId="0" xfId="43" applyFont="1">
      <alignment/>
      <protection/>
    </xf>
    <xf numFmtId="0" fontId="5" fillId="0" borderId="0" xfId="43" applyNumberFormat="1" applyFont="1" applyAlignment="1">
      <alignment horizontal="center"/>
      <protection/>
    </xf>
    <xf numFmtId="3" fontId="5" fillId="0" borderId="0" xfId="43" applyNumberFormat="1" applyFont="1">
      <alignment/>
      <protection/>
    </xf>
    <xf numFmtId="3" fontId="5" fillId="0" borderId="0" xfId="43" applyNumberFormat="1" applyFont="1">
      <alignment/>
      <protection/>
    </xf>
    <xf numFmtId="3" fontId="6" fillId="0" borderId="0" xfId="43" applyNumberFormat="1" applyFont="1" applyBorder="1" applyAlignment="1">
      <alignment horizontal="center"/>
      <protection/>
    </xf>
    <xf numFmtId="0" fontId="6" fillId="0" borderId="0" xfId="43" applyNumberFormat="1" applyFont="1" applyAlignment="1">
      <alignment horizontal="center"/>
      <protection/>
    </xf>
    <xf numFmtId="0" fontId="6" fillId="0" borderId="0" xfId="43" applyFont="1" applyAlignment="1">
      <alignment horizontal="center"/>
      <protection/>
    </xf>
    <xf numFmtId="3" fontId="6" fillId="0" borderId="0" xfId="43" applyNumberFormat="1" applyFont="1" applyAlignment="1">
      <alignment horizontal="center"/>
      <protection/>
    </xf>
    <xf numFmtId="3" fontId="6" fillId="0" borderId="0" xfId="43" applyNumberFormat="1" applyFont="1" applyAlignment="1">
      <alignment horizontal="center"/>
      <protection/>
    </xf>
    <xf numFmtId="3" fontId="6" fillId="0" borderId="0" xfId="43" applyNumberFormat="1" applyFont="1" applyFill="1" applyBorder="1" applyAlignment="1">
      <alignment horizontal="center"/>
      <protection/>
    </xf>
    <xf numFmtId="0" fontId="6" fillId="0" borderId="1" xfId="43" applyNumberFormat="1" applyFont="1" applyBorder="1" applyAlignment="1">
      <alignment horizontal="center"/>
      <protection/>
    </xf>
    <xf numFmtId="0" fontId="6" fillId="0" borderId="2" xfId="43" applyFont="1" applyBorder="1" applyAlignment="1">
      <alignment horizontal="center"/>
      <protection/>
    </xf>
    <xf numFmtId="0" fontId="6" fillId="0" borderId="3" xfId="43" applyFont="1" applyBorder="1" applyAlignment="1">
      <alignment horizontal="center"/>
      <protection/>
    </xf>
    <xf numFmtId="0" fontId="6" fillId="0" borderId="4" xfId="43" applyFont="1" applyBorder="1" applyAlignment="1">
      <alignment horizontal="center"/>
      <protection/>
    </xf>
    <xf numFmtId="3" fontId="6" fillId="0" borderId="1" xfId="43" applyNumberFormat="1" applyFont="1" applyBorder="1" applyAlignment="1">
      <alignment horizontal="center"/>
      <protection/>
    </xf>
    <xf numFmtId="0" fontId="6" fillId="0" borderId="5" xfId="43" applyNumberFormat="1" applyFont="1" applyBorder="1" applyAlignment="1">
      <alignment horizontal="center"/>
      <protection/>
    </xf>
    <xf numFmtId="0" fontId="6" fillId="0" borderId="6" xfId="43" applyFont="1" applyBorder="1" applyAlignment="1">
      <alignment horizontal="center"/>
      <protection/>
    </xf>
    <xf numFmtId="0" fontId="6" fillId="0" borderId="0" xfId="43" applyFont="1" applyBorder="1" applyAlignment="1">
      <alignment horizontal="center"/>
      <protection/>
    </xf>
    <xf numFmtId="0" fontId="6" fillId="0" borderId="7" xfId="43" applyFont="1" applyBorder="1" applyAlignment="1">
      <alignment horizontal="center"/>
      <protection/>
    </xf>
    <xf numFmtId="3" fontId="6" fillId="0" borderId="5" xfId="43" applyNumberFormat="1" applyFont="1" applyBorder="1" applyAlignment="1">
      <alignment horizontal="center"/>
      <protection/>
    </xf>
    <xf numFmtId="0" fontId="6" fillId="0" borderId="8" xfId="43" applyNumberFormat="1" applyFont="1" applyBorder="1" applyAlignment="1">
      <alignment horizontal="center"/>
      <protection/>
    </xf>
    <xf numFmtId="0" fontId="6" fillId="0" borderId="9" xfId="43" applyFont="1" applyBorder="1" applyAlignment="1">
      <alignment horizontal="center"/>
      <protection/>
    </xf>
    <xf numFmtId="0" fontId="6" fillId="0" borderId="10" xfId="43" applyFont="1" applyBorder="1" applyAlignment="1">
      <alignment horizontal="center"/>
      <protection/>
    </xf>
    <xf numFmtId="0" fontId="6" fillId="0" borderId="11" xfId="43" applyFont="1" applyBorder="1" applyAlignment="1">
      <alignment horizontal="center"/>
      <protection/>
    </xf>
    <xf numFmtId="3" fontId="6" fillId="0" borderId="8" xfId="43" applyNumberFormat="1" applyFont="1" applyBorder="1" applyAlignment="1">
      <alignment horizontal="center"/>
      <protection/>
    </xf>
    <xf numFmtId="0" fontId="7" fillId="0" borderId="0" xfId="43" applyNumberFormat="1" applyFont="1" applyAlignment="1">
      <alignment horizontal="center"/>
      <protection/>
    </xf>
    <xf numFmtId="0" fontId="7" fillId="0" borderId="0" xfId="43" applyFont="1" applyAlignment="1">
      <alignment horizontal="center"/>
      <protection/>
    </xf>
    <xf numFmtId="3" fontId="7" fillId="0" borderId="0" xfId="43" applyNumberFormat="1" applyFont="1" applyAlignment="1">
      <alignment horizontal="center"/>
      <protection/>
    </xf>
    <xf numFmtId="3" fontId="5" fillId="0" borderId="0" xfId="43" applyNumberFormat="1" applyFont="1" applyAlignment="1">
      <alignment horizontal="center"/>
      <protection/>
    </xf>
    <xf numFmtId="3" fontId="5" fillId="0" borderId="0" xfId="43" applyNumberFormat="1" applyFont="1" applyAlignment="1">
      <alignment horizontal="center"/>
      <protection/>
    </xf>
    <xf numFmtId="37" fontId="5" fillId="0" borderId="0" xfId="43" applyNumberFormat="1" applyFont="1" applyAlignment="1">
      <alignment horizontal="center"/>
      <protection/>
    </xf>
    <xf numFmtId="5" fontId="5" fillId="0" borderId="0" xfId="43" applyNumberFormat="1" applyFont="1">
      <alignment/>
      <protection/>
    </xf>
    <xf numFmtId="37" fontId="5" fillId="0" borderId="0" xfId="43" applyNumberFormat="1" applyFont="1">
      <alignment/>
      <protection/>
    </xf>
    <xf numFmtId="37" fontId="5" fillId="0" borderId="0" xfId="43" applyNumberFormat="1" applyFont="1" applyBorder="1" applyAlignment="1">
      <alignment horizontal="center"/>
      <protection/>
    </xf>
    <xf numFmtId="10" fontId="5" fillId="0" borderId="0" xfId="46" applyNumberFormat="1" applyFont="1" applyAlignment="1">
      <alignment/>
    </xf>
    <xf numFmtId="10" fontId="5" fillId="0" borderId="0" xfId="46" applyNumberFormat="1" applyFont="1" applyAlignment="1">
      <alignment/>
    </xf>
    <xf numFmtId="37" fontId="5" fillId="0" borderId="0" xfId="32" applyNumberFormat="1" applyFont="1">
      <alignment/>
      <protection/>
    </xf>
    <xf numFmtId="3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3" fontId="5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centerContinuous"/>
    </xf>
    <xf numFmtId="3" fontId="5" fillId="0" borderId="10" xfId="0" applyNumberFormat="1" applyFont="1" applyBorder="1" applyAlignment="1">
      <alignment horizontal="centerContinuous"/>
    </xf>
    <xf numFmtId="3" fontId="5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left"/>
    </xf>
    <xf numFmtId="165" fontId="5" fillId="0" borderId="0" xfId="0" applyNumberFormat="1" applyFont="1" applyAlignment="1">
      <alignment/>
    </xf>
    <xf numFmtId="5" fontId="5" fillId="0" borderId="0" xfId="0" applyNumberFormat="1" applyFont="1" applyAlignment="1" applyProtection="1">
      <alignment/>
      <protection locked="0"/>
    </xf>
    <xf numFmtId="37" fontId="5" fillId="0" borderId="0" xfId="0" applyNumberFormat="1" applyFont="1" applyAlignment="1" applyProtection="1">
      <alignment/>
      <protection locked="0"/>
    </xf>
    <xf numFmtId="37" fontId="5" fillId="0" borderId="3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37" fontId="5" fillId="0" borderId="10" xfId="0" applyNumberFormat="1" applyFont="1" applyBorder="1" applyAlignment="1" applyProtection="1">
      <alignment/>
      <protection locked="0"/>
    </xf>
    <xf numFmtId="37" fontId="5" fillId="0" borderId="12" xfId="0" applyNumberFormat="1" applyFont="1" applyBorder="1" applyAlignment="1">
      <alignment/>
    </xf>
    <xf numFmtId="37" fontId="5" fillId="0" borderId="10" xfId="0" applyNumberFormat="1" applyFont="1" applyBorder="1" applyAlignment="1">
      <alignment/>
    </xf>
    <xf numFmtId="166" fontId="5" fillId="0" borderId="0" xfId="0" applyNumberFormat="1" applyFont="1" applyAlignment="1">
      <alignment/>
    </xf>
    <xf numFmtId="5" fontId="5" fillId="0" borderId="1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14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167" fontId="5" fillId="0" borderId="0" xfId="43" applyNumberFormat="1" applyFont="1">
      <alignment/>
      <protection/>
    </xf>
    <xf numFmtId="167" fontId="5" fillId="0" borderId="10" xfId="43" applyNumberFormat="1" applyFont="1" applyBorder="1">
      <alignment/>
      <protection/>
    </xf>
    <xf numFmtId="168" fontId="5" fillId="0" borderId="0" xfId="33" applyNumberFormat="1" applyFont="1" applyFill="1" applyBorder="1">
      <alignment/>
      <protection/>
    </xf>
    <xf numFmtId="168" fontId="5" fillId="0" borderId="13" xfId="43" applyNumberFormat="1" applyFont="1" applyBorder="1">
      <alignment/>
      <protection/>
    </xf>
    <xf numFmtId="168" fontId="5" fillId="0" borderId="0" xfId="43" applyNumberFormat="1" applyFont="1">
      <alignment/>
      <protection/>
    </xf>
    <xf numFmtId="3" fontId="5" fillId="0" borderId="0" xfId="24" applyNumberFormat="1" applyFont="1" applyAlignment="1">
      <alignment horizontal="centerContinuous"/>
      <protection/>
    </xf>
    <xf numFmtId="0" fontId="5" fillId="0" borderId="0" xfId="24" applyFont="1" applyAlignment="1">
      <alignment horizontal="centerContinuous"/>
      <protection/>
    </xf>
    <xf numFmtId="3" fontId="5" fillId="0" borderId="0" xfId="24" applyNumberFormat="1" applyFont="1">
      <alignment/>
      <protection/>
    </xf>
    <xf numFmtId="3" fontId="5" fillId="0" borderId="0" xfId="24" applyNumberFormat="1" applyFont="1" applyAlignment="1">
      <alignment horizontal="center"/>
      <protection/>
    </xf>
    <xf numFmtId="3" fontId="6" fillId="0" borderId="10" xfId="24" applyNumberFormat="1" applyFont="1" applyBorder="1" applyAlignment="1">
      <alignment horizontal="centerContinuous"/>
      <protection/>
    </xf>
    <xf numFmtId="3" fontId="6" fillId="0" borderId="10" xfId="24" applyNumberFormat="1" applyFont="1" applyBorder="1" applyAlignment="1">
      <alignment horizontal="center"/>
      <protection/>
    </xf>
    <xf numFmtId="3" fontId="5" fillId="0" borderId="10" xfId="24" applyNumberFormat="1" applyFont="1" applyBorder="1" applyAlignment="1">
      <alignment horizontal="centerContinuous"/>
      <protection/>
    </xf>
    <xf numFmtId="3" fontId="5" fillId="0" borderId="10" xfId="24" applyNumberFormat="1" applyFont="1" applyBorder="1" applyAlignment="1">
      <alignment horizontal="center"/>
      <protection/>
    </xf>
    <xf numFmtId="0" fontId="5" fillId="0" borderId="0" xfId="24" applyFont="1">
      <alignment/>
      <protection/>
    </xf>
    <xf numFmtId="3" fontId="8" fillId="0" borderId="0" xfId="24" applyNumberFormat="1" applyFont="1" applyAlignment="1">
      <alignment horizontal="center"/>
      <protection/>
    </xf>
    <xf numFmtId="3" fontId="5" fillId="0" borderId="0" xfId="24" applyNumberFormat="1" applyFont="1" applyAlignment="1">
      <alignment horizontal="left"/>
      <protection/>
    </xf>
    <xf numFmtId="1" fontId="5" fillId="0" borderId="0" xfId="24" applyNumberFormat="1" applyFont="1" applyAlignment="1">
      <alignment horizontal="center"/>
      <protection/>
    </xf>
    <xf numFmtId="165" fontId="5" fillId="0" borderId="0" xfId="24" applyNumberFormat="1" applyFont="1" applyAlignment="1">
      <alignment horizontal="left"/>
      <protection/>
    </xf>
    <xf numFmtId="165" fontId="5" fillId="0" borderId="0" xfId="24" applyNumberFormat="1" applyFont="1">
      <alignment/>
      <protection/>
    </xf>
    <xf numFmtId="5" fontId="5" fillId="0" borderId="0" xfId="24" applyNumberFormat="1" applyFont="1" applyProtection="1">
      <alignment/>
      <protection locked="0"/>
    </xf>
    <xf numFmtId="37" fontId="5" fillId="0" borderId="0" xfId="24" applyNumberFormat="1" applyFont="1" applyProtection="1">
      <alignment/>
      <protection locked="0"/>
    </xf>
    <xf numFmtId="37" fontId="5" fillId="0" borderId="3" xfId="24" applyNumberFormat="1" applyFont="1" applyBorder="1">
      <alignment/>
      <protection/>
    </xf>
    <xf numFmtId="37" fontId="5" fillId="0" borderId="0" xfId="24" applyNumberFormat="1" applyFont="1">
      <alignment/>
      <protection/>
    </xf>
    <xf numFmtId="37" fontId="5" fillId="0" borderId="12" xfId="24" applyNumberFormat="1" applyFont="1" applyBorder="1">
      <alignment/>
      <protection/>
    </xf>
    <xf numFmtId="37" fontId="5" fillId="0" borderId="10" xfId="24" applyNumberFormat="1" applyFont="1" applyBorder="1">
      <alignment/>
      <protection/>
    </xf>
    <xf numFmtId="166" fontId="5" fillId="0" borderId="0" xfId="24" applyNumberFormat="1" applyFont="1">
      <alignment/>
      <protection/>
    </xf>
    <xf numFmtId="37" fontId="5" fillId="0" borderId="10" xfId="24" applyNumberFormat="1" applyFont="1" applyBorder="1" applyProtection="1">
      <alignment/>
      <protection locked="0"/>
    </xf>
    <xf numFmtId="5" fontId="5" fillId="0" borderId="13" xfId="24" applyNumberFormat="1" applyFont="1" applyBorder="1">
      <alignment/>
      <protection/>
    </xf>
    <xf numFmtId="169" fontId="5" fillId="0" borderId="0" xfId="24" applyNumberFormat="1" applyFont="1">
      <alignment/>
      <protection/>
    </xf>
    <xf numFmtId="171" fontId="6" fillId="0" borderId="0" xfId="24" applyNumberFormat="1" applyFont="1" applyAlignment="1">
      <alignment horizontal="center"/>
      <protection/>
    </xf>
    <xf numFmtId="171" fontId="5" fillId="0" borderId="0" xfId="24" applyNumberFormat="1" applyFont="1">
      <alignment/>
      <protection/>
    </xf>
    <xf numFmtId="171" fontId="5" fillId="0" borderId="0" xfId="24" applyNumberFormat="1" applyFont="1" applyAlignment="1">
      <alignment horizontal="center"/>
      <protection/>
    </xf>
    <xf numFmtId="169" fontId="5" fillId="0" borderId="10" xfId="24" applyNumberFormat="1" applyFont="1" applyBorder="1">
      <alignment/>
      <protection/>
    </xf>
    <xf numFmtId="0" fontId="5" fillId="0" borderId="10" xfId="24" applyFont="1" applyBorder="1">
      <alignment/>
      <protection/>
    </xf>
    <xf numFmtId="171" fontId="5" fillId="0" borderId="10" xfId="24" applyNumberFormat="1" applyFont="1" applyBorder="1" applyAlignment="1">
      <alignment horizontal="center"/>
      <protection/>
    </xf>
    <xf numFmtId="0" fontId="5" fillId="0" borderId="10" xfId="24" applyFont="1" applyBorder="1" applyAlignment="1">
      <alignment horizontal="right"/>
      <protection/>
    </xf>
    <xf numFmtId="5" fontId="5" fillId="0" borderId="0" xfId="24" applyNumberFormat="1" applyFont="1">
      <alignment/>
      <protection/>
    </xf>
    <xf numFmtId="0" fontId="5" fillId="0" borderId="0" xfId="24" applyFont="1" applyAlignment="1">
      <alignment horizontal="right"/>
      <protection/>
    </xf>
    <xf numFmtId="3" fontId="5" fillId="0" borderId="0" xfId="22" applyNumberFormat="1" applyFont="1" applyAlignment="1">
      <alignment horizontal="centerContinuous"/>
      <protection/>
    </xf>
    <xf numFmtId="0" fontId="5" fillId="0" borderId="0" xfId="22" applyFont="1" applyAlignment="1">
      <alignment horizontal="centerContinuous"/>
      <protection/>
    </xf>
    <xf numFmtId="3" fontId="5" fillId="0" borderId="0" xfId="22" applyNumberFormat="1" applyFont="1">
      <alignment/>
      <protection/>
    </xf>
    <xf numFmtId="3" fontId="5" fillId="0" borderId="0" xfId="22" applyNumberFormat="1" applyFont="1" applyAlignment="1">
      <alignment horizontal="center"/>
      <protection/>
    </xf>
    <xf numFmtId="3" fontId="6" fillId="0" borderId="10" xfId="22" applyNumberFormat="1" applyFont="1" applyBorder="1" applyAlignment="1">
      <alignment horizontal="centerContinuous"/>
      <protection/>
    </xf>
    <xf numFmtId="3" fontId="6" fillId="0" borderId="10" xfId="22" applyNumberFormat="1" applyFont="1" applyBorder="1" applyAlignment="1">
      <alignment horizontal="center"/>
      <protection/>
    </xf>
    <xf numFmtId="3" fontId="5" fillId="0" borderId="10" xfId="22" applyNumberFormat="1" applyFont="1" applyBorder="1" applyAlignment="1">
      <alignment horizontal="centerContinuous"/>
      <protection/>
    </xf>
    <xf numFmtId="3" fontId="5" fillId="0" borderId="10" xfId="22" applyNumberFormat="1" applyFont="1" applyBorder="1" applyAlignment="1">
      <alignment horizontal="center"/>
      <protection/>
    </xf>
    <xf numFmtId="3" fontId="8" fillId="0" borderId="0" xfId="22" applyNumberFormat="1" applyFont="1" applyAlignment="1">
      <alignment horizontal="center"/>
      <protection/>
    </xf>
    <xf numFmtId="3" fontId="5" fillId="0" borderId="0" xfId="22" applyNumberFormat="1" applyFont="1" applyAlignment="1">
      <alignment horizontal="left"/>
      <protection/>
    </xf>
    <xf numFmtId="1" fontId="5" fillId="0" borderId="0" xfId="22" applyNumberFormat="1" applyFont="1" applyAlignment="1">
      <alignment horizontal="center"/>
      <protection/>
    </xf>
    <xf numFmtId="165" fontId="5" fillId="0" borderId="0" xfId="22" applyNumberFormat="1" applyFont="1" applyAlignment="1">
      <alignment horizontal="left"/>
      <protection/>
    </xf>
    <xf numFmtId="165" fontId="5" fillId="0" borderId="0" xfId="22" applyNumberFormat="1" applyFont="1">
      <alignment/>
      <protection/>
    </xf>
    <xf numFmtId="5" fontId="5" fillId="0" borderId="0" xfId="22" applyNumberFormat="1" applyFont="1" applyProtection="1">
      <alignment/>
      <protection locked="0"/>
    </xf>
    <xf numFmtId="37" fontId="5" fillId="0" borderId="0" xfId="22" applyNumberFormat="1" applyFont="1" applyProtection="1">
      <alignment/>
      <protection locked="0"/>
    </xf>
    <xf numFmtId="37" fontId="5" fillId="0" borderId="3" xfId="22" applyNumberFormat="1" applyFont="1" applyBorder="1">
      <alignment/>
      <protection/>
    </xf>
    <xf numFmtId="37" fontId="5" fillId="0" borderId="0" xfId="22" applyNumberFormat="1" applyFont="1">
      <alignment/>
      <protection/>
    </xf>
    <xf numFmtId="37" fontId="5" fillId="0" borderId="12" xfId="22" applyNumberFormat="1" applyFont="1" applyBorder="1">
      <alignment/>
      <protection/>
    </xf>
    <xf numFmtId="37" fontId="5" fillId="0" borderId="10" xfId="22" applyNumberFormat="1" applyFont="1" applyBorder="1">
      <alignment/>
      <protection/>
    </xf>
    <xf numFmtId="166" fontId="5" fillId="0" borderId="0" xfId="22" applyNumberFormat="1" applyFont="1">
      <alignment/>
      <protection/>
    </xf>
    <xf numFmtId="37" fontId="5" fillId="0" borderId="10" xfId="22" applyNumberFormat="1" applyFont="1" applyBorder="1" applyProtection="1">
      <alignment/>
      <protection locked="0"/>
    </xf>
    <xf numFmtId="5" fontId="5" fillId="0" borderId="13" xfId="22" applyNumberFormat="1" applyFont="1" applyBorder="1">
      <alignment/>
      <protection/>
    </xf>
    <xf numFmtId="0" fontId="5" fillId="0" borderId="0" xfId="22" applyFont="1">
      <alignment/>
      <protection/>
    </xf>
    <xf numFmtId="169" fontId="5" fillId="0" borderId="0" xfId="22" applyNumberFormat="1" applyFont="1">
      <alignment/>
      <protection/>
    </xf>
    <xf numFmtId="169" fontId="5" fillId="0" borderId="10" xfId="22" applyNumberFormat="1" applyFont="1" applyBorder="1">
      <alignment/>
      <protection/>
    </xf>
    <xf numFmtId="169" fontId="5" fillId="0" borderId="0" xfId="22" applyNumberFormat="1" applyFont="1" applyBorder="1">
      <alignment/>
      <protection/>
    </xf>
    <xf numFmtId="0" fontId="5" fillId="0" borderId="10" xfId="22" applyFont="1" applyBorder="1" applyAlignment="1">
      <alignment horizontal="right"/>
      <protection/>
    </xf>
    <xf numFmtId="0" fontId="5" fillId="0" borderId="10" xfId="22" applyFont="1" applyBorder="1">
      <alignment/>
      <protection/>
    </xf>
    <xf numFmtId="0" fontId="5" fillId="0" borderId="0" xfId="22" applyFont="1" applyAlignment="1">
      <alignment horizontal="right"/>
      <protection/>
    </xf>
    <xf numFmtId="170" fontId="10" fillId="0" borderId="0" xfId="23" applyNumberFormat="1" applyFont="1">
      <alignment/>
      <protection/>
    </xf>
    <xf numFmtId="3" fontId="5" fillId="0" borderId="0" xfId="35" applyNumberFormat="1" applyFont="1" applyAlignment="1">
      <alignment horizontal="centerContinuous"/>
      <protection/>
    </xf>
    <xf numFmtId="0" fontId="5" fillId="0" borderId="0" xfId="35" applyFont="1" applyAlignment="1">
      <alignment horizontal="centerContinuous"/>
      <protection/>
    </xf>
    <xf numFmtId="3" fontId="5" fillId="0" borderId="0" xfId="35" applyNumberFormat="1" applyFont="1">
      <alignment/>
      <protection/>
    </xf>
    <xf numFmtId="3" fontId="6" fillId="0" borderId="10" xfId="35" applyNumberFormat="1" applyFont="1" applyBorder="1" applyAlignment="1">
      <alignment horizontal="centerContinuous"/>
      <protection/>
    </xf>
    <xf numFmtId="3" fontId="5" fillId="0" borderId="10" xfId="35" applyNumberFormat="1" applyFont="1" applyBorder="1" applyAlignment="1">
      <alignment horizontal="centerContinuous"/>
      <protection/>
    </xf>
    <xf numFmtId="3" fontId="5" fillId="0" borderId="0" xfId="35" applyNumberFormat="1" applyFont="1" applyAlignment="1">
      <alignment horizontal="center"/>
      <protection/>
    </xf>
    <xf numFmtId="3" fontId="5" fillId="0" borderId="10" xfId="35" applyNumberFormat="1" applyFont="1" applyBorder="1" applyAlignment="1">
      <alignment horizontal="center"/>
      <protection/>
    </xf>
    <xf numFmtId="3" fontId="5" fillId="0" borderId="0" xfId="35" applyNumberFormat="1" applyFont="1" applyAlignment="1">
      <alignment horizontal="left"/>
      <protection/>
    </xf>
    <xf numFmtId="1" fontId="5" fillId="0" borderId="0" xfId="35" applyNumberFormat="1" applyFont="1" applyAlignment="1">
      <alignment horizontal="center"/>
      <protection/>
    </xf>
    <xf numFmtId="165" fontId="5" fillId="0" borderId="0" xfId="35" applyNumberFormat="1" applyFont="1" applyAlignment="1">
      <alignment horizontal="left"/>
      <protection/>
    </xf>
    <xf numFmtId="165" fontId="5" fillId="0" borderId="0" xfId="35" applyNumberFormat="1" applyFont="1">
      <alignment/>
      <protection/>
    </xf>
    <xf numFmtId="5" fontId="5" fillId="0" borderId="0" xfId="35" applyNumberFormat="1" applyFont="1" applyProtection="1">
      <alignment/>
      <protection locked="0"/>
    </xf>
    <xf numFmtId="37" fontId="5" fillId="0" borderId="0" xfId="35" applyNumberFormat="1" applyFont="1" applyProtection="1">
      <alignment/>
      <protection locked="0"/>
    </xf>
    <xf numFmtId="37" fontId="5" fillId="0" borderId="3" xfId="35" applyNumberFormat="1" applyFont="1" applyBorder="1">
      <alignment/>
      <protection/>
    </xf>
    <xf numFmtId="37" fontId="5" fillId="0" borderId="0" xfId="35" applyNumberFormat="1" applyFont="1">
      <alignment/>
      <protection/>
    </xf>
    <xf numFmtId="37" fontId="5" fillId="0" borderId="12" xfId="35" applyNumberFormat="1" applyFont="1" applyBorder="1">
      <alignment/>
      <protection/>
    </xf>
    <xf numFmtId="37" fontId="5" fillId="0" borderId="10" xfId="35" applyNumberFormat="1" applyFont="1" applyBorder="1">
      <alignment/>
      <protection/>
    </xf>
    <xf numFmtId="37" fontId="5" fillId="0" borderId="10" xfId="35" applyNumberFormat="1" applyFont="1" applyBorder="1" applyProtection="1">
      <alignment/>
      <protection locked="0"/>
    </xf>
    <xf numFmtId="5" fontId="5" fillId="0" borderId="13" xfId="35" applyNumberFormat="1" applyFont="1" applyBorder="1">
      <alignment/>
      <protection/>
    </xf>
    <xf numFmtId="0" fontId="5" fillId="0" borderId="0" xfId="35" applyFont="1">
      <alignment/>
      <protection/>
    </xf>
    <xf numFmtId="37" fontId="11" fillId="0" borderId="0" xfId="24" applyNumberFormat="1" applyFont="1" applyProtection="1">
      <alignment/>
      <protection locked="0"/>
    </xf>
    <xf numFmtId="3" fontId="5" fillId="0" borderId="0" xfId="41" applyNumberFormat="1" applyFont="1" applyAlignment="1">
      <alignment horizontal="centerContinuous"/>
      <protection/>
    </xf>
    <xf numFmtId="0" fontId="5" fillId="0" borderId="0" xfId="41" applyFont="1" applyAlignment="1">
      <alignment horizontal="centerContinuous"/>
      <protection/>
    </xf>
    <xf numFmtId="3" fontId="5" fillId="0" borderId="0" xfId="41" applyNumberFormat="1" applyFont="1">
      <alignment/>
      <protection/>
    </xf>
    <xf numFmtId="3" fontId="6" fillId="0" borderId="10" xfId="41" applyNumberFormat="1" applyFont="1" applyBorder="1" applyAlignment="1">
      <alignment horizontal="centerContinuous"/>
      <protection/>
    </xf>
    <xf numFmtId="3" fontId="5" fillId="0" borderId="10" xfId="41" applyNumberFormat="1" applyFont="1" applyBorder="1" applyAlignment="1">
      <alignment horizontal="centerContinuous"/>
      <protection/>
    </xf>
    <xf numFmtId="3" fontId="5" fillId="0" borderId="0" xfId="41" applyNumberFormat="1" applyFont="1" applyAlignment="1">
      <alignment horizontal="center"/>
      <protection/>
    </xf>
    <xf numFmtId="3" fontId="5" fillId="0" borderId="10" xfId="41" applyNumberFormat="1" applyFont="1" applyBorder="1" applyAlignment="1">
      <alignment horizontal="center"/>
      <protection/>
    </xf>
    <xf numFmtId="3" fontId="5" fillId="0" borderId="0" xfId="41" applyNumberFormat="1" applyFont="1" applyAlignment="1">
      <alignment horizontal="left"/>
      <protection/>
    </xf>
    <xf numFmtId="1" fontId="5" fillId="0" borderId="0" xfId="41" applyNumberFormat="1" applyFont="1" applyAlignment="1">
      <alignment horizontal="center"/>
      <protection/>
    </xf>
    <xf numFmtId="165" fontId="5" fillId="0" borderId="0" xfId="41" applyNumberFormat="1" applyFont="1" applyAlignment="1">
      <alignment horizontal="left"/>
      <protection/>
    </xf>
    <xf numFmtId="165" fontId="5" fillId="0" borderId="0" xfId="41" applyNumberFormat="1" applyFont="1">
      <alignment/>
      <protection/>
    </xf>
    <xf numFmtId="5" fontId="5" fillId="0" borderId="0" xfId="41" applyNumberFormat="1" applyFont="1" applyProtection="1">
      <alignment/>
      <protection locked="0"/>
    </xf>
    <xf numFmtId="37" fontId="5" fillId="0" borderId="0" xfId="41" applyNumberFormat="1" applyFont="1" applyProtection="1">
      <alignment/>
      <protection locked="0"/>
    </xf>
    <xf numFmtId="37" fontId="5" fillId="0" borderId="3" xfId="41" applyNumberFormat="1" applyFont="1" applyBorder="1">
      <alignment/>
      <protection/>
    </xf>
    <xf numFmtId="37" fontId="5" fillId="0" borderId="0" xfId="41" applyNumberFormat="1" applyFont="1">
      <alignment/>
      <protection/>
    </xf>
    <xf numFmtId="37" fontId="12" fillId="0" borderId="0" xfId="41" applyNumberFormat="1" applyFont="1" applyProtection="1">
      <alignment/>
      <protection locked="0"/>
    </xf>
    <xf numFmtId="37" fontId="5" fillId="0" borderId="12" xfId="41" applyNumberFormat="1" applyFont="1" applyBorder="1">
      <alignment/>
      <protection/>
    </xf>
    <xf numFmtId="37" fontId="5" fillId="0" borderId="10" xfId="41" applyNumberFormat="1" applyFont="1" applyBorder="1">
      <alignment/>
      <protection/>
    </xf>
    <xf numFmtId="37" fontId="5" fillId="0" borderId="10" xfId="41" applyNumberFormat="1" applyFont="1" applyBorder="1" applyProtection="1">
      <alignment/>
      <protection locked="0"/>
    </xf>
    <xf numFmtId="5" fontId="5" fillId="0" borderId="13" xfId="41" applyNumberFormat="1" applyFont="1" applyBorder="1">
      <alignment/>
      <protection/>
    </xf>
    <xf numFmtId="3" fontId="5" fillId="0" borderId="0" xfId="20" applyNumberFormat="1" applyFont="1" applyAlignment="1">
      <alignment horizontal="centerContinuous"/>
      <protection/>
    </xf>
    <xf numFmtId="0" fontId="5" fillId="0" borderId="0" xfId="20" applyFont="1" applyAlignment="1">
      <alignment horizontal="centerContinuous"/>
      <protection/>
    </xf>
    <xf numFmtId="3" fontId="5" fillId="0" borderId="0" xfId="20" applyNumberFormat="1" applyFont="1">
      <alignment/>
      <protection/>
    </xf>
    <xf numFmtId="3" fontId="5" fillId="0" borderId="0" xfId="20" applyNumberFormat="1" applyFont="1" applyAlignment="1">
      <alignment horizontal="center"/>
      <protection/>
    </xf>
    <xf numFmtId="3" fontId="6" fillId="0" borderId="10" xfId="20" applyNumberFormat="1" applyFont="1" applyBorder="1" applyAlignment="1">
      <alignment horizontal="centerContinuous"/>
      <protection/>
    </xf>
    <xf numFmtId="3" fontId="6" fillId="0" borderId="10" xfId="20" applyNumberFormat="1" applyFont="1" applyBorder="1" applyAlignment="1">
      <alignment horizontal="center"/>
      <protection/>
    </xf>
    <xf numFmtId="3" fontId="5" fillId="0" borderId="10" xfId="20" applyNumberFormat="1" applyFont="1" applyBorder="1" applyAlignment="1">
      <alignment horizontal="centerContinuous"/>
      <protection/>
    </xf>
    <xf numFmtId="3" fontId="5" fillId="0" borderId="10" xfId="20" applyNumberFormat="1" applyFont="1" applyBorder="1" applyAlignment="1">
      <alignment horizontal="center"/>
      <protection/>
    </xf>
    <xf numFmtId="3" fontId="8" fillId="0" borderId="0" xfId="20" applyNumberFormat="1" applyFont="1" applyAlignment="1">
      <alignment horizontal="center"/>
      <protection/>
    </xf>
    <xf numFmtId="3" fontId="5" fillId="0" borderId="0" xfId="20" applyNumberFormat="1" applyFont="1" applyAlignment="1">
      <alignment horizontal="left"/>
      <protection/>
    </xf>
    <xf numFmtId="1" fontId="5" fillId="0" borderId="0" xfId="20" applyNumberFormat="1" applyFont="1" applyAlignment="1">
      <alignment horizontal="center"/>
      <protection/>
    </xf>
    <xf numFmtId="165" fontId="5" fillId="0" borderId="0" xfId="20" applyNumberFormat="1" applyFont="1" applyAlignment="1">
      <alignment horizontal="left"/>
      <protection/>
    </xf>
    <xf numFmtId="165" fontId="5" fillId="0" borderId="0" xfId="20" applyNumberFormat="1" applyFont="1">
      <alignment/>
      <protection/>
    </xf>
    <xf numFmtId="5" fontId="5" fillId="0" borderId="0" xfId="20" applyNumberFormat="1" applyFont="1" applyProtection="1">
      <alignment/>
      <protection locked="0"/>
    </xf>
    <xf numFmtId="37" fontId="5" fillId="0" borderId="0" xfId="20" applyNumberFormat="1" applyFont="1" applyProtection="1">
      <alignment/>
      <protection locked="0"/>
    </xf>
    <xf numFmtId="37" fontId="5" fillId="0" borderId="3" xfId="20" applyNumberFormat="1" applyFont="1" applyBorder="1">
      <alignment/>
      <protection/>
    </xf>
    <xf numFmtId="37" fontId="5" fillId="0" borderId="0" xfId="20" applyNumberFormat="1" applyFont="1">
      <alignment/>
      <protection/>
    </xf>
    <xf numFmtId="37" fontId="5" fillId="0" borderId="12" xfId="20" applyNumberFormat="1" applyFont="1" applyBorder="1">
      <alignment/>
      <protection/>
    </xf>
    <xf numFmtId="37" fontId="5" fillId="0" borderId="10" xfId="20" applyNumberFormat="1" applyFont="1" applyBorder="1">
      <alignment/>
      <protection/>
    </xf>
    <xf numFmtId="166" fontId="5" fillId="0" borderId="0" xfId="20" applyNumberFormat="1" applyFont="1">
      <alignment/>
      <protection/>
    </xf>
    <xf numFmtId="37" fontId="5" fillId="0" borderId="10" xfId="20" applyNumberFormat="1" applyFont="1" applyBorder="1" applyProtection="1">
      <alignment/>
      <protection locked="0"/>
    </xf>
    <xf numFmtId="5" fontId="5" fillId="0" borderId="13" xfId="20" applyNumberFormat="1" applyFont="1" applyBorder="1">
      <alignment/>
      <protection/>
    </xf>
    <xf numFmtId="3" fontId="5" fillId="0" borderId="0" xfId="20" applyNumberFormat="1" applyFont="1" applyBorder="1" applyAlignment="1">
      <alignment horizontal="center"/>
      <protection/>
    </xf>
    <xf numFmtId="3" fontId="5" fillId="0" borderId="0" xfId="20" applyNumberFormat="1" applyFont="1" applyBorder="1">
      <alignment/>
      <protection/>
    </xf>
    <xf numFmtId="0" fontId="5" fillId="0" borderId="0" xfId="20" applyFont="1" applyBorder="1" applyAlignment="1">
      <alignment horizontal="centerContinuous"/>
      <protection/>
    </xf>
    <xf numFmtId="0" fontId="5" fillId="0" borderId="0" xfId="20" applyFont="1" applyBorder="1">
      <alignment/>
      <protection/>
    </xf>
    <xf numFmtId="169" fontId="5" fillId="0" borderId="0" xfId="20" applyNumberFormat="1" applyFont="1" applyBorder="1">
      <alignment/>
      <protection/>
    </xf>
    <xf numFmtId="171" fontId="5" fillId="0" borderId="0" xfId="20" applyNumberFormat="1" applyFont="1" applyBorder="1">
      <alignment/>
      <protection/>
    </xf>
    <xf numFmtId="171" fontId="5" fillId="0" borderId="0" xfId="20" applyNumberFormat="1" applyFont="1" applyBorder="1" applyAlignment="1">
      <alignment horizontal="center"/>
      <protection/>
    </xf>
    <xf numFmtId="0" fontId="5" fillId="0" borderId="0" xfId="20" applyFont="1" applyBorder="1" applyAlignment="1">
      <alignment horizontal="right"/>
      <protection/>
    </xf>
    <xf numFmtId="3" fontId="5" fillId="0" borderId="0" xfId="20" applyNumberFormat="1" applyFont="1" applyBorder="1" applyAlignment="1">
      <alignment horizontal="left"/>
      <protection/>
    </xf>
    <xf numFmtId="165" fontId="5" fillId="0" borderId="0" xfId="20" applyNumberFormat="1" applyFont="1" applyBorder="1" applyAlignment="1">
      <alignment horizontal="left"/>
      <protection/>
    </xf>
    <xf numFmtId="5" fontId="5" fillId="0" borderId="0" xfId="20" applyNumberFormat="1" applyFont="1" applyBorder="1">
      <alignment/>
      <protection/>
    </xf>
    <xf numFmtId="37" fontId="5" fillId="0" borderId="0" xfId="20" applyNumberFormat="1" applyFont="1" applyBorder="1">
      <alignment/>
      <protection/>
    </xf>
    <xf numFmtId="170" fontId="5" fillId="0" borderId="0" xfId="20" applyNumberFormat="1" applyFont="1" applyBorder="1">
      <alignment/>
      <protection/>
    </xf>
    <xf numFmtId="3" fontId="5" fillId="0" borderId="0" xfId="40" applyNumberFormat="1" applyFont="1" applyAlignment="1">
      <alignment horizontal="centerContinuous"/>
      <protection/>
    </xf>
    <xf numFmtId="0" fontId="5" fillId="0" borderId="0" xfId="40" applyFont="1" applyAlignment="1">
      <alignment horizontal="centerContinuous"/>
      <protection/>
    </xf>
    <xf numFmtId="3" fontId="5" fillId="0" borderId="0" xfId="40" applyNumberFormat="1" applyFont="1">
      <alignment/>
      <protection/>
    </xf>
    <xf numFmtId="3" fontId="6" fillId="0" borderId="10" xfId="40" applyNumberFormat="1" applyFont="1" applyBorder="1" applyAlignment="1">
      <alignment horizontal="centerContinuous"/>
      <protection/>
    </xf>
    <xf numFmtId="3" fontId="5" fillId="0" borderId="10" xfId="40" applyNumberFormat="1" applyFont="1" applyBorder="1" applyAlignment="1">
      <alignment horizontal="centerContinuous"/>
      <protection/>
    </xf>
    <xf numFmtId="3" fontId="5" fillId="0" borderId="0" xfId="40" applyNumberFormat="1" applyFont="1" applyAlignment="1">
      <alignment horizontal="center"/>
      <protection/>
    </xf>
    <xf numFmtId="3" fontId="5" fillId="0" borderId="10" xfId="40" applyNumberFormat="1" applyFont="1" applyBorder="1" applyAlignment="1">
      <alignment horizontal="center"/>
      <protection/>
    </xf>
    <xf numFmtId="3" fontId="8" fillId="0" borderId="0" xfId="40" applyNumberFormat="1" applyFont="1" applyAlignment="1">
      <alignment horizontal="center"/>
      <protection/>
    </xf>
    <xf numFmtId="3" fontId="5" fillId="0" borderId="0" xfId="40" applyNumberFormat="1" applyFont="1" applyAlignment="1">
      <alignment horizontal="left"/>
      <protection/>
    </xf>
    <xf numFmtId="1" fontId="5" fillId="0" borderId="0" xfId="40" applyNumberFormat="1" applyFont="1" applyAlignment="1">
      <alignment horizontal="center"/>
      <protection/>
    </xf>
    <xf numFmtId="165" fontId="5" fillId="0" borderId="0" xfId="40" applyNumberFormat="1" applyFont="1" applyAlignment="1">
      <alignment horizontal="left"/>
      <protection/>
    </xf>
    <xf numFmtId="165" fontId="5" fillId="0" borderId="0" xfId="40" applyNumberFormat="1" applyFont="1">
      <alignment/>
      <protection/>
    </xf>
    <xf numFmtId="5" fontId="5" fillId="0" borderId="0" xfId="40" applyNumberFormat="1" applyFont="1" applyProtection="1">
      <alignment/>
      <protection locked="0"/>
    </xf>
    <xf numFmtId="37" fontId="5" fillId="0" borderId="0" xfId="40" applyNumberFormat="1" applyFont="1" applyProtection="1">
      <alignment/>
      <protection locked="0"/>
    </xf>
    <xf numFmtId="37" fontId="5" fillId="0" borderId="3" xfId="40" applyNumberFormat="1" applyFont="1" applyBorder="1">
      <alignment/>
      <protection/>
    </xf>
    <xf numFmtId="37" fontId="5" fillId="0" borderId="0" xfId="40" applyNumberFormat="1" applyFont="1">
      <alignment/>
      <protection/>
    </xf>
    <xf numFmtId="37" fontId="5" fillId="0" borderId="12" xfId="40" applyNumberFormat="1" applyFont="1" applyBorder="1">
      <alignment/>
      <protection/>
    </xf>
    <xf numFmtId="37" fontId="5" fillId="0" borderId="10" xfId="40" applyNumberFormat="1" applyFont="1" applyBorder="1">
      <alignment/>
      <protection/>
    </xf>
    <xf numFmtId="166" fontId="5" fillId="0" borderId="0" xfId="40" applyNumberFormat="1" applyFont="1">
      <alignment/>
      <protection/>
    </xf>
    <xf numFmtId="37" fontId="5" fillId="0" borderId="10" xfId="40" applyNumberFormat="1" applyFont="1" applyBorder="1" applyProtection="1">
      <alignment/>
      <protection locked="0"/>
    </xf>
    <xf numFmtId="5" fontId="5" fillId="0" borderId="13" xfId="40" applyNumberFormat="1" applyFont="1" applyBorder="1">
      <alignment/>
      <protection/>
    </xf>
    <xf numFmtId="0" fontId="5" fillId="0" borderId="0" xfId="40" applyFont="1">
      <alignment/>
      <protection/>
    </xf>
    <xf numFmtId="169" fontId="5" fillId="0" borderId="0" xfId="40" applyNumberFormat="1" applyFont="1">
      <alignment/>
      <protection/>
    </xf>
    <xf numFmtId="169" fontId="5" fillId="0" borderId="10" xfId="40" applyNumberFormat="1" applyFont="1" applyBorder="1">
      <alignment/>
      <protection/>
    </xf>
    <xf numFmtId="169" fontId="5" fillId="0" borderId="0" xfId="40" applyNumberFormat="1" applyFont="1" applyBorder="1">
      <alignment/>
      <protection/>
    </xf>
    <xf numFmtId="0" fontId="5" fillId="0" borderId="10" xfId="40" applyFont="1" applyBorder="1" applyAlignment="1">
      <alignment horizontal="right"/>
      <protection/>
    </xf>
    <xf numFmtId="0" fontId="5" fillId="0" borderId="10" xfId="40" applyFont="1" applyBorder="1">
      <alignment/>
      <protection/>
    </xf>
    <xf numFmtId="0" fontId="5" fillId="0" borderId="0" xfId="40" applyFont="1" applyAlignment="1">
      <alignment horizontal="right"/>
      <protection/>
    </xf>
    <xf numFmtId="170" fontId="5" fillId="0" borderId="0" xfId="40" applyNumberFormat="1" applyFont="1">
      <alignment/>
      <protection/>
    </xf>
    <xf numFmtId="5" fontId="5" fillId="0" borderId="13" xfId="43" applyNumberFormat="1" applyFont="1" applyBorder="1">
      <alignment/>
      <protection/>
    </xf>
    <xf numFmtId="37" fontId="5" fillId="0" borderId="10" xfId="43" applyNumberFormat="1" applyFont="1" applyBorder="1">
      <alignment/>
      <protection/>
    </xf>
    <xf numFmtId="0" fontId="17" fillId="0" borderId="0" xfId="25" applyFont="1">
      <alignment/>
      <protection/>
    </xf>
    <xf numFmtId="0" fontId="17" fillId="0" borderId="0" xfId="25" applyFont="1" applyAlignment="1">
      <alignment horizontal="right"/>
      <protection/>
    </xf>
    <xf numFmtId="0" fontId="19" fillId="0" borderId="0" xfId="0" applyFont="1" applyAlignment="1">
      <alignment/>
    </xf>
    <xf numFmtId="3" fontId="20" fillId="0" borderId="15" xfId="0" applyNumberFormat="1" applyFont="1" applyBorder="1" applyAlignment="1">
      <alignment horizontal="centerContinuous"/>
    </xf>
    <xf numFmtId="3" fontId="21" fillId="0" borderId="12" xfId="0" applyNumberFormat="1" applyFont="1" applyBorder="1" applyAlignment="1">
      <alignment horizontal="centerContinuous"/>
    </xf>
    <xf numFmtId="3" fontId="21" fillId="0" borderId="16" xfId="0" applyNumberFormat="1" applyFont="1" applyBorder="1" applyAlignment="1">
      <alignment horizontal="centerContinuous"/>
    </xf>
    <xf numFmtId="3" fontId="16" fillId="0" borderId="14" xfId="0" applyNumberFormat="1" applyFont="1" applyBorder="1" applyAlignment="1">
      <alignment/>
    </xf>
    <xf numFmtId="0" fontId="5" fillId="0" borderId="0" xfId="43" applyNumberFormat="1" applyFont="1" applyAlignment="1">
      <alignment horizontal="center"/>
      <protection/>
    </xf>
    <xf numFmtId="0" fontId="5" fillId="0" borderId="0" xfId="43" applyFont="1" applyAlignment="1">
      <alignment horizontal="center"/>
      <protection/>
    </xf>
    <xf numFmtId="3" fontId="18" fillId="0" borderId="0" xfId="43" applyNumberFormat="1" applyFont="1" applyAlignment="1">
      <alignment horizontal="center"/>
      <protection/>
    </xf>
    <xf numFmtId="3" fontId="16" fillId="0" borderId="0" xfId="43" applyNumberFormat="1" applyFont="1">
      <alignment/>
      <protection/>
    </xf>
    <xf numFmtId="3" fontId="22" fillId="0" borderId="0" xfId="43" applyNumberFormat="1" applyFont="1" applyAlignment="1">
      <alignment horizontal="center"/>
      <protection/>
    </xf>
    <xf numFmtId="3" fontId="22" fillId="0" borderId="1" xfId="43" applyNumberFormat="1" applyFont="1" applyFill="1" applyBorder="1" applyAlignment="1">
      <alignment horizontal="center"/>
      <protection/>
    </xf>
    <xf numFmtId="3" fontId="22" fillId="0" borderId="5" xfId="43" applyNumberFormat="1" applyFont="1" applyFill="1" applyBorder="1" applyAlignment="1">
      <alignment horizontal="center"/>
      <protection/>
    </xf>
    <xf numFmtId="3" fontId="22" fillId="0" borderId="8" xfId="43" applyNumberFormat="1" applyFont="1" applyFill="1" applyBorder="1" applyAlignment="1">
      <alignment horizontal="center"/>
      <protection/>
    </xf>
    <xf numFmtId="3" fontId="16" fillId="0" borderId="0" xfId="43" applyNumberFormat="1" applyFont="1" applyFill="1" applyBorder="1" applyAlignment="1">
      <alignment horizontal="center"/>
      <protection/>
    </xf>
    <xf numFmtId="3" fontId="16" fillId="0" borderId="0" xfId="43" applyNumberFormat="1" applyFont="1" applyFill="1" applyBorder="1">
      <alignment/>
      <protection/>
    </xf>
    <xf numFmtId="168" fontId="16" fillId="0" borderId="0" xfId="33" applyNumberFormat="1" applyFont="1" applyFill="1" applyBorder="1">
      <alignment/>
      <protection/>
    </xf>
    <xf numFmtId="167" fontId="16" fillId="0" borderId="0" xfId="43" applyNumberFormat="1" applyFont="1">
      <alignment/>
      <protection/>
    </xf>
    <xf numFmtId="167" fontId="16" fillId="0" borderId="10" xfId="43" applyNumberFormat="1" applyFont="1" applyBorder="1">
      <alignment/>
      <protection/>
    </xf>
    <xf numFmtId="37" fontId="16" fillId="0" borderId="0" xfId="43" applyNumberFormat="1" applyFont="1">
      <alignment/>
      <protection/>
    </xf>
    <xf numFmtId="37" fontId="16" fillId="0" borderId="10" xfId="43" applyNumberFormat="1" applyFont="1" applyBorder="1">
      <alignment/>
      <protection/>
    </xf>
    <xf numFmtId="5" fontId="16" fillId="0" borderId="13" xfId="43" applyNumberFormat="1" applyFont="1" applyBorder="1">
      <alignment/>
      <protection/>
    </xf>
    <xf numFmtId="168" fontId="16" fillId="0" borderId="0" xfId="43" applyNumberFormat="1" applyFont="1">
      <alignment/>
      <protection/>
    </xf>
    <xf numFmtId="0" fontId="1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" fontId="5" fillId="0" borderId="0" xfId="29" applyNumberFormat="1" applyFont="1" applyAlignment="1">
      <alignment horizontal="centerContinuous"/>
      <protection/>
    </xf>
    <xf numFmtId="0" fontId="5" fillId="0" borderId="0" xfId="29" applyFont="1" applyAlignment="1">
      <alignment horizontal="centerContinuous"/>
      <protection/>
    </xf>
    <xf numFmtId="3" fontId="5" fillId="0" borderId="0" xfId="29" applyNumberFormat="1" applyFont="1">
      <alignment/>
      <protection/>
    </xf>
    <xf numFmtId="3" fontId="6" fillId="0" borderId="10" xfId="29" applyNumberFormat="1" applyFont="1" applyBorder="1" applyAlignment="1">
      <alignment horizontal="centerContinuous"/>
      <protection/>
    </xf>
    <xf numFmtId="3" fontId="5" fillId="0" borderId="10" xfId="29" applyNumberFormat="1" applyFont="1" applyBorder="1" applyAlignment="1">
      <alignment horizontal="centerContinuous"/>
      <protection/>
    </xf>
    <xf numFmtId="3" fontId="5" fillId="0" borderId="0" xfId="29" applyNumberFormat="1" applyFont="1" applyAlignment="1">
      <alignment horizontal="center"/>
      <protection/>
    </xf>
    <xf numFmtId="3" fontId="5" fillId="0" borderId="10" xfId="29" applyNumberFormat="1" applyFont="1" applyBorder="1" applyAlignment="1">
      <alignment horizontal="center"/>
      <protection/>
    </xf>
    <xf numFmtId="3" fontId="8" fillId="0" borderId="0" xfId="29" applyNumberFormat="1" applyFont="1" applyAlignment="1">
      <alignment horizontal="center"/>
      <protection/>
    </xf>
    <xf numFmtId="3" fontId="5" fillId="0" borderId="0" xfId="29" applyNumberFormat="1" applyFont="1" applyAlignment="1">
      <alignment horizontal="left"/>
      <protection/>
    </xf>
    <xf numFmtId="1" fontId="5" fillId="0" borderId="0" xfId="29" applyNumberFormat="1" applyFont="1" applyAlignment="1">
      <alignment horizontal="center"/>
      <protection/>
    </xf>
    <xf numFmtId="165" fontId="5" fillId="0" borderId="0" xfId="29" applyNumberFormat="1" applyFont="1" applyAlignment="1">
      <alignment horizontal="left"/>
      <protection/>
    </xf>
    <xf numFmtId="165" fontId="5" fillId="0" borderId="0" xfId="29" applyNumberFormat="1" applyFont="1">
      <alignment/>
      <protection/>
    </xf>
    <xf numFmtId="5" fontId="5" fillId="0" borderId="0" xfId="29" applyNumberFormat="1" applyFont="1" applyProtection="1">
      <alignment/>
      <protection locked="0"/>
    </xf>
    <xf numFmtId="37" fontId="5" fillId="0" borderId="0" xfId="29" applyNumberFormat="1" applyFont="1" applyProtection="1">
      <alignment/>
      <protection locked="0"/>
    </xf>
    <xf numFmtId="37" fontId="5" fillId="0" borderId="3" xfId="29" applyNumberFormat="1" applyFont="1" applyBorder="1">
      <alignment/>
      <protection/>
    </xf>
    <xf numFmtId="37" fontId="5" fillId="0" borderId="0" xfId="29" applyNumberFormat="1" applyFont="1">
      <alignment/>
      <protection/>
    </xf>
    <xf numFmtId="37" fontId="5" fillId="0" borderId="12" xfId="29" applyNumberFormat="1" applyFont="1" applyBorder="1">
      <alignment/>
      <protection/>
    </xf>
    <xf numFmtId="37" fontId="5" fillId="0" borderId="10" xfId="29" applyNumberFormat="1" applyFont="1" applyBorder="1">
      <alignment/>
      <protection/>
    </xf>
    <xf numFmtId="37" fontId="5" fillId="0" borderId="10" xfId="29" applyNumberFormat="1" applyFont="1" applyBorder="1" applyProtection="1">
      <alignment/>
      <protection locked="0"/>
    </xf>
    <xf numFmtId="5" fontId="5" fillId="0" borderId="0" xfId="29" applyNumberFormat="1" applyFont="1">
      <alignment/>
      <protection/>
    </xf>
    <xf numFmtId="5" fontId="5" fillId="0" borderId="13" xfId="29" applyNumberFormat="1" applyFont="1" applyBorder="1">
      <alignment/>
      <protection/>
    </xf>
    <xf numFmtId="3" fontId="5" fillId="0" borderId="0" xfId="29" applyNumberFormat="1" applyFont="1" applyBorder="1" applyAlignment="1">
      <alignment horizontal="center"/>
      <protection/>
    </xf>
    <xf numFmtId="3" fontId="5" fillId="0" borderId="0" xfId="29" applyNumberFormat="1" applyFont="1" applyBorder="1">
      <alignment/>
      <protection/>
    </xf>
    <xf numFmtId="0" fontId="5" fillId="0" borderId="0" xfId="29" applyFont="1" applyBorder="1" applyAlignment="1">
      <alignment horizontal="centerContinuous"/>
      <protection/>
    </xf>
    <xf numFmtId="0" fontId="5" fillId="0" borderId="0" xfId="29" applyFont="1" applyBorder="1">
      <alignment/>
      <protection/>
    </xf>
    <xf numFmtId="169" fontId="5" fillId="0" borderId="0" xfId="29" applyNumberFormat="1" applyFont="1" applyBorder="1">
      <alignment/>
      <protection/>
    </xf>
    <xf numFmtId="171" fontId="5" fillId="0" borderId="0" xfId="29" applyNumberFormat="1" applyFont="1" applyBorder="1">
      <alignment/>
      <protection/>
    </xf>
    <xf numFmtId="169" fontId="5" fillId="0" borderId="0" xfId="29" applyNumberFormat="1" applyFont="1">
      <alignment/>
      <protection/>
    </xf>
    <xf numFmtId="171" fontId="5" fillId="0" borderId="0" xfId="29" applyNumberFormat="1" applyFont="1" applyBorder="1" applyAlignment="1">
      <alignment horizontal="center"/>
      <protection/>
    </xf>
    <xf numFmtId="0" fontId="5" fillId="0" borderId="0" xfId="29" applyFont="1" applyBorder="1" applyAlignment="1">
      <alignment horizontal="right"/>
      <protection/>
    </xf>
    <xf numFmtId="3" fontId="5" fillId="0" borderId="0" xfId="29" applyNumberFormat="1" applyFont="1" applyBorder="1" applyAlignment="1">
      <alignment horizontal="left"/>
      <protection/>
    </xf>
    <xf numFmtId="0" fontId="5" fillId="0" borderId="0" xfId="29" applyFont="1">
      <alignment/>
      <protection/>
    </xf>
    <xf numFmtId="165" fontId="5" fillId="0" borderId="0" xfId="29" applyNumberFormat="1" applyFont="1" applyBorder="1" applyAlignment="1">
      <alignment horizontal="left"/>
      <protection/>
    </xf>
    <xf numFmtId="5" fontId="5" fillId="0" borderId="0" xfId="29" applyNumberFormat="1" applyFont="1" applyBorder="1">
      <alignment/>
      <protection/>
    </xf>
    <xf numFmtId="37" fontId="5" fillId="0" borderId="0" xfId="29" applyNumberFormat="1" applyFont="1" applyBorder="1">
      <alignment/>
      <protection/>
    </xf>
    <xf numFmtId="170" fontId="5" fillId="0" borderId="0" xfId="29" applyNumberFormat="1" applyFont="1" applyBorder="1">
      <alignment/>
      <protection/>
    </xf>
    <xf numFmtId="3" fontId="5" fillId="0" borderId="0" xfId="28" applyNumberFormat="1" applyFont="1" applyAlignment="1">
      <alignment horizontal="centerContinuous"/>
      <protection/>
    </xf>
    <xf numFmtId="0" fontId="5" fillId="0" borderId="0" xfId="28" applyFont="1" applyAlignment="1">
      <alignment horizontal="centerContinuous"/>
      <protection/>
    </xf>
    <xf numFmtId="3" fontId="5" fillId="0" borderId="0" xfId="28" applyNumberFormat="1" applyFont="1">
      <alignment/>
      <protection/>
    </xf>
    <xf numFmtId="0" fontId="25" fillId="0" borderId="0" xfId="28" applyFont="1" applyAlignment="1">
      <alignment horizontal="centerContinuous"/>
      <protection/>
    </xf>
    <xf numFmtId="3" fontId="6" fillId="0" borderId="10" xfId="28" applyNumberFormat="1" applyFont="1" applyBorder="1" applyAlignment="1">
      <alignment horizontal="centerContinuous"/>
      <protection/>
    </xf>
    <xf numFmtId="3" fontId="5" fillId="0" borderId="10" xfId="28" applyNumberFormat="1" applyFont="1" applyBorder="1" applyAlignment="1">
      <alignment horizontal="centerContinuous"/>
      <protection/>
    </xf>
    <xf numFmtId="3" fontId="5" fillId="0" borderId="0" xfId="28" applyNumberFormat="1" applyFont="1" applyAlignment="1">
      <alignment horizontal="center"/>
      <protection/>
    </xf>
    <xf numFmtId="3" fontId="5" fillId="0" borderId="10" xfId="28" applyNumberFormat="1" applyFont="1" applyBorder="1" applyAlignment="1">
      <alignment horizontal="center"/>
      <protection/>
    </xf>
    <xf numFmtId="3" fontId="8" fillId="0" borderId="0" xfId="28" applyNumberFormat="1" applyFont="1" applyAlignment="1">
      <alignment horizontal="center"/>
      <protection/>
    </xf>
    <xf numFmtId="3" fontId="5" fillId="0" borderId="0" xfId="28" applyNumberFormat="1" applyFont="1" applyAlignment="1">
      <alignment horizontal="left"/>
      <protection/>
    </xf>
    <xf numFmtId="1" fontId="5" fillId="0" borderId="0" xfId="28" applyNumberFormat="1" applyFont="1" applyAlignment="1">
      <alignment horizontal="center"/>
      <protection/>
    </xf>
    <xf numFmtId="165" fontId="5" fillId="0" borderId="0" xfId="28" applyNumberFormat="1" applyFont="1" applyAlignment="1">
      <alignment horizontal="left"/>
      <protection/>
    </xf>
    <xf numFmtId="165" fontId="5" fillId="0" borderId="0" xfId="28" applyNumberFormat="1" applyFont="1">
      <alignment/>
      <protection/>
    </xf>
    <xf numFmtId="5" fontId="5" fillId="0" borderId="0" xfId="28" applyNumberFormat="1" applyFont="1" applyProtection="1">
      <alignment/>
      <protection locked="0"/>
    </xf>
    <xf numFmtId="37" fontId="5" fillId="0" borderId="0" xfId="28" applyNumberFormat="1" applyFont="1" applyProtection="1">
      <alignment/>
      <protection locked="0"/>
    </xf>
    <xf numFmtId="37" fontId="5" fillId="0" borderId="3" xfId="28" applyNumberFormat="1" applyFont="1" applyBorder="1">
      <alignment/>
      <protection/>
    </xf>
    <xf numFmtId="37" fontId="5" fillId="0" borderId="0" xfId="28" applyNumberFormat="1" applyFont="1">
      <alignment/>
      <protection/>
    </xf>
    <xf numFmtId="37" fontId="5" fillId="0" borderId="12" xfId="28" applyNumberFormat="1" applyFont="1" applyBorder="1">
      <alignment/>
      <protection/>
    </xf>
    <xf numFmtId="37" fontId="5" fillId="0" borderId="10" xfId="28" applyNumberFormat="1" applyFont="1" applyBorder="1">
      <alignment/>
      <protection/>
    </xf>
    <xf numFmtId="37" fontId="5" fillId="0" borderId="10" xfId="28" applyNumberFormat="1" applyFont="1" applyBorder="1" applyProtection="1">
      <alignment/>
      <protection locked="0"/>
    </xf>
    <xf numFmtId="5" fontId="5" fillId="0" borderId="13" xfId="28" applyNumberFormat="1" applyFont="1" applyBorder="1">
      <alignment/>
      <protection/>
    </xf>
    <xf numFmtId="3" fontId="5" fillId="0" borderId="0" xfId="28" applyNumberFormat="1" applyFont="1" applyBorder="1" applyAlignment="1">
      <alignment horizontal="center"/>
      <protection/>
    </xf>
    <xf numFmtId="3" fontId="5" fillId="0" borderId="0" xfId="28" applyNumberFormat="1" applyFont="1" applyBorder="1">
      <alignment/>
      <protection/>
    </xf>
    <xf numFmtId="0" fontId="5" fillId="0" borderId="0" xfId="28" applyFont="1" applyBorder="1" applyAlignment="1">
      <alignment horizontal="centerContinuous"/>
      <protection/>
    </xf>
    <xf numFmtId="0" fontId="5" fillId="0" borderId="0" xfId="28" applyFont="1" applyBorder="1">
      <alignment/>
      <protection/>
    </xf>
    <xf numFmtId="169" fontId="5" fillId="0" borderId="0" xfId="28" applyNumberFormat="1" applyFont="1" applyBorder="1">
      <alignment/>
      <protection/>
    </xf>
    <xf numFmtId="171" fontId="5" fillId="0" borderId="0" xfId="28" applyNumberFormat="1" applyFont="1" applyBorder="1">
      <alignment/>
      <protection/>
    </xf>
    <xf numFmtId="169" fontId="5" fillId="0" borderId="0" xfId="28" applyNumberFormat="1" applyFont="1">
      <alignment/>
      <protection/>
    </xf>
    <xf numFmtId="171" fontId="5" fillId="0" borderId="0" xfId="28" applyNumberFormat="1" applyFont="1" applyBorder="1" applyAlignment="1">
      <alignment horizontal="center"/>
      <protection/>
    </xf>
    <xf numFmtId="0" fontId="5" fillId="0" borderId="0" xfId="28" applyFont="1" applyBorder="1" applyAlignment="1">
      <alignment horizontal="right"/>
      <protection/>
    </xf>
    <xf numFmtId="3" fontId="5" fillId="0" borderId="0" xfId="28" applyNumberFormat="1" applyFont="1" applyBorder="1" applyAlignment="1">
      <alignment horizontal="left"/>
      <protection/>
    </xf>
    <xf numFmtId="0" fontId="5" fillId="0" borderId="0" xfId="28" applyFont="1">
      <alignment/>
      <protection/>
    </xf>
    <xf numFmtId="165" fontId="5" fillId="0" borderId="0" xfId="28" applyNumberFormat="1" applyFont="1" applyBorder="1" applyAlignment="1">
      <alignment horizontal="left"/>
      <protection/>
    </xf>
    <xf numFmtId="5" fontId="5" fillId="0" borderId="0" xfId="28" applyNumberFormat="1" applyFont="1" applyBorder="1">
      <alignment/>
      <protection/>
    </xf>
    <xf numFmtId="37" fontId="5" fillId="0" borderId="0" xfId="28" applyNumberFormat="1" applyFont="1" applyBorder="1">
      <alignment/>
      <protection/>
    </xf>
    <xf numFmtId="170" fontId="5" fillId="0" borderId="0" xfId="28" applyNumberFormat="1" applyFont="1" applyBorder="1">
      <alignment/>
      <protection/>
    </xf>
    <xf numFmtId="3" fontId="5" fillId="0" borderId="0" xfId="23" applyNumberFormat="1" applyFont="1" applyAlignment="1">
      <alignment horizontal="centerContinuous"/>
      <protection/>
    </xf>
    <xf numFmtId="0" fontId="5" fillId="0" borderId="0" xfId="23" applyFont="1" applyAlignment="1">
      <alignment horizontal="centerContinuous"/>
      <protection/>
    </xf>
    <xf numFmtId="3" fontId="5" fillId="0" borderId="0" xfId="23" applyNumberFormat="1" applyFont="1">
      <alignment/>
      <protection/>
    </xf>
    <xf numFmtId="3" fontId="5" fillId="0" borderId="0" xfId="23" applyNumberFormat="1" applyFont="1" applyAlignment="1">
      <alignment horizontal="center"/>
      <protection/>
    </xf>
    <xf numFmtId="3" fontId="6" fillId="0" borderId="10" xfId="23" applyNumberFormat="1" applyFont="1" applyBorder="1" applyAlignment="1">
      <alignment horizontal="centerContinuous"/>
      <protection/>
    </xf>
    <xf numFmtId="3" fontId="6" fillId="0" borderId="10" xfId="23" applyNumberFormat="1" applyFont="1" applyBorder="1" applyAlignment="1">
      <alignment horizontal="center"/>
      <protection/>
    </xf>
    <xf numFmtId="3" fontId="5" fillId="0" borderId="10" xfId="23" applyNumberFormat="1" applyFont="1" applyBorder="1" applyAlignment="1">
      <alignment horizontal="centerContinuous"/>
      <protection/>
    </xf>
    <xf numFmtId="3" fontId="5" fillId="0" borderId="10" xfId="23" applyNumberFormat="1" applyFont="1" applyBorder="1" applyAlignment="1">
      <alignment horizontal="center"/>
      <protection/>
    </xf>
    <xf numFmtId="3" fontId="8" fillId="0" borderId="0" xfId="23" applyNumberFormat="1" applyFont="1" applyAlignment="1">
      <alignment horizontal="center"/>
      <protection/>
    </xf>
    <xf numFmtId="3" fontId="5" fillId="0" borderId="0" xfId="23" applyNumberFormat="1" applyFont="1" applyAlignment="1">
      <alignment horizontal="left"/>
      <protection/>
    </xf>
    <xf numFmtId="1" fontId="5" fillId="0" borderId="0" xfId="23" applyNumberFormat="1" applyFont="1" applyAlignment="1">
      <alignment horizontal="center"/>
      <protection/>
    </xf>
    <xf numFmtId="165" fontId="5" fillId="0" borderId="0" xfId="23" applyNumberFormat="1" applyFont="1" applyAlignment="1">
      <alignment horizontal="left"/>
      <protection/>
    </xf>
    <xf numFmtId="165" fontId="5" fillId="0" borderId="0" xfId="23" applyNumberFormat="1" applyFont="1">
      <alignment/>
      <protection/>
    </xf>
    <xf numFmtId="5" fontId="5" fillId="0" borderId="0" xfId="23" applyNumberFormat="1" applyFont="1" applyProtection="1">
      <alignment/>
      <protection locked="0"/>
    </xf>
    <xf numFmtId="37" fontId="5" fillId="0" borderId="0" xfId="23" applyNumberFormat="1" applyFont="1" applyProtection="1">
      <alignment/>
      <protection locked="0"/>
    </xf>
    <xf numFmtId="37" fontId="5" fillId="0" borderId="3" xfId="23" applyNumberFormat="1" applyFont="1" applyBorder="1">
      <alignment/>
      <protection/>
    </xf>
    <xf numFmtId="37" fontId="5" fillId="0" borderId="0" xfId="23" applyNumberFormat="1" applyFont="1">
      <alignment/>
      <protection/>
    </xf>
    <xf numFmtId="37" fontId="5" fillId="0" borderId="12" xfId="23" applyNumberFormat="1" applyFont="1" applyBorder="1">
      <alignment/>
      <protection/>
    </xf>
    <xf numFmtId="37" fontId="5" fillId="0" borderId="10" xfId="23" applyNumberFormat="1" applyFont="1" applyBorder="1">
      <alignment/>
      <protection/>
    </xf>
    <xf numFmtId="166" fontId="5" fillId="0" borderId="0" xfId="23" applyNumberFormat="1" applyFont="1">
      <alignment/>
      <protection/>
    </xf>
    <xf numFmtId="37" fontId="5" fillId="0" borderId="10" xfId="23" applyNumberFormat="1" applyFont="1" applyBorder="1" applyProtection="1">
      <alignment/>
      <protection locked="0"/>
    </xf>
    <xf numFmtId="5" fontId="5" fillId="0" borderId="13" xfId="23" applyNumberFormat="1" applyFont="1" applyBorder="1">
      <alignment/>
      <protection/>
    </xf>
    <xf numFmtId="3" fontId="5" fillId="0" borderId="0" xfId="23" applyNumberFormat="1" applyFont="1" applyBorder="1">
      <alignment/>
      <protection/>
    </xf>
    <xf numFmtId="0" fontId="5" fillId="0" borderId="0" xfId="23" applyFont="1">
      <alignment/>
      <protection/>
    </xf>
    <xf numFmtId="169" fontId="5" fillId="0" borderId="0" xfId="23" applyNumberFormat="1" applyFont="1">
      <alignment/>
      <protection/>
    </xf>
    <xf numFmtId="171" fontId="6" fillId="0" borderId="0" xfId="23" applyNumberFormat="1" applyFont="1" applyAlignment="1">
      <alignment horizontal="center"/>
      <protection/>
    </xf>
    <xf numFmtId="171" fontId="5" fillId="0" borderId="0" xfId="23" applyNumberFormat="1" applyFont="1">
      <alignment/>
      <protection/>
    </xf>
    <xf numFmtId="171" fontId="5" fillId="0" borderId="0" xfId="23" applyNumberFormat="1" applyFont="1" applyAlignment="1">
      <alignment horizontal="center"/>
      <protection/>
    </xf>
    <xf numFmtId="169" fontId="5" fillId="0" borderId="10" xfId="23" applyNumberFormat="1" applyFont="1" applyBorder="1">
      <alignment/>
      <protection/>
    </xf>
    <xf numFmtId="0" fontId="5" fillId="0" borderId="10" xfId="23" applyFont="1" applyBorder="1">
      <alignment/>
      <protection/>
    </xf>
    <xf numFmtId="171" fontId="5" fillId="0" borderId="10" xfId="23" applyNumberFormat="1" applyFont="1" applyBorder="1" applyAlignment="1">
      <alignment horizontal="center"/>
      <protection/>
    </xf>
    <xf numFmtId="169" fontId="5" fillId="0" borderId="0" xfId="23" applyNumberFormat="1" applyFont="1" applyBorder="1">
      <alignment/>
      <protection/>
    </xf>
    <xf numFmtId="0" fontId="5" fillId="0" borderId="10" xfId="23" applyFont="1" applyBorder="1" applyAlignment="1">
      <alignment horizontal="right"/>
      <protection/>
    </xf>
    <xf numFmtId="5" fontId="5" fillId="0" borderId="0" xfId="23" applyNumberFormat="1" applyFont="1">
      <alignment/>
      <protection/>
    </xf>
    <xf numFmtId="0" fontId="5" fillId="0" borderId="0" xfId="23" applyFont="1" applyAlignment="1">
      <alignment horizontal="right"/>
      <protection/>
    </xf>
    <xf numFmtId="170" fontId="5" fillId="0" borderId="0" xfId="23" applyNumberFormat="1" applyFont="1">
      <alignment/>
      <protection/>
    </xf>
    <xf numFmtId="3" fontId="5" fillId="0" borderId="0" xfId="25" applyNumberFormat="1" applyFont="1" applyAlignment="1">
      <alignment horizontal="centerContinuous"/>
      <protection/>
    </xf>
    <xf numFmtId="0" fontId="5" fillId="0" borderId="0" xfId="25" applyFont="1" applyAlignment="1">
      <alignment horizontal="centerContinuous"/>
      <protection/>
    </xf>
    <xf numFmtId="3" fontId="5" fillId="0" borderId="0" xfId="25" applyNumberFormat="1" applyFont="1">
      <alignment/>
      <protection/>
    </xf>
    <xf numFmtId="3" fontId="5" fillId="0" borderId="0" xfId="25" applyNumberFormat="1" applyFont="1" applyAlignment="1">
      <alignment horizontal="center"/>
      <protection/>
    </xf>
    <xf numFmtId="3" fontId="6" fillId="0" borderId="10" xfId="25" applyNumberFormat="1" applyFont="1" applyBorder="1" applyAlignment="1">
      <alignment horizontal="centerContinuous"/>
      <protection/>
    </xf>
    <xf numFmtId="3" fontId="6" fillId="0" borderId="10" xfId="25" applyNumberFormat="1" applyFont="1" applyBorder="1" applyAlignment="1">
      <alignment horizontal="center"/>
      <protection/>
    </xf>
    <xf numFmtId="3" fontId="5" fillId="0" borderId="10" xfId="25" applyNumberFormat="1" applyFont="1" applyBorder="1" applyAlignment="1">
      <alignment horizontal="centerContinuous"/>
      <protection/>
    </xf>
    <xf numFmtId="3" fontId="5" fillId="0" borderId="10" xfId="25" applyNumberFormat="1" applyFont="1" applyBorder="1" applyAlignment="1">
      <alignment horizontal="center"/>
      <protection/>
    </xf>
    <xf numFmtId="3" fontId="8" fillId="0" borderId="0" xfId="25" applyNumberFormat="1" applyFont="1" applyAlignment="1">
      <alignment horizontal="center"/>
      <protection/>
    </xf>
    <xf numFmtId="3" fontId="5" fillId="0" borderId="0" xfId="25" applyNumberFormat="1" applyFont="1" applyAlignment="1">
      <alignment horizontal="left"/>
      <protection/>
    </xf>
    <xf numFmtId="1" fontId="5" fillId="0" borderId="0" xfId="25" applyNumberFormat="1" applyFont="1" applyAlignment="1">
      <alignment horizontal="center"/>
      <protection/>
    </xf>
    <xf numFmtId="165" fontId="5" fillId="0" borderId="0" xfId="25" applyNumberFormat="1" applyFont="1" applyAlignment="1">
      <alignment horizontal="left"/>
      <protection/>
    </xf>
    <xf numFmtId="165" fontId="5" fillId="0" borderId="0" xfId="25" applyNumberFormat="1" applyFont="1">
      <alignment/>
      <protection/>
    </xf>
    <xf numFmtId="5" fontId="5" fillId="0" borderId="0" xfId="25" applyNumberFormat="1" applyFont="1" applyProtection="1">
      <alignment/>
      <protection locked="0"/>
    </xf>
    <xf numFmtId="37" fontId="5" fillId="0" borderId="0" xfId="25" applyNumberFormat="1" applyFont="1" applyProtection="1">
      <alignment/>
      <protection locked="0"/>
    </xf>
    <xf numFmtId="37" fontId="5" fillId="0" borderId="3" xfId="25" applyNumberFormat="1" applyFont="1" applyBorder="1">
      <alignment/>
      <protection/>
    </xf>
    <xf numFmtId="37" fontId="5" fillId="0" borderId="0" xfId="25" applyNumberFormat="1" applyFont="1">
      <alignment/>
      <protection/>
    </xf>
    <xf numFmtId="37" fontId="12" fillId="0" borderId="0" xfId="25" applyNumberFormat="1" applyFont="1" applyProtection="1">
      <alignment/>
      <protection locked="0"/>
    </xf>
    <xf numFmtId="37" fontId="5" fillId="0" borderId="12" xfId="25" applyNumberFormat="1" applyFont="1" applyBorder="1">
      <alignment/>
      <protection/>
    </xf>
    <xf numFmtId="37" fontId="5" fillId="0" borderId="10" xfId="25" applyNumberFormat="1" applyFont="1" applyBorder="1">
      <alignment/>
      <protection/>
    </xf>
    <xf numFmtId="166" fontId="5" fillId="0" borderId="0" xfId="25" applyNumberFormat="1" applyFont="1">
      <alignment/>
      <protection/>
    </xf>
    <xf numFmtId="37" fontId="5" fillId="0" borderId="10" xfId="25" applyNumberFormat="1" applyFont="1" applyBorder="1" applyProtection="1">
      <alignment/>
      <protection locked="0"/>
    </xf>
    <xf numFmtId="5" fontId="5" fillId="0" borderId="13" xfId="25" applyNumberFormat="1" applyFont="1" applyBorder="1">
      <alignment/>
      <protection/>
    </xf>
    <xf numFmtId="0" fontId="5" fillId="0" borderId="0" xfId="25" applyFont="1">
      <alignment/>
      <protection/>
    </xf>
    <xf numFmtId="169" fontId="5" fillId="0" borderId="0" xfId="25" applyNumberFormat="1" applyFont="1">
      <alignment/>
      <protection/>
    </xf>
    <xf numFmtId="171" fontId="5" fillId="0" borderId="0" xfId="25" applyNumberFormat="1" applyFont="1">
      <alignment/>
      <protection/>
    </xf>
    <xf numFmtId="171" fontId="5" fillId="0" borderId="0" xfId="25" applyNumberFormat="1" applyFont="1" applyAlignment="1">
      <alignment horizontal="center"/>
      <protection/>
    </xf>
    <xf numFmtId="169" fontId="5" fillId="0" borderId="10" xfId="25" applyNumberFormat="1" applyFont="1" applyBorder="1">
      <alignment/>
      <protection/>
    </xf>
    <xf numFmtId="171" fontId="5" fillId="0" borderId="10" xfId="25" applyNumberFormat="1" applyFont="1" applyBorder="1" applyAlignment="1">
      <alignment horizontal="center"/>
      <protection/>
    </xf>
    <xf numFmtId="169" fontId="5" fillId="0" borderId="0" xfId="25" applyNumberFormat="1" applyFont="1" applyBorder="1">
      <alignment/>
      <protection/>
    </xf>
    <xf numFmtId="0" fontId="5" fillId="0" borderId="3" xfId="25" applyFont="1" applyBorder="1">
      <alignment/>
      <protection/>
    </xf>
    <xf numFmtId="0" fontId="5" fillId="0" borderId="10" xfId="25" applyFont="1" applyBorder="1" applyAlignment="1">
      <alignment horizontal="right"/>
      <protection/>
    </xf>
    <xf numFmtId="0" fontId="5" fillId="0" borderId="10" xfId="25" applyFont="1" applyBorder="1">
      <alignment/>
      <protection/>
    </xf>
    <xf numFmtId="5" fontId="5" fillId="0" borderId="0" xfId="25" applyNumberFormat="1" applyFont="1">
      <alignment/>
      <protection/>
    </xf>
    <xf numFmtId="0" fontId="5" fillId="0" borderId="0" xfId="25" applyFont="1" applyAlignment="1">
      <alignment horizontal="right"/>
      <protection/>
    </xf>
    <xf numFmtId="5" fontId="12" fillId="0" borderId="13" xfId="25" applyNumberFormat="1" applyFont="1" applyBorder="1">
      <alignment/>
      <protection/>
    </xf>
    <xf numFmtId="3" fontId="5" fillId="0" borderId="0" xfId="30" applyNumberFormat="1" applyFont="1" applyAlignment="1">
      <alignment horizontal="centerContinuous"/>
      <protection/>
    </xf>
    <xf numFmtId="0" fontId="5" fillId="0" borderId="0" xfId="30" applyFont="1" applyAlignment="1">
      <alignment horizontal="centerContinuous"/>
      <protection/>
    </xf>
    <xf numFmtId="3" fontId="5" fillId="0" borderId="0" xfId="30" applyNumberFormat="1" applyFont="1">
      <alignment/>
      <protection/>
    </xf>
    <xf numFmtId="3" fontId="6" fillId="0" borderId="10" xfId="30" applyNumberFormat="1" applyFont="1" applyBorder="1" applyAlignment="1">
      <alignment horizontal="centerContinuous"/>
      <protection/>
    </xf>
    <xf numFmtId="3" fontId="5" fillId="0" borderId="10" xfId="30" applyNumberFormat="1" applyFont="1" applyBorder="1" applyAlignment="1">
      <alignment horizontal="centerContinuous"/>
      <protection/>
    </xf>
    <xf numFmtId="3" fontId="5" fillId="0" borderId="0" xfId="30" applyNumberFormat="1" applyFont="1" applyAlignment="1">
      <alignment horizontal="center"/>
      <protection/>
    </xf>
    <xf numFmtId="3" fontId="5" fillId="0" borderId="10" xfId="30" applyNumberFormat="1" applyFont="1" applyBorder="1" applyAlignment="1">
      <alignment horizontal="center"/>
      <protection/>
    </xf>
    <xf numFmtId="3" fontId="5" fillId="0" borderId="0" xfId="30" applyNumberFormat="1" applyFont="1" applyAlignment="1">
      <alignment horizontal="left"/>
      <protection/>
    </xf>
    <xf numFmtId="1" fontId="5" fillId="0" borderId="0" xfId="30" applyNumberFormat="1" applyFont="1" applyAlignment="1">
      <alignment horizontal="center"/>
      <protection/>
    </xf>
    <xf numFmtId="165" fontId="5" fillId="0" borderId="0" xfId="30" applyNumberFormat="1" applyFont="1" applyAlignment="1">
      <alignment horizontal="left"/>
      <protection/>
    </xf>
    <xf numFmtId="165" fontId="5" fillId="0" borderId="0" xfId="30" applyNumberFormat="1" applyFont="1">
      <alignment/>
      <protection/>
    </xf>
    <xf numFmtId="5" fontId="5" fillId="0" borderId="0" xfId="30" applyNumberFormat="1" applyFont="1" applyProtection="1">
      <alignment/>
      <protection locked="0"/>
    </xf>
    <xf numFmtId="37" fontId="5" fillId="0" borderId="0" xfId="30" applyNumberFormat="1" applyFont="1" applyProtection="1">
      <alignment/>
      <protection locked="0"/>
    </xf>
    <xf numFmtId="37" fontId="5" fillId="0" borderId="3" xfId="30" applyNumberFormat="1" applyFont="1" applyBorder="1">
      <alignment/>
      <protection/>
    </xf>
    <xf numFmtId="37" fontId="5" fillId="0" borderId="0" xfId="30" applyNumberFormat="1" applyFont="1">
      <alignment/>
      <protection/>
    </xf>
    <xf numFmtId="37" fontId="5" fillId="0" borderId="12" xfId="30" applyNumberFormat="1" applyFont="1" applyBorder="1">
      <alignment/>
      <protection/>
    </xf>
    <xf numFmtId="37" fontId="5" fillId="0" borderId="10" xfId="30" applyNumberFormat="1" applyFont="1" applyBorder="1">
      <alignment/>
      <protection/>
    </xf>
    <xf numFmtId="166" fontId="5" fillId="0" borderId="0" xfId="30" applyNumberFormat="1" applyFont="1">
      <alignment/>
      <protection/>
    </xf>
    <xf numFmtId="37" fontId="5" fillId="0" borderId="10" xfId="30" applyNumberFormat="1" applyFont="1" applyBorder="1" applyProtection="1">
      <alignment/>
      <protection locked="0"/>
    </xf>
    <xf numFmtId="5" fontId="5" fillId="0" borderId="13" xfId="30" applyNumberFormat="1" applyFont="1" applyBorder="1">
      <alignment/>
      <protection/>
    </xf>
    <xf numFmtId="0" fontId="5" fillId="0" borderId="0" xfId="30" applyFont="1">
      <alignment/>
      <protection/>
    </xf>
    <xf numFmtId="0" fontId="5" fillId="0" borderId="0" xfId="30" applyFont="1" applyBorder="1" applyAlignment="1">
      <alignment horizontal="right"/>
      <protection/>
    </xf>
    <xf numFmtId="0" fontId="5" fillId="0" borderId="0" xfId="30" applyFont="1" applyBorder="1">
      <alignment/>
      <protection/>
    </xf>
    <xf numFmtId="0" fontId="5" fillId="0" borderId="0" xfId="30" applyFont="1" applyAlignment="1">
      <alignment horizontal="right"/>
      <protection/>
    </xf>
    <xf numFmtId="170" fontId="5" fillId="0" borderId="0" xfId="30" applyNumberFormat="1" applyFont="1">
      <alignment/>
      <protection/>
    </xf>
    <xf numFmtId="3" fontId="5" fillId="0" borderId="0" xfId="45" applyNumberFormat="1" applyFont="1" applyAlignment="1">
      <alignment horizontal="centerContinuous"/>
      <protection/>
    </xf>
    <xf numFmtId="0" fontId="5" fillId="0" borderId="0" xfId="45" applyFont="1" applyAlignment="1">
      <alignment horizontal="centerContinuous"/>
      <protection/>
    </xf>
    <xf numFmtId="3" fontId="5" fillId="0" borderId="0" xfId="45" applyNumberFormat="1" applyFont="1">
      <alignment/>
      <protection/>
    </xf>
    <xf numFmtId="3" fontId="6" fillId="0" borderId="10" xfId="45" applyNumberFormat="1" applyFont="1" applyBorder="1" applyAlignment="1">
      <alignment horizontal="centerContinuous"/>
      <protection/>
    </xf>
    <xf numFmtId="3" fontId="5" fillId="0" borderId="10" xfId="45" applyNumberFormat="1" applyFont="1" applyBorder="1" applyAlignment="1">
      <alignment horizontal="centerContinuous"/>
      <protection/>
    </xf>
    <xf numFmtId="3" fontId="5" fillId="0" borderId="0" xfId="45" applyNumberFormat="1" applyFont="1" applyAlignment="1">
      <alignment horizontal="center"/>
      <protection/>
    </xf>
    <xf numFmtId="3" fontId="5" fillId="0" borderId="10" xfId="45" applyNumberFormat="1" applyFont="1" applyBorder="1" applyAlignment="1">
      <alignment horizontal="center"/>
      <protection/>
    </xf>
    <xf numFmtId="3" fontId="5" fillId="0" borderId="0" xfId="45" applyNumberFormat="1" applyFont="1" applyAlignment="1">
      <alignment horizontal="left"/>
      <protection/>
    </xf>
    <xf numFmtId="1" fontId="5" fillId="0" borderId="0" xfId="45" applyNumberFormat="1" applyFont="1" applyAlignment="1">
      <alignment horizontal="center"/>
      <protection/>
    </xf>
    <xf numFmtId="165" fontId="5" fillId="0" borderId="0" xfId="45" applyNumberFormat="1" applyFont="1" applyAlignment="1">
      <alignment horizontal="left"/>
      <protection/>
    </xf>
    <xf numFmtId="165" fontId="5" fillId="0" borderId="0" xfId="45" applyNumberFormat="1" applyFont="1">
      <alignment/>
      <protection/>
    </xf>
    <xf numFmtId="5" fontId="5" fillId="0" borderId="0" xfId="45" applyNumberFormat="1" applyFont="1" applyProtection="1">
      <alignment/>
      <protection locked="0"/>
    </xf>
    <xf numFmtId="37" fontId="5" fillId="0" borderId="0" xfId="45" applyNumberFormat="1" applyFont="1" applyProtection="1">
      <alignment/>
      <protection locked="0"/>
    </xf>
    <xf numFmtId="37" fontId="5" fillId="0" borderId="3" xfId="45" applyNumberFormat="1" applyFont="1" applyBorder="1">
      <alignment/>
      <protection/>
    </xf>
    <xf numFmtId="37" fontId="5" fillId="0" borderId="0" xfId="45" applyNumberFormat="1" applyFont="1">
      <alignment/>
      <protection/>
    </xf>
    <xf numFmtId="37" fontId="5" fillId="0" borderId="12" xfId="45" applyNumberFormat="1" applyFont="1" applyBorder="1">
      <alignment/>
      <protection/>
    </xf>
    <xf numFmtId="37" fontId="5" fillId="0" borderId="10" xfId="45" applyNumberFormat="1" applyFont="1" applyBorder="1">
      <alignment/>
      <protection/>
    </xf>
    <xf numFmtId="37" fontId="5" fillId="0" borderId="10" xfId="45" applyNumberFormat="1" applyFont="1" applyBorder="1" applyProtection="1">
      <alignment/>
      <protection locked="0"/>
    </xf>
    <xf numFmtId="5" fontId="5" fillId="0" borderId="13" xfId="45" applyNumberFormat="1" applyFont="1" applyBorder="1">
      <alignment/>
      <protection/>
    </xf>
    <xf numFmtId="0" fontId="5" fillId="0" borderId="0" xfId="45" applyFont="1" applyBorder="1" applyAlignment="1">
      <alignment horizontal="centerContinuous"/>
      <protection/>
    </xf>
    <xf numFmtId="0" fontId="5" fillId="0" borderId="0" xfId="45" applyFont="1" applyBorder="1">
      <alignment/>
      <protection/>
    </xf>
    <xf numFmtId="169" fontId="5" fillId="0" borderId="0" xfId="45" applyNumberFormat="1" applyFont="1" applyBorder="1">
      <alignment/>
      <protection/>
    </xf>
    <xf numFmtId="171" fontId="5" fillId="0" borderId="0" xfId="45" applyNumberFormat="1" applyFont="1" applyBorder="1">
      <alignment/>
      <protection/>
    </xf>
    <xf numFmtId="171" fontId="5" fillId="0" borderId="0" xfId="45" applyNumberFormat="1" applyFont="1" applyBorder="1" applyAlignment="1">
      <alignment horizontal="center"/>
      <protection/>
    </xf>
    <xf numFmtId="3" fontId="5" fillId="0" borderId="0" xfId="45" applyNumberFormat="1" applyFont="1" applyBorder="1" applyAlignment="1">
      <alignment horizontal="center"/>
      <protection/>
    </xf>
    <xf numFmtId="0" fontId="5" fillId="0" borderId="0" xfId="45" applyFont="1" applyBorder="1" applyAlignment="1">
      <alignment horizontal="right"/>
      <protection/>
    </xf>
    <xf numFmtId="3" fontId="5" fillId="0" borderId="0" xfId="45" applyNumberFormat="1" applyFont="1" applyBorder="1" applyAlignment="1">
      <alignment horizontal="left"/>
      <protection/>
    </xf>
    <xf numFmtId="165" fontId="5" fillId="0" borderId="0" xfId="45" applyNumberFormat="1" applyFont="1" applyBorder="1" applyAlignment="1">
      <alignment horizontal="left"/>
      <protection/>
    </xf>
    <xf numFmtId="5" fontId="5" fillId="0" borderId="0" xfId="45" applyNumberFormat="1" applyFont="1" applyBorder="1">
      <alignment/>
      <protection/>
    </xf>
    <xf numFmtId="37" fontId="5" fillId="0" borderId="0" xfId="45" applyNumberFormat="1" applyFont="1" applyBorder="1">
      <alignment/>
      <protection/>
    </xf>
    <xf numFmtId="3" fontId="5" fillId="0" borderId="0" xfId="45" applyNumberFormat="1" applyFont="1" applyBorder="1">
      <alignment/>
      <protection/>
    </xf>
    <xf numFmtId="170" fontId="5" fillId="0" borderId="0" xfId="45" applyNumberFormat="1" applyFont="1" applyBorder="1">
      <alignment/>
      <protection/>
    </xf>
    <xf numFmtId="3" fontId="5" fillId="0" borderId="0" xfId="36" applyNumberFormat="1" applyFont="1" applyAlignment="1">
      <alignment horizontal="centerContinuous"/>
      <protection/>
    </xf>
    <xf numFmtId="0" fontId="5" fillId="0" borderId="0" xfId="36" applyFont="1" applyAlignment="1">
      <alignment horizontal="centerContinuous"/>
      <protection/>
    </xf>
    <xf numFmtId="3" fontId="5" fillId="0" borderId="0" xfId="36" applyNumberFormat="1" applyFont="1">
      <alignment/>
      <protection/>
    </xf>
    <xf numFmtId="3" fontId="6" fillId="0" borderId="10" xfId="36" applyNumberFormat="1" applyFont="1" applyBorder="1" applyAlignment="1">
      <alignment horizontal="centerContinuous"/>
      <protection/>
    </xf>
    <xf numFmtId="3" fontId="5" fillId="0" borderId="10" xfId="36" applyNumberFormat="1" applyFont="1" applyBorder="1" applyAlignment="1">
      <alignment horizontal="centerContinuous"/>
      <protection/>
    </xf>
    <xf numFmtId="3" fontId="5" fillId="0" borderId="0" xfId="36" applyNumberFormat="1" applyFont="1" applyAlignment="1">
      <alignment horizontal="center"/>
      <protection/>
    </xf>
    <xf numFmtId="3" fontId="5" fillId="0" borderId="10" xfId="36" applyNumberFormat="1" applyFont="1" applyBorder="1" applyAlignment="1">
      <alignment horizontal="center"/>
      <protection/>
    </xf>
    <xf numFmtId="3" fontId="8" fillId="0" borderId="0" xfId="36" applyNumberFormat="1" applyFont="1" applyAlignment="1">
      <alignment horizontal="center"/>
      <protection/>
    </xf>
    <xf numFmtId="3" fontId="5" fillId="0" borderId="0" xfId="36" applyNumberFormat="1" applyFont="1" applyAlignment="1">
      <alignment horizontal="left"/>
      <protection/>
    </xf>
    <xf numFmtId="1" fontId="5" fillId="0" borderId="0" xfId="36" applyNumberFormat="1" applyFont="1" applyAlignment="1">
      <alignment horizontal="center"/>
      <protection/>
    </xf>
    <xf numFmtId="165" fontId="5" fillId="0" borderId="0" xfId="36" applyNumberFormat="1" applyFont="1" applyAlignment="1">
      <alignment horizontal="left"/>
      <protection/>
    </xf>
    <xf numFmtId="165" fontId="5" fillId="0" borderId="0" xfId="36" applyNumberFormat="1" applyFont="1">
      <alignment/>
      <protection/>
    </xf>
    <xf numFmtId="5" fontId="5" fillId="0" borderId="0" xfId="36" applyNumberFormat="1" applyFont="1" applyProtection="1">
      <alignment/>
      <protection locked="0"/>
    </xf>
    <xf numFmtId="37" fontId="5" fillId="0" borderId="0" xfId="36" applyNumberFormat="1" applyFont="1" applyProtection="1">
      <alignment/>
      <protection locked="0"/>
    </xf>
    <xf numFmtId="37" fontId="5" fillId="0" borderId="3" xfId="36" applyNumberFormat="1" applyFont="1" applyBorder="1">
      <alignment/>
      <protection/>
    </xf>
    <xf numFmtId="37" fontId="5" fillId="0" borderId="0" xfId="36" applyNumberFormat="1" applyFont="1">
      <alignment/>
      <protection/>
    </xf>
    <xf numFmtId="37" fontId="5" fillId="0" borderId="12" xfId="36" applyNumberFormat="1" applyFont="1" applyBorder="1">
      <alignment/>
      <protection/>
    </xf>
    <xf numFmtId="37" fontId="5" fillId="0" borderId="10" xfId="36" applyNumberFormat="1" applyFont="1" applyBorder="1">
      <alignment/>
      <protection/>
    </xf>
    <xf numFmtId="166" fontId="5" fillId="0" borderId="0" xfId="36" applyNumberFormat="1" applyFont="1">
      <alignment/>
      <protection/>
    </xf>
    <xf numFmtId="37" fontId="5" fillId="0" borderId="10" xfId="36" applyNumberFormat="1" applyFont="1" applyBorder="1" applyProtection="1">
      <alignment/>
      <protection locked="0"/>
    </xf>
    <xf numFmtId="5" fontId="5" fillId="0" borderId="13" xfId="36" applyNumberFormat="1" applyFont="1" applyBorder="1">
      <alignment/>
      <protection/>
    </xf>
    <xf numFmtId="0" fontId="5" fillId="0" borderId="0" xfId="36" applyFont="1">
      <alignment/>
      <protection/>
    </xf>
    <xf numFmtId="169" fontId="5" fillId="0" borderId="0" xfId="36" applyNumberFormat="1" applyFont="1">
      <alignment/>
      <protection/>
    </xf>
    <xf numFmtId="171" fontId="5" fillId="0" borderId="0" xfId="36" applyNumberFormat="1" applyFont="1">
      <alignment/>
      <protection/>
    </xf>
    <xf numFmtId="171" fontId="5" fillId="0" borderId="0" xfId="36" applyNumberFormat="1" applyFont="1" applyAlignment="1">
      <alignment horizontal="center"/>
      <protection/>
    </xf>
    <xf numFmtId="169" fontId="5" fillId="0" borderId="10" xfId="36" applyNumberFormat="1" applyFont="1" applyBorder="1">
      <alignment/>
      <protection/>
    </xf>
    <xf numFmtId="171" fontId="5" fillId="0" borderId="10" xfId="36" applyNumberFormat="1" applyFont="1" applyBorder="1" applyAlignment="1">
      <alignment horizontal="center"/>
      <protection/>
    </xf>
    <xf numFmtId="169" fontId="5" fillId="0" borderId="0" xfId="36" applyNumberFormat="1" applyFont="1" applyBorder="1">
      <alignment/>
      <protection/>
    </xf>
    <xf numFmtId="0" fontId="5" fillId="0" borderId="3" xfId="36" applyFont="1" applyBorder="1">
      <alignment/>
      <protection/>
    </xf>
    <xf numFmtId="0" fontId="5" fillId="0" borderId="10" xfId="36" applyFont="1" applyBorder="1" applyAlignment="1">
      <alignment horizontal="right"/>
      <protection/>
    </xf>
    <xf numFmtId="0" fontId="5" fillId="0" borderId="10" xfId="36" applyFont="1" applyBorder="1">
      <alignment/>
      <protection/>
    </xf>
    <xf numFmtId="5" fontId="5" fillId="0" borderId="0" xfId="36" applyNumberFormat="1" applyFont="1">
      <alignment/>
      <protection/>
    </xf>
    <xf numFmtId="0" fontId="5" fillId="0" borderId="0" xfId="36" applyFont="1" applyAlignment="1">
      <alignment horizontal="right"/>
      <protection/>
    </xf>
    <xf numFmtId="170" fontId="5" fillId="0" borderId="0" xfId="36" applyNumberFormat="1" applyFont="1" applyFill="1">
      <alignment/>
      <protection/>
    </xf>
    <xf numFmtId="3" fontId="5" fillId="0" borderId="0" xfId="21" applyNumberFormat="1" applyFont="1" applyAlignment="1">
      <alignment horizontal="centerContinuous"/>
      <protection/>
    </xf>
    <xf numFmtId="0" fontId="5" fillId="0" borderId="0" xfId="21" applyFont="1" applyAlignment="1">
      <alignment horizontal="centerContinuous"/>
      <protection/>
    </xf>
    <xf numFmtId="3" fontId="5" fillId="0" borderId="0" xfId="21" applyNumberFormat="1" applyFont="1">
      <alignment/>
      <protection/>
    </xf>
    <xf numFmtId="3" fontId="5" fillId="0" borderId="0" xfId="21" applyNumberFormat="1" applyFont="1" applyAlignment="1">
      <alignment horizontal="center"/>
      <protection/>
    </xf>
    <xf numFmtId="3" fontId="6" fillId="0" borderId="10" xfId="21" applyNumberFormat="1" applyFont="1" applyBorder="1" applyAlignment="1">
      <alignment horizontal="centerContinuous"/>
      <protection/>
    </xf>
    <xf numFmtId="3" fontId="6" fillId="0" borderId="10" xfId="21" applyNumberFormat="1" applyFont="1" applyBorder="1" applyAlignment="1">
      <alignment horizontal="center"/>
      <protection/>
    </xf>
    <xf numFmtId="3" fontId="5" fillId="0" borderId="10" xfId="21" applyNumberFormat="1" applyFont="1" applyBorder="1" applyAlignment="1">
      <alignment horizontal="centerContinuous"/>
      <protection/>
    </xf>
    <xf numFmtId="3" fontId="5" fillId="0" borderId="10" xfId="21" applyNumberFormat="1" applyFont="1" applyBorder="1" applyAlignment="1">
      <alignment horizontal="center"/>
      <protection/>
    </xf>
    <xf numFmtId="3" fontId="8" fillId="0" borderId="0" xfId="21" applyNumberFormat="1" applyFont="1" applyAlignment="1">
      <alignment horizontal="center"/>
      <protection/>
    </xf>
    <xf numFmtId="3" fontId="5" fillId="0" borderId="0" xfId="21" applyNumberFormat="1" applyFont="1" applyAlignment="1">
      <alignment horizontal="left"/>
      <protection/>
    </xf>
    <xf numFmtId="1" fontId="5" fillId="0" borderId="0" xfId="21" applyNumberFormat="1" applyFont="1" applyAlignment="1">
      <alignment horizontal="center"/>
      <protection/>
    </xf>
    <xf numFmtId="165" fontId="5" fillId="0" borderId="0" xfId="21" applyNumberFormat="1" applyFont="1" applyAlignment="1">
      <alignment horizontal="left"/>
      <protection/>
    </xf>
    <xf numFmtId="165" fontId="5" fillId="0" borderId="0" xfId="21" applyNumberFormat="1" applyFont="1">
      <alignment/>
      <protection/>
    </xf>
    <xf numFmtId="5" fontId="5" fillId="0" borderId="0" xfId="21" applyNumberFormat="1" applyFont="1" applyProtection="1">
      <alignment/>
      <protection locked="0"/>
    </xf>
    <xf numFmtId="37" fontId="5" fillId="0" borderId="0" xfId="21" applyNumberFormat="1" applyFont="1" applyProtection="1">
      <alignment/>
      <protection locked="0"/>
    </xf>
    <xf numFmtId="37" fontId="5" fillId="0" borderId="3" xfId="21" applyNumberFormat="1" applyFont="1" applyBorder="1">
      <alignment/>
      <protection/>
    </xf>
    <xf numFmtId="37" fontId="5" fillId="0" borderId="0" xfId="21" applyNumberFormat="1" applyFont="1">
      <alignment/>
      <protection/>
    </xf>
    <xf numFmtId="37" fontId="12" fillId="0" borderId="0" xfId="21" applyNumberFormat="1" applyFont="1" applyProtection="1">
      <alignment/>
      <protection locked="0"/>
    </xf>
    <xf numFmtId="37" fontId="5" fillId="0" borderId="12" xfId="21" applyNumberFormat="1" applyFont="1" applyBorder="1">
      <alignment/>
      <protection/>
    </xf>
    <xf numFmtId="37" fontId="5" fillId="0" borderId="10" xfId="21" applyNumberFormat="1" applyFont="1" applyBorder="1">
      <alignment/>
      <protection/>
    </xf>
    <xf numFmtId="166" fontId="5" fillId="0" borderId="0" xfId="21" applyNumberFormat="1" applyFont="1">
      <alignment/>
      <protection/>
    </xf>
    <xf numFmtId="37" fontId="5" fillId="0" borderId="10" xfId="21" applyNumberFormat="1" applyFont="1" applyBorder="1" applyProtection="1">
      <alignment/>
      <protection locked="0"/>
    </xf>
    <xf numFmtId="5" fontId="5" fillId="0" borderId="13" xfId="21" applyNumberFormat="1" applyFont="1" applyBorder="1">
      <alignment/>
      <protection/>
    </xf>
    <xf numFmtId="0" fontId="5" fillId="0" borderId="0" xfId="21" applyFont="1">
      <alignment/>
      <protection/>
    </xf>
    <xf numFmtId="169" fontId="5" fillId="0" borderId="0" xfId="21" applyNumberFormat="1" applyFont="1">
      <alignment/>
      <protection/>
    </xf>
    <xf numFmtId="171" fontId="5" fillId="0" borderId="0" xfId="21" applyNumberFormat="1" applyFont="1">
      <alignment/>
      <protection/>
    </xf>
    <xf numFmtId="171" fontId="5" fillId="0" borderId="0" xfId="21" applyNumberFormat="1" applyFont="1" applyAlignment="1">
      <alignment horizontal="center"/>
      <protection/>
    </xf>
    <xf numFmtId="169" fontId="5" fillId="0" borderId="10" xfId="21" applyNumberFormat="1" applyFont="1" applyBorder="1">
      <alignment/>
      <protection/>
    </xf>
    <xf numFmtId="171" fontId="5" fillId="0" borderId="10" xfId="21" applyNumberFormat="1" applyFont="1" applyBorder="1" applyAlignment="1">
      <alignment horizontal="center"/>
      <protection/>
    </xf>
    <xf numFmtId="169" fontId="5" fillId="0" borderId="0" xfId="21" applyNumberFormat="1" applyFont="1" applyBorder="1">
      <alignment/>
      <protection/>
    </xf>
    <xf numFmtId="0" fontId="5" fillId="0" borderId="3" xfId="21" applyFont="1" applyBorder="1">
      <alignment/>
      <protection/>
    </xf>
    <xf numFmtId="0" fontId="5" fillId="0" borderId="10" xfId="21" applyFont="1" applyBorder="1" applyAlignment="1">
      <alignment horizontal="right"/>
      <protection/>
    </xf>
    <xf numFmtId="0" fontId="5" fillId="0" borderId="10" xfId="21" applyFont="1" applyBorder="1">
      <alignment/>
      <protection/>
    </xf>
    <xf numFmtId="5" fontId="5" fillId="0" borderId="0" xfId="21" applyNumberFormat="1" applyFont="1">
      <alignment/>
      <protection/>
    </xf>
    <xf numFmtId="37" fontId="12" fillId="0" borderId="0" xfId="21" applyNumberFormat="1" applyFont="1">
      <alignment/>
      <protection/>
    </xf>
    <xf numFmtId="0" fontId="5" fillId="0" borderId="0" xfId="21" applyFont="1" applyAlignment="1">
      <alignment horizontal="right"/>
      <protection/>
    </xf>
    <xf numFmtId="170" fontId="5" fillId="0" borderId="0" xfId="21" applyNumberFormat="1" applyFont="1">
      <alignment/>
      <protection/>
    </xf>
    <xf numFmtId="3" fontId="5" fillId="0" borderId="0" xfId="37" applyNumberFormat="1" applyFont="1" applyAlignment="1">
      <alignment horizontal="centerContinuous"/>
      <protection/>
    </xf>
    <xf numFmtId="0" fontId="5" fillId="0" borderId="0" xfId="37" applyFont="1" applyAlignment="1">
      <alignment horizontal="centerContinuous"/>
      <protection/>
    </xf>
    <xf numFmtId="3" fontId="5" fillId="0" borderId="0" xfId="37" applyNumberFormat="1" applyFont="1">
      <alignment/>
      <protection/>
    </xf>
    <xf numFmtId="3" fontId="6" fillId="0" borderId="10" xfId="37" applyNumberFormat="1" applyFont="1" applyBorder="1" applyAlignment="1">
      <alignment horizontal="centerContinuous"/>
      <protection/>
    </xf>
    <xf numFmtId="3" fontId="5" fillId="0" borderId="10" xfId="37" applyNumberFormat="1" applyFont="1" applyBorder="1" applyAlignment="1">
      <alignment horizontal="centerContinuous"/>
      <protection/>
    </xf>
    <xf numFmtId="3" fontId="5" fillId="0" borderId="0" xfId="37" applyNumberFormat="1" applyFont="1" applyAlignment="1">
      <alignment horizontal="center"/>
      <protection/>
    </xf>
    <xf numFmtId="3" fontId="5" fillId="0" borderId="10" xfId="37" applyNumberFormat="1" applyFont="1" applyBorder="1" applyAlignment="1">
      <alignment horizontal="center"/>
      <protection/>
    </xf>
    <xf numFmtId="3" fontId="5" fillId="0" borderId="0" xfId="37" applyNumberFormat="1" applyFont="1" applyAlignment="1">
      <alignment horizontal="left"/>
      <protection/>
    </xf>
    <xf numFmtId="1" fontId="5" fillId="0" borderId="0" xfId="37" applyNumberFormat="1" applyFont="1" applyAlignment="1">
      <alignment horizontal="center"/>
      <protection/>
    </xf>
    <xf numFmtId="165" fontId="5" fillId="0" borderId="0" xfId="37" applyNumberFormat="1" applyFont="1" applyAlignment="1">
      <alignment horizontal="left"/>
      <protection/>
    </xf>
    <xf numFmtId="165" fontId="5" fillId="0" borderId="0" xfId="37" applyNumberFormat="1" applyFont="1">
      <alignment/>
      <protection/>
    </xf>
    <xf numFmtId="5" fontId="5" fillId="0" borderId="0" xfId="37" applyNumberFormat="1" applyFont="1" applyProtection="1">
      <alignment/>
      <protection locked="0"/>
    </xf>
    <xf numFmtId="37" fontId="5" fillId="0" borderId="0" xfId="37" applyNumberFormat="1" applyFont="1" applyProtection="1">
      <alignment/>
      <protection locked="0"/>
    </xf>
    <xf numFmtId="37" fontId="5" fillId="0" borderId="3" xfId="37" applyNumberFormat="1" applyFont="1" applyBorder="1">
      <alignment/>
      <protection/>
    </xf>
    <xf numFmtId="37" fontId="5" fillId="0" borderId="0" xfId="37" applyNumberFormat="1" applyFont="1">
      <alignment/>
      <protection/>
    </xf>
    <xf numFmtId="37" fontId="12" fillId="0" borderId="0" xfId="37" applyNumberFormat="1" applyFont="1" applyProtection="1">
      <alignment/>
      <protection locked="0"/>
    </xf>
    <xf numFmtId="37" fontId="5" fillId="0" borderId="12" xfId="37" applyNumberFormat="1" applyFont="1" applyBorder="1">
      <alignment/>
      <protection/>
    </xf>
    <xf numFmtId="37" fontId="5" fillId="0" borderId="10" xfId="37" applyNumberFormat="1" applyFont="1" applyBorder="1">
      <alignment/>
      <protection/>
    </xf>
    <xf numFmtId="37" fontId="5" fillId="0" borderId="10" xfId="37" applyNumberFormat="1" applyFont="1" applyBorder="1" applyProtection="1">
      <alignment/>
      <protection locked="0"/>
    </xf>
    <xf numFmtId="5" fontId="5" fillId="0" borderId="0" xfId="37" applyNumberFormat="1" applyFont="1">
      <alignment/>
      <protection/>
    </xf>
    <xf numFmtId="5" fontId="5" fillId="0" borderId="13" xfId="37" applyNumberFormat="1" applyFont="1" applyBorder="1">
      <alignment/>
      <protection/>
    </xf>
    <xf numFmtId="0" fontId="5" fillId="0" borderId="0" xfId="37" applyFont="1">
      <alignment/>
      <protection/>
    </xf>
    <xf numFmtId="169" fontId="5" fillId="0" borderId="0" xfId="37" applyNumberFormat="1" applyFont="1">
      <alignment/>
      <protection/>
    </xf>
    <xf numFmtId="171" fontId="5" fillId="0" borderId="0" xfId="37" applyNumberFormat="1" applyFont="1">
      <alignment/>
      <protection/>
    </xf>
    <xf numFmtId="171" fontId="5" fillId="0" borderId="0" xfId="37" applyNumberFormat="1" applyFont="1" applyAlignment="1">
      <alignment horizontal="center"/>
      <protection/>
    </xf>
    <xf numFmtId="169" fontId="5" fillId="0" borderId="10" xfId="37" applyNumberFormat="1" applyFont="1" applyBorder="1">
      <alignment/>
      <protection/>
    </xf>
    <xf numFmtId="171" fontId="5" fillId="0" borderId="10" xfId="37" applyNumberFormat="1" applyFont="1" applyBorder="1" applyAlignment="1">
      <alignment horizontal="center"/>
      <protection/>
    </xf>
    <xf numFmtId="0" fontId="5" fillId="0" borderId="10" xfId="37" applyFont="1" applyBorder="1">
      <alignment/>
      <protection/>
    </xf>
    <xf numFmtId="0" fontId="5" fillId="0" borderId="10" xfId="37" applyFont="1" applyBorder="1" applyAlignment="1">
      <alignment horizontal="right"/>
      <protection/>
    </xf>
    <xf numFmtId="37" fontId="12" fillId="0" borderId="0" xfId="37" applyNumberFormat="1" applyFont="1">
      <alignment/>
      <protection/>
    </xf>
    <xf numFmtId="0" fontId="5" fillId="0" borderId="0" xfId="37" applyFont="1" applyAlignment="1">
      <alignment horizontal="right"/>
      <protection/>
    </xf>
    <xf numFmtId="170" fontId="5" fillId="0" borderId="0" xfId="37" applyNumberFormat="1" applyFont="1" applyBorder="1">
      <alignment/>
      <protection/>
    </xf>
    <xf numFmtId="3" fontId="5" fillId="0" borderId="0" xfId="38" applyNumberFormat="1" applyFont="1" applyAlignment="1">
      <alignment horizontal="centerContinuous"/>
      <protection/>
    </xf>
    <xf numFmtId="0" fontId="5" fillId="0" borderId="0" xfId="38" applyFont="1" applyAlignment="1">
      <alignment horizontal="centerContinuous"/>
      <protection/>
    </xf>
    <xf numFmtId="3" fontId="5" fillId="0" borderId="0" xfId="38" applyNumberFormat="1" applyFont="1">
      <alignment/>
      <protection/>
    </xf>
    <xf numFmtId="3" fontId="5" fillId="0" borderId="0" xfId="38" applyNumberFormat="1" applyFont="1" applyAlignment="1">
      <alignment horizontal="center"/>
      <protection/>
    </xf>
    <xf numFmtId="3" fontId="6" fillId="0" borderId="10" xfId="38" applyNumberFormat="1" applyFont="1" applyBorder="1" applyAlignment="1">
      <alignment horizontal="centerContinuous"/>
      <protection/>
    </xf>
    <xf numFmtId="3" fontId="6" fillId="0" borderId="10" xfId="38" applyNumberFormat="1" applyFont="1" applyBorder="1" applyAlignment="1">
      <alignment horizontal="center"/>
      <protection/>
    </xf>
    <xf numFmtId="3" fontId="5" fillId="0" borderId="10" xfId="38" applyNumberFormat="1" applyFont="1" applyBorder="1" applyAlignment="1">
      <alignment horizontal="centerContinuous"/>
      <protection/>
    </xf>
    <xf numFmtId="3" fontId="5" fillId="0" borderId="10" xfId="38" applyNumberFormat="1" applyFont="1" applyBorder="1" applyAlignment="1">
      <alignment horizontal="center"/>
      <protection/>
    </xf>
    <xf numFmtId="3" fontId="8" fillId="0" borderId="0" xfId="38" applyNumberFormat="1" applyFont="1" applyAlignment="1">
      <alignment horizontal="center"/>
      <protection/>
    </xf>
    <xf numFmtId="3" fontId="5" fillId="0" borderId="0" xfId="38" applyNumberFormat="1" applyFont="1" applyAlignment="1">
      <alignment horizontal="left"/>
      <protection/>
    </xf>
    <xf numFmtId="1" fontId="5" fillId="0" borderId="0" xfId="38" applyNumberFormat="1" applyFont="1" applyAlignment="1">
      <alignment horizontal="center"/>
      <protection/>
    </xf>
    <xf numFmtId="165" fontId="5" fillId="0" borderId="0" xfId="38" applyNumberFormat="1" applyFont="1" applyAlignment="1">
      <alignment horizontal="left"/>
      <protection/>
    </xf>
    <xf numFmtId="165" fontId="5" fillId="0" borderId="0" xfId="38" applyNumberFormat="1" applyFont="1">
      <alignment/>
      <protection/>
    </xf>
    <xf numFmtId="5" fontId="5" fillId="0" borderId="0" xfId="38" applyNumberFormat="1" applyFont="1" applyProtection="1">
      <alignment/>
      <protection locked="0"/>
    </xf>
    <xf numFmtId="37" fontId="5" fillId="0" borderId="0" xfId="38" applyNumberFormat="1" applyFont="1" applyProtection="1">
      <alignment/>
      <protection locked="0"/>
    </xf>
    <xf numFmtId="37" fontId="5" fillId="0" borderId="3" xfId="38" applyNumberFormat="1" applyFont="1" applyBorder="1">
      <alignment/>
      <protection/>
    </xf>
    <xf numFmtId="37" fontId="5" fillId="0" borderId="0" xfId="38" applyNumberFormat="1" applyFont="1">
      <alignment/>
      <protection/>
    </xf>
    <xf numFmtId="37" fontId="12" fillId="0" borderId="0" xfId="38" applyNumberFormat="1" applyFont="1" applyProtection="1">
      <alignment/>
      <protection locked="0"/>
    </xf>
    <xf numFmtId="37" fontId="5" fillId="0" borderId="12" xfId="38" applyNumberFormat="1" applyFont="1" applyBorder="1">
      <alignment/>
      <protection/>
    </xf>
    <xf numFmtId="37" fontId="5" fillId="0" borderId="10" xfId="38" applyNumberFormat="1" applyFont="1" applyBorder="1">
      <alignment/>
      <protection/>
    </xf>
    <xf numFmtId="166" fontId="5" fillId="0" borderId="0" xfId="38" applyNumberFormat="1" applyFont="1">
      <alignment/>
      <protection/>
    </xf>
    <xf numFmtId="37" fontId="5" fillId="0" borderId="10" xfId="38" applyNumberFormat="1" applyFont="1" applyBorder="1" applyProtection="1">
      <alignment/>
      <protection locked="0"/>
    </xf>
    <xf numFmtId="5" fontId="5" fillId="0" borderId="13" xfId="38" applyNumberFormat="1" applyFont="1" applyBorder="1">
      <alignment/>
      <protection/>
    </xf>
    <xf numFmtId="0" fontId="5" fillId="0" borderId="0" xfId="38" applyFont="1">
      <alignment/>
      <protection/>
    </xf>
    <xf numFmtId="169" fontId="5" fillId="0" borderId="0" xfId="38" applyNumberFormat="1" applyFont="1">
      <alignment/>
      <protection/>
    </xf>
    <xf numFmtId="171" fontId="5" fillId="0" borderId="0" xfId="38" applyNumberFormat="1" applyFont="1">
      <alignment/>
      <protection/>
    </xf>
    <xf numFmtId="171" fontId="5" fillId="0" borderId="0" xfId="38" applyNumberFormat="1" applyFont="1" applyAlignment="1">
      <alignment horizontal="center"/>
      <protection/>
    </xf>
    <xf numFmtId="169" fontId="5" fillId="0" borderId="10" xfId="38" applyNumberFormat="1" applyFont="1" applyBorder="1">
      <alignment/>
      <protection/>
    </xf>
    <xf numFmtId="171" fontId="5" fillId="0" borderId="10" xfId="38" applyNumberFormat="1" applyFont="1" applyBorder="1" applyAlignment="1">
      <alignment horizontal="center"/>
      <protection/>
    </xf>
    <xf numFmtId="169" fontId="5" fillId="0" borderId="0" xfId="38" applyNumberFormat="1" applyFont="1" applyBorder="1">
      <alignment/>
      <protection/>
    </xf>
    <xf numFmtId="0" fontId="5" fillId="0" borderId="3" xfId="38" applyFont="1" applyBorder="1">
      <alignment/>
      <protection/>
    </xf>
    <xf numFmtId="0" fontId="5" fillId="0" borderId="10" xfId="38" applyFont="1" applyBorder="1" applyAlignment="1">
      <alignment horizontal="right"/>
      <protection/>
    </xf>
    <xf numFmtId="0" fontId="5" fillId="0" borderId="10" xfId="38" applyFont="1" applyBorder="1">
      <alignment/>
      <protection/>
    </xf>
    <xf numFmtId="5" fontId="5" fillId="0" borderId="0" xfId="38" applyNumberFormat="1" applyFont="1">
      <alignment/>
      <protection/>
    </xf>
    <xf numFmtId="0" fontId="5" fillId="0" borderId="0" xfId="38" applyFont="1" applyAlignment="1">
      <alignment horizontal="right"/>
      <protection/>
    </xf>
    <xf numFmtId="170" fontId="5" fillId="0" borderId="0" xfId="38" applyNumberFormat="1" applyFont="1">
      <alignment/>
      <protection/>
    </xf>
    <xf numFmtId="5" fontId="12" fillId="0" borderId="13" xfId="38" applyNumberFormat="1" applyFont="1" applyBorder="1">
      <alignment/>
      <protection/>
    </xf>
    <xf numFmtId="3" fontId="5" fillId="0" borderId="0" xfId="34" applyNumberFormat="1" applyFont="1" applyAlignment="1">
      <alignment horizontal="centerContinuous"/>
      <protection/>
    </xf>
    <xf numFmtId="0" fontId="5" fillId="0" borderId="0" xfId="34" applyFont="1" applyAlignment="1">
      <alignment horizontal="centerContinuous"/>
      <protection/>
    </xf>
    <xf numFmtId="3" fontId="5" fillId="0" borderId="0" xfId="34" applyNumberFormat="1" applyFont="1">
      <alignment/>
      <protection/>
    </xf>
    <xf numFmtId="0" fontId="13" fillId="0" borderId="0" xfId="34" applyFont="1">
      <alignment/>
      <protection/>
    </xf>
    <xf numFmtId="171" fontId="5" fillId="0" borderId="0" xfId="34" applyNumberFormat="1" applyFont="1" applyAlignment="1">
      <alignment horizontal="center"/>
      <protection/>
    </xf>
    <xf numFmtId="3" fontId="6" fillId="0" borderId="10" xfId="34" applyNumberFormat="1" applyFont="1" applyBorder="1" applyAlignment="1">
      <alignment horizontal="centerContinuous"/>
      <protection/>
    </xf>
    <xf numFmtId="3" fontId="6" fillId="0" borderId="10" xfId="34" applyNumberFormat="1" applyFont="1" applyBorder="1" applyAlignment="1">
      <alignment horizontal="center"/>
      <protection/>
    </xf>
    <xf numFmtId="3" fontId="5" fillId="0" borderId="10" xfId="34" applyNumberFormat="1" applyFont="1" applyBorder="1" applyAlignment="1">
      <alignment horizontal="centerContinuous"/>
      <protection/>
    </xf>
    <xf numFmtId="3" fontId="5" fillId="0" borderId="0" xfId="34" applyNumberFormat="1" applyFont="1" applyAlignment="1">
      <alignment horizontal="center"/>
      <protection/>
    </xf>
    <xf numFmtId="3" fontId="5" fillId="0" borderId="10" xfId="34" applyNumberFormat="1" applyFont="1" applyBorder="1" applyAlignment="1">
      <alignment horizontal="center"/>
      <protection/>
    </xf>
    <xf numFmtId="3" fontId="8" fillId="0" borderId="0" xfId="34" applyNumberFormat="1" applyFont="1" applyAlignment="1">
      <alignment horizontal="center"/>
      <protection/>
    </xf>
    <xf numFmtId="3" fontId="5" fillId="0" borderId="0" xfId="34" applyNumberFormat="1" applyFont="1" applyAlignment="1">
      <alignment horizontal="left"/>
      <protection/>
    </xf>
    <xf numFmtId="1" fontId="5" fillId="0" borderId="0" xfId="34" applyNumberFormat="1" applyFont="1" applyAlignment="1">
      <alignment horizontal="center"/>
      <protection/>
    </xf>
    <xf numFmtId="165" fontId="5" fillId="0" borderId="0" xfId="34" applyNumberFormat="1" applyFont="1" applyAlignment="1">
      <alignment horizontal="left"/>
      <protection/>
    </xf>
    <xf numFmtId="165" fontId="5" fillId="0" borderId="0" xfId="34" applyNumberFormat="1" applyFont="1">
      <alignment/>
      <protection/>
    </xf>
    <xf numFmtId="5" fontId="5" fillId="0" borderId="0" xfId="34" applyNumberFormat="1" applyFont="1" applyProtection="1">
      <alignment/>
      <protection locked="0"/>
    </xf>
    <xf numFmtId="37" fontId="5" fillId="0" borderId="0" xfId="34" applyNumberFormat="1" applyFont="1" applyProtection="1">
      <alignment/>
      <protection locked="0"/>
    </xf>
    <xf numFmtId="37" fontId="5" fillId="0" borderId="3" xfId="34" applyNumberFormat="1" applyFont="1" applyBorder="1">
      <alignment/>
      <protection/>
    </xf>
    <xf numFmtId="37" fontId="5" fillId="0" borderId="0" xfId="34" applyNumberFormat="1" applyFont="1">
      <alignment/>
      <protection/>
    </xf>
    <xf numFmtId="37" fontId="12" fillId="0" borderId="0" xfId="34" applyNumberFormat="1" applyFont="1" applyProtection="1">
      <alignment/>
      <protection locked="0"/>
    </xf>
    <xf numFmtId="37" fontId="5" fillId="0" borderId="12" xfId="34" applyNumberFormat="1" applyFont="1" applyBorder="1">
      <alignment/>
      <protection/>
    </xf>
    <xf numFmtId="37" fontId="5" fillId="0" borderId="10" xfId="34" applyNumberFormat="1" applyFont="1" applyBorder="1">
      <alignment/>
      <protection/>
    </xf>
    <xf numFmtId="166" fontId="5" fillId="0" borderId="0" xfId="34" applyNumberFormat="1" applyFont="1">
      <alignment/>
      <protection/>
    </xf>
    <xf numFmtId="37" fontId="5" fillId="0" borderId="10" xfId="34" applyNumberFormat="1" applyFont="1" applyBorder="1" applyProtection="1">
      <alignment/>
      <protection locked="0"/>
    </xf>
    <xf numFmtId="5" fontId="5" fillId="0" borderId="13" xfId="34" applyNumberFormat="1" applyFont="1" applyBorder="1">
      <alignment/>
      <protection/>
    </xf>
    <xf numFmtId="0" fontId="5" fillId="0" borderId="0" xfId="34" applyFont="1">
      <alignment/>
      <protection/>
    </xf>
    <xf numFmtId="169" fontId="5" fillId="0" borderId="0" xfId="34" applyNumberFormat="1" applyFont="1">
      <alignment/>
      <protection/>
    </xf>
    <xf numFmtId="171" fontId="5" fillId="0" borderId="0" xfId="34" applyNumberFormat="1" applyFont="1">
      <alignment/>
      <protection/>
    </xf>
    <xf numFmtId="169" fontId="5" fillId="0" borderId="10" xfId="34" applyNumberFormat="1" applyFont="1" applyBorder="1">
      <alignment/>
      <protection/>
    </xf>
    <xf numFmtId="171" fontId="5" fillId="0" borderId="10" xfId="34" applyNumberFormat="1" applyFont="1" applyBorder="1" applyAlignment="1">
      <alignment horizontal="center"/>
      <protection/>
    </xf>
    <xf numFmtId="169" fontId="5" fillId="0" borderId="0" xfId="34" applyNumberFormat="1" applyFont="1" applyBorder="1">
      <alignment/>
      <protection/>
    </xf>
    <xf numFmtId="0" fontId="5" fillId="0" borderId="3" xfId="34" applyFont="1" applyBorder="1">
      <alignment/>
      <protection/>
    </xf>
    <xf numFmtId="0" fontId="5" fillId="0" borderId="10" xfId="34" applyFont="1" applyBorder="1" applyAlignment="1">
      <alignment horizontal="right"/>
      <protection/>
    </xf>
    <xf numFmtId="0" fontId="5" fillId="0" borderId="10" xfId="34" applyFont="1" applyBorder="1">
      <alignment/>
      <protection/>
    </xf>
    <xf numFmtId="5" fontId="5" fillId="0" borderId="0" xfId="34" applyNumberFormat="1" applyFont="1">
      <alignment/>
      <protection/>
    </xf>
    <xf numFmtId="0" fontId="5" fillId="0" borderId="0" xfId="34" applyFont="1" applyAlignment="1">
      <alignment horizontal="right"/>
      <protection/>
    </xf>
    <xf numFmtId="170" fontId="5" fillId="0" borderId="0" xfId="34" applyNumberFormat="1" applyFont="1">
      <alignment/>
      <protection/>
    </xf>
    <xf numFmtId="5" fontId="12" fillId="0" borderId="13" xfId="34" applyNumberFormat="1" applyFont="1" applyBorder="1">
      <alignment/>
      <protection/>
    </xf>
    <xf numFmtId="3" fontId="5" fillId="0" borderId="0" xfId="31" applyNumberFormat="1" applyFont="1" applyAlignment="1">
      <alignment horizontal="centerContinuous"/>
      <protection/>
    </xf>
    <xf numFmtId="0" fontId="5" fillId="0" borderId="0" xfId="31" applyFont="1" applyAlignment="1">
      <alignment horizontal="centerContinuous"/>
      <protection/>
    </xf>
    <xf numFmtId="3" fontId="5" fillId="0" borderId="0" xfId="31" applyNumberFormat="1" applyFont="1">
      <alignment/>
      <protection/>
    </xf>
    <xf numFmtId="3" fontId="6" fillId="0" borderId="10" xfId="31" applyNumberFormat="1" applyFont="1" applyBorder="1" applyAlignment="1">
      <alignment horizontal="centerContinuous"/>
      <protection/>
    </xf>
    <xf numFmtId="3" fontId="5" fillId="0" borderId="10" xfId="31" applyNumberFormat="1" applyFont="1" applyBorder="1" applyAlignment="1">
      <alignment horizontal="centerContinuous"/>
      <protection/>
    </xf>
    <xf numFmtId="3" fontId="5" fillId="0" borderId="0" xfId="31" applyNumberFormat="1" applyFont="1" applyAlignment="1">
      <alignment horizontal="center"/>
      <protection/>
    </xf>
    <xf numFmtId="3" fontId="5" fillId="0" borderId="0" xfId="31" applyNumberFormat="1" applyFont="1" applyBorder="1">
      <alignment/>
      <protection/>
    </xf>
    <xf numFmtId="3" fontId="5" fillId="0" borderId="10" xfId="31" applyNumberFormat="1" applyFont="1" applyBorder="1" applyAlignment="1">
      <alignment horizontal="center"/>
      <protection/>
    </xf>
    <xf numFmtId="3" fontId="5" fillId="0" borderId="0" xfId="31" applyNumberFormat="1" applyFont="1" applyBorder="1" applyAlignment="1">
      <alignment horizontal="center"/>
      <protection/>
    </xf>
    <xf numFmtId="3" fontId="5" fillId="0" borderId="0" xfId="31" applyNumberFormat="1" applyFont="1" applyAlignment="1">
      <alignment horizontal="left"/>
      <protection/>
    </xf>
    <xf numFmtId="1" fontId="5" fillId="0" borderId="0" xfId="31" applyNumberFormat="1" applyFont="1" applyAlignment="1">
      <alignment horizontal="center"/>
      <protection/>
    </xf>
    <xf numFmtId="165" fontId="5" fillId="0" borderId="0" xfId="31" applyNumberFormat="1" applyFont="1" applyAlignment="1">
      <alignment horizontal="left"/>
      <protection/>
    </xf>
    <xf numFmtId="165" fontId="5" fillId="0" borderId="0" xfId="31" applyNumberFormat="1" applyFont="1">
      <alignment/>
      <protection/>
    </xf>
    <xf numFmtId="5" fontId="5" fillId="0" borderId="0" xfId="31" applyNumberFormat="1" applyFont="1" applyProtection="1">
      <alignment/>
      <protection locked="0"/>
    </xf>
    <xf numFmtId="37" fontId="5" fillId="0" borderId="0" xfId="31" applyNumberFormat="1" applyFont="1" applyProtection="1">
      <alignment/>
      <protection locked="0"/>
    </xf>
    <xf numFmtId="37" fontId="5" fillId="0" borderId="3" xfId="31" applyNumberFormat="1" applyFont="1" applyBorder="1">
      <alignment/>
      <protection/>
    </xf>
    <xf numFmtId="37" fontId="5" fillId="0" borderId="0" xfId="31" applyNumberFormat="1" applyFont="1" applyBorder="1">
      <alignment/>
      <protection/>
    </xf>
    <xf numFmtId="37" fontId="5" fillId="0" borderId="0" xfId="31" applyNumberFormat="1" applyFont="1">
      <alignment/>
      <protection/>
    </xf>
    <xf numFmtId="37" fontId="5" fillId="0" borderId="12" xfId="31" applyNumberFormat="1" applyFont="1" applyBorder="1">
      <alignment/>
      <protection/>
    </xf>
    <xf numFmtId="37" fontId="5" fillId="0" borderId="10" xfId="31" applyNumberFormat="1" applyFont="1" applyBorder="1">
      <alignment/>
      <protection/>
    </xf>
    <xf numFmtId="37" fontId="5" fillId="0" borderId="10" xfId="31" applyNumberFormat="1" applyFont="1" applyBorder="1" applyProtection="1">
      <alignment/>
      <protection locked="0"/>
    </xf>
    <xf numFmtId="5" fontId="5" fillId="0" borderId="0" xfId="31" applyNumberFormat="1" applyFont="1" applyBorder="1">
      <alignment/>
      <protection/>
    </xf>
    <xf numFmtId="5" fontId="5" fillId="0" borderId="13" xfId="31" applyNumberFormat="1" applyFont="1" applyBorder="1">
      <alignment/>
      <protection/>
    </xf>
    <xf numFmtId="0" fontId="5" fillId="0" borderId="0" xfId="31" applyFont="1" applyBorder="1" applyAlignment="1">
      <alignment horizontal="centerContinuous"/>
      <protection/>
    </xf>
    <xf numFmtId="0" fontId="5" fillId="0" borderId="0" xfId="31" applyFont="1" applyBorder="1">
      <alignment/>
      <protection/>
    </xf>
    <xf numFmtId="169" fontId="5" fillId="0" borderId="0" xfId="31" applyNumberFormat="1" applyFont="1" applyBorder="1">
      <alignment/>
      <protection/>
    </xf>
    <xf numFmtId="171" fontId="5" fillId="0" borderId="0" xfId="31" applyNumberFormat="1" applyFont="1" applyBorder="1">
      <alignment/>
      <protection/>
    </xf>
    <xf numFmtId="171" fontId="5" fillId="0" borderId="0" xfId="31" applyNumberFormat="1" applyFont="1" applyBorder="1" applyAlignment="1">
      <alignment horizontal="center"/>
      <protection/>
    </xf>
    <xf numFmtId="0" fontId="5" fillId="0" borderId="0" xfId="31" applyFont="1" applyBorder="1" applyAlignment="1">
      <alignment horizontal="right"/>
      <protection/>
    </xf>
    <xf numFmtId="3" fontId="5" fillId="0" borderId="0" xfId="31" applyNumberFormat="1" applyFont="1" applyBorder="1" applyAlignment="1">
      <alignment horizontal="left"/>
      <protection/>
    </xf>
    <xf numFmtId="165" fontId="5" fillId="0" borderId="0" xfId="31" applyNumberFormat="1" applyFont="1" applyBorder="1" applyAlignment="1">
      <alignment horizontal="left"/>
      <protection/>
    </xf>
    <xf numFmtId="170" fontId="5" fillId="0" borderId="0" xfId="31" applyNumberFormat="1" applyFont="1" applyBorder="1">
      <alignment/>
      <protection/>
    </xf>
    <xf numFmtId="3" fontId="5" fillId="0" borderId="0" xfId="26" applyNumberFormat="1" applyFont="1" applyAlignment="1">
      <alignment horizontal="centerContinuous"/>
      <protection/>
    </xf>
    <xf numFmtId="0" fontId="5" fillId="0" borderId="0" xfId="26" applyFont="1" applyAlignment="1">
      <alignment horizontal="centerContinuous"/>
      <protection/>
    </xf>
    <xf numFmtId="3" fontId="5" fillId="0" borderId="0" xfId="26" applyNumberFormat="1" applyFont="1">
      <alignment/>
      <protection/>
    </xf>
    <xf numFmtId="3" fontId="6" fillId="0" borderId="10" xfId="26" applyNumberFormat="1" applyFont="1" applyBorder="1" applyAlignment="1">
      <alignment horizontal="centerContinuous"/>
      <protection/>
    </xf>
    <xf numFmtId="3" fontId="5" fillId="0" borderId="10" xfId="26" applyNumberFormat="1" applyFont="1" applyBorder="1" applyAlignment="1">
      <alignment horizontal="centerContinuous"/>
      <protection/>
    </xf>
    <xf numFmtId="3" fontId="5" fillId="0" borderId="0" xfId="26" applyNumberFormat="1" applyFont="1" applyAlignment="1">
      <alignment horizontal="center"/>
      <protection/>
    </xf>
    <xf numFmtId="3" fontId="5" fillId="0" borderId="10" xfId="26" applyNumberFormat="1" applyFont="1" applyBorder="1" applyAlignment="1">
      <alignment horizontal="center"/>
      <protection/>
    </xf>
    <xf numFmtId="3" fontId="5" fillId="0" borderId="0" xfId="26" applyNumberFormat="1" applyFont="1" applyAlignment="1">
      <alignment horizontal="left"/>
      <protection/>
    </xf>
    <xf numFmtId="1" fontId="5" fillId="0" borderId="0" xfId="26" applyNumberFormat="1" applyFont="1" applyAlignment="1">
      <alignment horizontal="center"/>
      <protection/>
    </xf>
    <xf numFmtId="165" fontId="5" fillId="0" borderId="0" xfId="26" applyNumberFormat="1" applyFont="1" applyAlignment="1">
      <alignment horizontal="left"/>
      <protection/>
    </xf>
    <xf numFmtId="165" fontId="5" fillId="0" borderId="0" xfId="26" applyNumberFormat="1" applyFont="1">
      <alignment/>
      <protection/>
    </xf>
    <xf numFmtId="5" fontId="5" fillId="0" borderId="0" xfId="26" applyNumberFormat="1" applyFont="1" applyProtection="1">
      <alignment/>
      <protection locked="0"/>
    </xf>
    <xf numFmtId="37" fontId="5" fillId="0" borderId="0" xfId="26" applyNumberFormat="1" applyFont="1" applyProtection="1">
      <alignment/>
      <protection locked="0"/>
    </xf>
    <xf numFmtId="37" fontId="5" fillId="0" borderId="3" xfId="26" applyNumberFormat="1" applyFont="1" applyBorder="1">
      <alignment/>
      <protection/>
    </xf>
    <xf numFmtId="37" fontId="5" fillId="0" borderId="0" xfId="26" applyNumberFormat="1" applyFont="1">
      <alignment/>
      <protection/>
    </xf>
    <xf numFmtId="37" fontId="5" fillId="0" borderId="12" xfId="26" applyNumberFormat="1" applyFont="1" applyBorder="1">
      <alignment/>
      <protection/>
    </xf>
    <xf numFmtId="37" fontId="5" fillId="0" borderId="10" xfId="26" applyNumberFormat="1" applyFont="1" applyBorder="1">
      <alignment/>
      <protection/>
    </xf>
    <xf numFmtId="37" fontId="5" fillId="0" borderId="10" xfId="26" applyNumberFormat="1" applyFont="1" applyBorder="1" applyProtection="1">
      <alignment/>
      <protection locked="0"/>
    </xf>
    <xf numFmtId="5" fontId="5" fillId="0" borderId="0" xfId="26" applyNumberFormat="1" applyFont="1">
      <alignment/>
      <protection/>
    </xf>
    <xf numFmtId="5" fontId="5" fillId="0" borderId="13" xfId="26" applyNumberFormat="1" applyFont="1" applyBorder="1">
      <alignment/>
      <protection/>
    </xf>
    <xf numFmtId="0" fontId="5" fillId="0" borderId="0" xfId="26" applyFont="1" applyAlignment="1">
      <alignment horizontal="left"/>
      <protection/>
    </xf>
    <xf numFmtId="169" fontId="5" fillId="0" borderId="0" xfId="26" applyNumberFormat="1" applyFont="1" applyAlignment="1">
      <alignment horizontal="left"/>
      <protection/>
    </xf>
    <xf numFmtId="171" fontId="5" fillId="0" borderId="0" xfId="26" applyNumberFormat="1" applyFont="1" applyAlignment="1">
      <alignment horizontal="left"/>
      <protection/>
    </xf>
    <xf numFmtId="0" fontId="5" fillId="0" borderId="0" xfId="26" applyFont="1">
      <alignment/>
      <protection/>
    </xf>
    <xf numFmtId="169" fontId="5" fillId="0" borderId="0" xfId="26" applyNumberFormat="1" applyFont="1">
      <alignment/>
      <protection/>
    </xf>
    <xf numFmtId="171" fontId="5" fillId="0" borderId="0" xfId="26" applyNumberFormat="1" applyFont="1">
      <alignment/>
      <protection/>
    </xf>
    <xf numFmtId="171" fontId="5" fillId="0" borderId="0" xfId="26" applyNumberFormat="1" applyFont="1" applyAlignment="1">
      <alignment horizontal="center"/>
      <protection/>
    </xf>
    <xf numFmtId="169" fontId="5" fillId="0" borderId="10" xfId="26" applyNumberFormat="1" applyFont="1" applyBorder="1">
      <alignment/>
      <protection/>
    </xf>
    <xf numFmtId="0" fontId="5" fillId="0" borderId="10" xfId="26" applyFont="1" applyBorder="1">
      <alignment/>
      <protection/>
    </xf>
    <xf numFmtId="171" fontId="5" fillId="0" borderId="10" xfId="26" applyNumberFormat="1" applyFont="1" applyBorder="1" applyAlignment="1">
      <alignment horizontal="center"/>
      <protection/>
    </xf>
    <xf numFmtId="0" fontId="5" fillId="0" borderId="10" xfId="26" applyFont="1" applyBorder="1" applyAlignment="1">
      <alignment horizontal="right"/>
      <protection/>
    </xf>
    <xf numFmtId="0" fontId="5" fillId="0" borderId="0" xfId="26" applyFont="1" applyAlignment="1">
      <alignment horizontal="right"/>
      <protection/>
    </xf>
    <xf numFmtId="170" fontId="5" fillId="0" borderId="0" xfId="26" applyNumberFormat="1" applyFont="1">
      <alignment/>
      <protection/>
    </xf>
    <xf numFmtId="0" fontId="13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169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171" fontId="5" fillId="0" borderId="0" xfId="0" applyNumberFormat="1" applyFont="1" applyAlignment="1">
      <alignment horizontal="center"/>
    </xf>
    <xf numFmtId="16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5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70" fontId="5" fillId="0" borderId="0" xfId="0" applyNumberFormat="1" applyFont="1" applyAlignment="1">
      <alignment/>
    </xf>
    <xf numFmtId="0" fontId="5" fillId="0" borderId="3" xfId="0" applyFont="1" applyBorder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3" fontId="27" fillId="0" borderId="0" xfId="0" applyNumberFormat="1" applyFont="1" applyAlignment="1">
      <alignment horizontal="center"/>
    </xf>
    <xf numFmtId="5" fontId="13" fillId="0" borderId="0" xfId="0" applyNumberFormat="1" applyFont="1" applyBorder="1" applyAlignment="1">
      <alignment/>
    </xf>
    <xf numFmtId="37" fontId="13" fillId="0" borderId="0" xfId="0" applyNumberFormat="1" applyFont="1" applyBorder="1" applyAlignment="1">
      <alignment/>
    </xf>
    <xf numFmtId="3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/>
    </xf>
    <xf numFmtId="5" fontId="13" fillId="0" borderId="0" xfId="0" applyNumberFormat="1" applyFont="1" applyAlignment="1">
      <alignment/>
    </xf>
    <xf numFmtId="37" fontId="13" fillId="0" borderId="3" xfId="0" applyNumberFormat="1" applyFont="1" applyBorder="1" applyAlignment="1">
      <alignment/>
    </xf>
    <xf numFmtId="37" fontId="13" fillId="0" borderId="0" xfId="0" applyNumberFormat="1" applyFont="1" applyAlignment="1">
      <alignment/>
    </xf>
    <xf numFmtId="10" fontId="13" fillId="0" borderId="0" xfId="0" applyNumberFormat="1" applyFont="1" applyBorder="1" applyAlignment="1">
      <alignment/>
    </xf>
    <xf numFmtId="0" fontId="13" fillId="0" borderId="0" xfId="0" applyFont="1" applyFill="1" applyAlignment="1">
      <alignment horizontal="center"/>
    </xf>
    <xf numFmtId="3" fontId="13" fillId="0" borderId="0" xfId="0" applyNumberFormat="1" applyFont="1" applyBorder="1" applyAlignment="1">
      <alignment/>
    </xf>
    <xf numFmtId="6" fontId="13" fillId="0" borderId="13" xfId="18" applyNumberFormat="1" applyFont="1" applyBorder="1" applyAlignment="1">
      <alignment/>
    </xf>
    <xf numFmtId="10" fontId="1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30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30" fillId="0" borderId="0" xfId="0" applyFont="1" applyBorder="1" applyAlignment="1">
      <alignment/>
    </xf>
    <xf numFmtId="37" fontId="30" fillId="0" borderId="0" xfId="0" applyNumberFormat="1" applyFont="1" applyBorder="1" applyAlignment="1">
      <alignment/>
    </xf>
    <xf numFmtId="3" fontId="25" fillId="0" borderId="0" xfId="43" applyNumberFormat="1" applyFont="1">
      <alignment/>
      <protection/>
    </xf>
    <xf numFmtId="3" fontId="25" fillId="0" borderId="0" xfId="43" applyNumberFormat="1" applyFont="1" applyAlignment="1">
      <alignment horizontal="center"/>
      <protection/>
    </xf>
    <xf numFmtId="3" fontId="32" fillId="0" borderId="1" xfId="43" applyNumberFormat="1" applyFont="1" applyBorder="1" applyAlignment="1">
      <alignment horizontal="center"/>
      <protection/>
    </xf>
    <xf numFmtId="3" fontId="32" fillId="0" borderId="5" xfId="43" applyNumberFormat="1" applyFont="1" applyBorder="1" applyAlignment="1">
      <alignment horizontal="center"/>
      <protection/>
    </xf>
    <xf numFmtId="3" fontId="32" fillId="0" borderId="8" xfId="43" applyNumberFormat="1" applyFont="1" applyBorder="1" applyAlignment="1">
      <alignment horizontal="center"/>
      <protection/>
    </xf>
    <xf numFmtId="167" fontId="25" fillId="0" borderId="0" xfId="43" applyNumberFormat="1" applyFont="1">
      <alignment/>
      <protection/>
    </xf>
    <xf numFmtId="167" fontId="25" fillId="0" borderId="10" xfId="43" applyNumberFormat="1" applyFont="1" applyBorder="1">
      <alignment/>
      <protection/>
    </xf>
    <xf numFmtId="37" fontId="25" fillId="0" borderId="0" xfId="43" applyNumberFormat="1" applyFont="1">
      <alignment/>
      <protection/>
    </xf>
    <xf numFmtId="37" fontId="25" fillId="0" borderId="10" xfId="43" applyNumberFormat="1" applyFont="1" applyBorder="1">
      <alignment/>
      <protection/>
    </xf>
    <xf numFmtId="5" fontId="25" fillId="0" borderId="13" xfId="43" applyNumberFormat="1" applyFont="1" applyBorder="1">
      <alignment/>
      <protection/>
    </xf>
    <xf numFmtId="168" fontId="25" fillId="0" borderId="0" xfId="43" applyNumberFormat="1" applyFont="1">
      <alignment/>
      <protection/>
    </xf>
    <xf numFmtId="3" fontId="33" fillId="0" borderId="0" xfId="0" applyNumberFormat="1" applyFont="1" applyAlignment="1">
      <alignment/>
    </xf>
    <xf numFmtId="0" fontId="33" fillId="0" borderId="0" xfId="0" applyFont="1" applyAlignment="1">
      <alignment/>
    </xf>
    <xf numFmtId="5" fontId="33" fillId="0" borderId="0" xfId="0" applyNumberFormat="1" applyFont="1" applyAlignment="1">
      <alignment/>
    </xf>
    <xf numFmtId="37" fontId="33" fillId="0" borderId="0" xfId="0" applyNumberFormat="1" applyFont="1" applyAlignment="1">
      <alignment/>
    </xf>
    <xf numFmtId="3" fontId="32" fillId="0" borderId="0" xfId="43" applyNumberFormat="1" applyFont="1" applyAlignment="1">
      <alignment horizontal="center"/>
      <protection/>
    </xf>
    <xf numFmtId="3" fontId="5" fillId="0" borderId="0" xfId="0" applyNumberFormat="1" applyFont="1" applyBorder="1" applyAlignment="1">
      <alignment horizontal="right"/>
    </xf>
    <xf numFmtId="3" fontId="6" fillId="0" borderId="1" xfId="43" applyNumberFormat="1" applyFont="1" applyFill="1" applyBorder="1" applyAlignment="1">
      <alignment horizontal="center"/>
      <protection/>
    </xf>
    <xf numFmtId="3" fontId="6" fillId="0" borderId="5" xfId="43" applyNumberFormat="1" applyFont="1" applyFill="1" applyBorder="1" applyAlignment="1">
      <alignment horizontal="center"/>
      <protection/>
    </xf>
    <xf numFmtId="3" fontId="6" fillId="0" borderId="8" xfId="43" applyNumberFormat="1" applyFont="1" applyFill="1" applyBorder="1" applyAlignment="1">
      <alignment horizontal="center"/>
      <protection/>
    </xf>
    <xf numFmtId="0" fontId="34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5" fontId="17" fillId="0" borderId="0" xfId="0" applyNumberFormat="1" applyFont="1" applyAlignment="1">
      <alignment/>
    </xf>
    <xf numFmtId="172" fontId="35" fillId="0" borderId="0" xfId="46" applyNumberFormat="1" applyFont="1" applyBorder="1" applyAlignment="1">
      <alignment/>
    </xf>
    <xf numFmtId="3" fontId="18" fillId="0" borderId="0" xfId="43" applyNumberFormat="1" applyFont="1" applyFill="1" applyBorder="1" applyAlignment="1">
      <alignment horizontal="center"/>
      <protection/>
    </xf>
    <xf numFmtId="0" fontId="35" fillId="0" borderId="0" xfId="0" applyFont="1" applyBorder="1" applyAlignment="1">
      <alignment/>
    </xf>
    <xf numFmtId="37" fontId="35" fillId="0" borderId="0" xfId="43" applyNumberFormat="1" applyFont="1" applyBorder="1">
      <alignment/>
      <protection/>
    </xf>
    <xf numFmtId="3" fontId="5" fillId="0" borderId="0" xfId="0" applyNumberFormat="1" applyFont="1" applyFill="1" applyAlignment="1">
      <alignment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10" fontId="13" fillId="0" borderId="0" xfId="0" applyNumberFormat="1" applyFont="1" applyAlignment="1">
      <alignment horizontal="left"/>
    </xf>
    <xf numFmtId="10" fontId="13" fillId="0" borderId="0" xfId="0" applyNumberFormat="1" applyFont="1" applyBorder="1" applyAlignment="1">
      <alignment horizontal="left"/>
    </xf>
    <xf numFmtId="9" fontId="13" fillId="0" borderId="0" xfId="0" applyNumberFormat="1" applyFont="1" applyAlignment="1">
      <alignment horizontal="left"/>
    </xf>
    <xf numFmtId="0" fontId="13" fillId="0" borderId="0" xfId="0" applyFont="1" applyBorder="1" applyAlignment="1">
      <alignment horizontal="left"/>
    </xf>
    <xf numFmtId="10" fontId="14" fillId="0" borderId="13" xfId="0" applyNumberFormat="1" applyFont="1" applyBorder="1" applyAlignment="1">
      <alignment horizontal="left"/>
    </xf>
    <xf numFmtId="3" fontId="33" fillId="0" borderId="0" xfId="0" applyNumberFormat="1" applyFont="1" applyAlignment="1">
      <alignment horizontal="center"/>
    </xf>
    <xf numFmtId="3" fontId="36" fillId="0" borderId="0" xfId="0" applyNumberFormat="1" applyFont="1" applyAlignment="1">
      <alignment horizontal="center"/>
    </xf>
    <xf numFmtId="3" fontId="13" fillId="0" borderId="0" xfId="39" applyNumberFormat="1" applyFont="1" applyAlignment="1">
      <alignment horizontal="centerContinuous"/>
      <protection/>
    </xf>
    <xf numFmtId="0" fontId="13" fillId="0" borderId="0" xfId="39" applyFont="1" applyAlignment="1">
      <alignment horizontal="centerContinuous"/>
      <protection/>
    </xf>
    <xf numFmtId="3" fontId="13" fillId="0" borderId="0" xfId="39" applyNumberFormat="1" applyFont="1">
      <alignment/>
      <protection/>
    </xf>
    <xf numFmtId="3" fontId="13" fillId="0" borderId="0" xfId="39" applyNumberFormat="1" applyFont="1" applyBorder="1" applyAlignment="1">
      <alignment horizontal="centerContinuous"/>
      <protection/>
    </xf>
    <xf numFmtId="0" fontId="13" fillId="0" borderId="0" xfId="39" applyFont="1" applyBorder="1" applyAlignment="1">
      <alignment horizontal="centerContinuous"/>
      <protection/>
    </xf>
    <xf numFmtId="0" fontId="13" fillId="0" borderId="0" xfId="39" applyFont="1">
      <alignment/>
      <protection/>
    </xf>
    <xf numFmtId="3" fontId="13" fillId="0" borderId="0" xfId="39" applyNumberFormat="1" applyFont="1" applyAlignment="1">
      <alignment horizontal="center"/>
      <protection/>
    </xf>
    <xf numFmtId="0" fontId="13" fillId="0" borderId="0" xfId="39" applyFont="1" applyAlignment="1">
      <alignment horizontal="center"/>
      <protection/>
    </xf>
    <xf numFmtId="3" fontId="13" fillId="0" borderId="10" xfId="39" applyNumberFormat="1" applyFont="1" applyBorder="1">
      <alignment/>
      <protection/>
    </xf>
    <xf numFmtId="3" fontId="13" fillId="0" borderId="10" xfId="39" applyNumberFormat="1" applyFont="1" applyBorder="1" applyAlignment="1">
      <alignment horizontal="center"/>
      <protection/>
    </xf>
    <xf numFmtId="165" fontId="13" fillId="0" borderId="0" xfId="39" applyNumberFormat="1" applyFont="1">
      <alignment/>
      <protection/>
    </xf>
    <xf numFmtId="165" fontId="13" fillId="0" borderId="3" xfId="39" applyNumberFormat="1" applyFont="1" applyBorder="1">
      <alignment/>
      <protection/>
    </xf>
    <xf numFmtId="10" fontId="13" fillId="0" borderId="0" xfId="39" applyNumberFormat="1" applyFont="1">
      <alignment/>
      <protection/>
    </xf>
    <xf numFmtId="208" fontId="13" fillId="0" borderId="0" xfId="39" applyNumberFormat="1" applyFont="1">
      <alignment/>
      <protection/>
    </xf>
    <xf numFmtId="209" fontId="13" fillId="0" borderId="10" xfId="39" applyNumberFormat="1" applyFont="1" applyBorder="1">
      <alignment/>
      <protection/>
    </xf>
    <xf numFmtId="0" fontId="13" fillId="0" borderId="17" xfId="39" applyFont="1" applyBorder="1">
      <alignment/>
      <protection/>
    </xf>
    <xf numFmtId="165" fontId="13" fillId="0" borderId="0" xfId="39" applyNumberFormat="1" applyFont="1" applyAlignment="1">
      <alignment horizontal="center"/>
      <protection/>
    </xf>
    <xf numFmtId="3" fontId="13" fillId="0" borderId="0" xfId="39" applyNumberFormat="1" applyFont="1" applyBorder="1">
      <alignment/>
      <protection/>
    </xf>
    <xf numFmtId="10" fontId="13" fillId="0" borderId="3" xfId="39" applyNumberFormat="1" applyFont="1" applyBorder="1">
      <alignment/>
      <protection/>
    </xf>
    <xf numFmtId="172" fontId="13" fillId="0" borderId="0" xfId="46" applyNumberFormat="1" applyFont="1" applyAlignment="1">
      <alignment/>
    </xf>
    <xf numFmtId="172" fontId="13" fillId="0" borderId="0" xfId="39" applyNumberFormat="1" applyFont="1">
      <alignment/>
      <protection/>
    </xf>
    <xf numFmtId="172" fontId="13" fillId="0" borderId="3" xfId="39" applyNumberFormat="1" applyFont="1" applyBorder="1">
      <alignment/>
      <protection/>
    </xf>
    <xf numFmtId="10" fontId="13" fillId="0" borderId="0" xfId="39" applyNumberFormat="1" applyFont="1" applyBorder="1">
      <alignment/>
      <protection/>
    </xf>
    <xf numFmtId="3" fontId="14" fillId="0" borderId="0" xfId="39" applyNumberFormat="1" applyFont="1" applyBorder="1" applyAlignment="1">
      <alignment horizontal="centerContinuous"/>
      <protection/>
    </xf>
    <xf numFmtId="3" fontId="39" fillId="0" borderId="0" xfId="39" applyNumberFormat="1" applyFont="1" applyBorder="1" applyAlignment="1">
      <alignment horizontal="centerContinuous"/>
      <protection/>
    </xf>
    <xf numFmtId="3" fontId="37" fillId="0" borderId="0" xfId="39" applyNumberFormat="1" applyFont="1">
      <alignment/>
      <protection/>
    </xf>
    <xf numFmtId="0" fontId="28" fillId="0" borderId="0" xfId="39" applyFont="1">
      <alignment/>
      <protection/>
    </xf>
    <xf numFmtId="3" fontId="14" fillId="0" borderId="0" xfId="39" applyNumberFormat="1" applyFont="1" applyAlignment="1">
      <alignment horizontal="centerContinuous"/>
      <protection/>
    </xf>
    <xf numFmtId="10" fontId="28" fillId="0" borderId="0" xfId="39" applyNumberFormat="1" applyFont="1">
      <alignment/>
      <protection/>
    </xf>
    <xf numFmtId="165" fontId="13" fillId="0" borderId="17" xfId="39" applyNumberFormat="1" applyFont="1" applyBorder="1">
      <alignment/>
      <protection/>
    </xf>
    <xf numFmtId="0" fontId="41" fillId="0" borderId="0" xfId="39" applyFont="1" applyAlignment="1">
      <alignment horizontal="centerContinuous"/>
      <protection/>
    </xf>
    <xf numFmtId="0" fontId="41" fillId="0" borderId="0" xfId="39" applyFont="1">
      <alignment/>
      <protection/>
    </xf>
    <xf numFmtId="0" fontId="41" fillId="0" borderId="0" xfId="39" applyFont="1" applyBorder="1" applyAlignment="1">
      <alignment horizontal="centerContinuous"/>
      <protection/>
    </xf>
    <xf numFmtId="0" fontId="41" fillId="0" borderId="0" xfId="39" applyFont="1" applyBorder="1">
      <alignment/>
      <protection/>
    </xf>
    <xf numFmtId="0" fontId="42" fillId="0" borderId="0" xfId="39" applyFont="1" applyAlignment="1">
      <alignment horizontal="centerContinuous"/>
      <protection/>
    </xf>
    <xf numFmtId="0" fontId="42" fillId="0" borderId="0" xfId="39" applyFont="1" applyBorder="1" applyAlignment="1">
      <alignment horizontal="centerContinuous"/>
      <protection/>
    </xf>
    <xf numFmtId="0" fontId="43" fillId="0" borderId="0" xfId="39" applyFont="1">
      <alignment/>
      <protection/>
    </xf>
    <xf numFmtId="0" fontId="43" fillId="0" borderId="0" xfId="39" applyFont="1" applyAlignment="1">
      <alignment horizontal="center"/>
      <protection/>
    </xf>
    <xf numFmtId="0" fontId="43" fillId="0" borderId="0" xfId="39" applyFont="1" applyBorder="1">
      <alignment/>
      <protection/>
    </xf>
    <xf numFmtId="0" fontId="43" fillId="0" borderId="0" xfId="39" applyFont="1" applyAlignment="1">
      <alignment horizontal="right"/>
      <protection/>
    </xf>
    <xf numFmtId="0" fontId="43" fillId="0" borderId="0" xfId="39" applyFont="1" applyBorder="1" applyAlignment="1">
      <alignment horizontal="center"/>
      <protection/>
    </xf>
    <xf numFmtId="0" fontId="44" fillId="0" borderId="0" xfId="39" applyFont="1">
      <alignment/>
      <protection/>
    </xf>
    <xf numFmtId="0" fontId="43" fillId="0" borderId="3" xfId="39" applyFont="1" applyBorder="1" applyAlignment="1">
      <alignment horizontal="center"/>
      <protection/>
    </xf>
    <xf numFmtId="0" fontId="43" fillId="0" borderId="3" xfId="39" applyFont="1" applyBorder="1">
      <alignment/>
      <protection/>
    </xf>
    <xf numFmtId="0" fontId="43" fillId="0" borderId="3" xfId="39" applyFont="1" applyBorder="1" applyAlignment="1">
      <alignment horizontal="right"/>
      <protection/>
    </xf>
    <xf numFmtId="0" fontId="43" fillId="0" borderId="2" xfId="39" applyFont="1" applyBorder="1">
      <alignment/>
      <protection/>
    </xf>
    <xf numFmtId="0" fontId="43" fillId="0" borderId="4" xfId="39" applyFont="1" applyBorder="1">
      <alignment/>
      <protection/>
    </xf>
    <xf numFmtId="3" fontId="45" fillId="0" borderId="0" xfId="39" applyNumberFormat="1" applyFont="1">
      <alignment/>
      <protection/>
    </xf>
    <xf numFmtId="3" fontId="43" fillId="0" borderId="0" xfId="39" applyNumberFormat="1" applyFont="1">
      <alignment/>
      <protection/>
    </xf>
    <xf numFmtId="3" fontId="43" fillId="0" borderId="6" xfId="39" applyNumberFormat="1" applyFont="1" applyBorder="1">
      <alignment/>
      <protection/>
    </xf>
    <xf numFmtId="3" fontId="43" fillId="0" borderId="0" xfId="39" applyNumberFormat="1" applyFont="1" applyBorder="1">
      <alignment/>
      <protection/>
    </xf>
    <xf numFmtId="3" fontId="43" fillId="0" borderId="7" xfId="39" applyNumberFormat="1" applyFont="1" applyBorder="1">
      <alignment/>
      <protection/>
    </xf>
    <xf numFmtId="3" fontId="43" fillId="0" borderId="9" xfId="39" applyNumberFormat="1" applyFont="1" applyBorder="1">
      <alignment/>
      <protection/>
    </xf>
    <xf numFmtId="0" fontId="43" fillId="0" borderId="10" xfId="39" applyFont="1" applyBorder="1">
      <alignment/>
      <protection/>
    </xf>
    <xf numFmtId="0" fontId="43" fillId="0" borderId="11" xfId="39" applyFont="1" applyBorder="1">
      <alignment/>
      <protection/>
    </xf>
    <xf numFmtId="0" fontId="46" fillId="0" borderId="0" xfId="39" applyFont="1" applyBorder="1">
      <alignment/>
      <protection/>
    </xf>
    <xf numFmtId="3" fontId="47" fillId="0" borderId="0" xfId="39" applyNumberFormat="1" applyFont="1">
      <alignment/>
      <protection/>
    </xf>
    <xf numFmtId="172" fontId="43" fillId="0" borderId="0" xfId="39" applyNumberFormat="1" applyFont="1">
      <alignment/>
      <protection/>
    </xf>
    <xf numFmtId="3" fontId="48" fillId="0" borderId="0" xfId="39" applyNumberFormat="1" applyFont="1">
      <alignment/>
      <protection/>
    </xf>
    <xf numFmtId="0" fontId="43" fillId="0" borderId="0" xfId="39" applyFont="1" applyAlignment="1">
      <alignment horizontal="left"/>
      <protection/>
    </xf>
    <xf numFmtId="172" fontId="45" fillId="0" borderId="0" xfId="39" applyNumberFormat="1" applyFont="1" applyFill="1" applyBorder="1">
      <alignment/>
      <protection/>
    </xf>
    <xf numFmtId="3" fontId="45" fillId="0" borderId="0" xfId="17" applyNumberFormat="1" applyFont="1" applyBorder="1" applyAlignment="1">
      <alignment/>
    </xf>
    <xf numFmtId="172" fontId="45" fillId="0" borderId="0" xfId="39" applyNumberFormat="1" applyFont="1">
      <alignment/>
      <protection/>
    </xf>
    <xf numFmtId="3" fontId="43" fillId="0" borderId="3" xfId="39" applyNumberFormat="1" applyFont="1" applyBorder="1">
      <alignment/>
      <protection/>
    </xf>
    <xf numFmtId="3" fontId="13" fillId="0" borderId="0" xfId="39" applyNumberFormat="1" applyFont="1" applyAlignment="1">
      <alignment horizontal="left"/>
      <protection/>
    </xf>
    <xf numFmtId="3" fontId="13" fillId="0" borderId="0" xfId="39" applyNumberFormat="1" applyFont="1" applyAlignment="1">
      <alignment horizontal="right"/>
      <protection/>
    </xf>
    <xf numFmtId="3" fontId="29" fillId="0" borderId="0" xfId="39" applyNumberFormat="1" applyFont="1" applyBorder="1" applyAlignment="1">
      <alignment horizontal="centerContinuous"/>
      <protection/>
    </xf>
    <xf numFmtId="3" fontId="49" fillId="0" borderId="0" xfId="39" applyNumberFormat="1" applyFont="1" applyBorder="1" applyAlignment="1">
      <alignment horizontal="centerContinuous"/>
      <protection/>
    </xf>
    <xf numFmtId="165" fontId="13" fillId="0" borderId="0" xfId="39" applyNumberFormat="1" applyFont="1" applyFill="1">
      <alignment/>
      <protection/>
    </xf>
    <xf numFmtId="10" fontId="13" fillId="0" borderId="0" xfId="39" applyNumberFormat="1" applyFont="1" applyFill="1">
      <alignment/>
      <protection/>
    </xf>
    <xf numFmtId="3" fontId="13" fillId="0" borderId="0" xfId="39" applyNumberFormat="1" applyFont="1" applyFill="1" applyBorder="1">
      <alignment/>
      <protection/>
    </xf>
    <xf numFmtId="165" fontId="13" fillId="0" borderId="3" xfId="39" applyNumberFormat="1" applyFont="1" applyFill="1" applyBorder="1">
      <alignment/>
      <protection/>
    </xf>
    <xf numFmtId="10" fontId="13" fillId="0" borderId="3" xfId="39" applyNumberFormat="1" applyFont="1" applyFill="1" applyBorder="1">
      <alignment/>
      <protection/>
    </xf>
    <xf numFmtId="3" fontId="13" fillId="0" borderId="0" xfId="39" applyNumberFormat="1" applyFont="1" applyFill="1">
      <alignment/>
      <protection/>
    </xf>
    <xf numFmtId="172" fontId="13" fillId="0" borderId="0" xfId="46" applyNumberFormat="1" applyFont="1" applyFill="1" applyAlignment="1">
      <alignment/>
    </xf>
    <xf numFmtId="172" fontId="13" fillId="0" borderId="0" xfId="39" applyNumberFormat="1" applyFont="1" applyFill="1">
      <alignment/>
      <protection/>
    </xf>
    <xf numFmtId="172" fontId="13" fillId="0" borderId="3" xfId="39" applyNumberFormat="1" applyFont="1" applyFill="1" applyBorder="1">
      <alignment/>
      <protection/>
    </xf>
    <xf numFmtId="3" fontId="50" fillId="0" borderId="0" xfId="39" applyNumberFormat="1" applyFont="1">
      <alignment/>
      <protection/>
    </xf>
    <xf numFmtId="37" fontId="51" fillId="0" borderId="0" xfId="26" applyNumberFormat="1" applyFont="1" applyProtection="1">
      <alignment/>
      <protection locked="0"/>
    </xf>
    <xf numFmtId="3" fontId="52" fillId="0" borderId="0" xfId="26" applyNumberFormat="1" applyFont="1">
      <alignment/>
      <protection/>
    </xf>
    <xf numFmtId="0" fontId="53" fillId="0" borderId="0" xfId="0" applyFont="1" applyBorder="1" applyAlignment="1">
      <alignment/>
    </xf>
    <xf numFmtId="165" fontId="11" fillId="0" borderId="0" xfId="36" applyNumberFormat="1" applyFont="1">
      <alignment/>
      <protection/>
    </xf>
    <xf numFmtId="37" fontId="11" fillId="0" borderId="0" xfId="36" applyNumberFormat="1" applyFont="1" applyProtection="1">
      <alignment/>
      <protection locked="0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172" fontId="5" fillId="0" borderId="10" xfId="46" applyNumberFormat="1" applyFont="1" applyBorder="1" applyAlignment="1">
      <alignment/>
    </xf>
    <xf numFmtId="172" fontId="5" fillId="0" borderId="0" xfId="46" applyNumberFormat="1" applyFont="1" applyBorder="1" applyAlignment="1">
      <alignment/>
    </xf>
    <xf numFmtId="5" fontId="5" fillId="0" borderId="0" xfId="0" applyNumberFormat="1" applyFont="1" applyBorder="1" applyAlignment="1">
      <alignment/>
    </xf>
    <xf numFmtId="5" fontId="5" fillId="0" borderId="10" xfId="0" applyNumberFormat="1" applyFont="1" applyBorder="1" applyAlignment="1">
      <alignment/>
    </xf>
    <xf numFmtId="5" fontId="5" fillId="0" borderId="18" xfId="0" applyNumberFormat="1" applyFont="1" applyBorder="1" applyAlignment="1">
      <alignment/>
    </xf>
    <xf numFmtId="10" fontId="5" fillId="0" borderId="19" xfId="46" applyNumberFormat="1" applyFont="1" applyBorder="1" applyAlignment="1">
      <alignment/>
    </xf>
    <xf numFmtId="10" fontId="5" fillId="0" borderId="0" xfId="46" applyNumberFormat="1" applyFont="1" applyBorder="1" applyAlignment="1">
      <alignment/>
    </xf>
    <xf numFmtId="170" fontId="14" fillId="0" borderId="0" xfId="0" applyNumberFormat="1" applyFont="1" applyAlignment="1">
      <alignment/>
    </xf>
    <xf numFmtId="170" fontId="13" fillId="0" borderId="0" xfId="0" applyNumberFormat="1" applyFont="1" applyAlignment="1">
      <alignment/>
    </xf>
    <xf numFmtId="10" fontId="54" fillId="0" borderId="0" xfId="0" applyNumberFormat="1" applyFont="1" applyAlignment="1">
      <alignment/>
    </xf>
    <xf numFmtId="0" fontId="14" fillId="0" borderId="0" xfId="0" applyFont="1" applyAlignment="1">
      <alignment horizontal="centerContinuous"/>
    </xf>
    <xf numFmtId="203" fontId="13" fillId="0" borderId="0" xfId="15" applyNumberFormat="1" applyFont="1" applyAlignment="1">
      <alignment/>
    </xf>
    <xf numFmtId="203" fontId="14" fillId="0" borderId="0" xfId="15" applyNumberFormat="1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5" fontId="13" fillId="0" borderId="0" xfId="15" applyNumberFormat="1" applyFont="1" applyAlignment="1">
      <alignment/>
    </xf>
    <xf numFmtId="203" fontId="13" fillId="0" borderId="12" xfId="15" applyNumberFormat="1" applyFont="1" applyBorder="1" applyAlignment="1">
      <alignment/>
    </xf>
    <xf numFmtId="203" fontId="13" fillId="0" borderId="0" xfId="15" applyNumberFormat="1" applyFont="1" applyBorder="1" applyAlignment="1">
      <alignment/>
    </xf>
    <xf numFmtId="203" fontId="13" fillId="0" borderId="10" xfId="15" applyNumberFormat="1" applyFont="1" applyBorder="1" applyAlignment="1">
      <alignment/>
    </xf>
    <xf numFmtId="5" fontId="13" fillId="0" borderId="13" xfId="15" applyNumberFormat="1" applyFont="1" applyBorder="1" applyAlignment="1">
      <alignment/>
    </xf>
    <xf numFmtId="3" fontId="6" fillId="0" borderId="15" xfId="0" applyNumberFormat="1" applyFont="1" applyBorder="1" applyAlignment="1">
      <alignment horizontal="centerContinuous"/>
    </xf>
    <xf numFmtId="3" fontId="6" fillId="0" borderId="12" xfId="0" applyNumberFormat="1" applyFont="1" applyBorder="1" applyAlignment="1">
      <alignment horizontal="centerContinuous"/>
    </xf>
    <xf numFmtId="3" fontId="6" fillId="0" borderId="16" xfId="0" applyNumberFormat="1" applyFont="1" applyBorder="1" applyAlignment="1">
      <alignment horizontal="centerContinuous"/>
    </xf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6" fillId="0" borderId="8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3" fontId="18" fillId="0" borderId="0" xfId="0" applyNumberFormat="1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Border="1" applyAlignment="1">
      <alignment/>
    </xf>
    <xf numFmtId="37" fontId="57" fillId="0" borderId="0" xfId="0" applyNumberFormat="1" applyFont="1" applyBorder="1" applyAlignment="1">
      <alignment/>
    </xf>
    <xf numFmtId="0" fontId="58" fillId="0" borderId="0" xfId="0" applyFont="1" applyAlignment="1">
      <alignment horizontal="center"/>
    </xf>
    <xf numFmtId="3" fontId="5" fillId="0" borderId="0" xfId="25" applyNumberFormat="1" applyFont="1" applyAlignment="1" quotePrefix="1">
      <alignment horizontal="center"/>
      <protection/>
    </xf>
    <xf numFmtId="37" fontId="13" fillId="0" borderId="0" xfId="39" applyNumberFormat="1" applyFont="1">
      <alignment/>
      <protection/>
    </xf>
    <xf numFmtId="10" fontId="13" fillId="0" borderId="10" xfId="39" applyNumberFormat="1" applyFont="1" applyBorder="1">
      <alignment/>
      <protection/>
    </xf>
    <xf numFmtId="0" fontId="59" fillId="0" borderId="0" xfId="39" applyFont="1" applyAlignment="1">
      <alignment horizontal="centerContinuous"/>
      <protection/>
    </xf>
    <xf numFmtId="0" fontId="60" fillId="0" borderId="0" xfId="39" applyFont="1" applyAlignment="1">
      <alignment horizontal="centerContinuous"/>
      <protection/>
    </xf>
    <xf numFmtId="0" fontId="61" fillId="0" borderId="0" xfId="39" applyFont="1">
      <alignment/>
      <protection/>
    </xf>
    <xf numFmtId="0" fontId="61" fillId="0" borderId="0" xfId="39" applyFont="1" applyAlignment="1">
      <alignment horizontal="right"/>
      <protection/>
    </xf>
    <xf numFmtId="0" fontId="61" fillId="0" borderId="3" xfId="39" applyFont="1" applyBorder="1">
      <alignment/>
      <protection/>
    </xf>
    <xf numFmtId="3" fontId="61" fillId="0" borderId="0" xfId="39" applyNumberFormat="1" applyFont="1">
      <alignment/>
      <protection/>
    </xf>
    <xf numFmtId="0" fontId="61" fillId="0" borderId="17" xfId="39" applyFont="1" applyBorder="1">
      <alignment/>
      <protection/>
    </xf>
    <xf numFmtId="37" fontId="5" fillId="0" borderId="0" xfId="42" applyNumberFormat="1" applyFont="1">
      <alignment/>
      <protection/>
    </xf>
    <xf numFmtId="3" fontId="33" fillId="0" borderId="0" xfId="39" applyNumberFormat="1" applyFont="1">
      <alignment/>
      <protection/>
    </xf>
    <xf numFmtId="165" fontId="33" fillId="0" borderId="0" xfId="39" applyNumberFormat="1" applyFont="1">
      <alignment/>
      <protection/>
    </xf>
    <xf numFmtId="0" fontId="41" fillId="0" borderId="0" xfId="39" applyFont="1" applyAlignment="1">
      <alignment horizontal="centerContinuous"/>
      <protection/>
    </xf>
    <xf numFmtId="0" fontId="42" fillId="0" borderId="0" xfId="39" applyFont="1" applyAlignment="1">
      <alignment horizontal="centerContinuous"/>
      <protection/>
    </xf>
    <xf numFmtId="0" fontId="43" fillId="0" borderId="17" xfId="39" applyFont="1" applyBorder="1">
      <alignment/>
      <protection/>
    </xf>
    <xf numFmtId="6" fontId="13" fillId="0" borderId="0" xfId="18" applyNumberFormat="1" applyFont="1" applyBorder="1" applyAlignment="1">
      <alignment/>
    </xf>
    <xf numFmtId="10" fontId="14" fillId="0" borderId="0" xfId="0" applyNumberFormat="1" applyFont="1" applyBorder="1" applyAlignment="1">
      <alignment horizontal="left"/>
    </xf>
    <xf numFmtId="37" fontId="33" fillId="0" borderId="3" xfId="0" applyNumberFormat="1" applyFont="1" applyBorder="1" applyAlignment="1">
      <alignment/>
    </xf>
    <xf numFmtId="0" fontId="0" fillId="0" borderId="10" xfId="0" applyBorder="1" applyAlignment="1">
      <alignment/>
    </xf>
    <xf numFmtId="3" fontId="43" fillId="0" borderId="0" xfId="0" applyNumberFormat="1" applyFont="1" applyAlignment="1">
      <alignment horizontal="left"/>
    </xf>
    <xf numFmtId="3" fontId="5" fillId="0" borderId="3" xfId="24" applyNumberFormat="1" applyFont="1" applyBorder="1">
      <alignment/>
      <protection/>
    </xf>
    <xf numFmtId="37" fontId="12" fillId="0" borderId="0" xfId="36" applyNumberFormat="1" applyFont="1" applyProtection="1">
      <alignment/>
      <protection locked="0"/>
    </xf>
    <xf numFmtId="37" fontId="12" fillId="0" borderId="0" xfId="0" applyNumberFormat="1" applyFont="1" applyAlignment="1" applyProtection="1">
      <alignment/>
      <protection locked="0"/>
    </xf>
    <xf numFmtId="37" fontId="18" fillId="0" borderId="0" xfId="21" applyNumberFormat="1" applyFont="1" applyProtection="1">
      <alignment/>
      <protection locked="0"/>
    </xf>
    <xf numFmtId="37" fontId="12" fillId="0" borderId="0" xfId="31" applyNumberFormat="1" applyFont="1" applyProtection="1">
      <alignment/>
      <protection locked="0"/>
    </xf>
    <xf numFmtId="37" fontId="12" fillId="0" borderId="0" xfId="26" applyNumberFormat="1" applyFont="1" applyProtection="1">
      <alignment/>
      <protection locked="0"/>
    </xf>
    <xf numFmtId="3" fontId="32" fillId="0" borderId="0" xfId="44" applyNumberFormat="1" applyFont="1" applyAlignment="1">
      <alignment horizontal="center"/>
      <protection/>
    </xf>
    <xf numFmtId="168" fontId="25" fillId="0" borderId="0" xfId="33" applyNumberFormat="1" applyFont="1" applyFill="1" applyBorder="1">
      <alignment/>
      <protection/>
    </xf>
    <xf numFmtId="3" fontId="25" fillId="0" borderId="0" xfId="43" applyNumberFormat="1" applyFont="1" applyFill="1" applyBorder="1" applyAlignment="1">
      <alignment horizontal="center"/>
      <protection/>
    </xf>
    <xf numFmtId="3" fontId="32" fillId="0" borderId="1" xfId="43" applyNumberFormat="1" applyFont="1" applyFill="1" applyBorder="1" applyAlignment="1">
      <alignment horizontal="center"/>
      <protection/>
    </xf>
    <xf numFmtId="3" fontId="32" fillId="0" borderId="5" xfId="43" applyNumberFormat="1" applyFont="1" applyFill="1" applyBorder="1" applyAlignment="1">
      <alignment horizontal="center"/>
      <protection/>
    </xf>
    <xf numFmtId="3" fontId="32" fillId="0" borderId="8" xfId="43" applyNumberFormat="1" applyFont="1" applyFill="1" applyBorder="1" applyAlignment="1">
      <alignment horizontal="center"/>
      <protection/>
    </xf>
    <xf numFmtId="3" fontId="25" fillId="0" borderId="0" xfId="43" applyNumberFormat="1" applyFont="1" applyFill="1" applyBorder="1">
      <alignment/>
      <protection/>
    </xf>
    <xf numFmtId="10" fontId="13" fillId="0" borderId="0" xfId="0" applyNumberFormat="1" applyFont="1" applyAlignment="1">
      <alignment horizontal="center"/>
    </xf>
    <xf numFmtId="9" fontId="13" fillId="0" borderId="0" xfId="0" applyNumberFormat="1" applyFont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10" fontId="14" fillId="0" borderId="0" xfId="0" applyNumberFormat="1" applyFont="1" applyBorder="1" applyAlignment="1">
      <alignment horizontal="center"/>
    </xf>
    <xf numFmtId="3" fontId="6" fillId="0" borderId="0" xfId="35" applyNumberFormat="1" applyFont="1" applyAlignment="1">
      <alignment horizontal="center"/>
      <protection/>
    </xf>
    <xf numFmtId="37" fontId="13" fillId="0" borderId="0" xfId="39" applyNumberFormat="1" applyFont="1" applyAlignment="1">
      <alignment horizontal="right"/>
      <protection/>
    </xf>
    <xf numFmtId="37" fontId="40" fillId="0" borderId="0" xfId="39" applyNumberFormat="1" applyFont="1" applyFill="1" applyBorder="1">
      <alignment/>
      <protection/>
    </xf>
    <xf numFmtId="37" fontId="13" fillId="0" borderId="3" xfId="39" applyNumberFormat="1" applyFont="1" applyBorder="1">
      <alignment/>
      <protection/>
    </xf>
    <xf numFmtId="37" fontId="33" fillId="0" borderId="0" xfId="39" applyNumberFormat="1" applyFont="1">
      <alignment/>
      <protection/>
    </xf>
    <xf numFmtId="37" fontId="13" fillId="0" borderId="10" xfId="39" applyNumberFormat="1" applyFont="1" applyBorder="1">
      <alignment/>
      <protection/>
    </xf>
    <xf numFmtId="3" fontId="6" fillId="0" borderId="0" xfId="0" applyNumberFormat="1" applyFont="1" applyAlignment="1">
      <alignment horizontal="center"/>
    </xf>
    <xf numFmtId="214" fontId="5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4" fillId="0" borderId="15" xfId="0" applyFont="1" applyBorder="1" applyAlignment="1">
      <alignment/>
    </xf>
    <xf numFmtId="37" fontId="6" fillId="0" borderId="12" xfId="43" applyNumberFormat="1" applyFont="1" applyBorder="1" applyAlignment="1">
      <alignment horizontal="center"/>
      <protection/>
    </xf>
    <xf numFmtId="37" fontId="6" fillId="0" borderId="16" xfId="43" applyNumberFormat="1" applyFont="1" applyBorder="1">
      <alignment/>
      <protection/>
    </xf>
    <xf numFmtId="37" fontId="5" fillId="0" borderId="0" xfId="43" applyNumberFormat="1" applyFont="1" applyBorder="1">
      <alignment/>
      <protection/>
    </xf>
    <xf numFmtId="5" fontId="62" fillId="0" borderId="0" xfId="0" applyNumberFormat="1" applyFont="1" applyBorder="1" applyAlignment="1">
      <alignment/>
    </xf>
    <xf numFmtId="10" fontId="62" fillId="0" borderId="0" xfId="46" applyNumberFormat="1" applyFont="1" applyAlignment="1">
      <alignment/>
    </xf>
    <xf numFmtId="172" fontId="62" fillId="0" borderId="0" xfId="46" applyNumberFormat="1" applyFont="1" applyAlignment="1">
      <alignment/>
    </xf>
    <xf numFmtId="203" fontId="5" fillId="0" borderId="0" xfId="15" applyNumberFormat="1" applyFont="1" applyBorder="1" applyAlignment="1">
      <alignment/>
    </xf>
    <xf numFmtId="172" fontId="5" fillId="0" borderId="0" xfId="46" applyNumberFormat="1" applyFont="1" applyAlignment="1">
      <alignment/>
    </xf>
    <xf numFmtId="172" fontId="13" fillId="0" borderId="0" xfId="0" applyNumberFormat="1" applyFont="1" applyAlignment="1">
      <alignment/>
    </xf>
    <xf numFmtId="10" fontId="13" fillId="0" borderId="0" xfId="0" applyNumberFormat="1" applyFont="1" applyAlignment="1">
      <alignment/>
    </xf>
    <xf numFmtId="5" fontId="5" fillId="0" borderId="0" xfId="0" applyNumberFormat="1" applyFont="1" applyBorder="1" applyAlignment="1">
      <alignment horizontal="center"/>
    </xf>
    <xf numFmtId="3" fontId="7" fillId="0" borderId="0" xfId="43" applyNumberFormat="1" applyFont="1">
      <alignment/>
      <protection/>
    </xf>
    <xf numFmtId="3" fontId="64" fillId="0" borderId="1" xfId="43" applyNumberFormat="1" applyFont="1" applyFill="1" applyBorder="1" applyAlignment="1">
      <alignment horizontal="center"/>
      <protection/>
    </xf>
    <xf numFmtId="3" fontId="64" fillId="0" borderId="5" xfId="43" applyNumberFormat="1" applyFont="1" applyBorder="1" applyAlignment="1">
      <alignment horizontal="center"/>
      <protection/>
    </xf>
    <xf numFmtId="3" fontId="64" fillId="0" borderId="8" xfId="43" applyNumberFormat="1" applyFont="1" applyBorder="1" applyAlignment="1">
      <alignment horizontal="center"/>
      <protection/>
    </xf>
    <xf numFmtId="168" fontId="7" fillId="0" borderId="0" xfId="33" applyNumberFormat="1" applyFont="1" applyFill="1" applyBorder="1">
      <alignment/>
      <protection/>
    </xf>
    <xf numFmtId="167" fontId="7" fillId="0" borderId="0" xfId="43" applyNumberFormat="1" applyFont="1">
      <alignment/>
      <protection/>
    </xf>
    <xf numFmtId="167" fontId="7" fillId="0" borderId="10" xfId="43" applyNumberFormat="1" applyFont="1" applyBorder="1">
      <alignment/>
      <protection/>
    </xf>
    <xf numFmtId="37" fontId="7" fillId="0" borderId="0" xfId="43" applyNumberFormat="1" applyFont="1">
      <alignment/>
      <protection/>
    </xf>
    <xf numFmtId="37" fontId="7" fillId="0" borderId="10" xfId="43" applyNumberFormat="1" applyFont="1" applyBorder="1">
      <alignment/>
      <protection/>
    </xf>
    <xf numFmtId="5" fontId="7" fillId="0" borderId="13" xfId="43" applyNumberFormat="1" applyFont="1" applyBorder="1">
      <alignment/>
      <protection/>
    </xf>
    <xf numFmtId="168" fontId="7" fillId="0" borderId="0" xfId="43" applyNumberFormat="1" applyFont="1">
      <alignment/>
      <protection/>
    </xf>
    <xf numFmtId="3" fontId="64" fillId="0" borderId="0" xfId="43" applyNumberFormat="1" applyFont="1" applyBorder="1" applyAlignment="1">
      <alignment horizontal="center"/>
      <protection/>
    </xf>
    <xf numFmtId="3" fontId="25" fillId="0" borderId="0" xfId="25" applyNumberFormat="1" applyFont="1" applyAlignment="1">
      <alignment horizontal="center"/>
      <protection/>
    </xf>
    <xf numFmtId="3" fontId="32" fillId="0" borderId="8" xfId="43" applyNumberFormat="1" applyFont="1" applyBorder="1" applyAlignment="1" quotePrefix="1">
      <alignment horizontal="center"/>
      <protection/>
    </xf>
    <xf numFmtId="3" fontId="65" fillId="0" borderId="0" xfId="0" applyNumberFormat="1" applyFont="1" applyAlignment="1">
      <alignment/>
    </xf>
    <xf numFmtId="3" fontId="65" fillId="0" borderId="0" xfId="0" applyNumberFormat="1" applyFont="1" applyBorder="1" applyAlignment="1">
      <alignment/>
    </xf>
    <xf numFmtId="3" fontId="65" fillId="0" borderId="10" xfId="0" applyNumberFormat="1" applyFont="1" applyBorder="1" applyAlignment="1">
      <alignment/>
    </xf>
    <xf numFmtId="3" fontId="65" fillId="0" borderId="0" xfId="0" applyNumberFormat="1" applyFont="1" applyBorder="1" applyAlignment="1">
      <alignment horizontal="right"/>
    </xf>
    <xf numFmtId="170" fontId="66" fillId="0" borderId="0" xfId="27" applyNumberFormat="1" applyFont="1" applyAlignment="1">
      <alignment horizontal="left"/>
      <protection/>
    </xf>
    <xf numFmtId="3" fontId="32" fillId="0" borderId="0" xfId="43" applyNumberFormat="1" applyFont="1" applyFill="1" applyBorder="1" applyAlignment="1">
      <alignment horizontal="center"/>
      <protection/>
    </xf>
    <xf numFmtId="3" fontId="25" fillId="0" borderId="0" xfId="44" applyNumberFormat="1" applyFont="1" applyAlignment="1">
      <alignment horizontal="center"/>
      <protection/>
    </xf>
    <xf numFmtId="3" fontId="32" fillId="0" borderId="1" xfId="44" applyNumberFormat="1" applyFont="1" applyBorder="1" applyAlignment="1">
      <alignment horizontal="center"/>
      <protection/>
    </xf>
    <xf numFmtId="3" fontId="32" fillId="0" borderId="5" xfId="44" applyNumberFormat="1" applyFont="1" applyBorder="1" applyAlignment="1">
      <alignment horizontal="center"/>
      <protection/>
    </xf>
    <xf numFmtId="3" fontId="32" fillId="0" borderId="8" xfId="44" applyNumberFormat="1" applyFont="1" applyBorder="1" applyAlignment="1">
      <alignment horizontal="center"/>
      <protection/>
    </xf>
    <xf numFmtId="3" fontId="25" fillId="0" borderId="0" xfId="43" applyNumberFormat="1" applyFont="1" applyBorder="1">
      <alignment/>
      <protection/>
    </xf>
    <xf numFmtId="0" fontId="32" fillId="0" borderId="1" xfId="43" applyNumberFormat="1" applyFont="1" applyBorder="1" applyAlignment="1">
      <alignment horizontal="center"/>
      <protection/>
    </xf>
    <xf numFmtId="10" fontId="38" fillId="0" borderId="10" xfId="39" applyNumberFormat="1" applyFont="1" applyBorder="1">
      <alignment/>
      <protection/>
    </xf>
    <xf numFmtId="3" fontId="5" fillId="0" borderId="0" xfId="43" applyNumberFormat="1" applyFont="1" applyFill="1">
      <alignment/>
      <protection/>
    </xf>
    <xf numFmtId="3" fontId="6" fillId="0" borderId="0" xfId="43" applyNumberFormat="1" applyFont="1" applyFill="1" applyAlignment="1">
      <alignment horizontal="center"/>
      <protection/>
    </xf>
    <xf numFmtId="3" fontId="5" fillId="0" borderId="0" xfId="43" applyNumberFormat="1" applyFont="1" applyFill="1" applyAlignment="1">
      <alignment horizontal="center"/>
      <protection/>
    </xf>
    <xf numFmtId="168" fontId="5" fillId="0" borderId="0" xfId="43" applyNumberFormat="1" applyFont="1" applyFill="1">
      <alignment/>
      <protection/>
    </xf>
    <xf numFmtId="167" fontId="5" fillId="0" borderId="0" xfId="43" applyNumberFormat="1" applyFont="1" applyFill="1">
      <alignment/>
      <protection/>
    </xf>
    <xf numFmtId="167" fontId="5" fillId="0" borderId="10" xfId="43" applyNumberFormat="1" applyFont="1" applyFill="1" applyBorder="1">
      <alignment/>
      <protection/>
    </xf>
    <xf numFmtId="37" fontId="5" fillId="0" borderId="0" xfId="43" applyNumberFormat="1" applyFont="1" applyFill="1">
      <alignment/>
      <protection/>
    </xf>
    <xf numFmtId="37" fontId="5" fillId="0" borderId="10" xfId="43" applyNumberFormat="1" applyFont="1" applyFill="1" applyBorder="1">
      <alignment/>
      <protection/>
    </xf>
    <xf numFmtId="5" fontId="5" fillId="0" borderId="13" xfId="43" applyNumberFormat="1" applyFont="1" applyFill="1" applyBorder="1">
      <alignment/>
      <protection/>
    </xf>
    <xf numFmtId="10" fontId="5" fillId="0" borderId="0" xfId="46" applyNumberFormat="1" applyFont="1" applyFill="1" applyAlignment="1">
      <alignment/>
    </xf>
    <xf numFmtId="3" fontId="63" fillId="0" borderId="1" xfId="44" applyNumberFormat="1" applyFont="1" applyBorder="1" applyAlignment="1">
      <alignment horizontal="center"/>
      <protection/>
    </xf>
    <xf numFmtId="3" fontId="63" fillId="0" borderId="5" xfId="44" applyNumberFormat="1" applyFont="1" applyBorder="1" applyAlignment="1">
      <alignment horizontal="center"/>
      <protection/>
    </xf>
    <xf numFmtId="3" fontId="63" fillId="0" borderId="8" xfId="44" applyNumberFormat="1" applyFont="1" applyBorder="1" applyAlignment="1">
      <alignment horizontal="center"/>
      <protection/>
    </xf>
    <xf numFmtId="170" fontId="13" fillId="0" borderId="0" xfId="46" applyNumberFormat="1" applyFont="1" applyAlignment="1">
      <alignment/>
    </xf>
    <xf numFmtId="170" fontId="13" fillId="0" borderId="0" xfId="0" applyNumberFormat="1" applyFont="1" applyBorder="1" applyAlignment="1">
      <alignment/>
    </xf>
    <xf numFmtId="170" fontId="13" fillId="0" borderId="12" xfId="0" applyNumberFormat="1" applyFont="1" applyBorder="1" applyAlignment="1">
      <alignment/>
    </xf>
    <xf numFmtId="170" fontId="13" fillId="0" borderId="10" xfId="0" applyNumberFormat="1" applyFont="1" applyBorder="1" applyAlignment="1">
      <alignment/>
    </xf>
    <xf numFmtId="170" fontId="13" fillId="0" borderId="13" xfId="0" applyNumberFormat="1" applyFont="1" applyBorder="1" applyAlignment="1">
      <alignment/>
    </xf>
  </cellXfs>
  <cellStyles count="33">
    <cellStyle name="Normal" xfId="0"/>
    <cellStyle name="Comma" xfId="15"/>
    <cellStyle name="Comma [0]" xfId="16"/>
    <cellStyle name="Comma_RestateDebtInt1200case" xfId="17"/>
    <cellStyle name="Currency" xfId="18"/>
    <cellStyle name="Currency [0]" xfId="19"/>
    <cellStyle name="Normal_AR Exp Summ-Ele" xfId="20"/>
    <cellStyle name="Normal_B&amp;OElSum" xfId="21"/>
    <cellStyle name="Normal_Bld Gain Summ-Ele" xfId="22"/>
    <cellStyle name="Normal_Colstrip AFUDC Reall AS" xfId="23"/>
    <cellStyle name="Normal_Colstrip Common-AS" xfId="24"/>
    <cellStyle name="Normal_DADS Adj Summ-ele" xfId="25"/>
    <cellStyle name="Normal_Debt Int AS Elec" xfId="26"/>
    <cellStyle name="Normal_Debt Int AS Gas" xfId="27"/>
    <cellStyle name="Normal_DFIT-IdEle_SUM" xfId="28"/>
    <cellStyle name="Normal_DFIT-WaEle_SUM" xfId="29"/>
    <cellStyle name="Normal_Electric" xfId="30"/>
    <cellStyle name="Normal_FIT AS Elec" xfId="31"/>
    <cellStyle name="Normal_IDElec6_97" xfId="32"/>
    <cellStyle name="Normal_IDGas6_97" xfId="33"/>
    <cellStyle name="Normal_InjDamSum-Elec" xfId="34"/>
    <cellStyle name="Normal_KFSumm" xfId="35"/>
    <cellStyle name="Normal_PSSum-Elec" xfId="36"/>
    <cellStyle name="Normal_R&amp;PElSum" xfId="37"/>
    <cellStyle name="Normal_Reg Exp Summ-ele" xfId="38"/>
    <cellStyle name="Normal_RestateDebtInt1200case" xfId="39"/>
    <cellStyle name="Normal_Sub Space Summ-Ele" xfId="40"/>
    <cellStyle name="Normal_Unbilled Sum-El" xfId="41"/>
    <cellStyle name="Normal_UncollectSumm-Gas" xfId="42"/>
    <cellStyle name="Normal_WAElec6_97" xfId="43"/>
    <cellStyle name="Normal_WAGas6_97" xfId="44"/>
    <cellStyle name="Normal_WNP-3AS" xfId="45"/>
    <cellStyle name="Percent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70"/>
  <sheetViews>
    <sheetView showGridLines="0" tabSelected="1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D3" sqref="D3"/>
    </sheetView>
  </sheetViews>
  <sheetFormatPr defaultColWidth="9.140625" defaultRowHeight="12.75"/>
  <cols>
    <col min="1" max="1" width="4.7109375" style="3" customWidth="1"/>
    <col min="2" max="3" width="1.7109375" style="2" customWidth="1"/>
    <col min="4" max="4" width="33.7109375" style="2" customWidth="1"/>
    <col min="5" max="5" width="10.8515625" style="1011" customWidth="1"/>
    <col min="6" max="6" width="9.8515625" style="758" customWidth="1"/>
    <col min="7" max="7" width="11.57421875" style="758" customWidth="1"/>
    <col min="8" max="12" width="9.8515625" style="758" customWidth="1"/>
    <col min="13" max="13" width="10.00390625" style="4" customWidth="1"/>
    <col min="14" max="14" width="10.7109375" style="758" customWidth="1"/>
    <col min="15" max="15" width="10.140625" style="758" customWidth="1"/>
    <col min="16" max="16" width="9.421875" style="758" customWidth="1"/>
    <col min="17" max="17" width="9.28125" style="758" customWidth="1"/>
    <col min="18" max="18" width="10.140625" style="758" customWidth="1"/>
    <col min="19" max="19" width="9.57421875" style="758" customWidth="1"/>
    <col min="20" max="20" width="9.7109375" style="758" customWidth="1"/>
    <col min="21" max="21" width="13.140625" style="758" bestFit="1" customWidth="1"/>
    <col min="22" max="22" width="10.57421875" style="758" customWidth="1"/>
    <col min="23" max="23" width="10.00390625" style="758" customWidth="1"/>
    <col min="24" max="24" width="8.8515625" style="758" customWidth="1"/>
    <col min="25" max="25" width="11.140625" style="758" bestFit="1" customWidth="1"/>
    <col min="26" max="26" width="9.28125" style="758" customWidth="1"/>
    <col min="27" max="27" width="10.57421875" style="758" bestFit="1" customWidth="1"/>
    <col min="28" max="28" width="13.7109375" style="758" bestFit="1" customWidth="1"/>
    <col min="29" max="29" width="9.7109375" style="758" bestFit="1" customWidth="1"/>
    <col min="30" max="30" width="10.140625" style="758" bestFit="1" customWidth="1"/>
    <col min="31" max="31" width="10.7109375" style="758" bestFit="1" customWidth="1"/>
    <col min="32" max="32" width="9.7109375" style="758" bestFit="1" customWidth="1"/>
    <col min="33" max="33" width="6.8515625" style="758" bestFit="1" customWidth="1"/>
    <col min="34" max="34" width="11.7109375" style="984" hidden="1" customWidth="1"/>
    <col min="35" max="35" width="10.421875" style="4" bestFit="1" customWidth="1"/>
    <col min="36" max="36" width="11.7109375" style="758" customWidth="1"/>
    <col min="37" max="40" width="11.140625" style="758" customWidth="1"/>
    <col min="41" max="41" width="10.8515625" style="758" bestFit="1" customWidth="1"/>
    <col min="42" max="42" width="11.28125" style="758" bestFit="1" customWidth="1"/>
    <col min="43" max="43" width="12.7109375" style="758" bestFit="1" customWidth="1"/>
    <col min="44" max="44" width="10.7109375" style="758" customWidth="1"/>
    <col min="45" max="45" width="10.57421875" style="758" customWidth="1"/>
    <col min="46" max="46" width="10.8515625" style="758" customWidth="1"/>
    <col min="47" max="47" width="0.71875" style="4" hidden="1" customWidth="1"/>
    <col min="48" max="48" width="12.8515625" style="4" customWidth="1"/>
    <col min="49" max="49" width="11.7109375" style="256" customWidth="1"/>
    <col min="50" max="50" width="5.140625" style="2" customWidth="1"/>
    <col min="51" max="51" width="2.8515625" style="2" customWidth="1"/>
    <col min="52" max="52" width="33.00390625" style="2" customWidth="1"/>
    <col min="53" max="53" width="4.7109375" style="2" customWidth="1"/>
    <col min="54" max="54" width="11.8515625" style="2" customWidth="1"/>
    <col min="55" max="55" width="2.7109375" style="2" customWidth="1"/>
    <col min="56" max="56" width="11.00390625" style="2" customWidth="1"/>
    <col min="57" max="57" width="6.8515625" style="2" customWidth="1"/>
    <col min="58" max="59" width="9.7109375" style="2" customWidth="1"/>
    <col min="60" max="60" width="10.7109375" style="2" customWidth="1"/>
    <col min="61" max="61" width="6.8515625" style="2" customWidth="1"/>
    <col min="62" max="16384" width="10.7109375" style="2" customWidth="1"/>
  </cols>
  <sheetData>
    <row r="1" spans="1:30" ht="12">
      <c r="A1" s="1" t="s">
        <v>416</v>
      </c>
      <c r="D1" s="3"/>
      <c r="AC1" s="1008"/>
      <c r="AD1" s="1008"/>
    </row>
    <row r="2" spans="1:30" ht="12">
      <c r="A2" s="1" t="s">
        <v>418</v>
      </c>
      <c r="D2" s="3"/>
      <c r="N2" s="996"/>
      <c r="AC2" s="1003"/>
      <c r="AD2" s="1003"/>
    </row>
    <row r="3" spans="1:30" ht="12">
      <c r="A3" s="1" t="s">
        <v>417</v>
      </c>
      <c r="D3" s="3"/>
      <c r="AC3" s="1003"/>
      <c r="AD3" s="1003"/>
    </row>
    <row r="4" spans="1:49" ht="12">
      <c r="A4" s="1" t="str">
        <f>Inputs!D2</f>
        <v>TWELVE MONTHS ENDED DECEMBER 31, 2004</v>
      </c>
      <c r="D4" s="3"/>
      <c r="AA4" s="759"/>
      <c r="AC4" s="1003"/>
      <c r="AD4" s="1003"/>
      <c r="AG4" s="759"/>
      <c r="AH4" s="995"/>
      <c r="AU4" s="6"/>
      <c r="AW4" s="4"/>
    </row>
    <row r="5" spans="1:47" ht="12">
      <c r="A5" s="1" t="s">
        <v>419</v>
      </c>
      <c r="D5" s="3"/>
      <c r="AA5" s="759"/>
      <c r="AC5" s="953"/>
      <c r="AD5" s="953"/>
      <c r="AG5" s="759"/>
      <c r="AH5" s="995"/>
      <c r="AU5" s="6"/>
    </row>
    <row r="6" spans="1:49" s="8" customFormat="1" ht="12">
      <c r="A6" s="7"/>
      <c r="D6" s="7"/>
      <c r="E6" s="1012"/>
      <c r="F6" s="1004"/>
      <c r="G6" s="951"/>
      <c r="H6" s="951"/>
      <c r="I6" s="1004"/>
      <c r="J6" s="951"/>
      <c r="K6" s="951"/>
      <c r="L6" s="951"/>
      <c r="M6" s="9"/>
      <c r="N6" s="951"/>
      <c r="O6" s="951"/>
      <c r="P6" s="951"/>
      <c r="Q6" s="951"/>
      <c r="R6" s="951"/>
      <c r="S6" s="951"/>
      <c r="T6" s="951"/>
      <c r="U6" s="951"/>
      <c r="V6" s="1003"/>
      <c r="W6" s="773"/>
      <c r="X6" s="773"/>
      <c r="Y6" s="1003"/>
      <c r="Z6" s="951"/>
      <c r="AA6" s="1004"/>
      <c r="AB6" s="1003"/>
      <c r="AC6" s="1003"/>
      <c r="AD6" s="1003"/>
      <c r="AE6" s="773"/>
      <c r="AF6" s="773"/>
      <c r="AG6" s="1004"/>
      <c r="AH6" s="995"/>
      <c r="AI6" s="9"/>
      <c r="AJ6" s="951"/>
      <c r="AK6" s="773"/>
      <c r="AL6" s="773"/>
      <c r="AM6" s="773"/>
      <c r="AN6" s="773"/>
      <c r="AO6" s="773"/>
      <c r="AP6" s="773"/>
      <c r="AQ6" s="773"/>
      <c r="AR6" s="773"/>
      <c r="AS6" s="773"/>
      <c r="AT6" s="773"/>
      <c r="AU6" s="6"/>
      <c r="AV6" s="9"/>
      <c r="AW6" s="257"/>
    </row>
    <row r="7" spans="1:49" s="8" customFormat="1" ht="12" customHeight="1">
      <c r="A7" s="12"/>
      <c r="B7" s="13"/>
      <c r="C7" s="14"/>
      <c r="D7" s="15"/>
      <c r="E7" s="775" t="s">
        <v>2</v>
      </c>
      <c r="F7" s="760" t="s">
        <v>3</v>
      </c>
      <c r="G7" s="760" t="s">
        <v>253</v>
      </c>
      <c r="H7" s="760" t="s">
        <v>4</v>
      </c>
      <c r="I7" s="760" t="s">
        <v>5</v>
      </c>
      <c r="J7" s="760" t="s">
        <v>6</v>
      </c>
      <c r="K7" s="760"/>
      <c r="L7" s="760" t="s">
        <v>7</v>
      </c>
      <c r="M7" s="16"/>
      <c r="N7" s="760" t="s">
        <v>396</v>
      </c>
      <c r="O7" s="760" t="s">
        <v>8</v>
      </c>
      <c r="P7" s="760"/>
      <c r="Q7" s="760"/>
      <c r="R7" s="760"/>
      <c r="S7" s="760" t="s">
        <v>9</v>
      </c>
      <c r="T7" s="954"/>
      <c r="U7" s="954" t="s">
        <v>522</v>
      </c>
      <c r="V7" s="954" t="s">
        <v>260</v>
      </c>
      <c r="W7" s="1009" t="s">
        <v>410</v>
      </c>
      <c r="X7" s="954"/>
      <c r="Y7" s="954"/>
      <c r="Z7" s="760" t="s">
        <v>8</v>
      </c>
      <c r="AA7" s="954" t="s">
        <v>11</v>
      </c>
      <c r="AB7" s="1005" t="s">
        <v>10</v>
      </c>
      <c r="AC7" s="954"/>
      <c r="AD7" s="954" t="s">
        <v>493</v>
      </c>
      <c r="AE7" s="760"/>
      <c r="AF7" s="760" t="s">
        <v>497</v>
      </c>
      <c r="AG7" s="954" t="s">
        <v>10</v>
      </c>
      <c r="AH7" s="985"/>
      <c r="AI7" s="16"/>
      <c r="AJ7" s="954" t="s">
        <v>12</v>
      </c>
      <c r="AK7" s="760"/>
      <c r="AL7" s="760"/>
      <c r="AM7" s="760" t="s">
        <v>12</v>
      </c>
      <c r="AN7" s="760" t="s">
        <v>12</v>
      </c>
      <c r="AO7" s="760" t="s">
        <v>12</v>
      </c>
      <c r="AP7" s="760" t="s">
        <v>12</v>
      </c>
      <c r="AQ7" s="760" t="s">
        <v>482</v>
      </c>
      <c r="AR7" s="760" t="s">
        <v>499</v>
      </c>
      <c r="AS7" s="760" t="s">
        <v>12</v>
      </c>
      <c r="AT7" s="1021" t="s">
        <v>529</v>
      </c>
      <c r="AU7" s="16"/>
      <c r="AV7" s="16"/>
      <c r="AW7" s="258"/>
    </row>
    <row r="8" spans="1:49" s="8" customFormat="1" ht="12">
      <c r="A8" s="17" t="s">
        <v>13</v>
      </c>
      <c r="B8" s="18"/>
      <c r="C8" s="19"/>
      <c r="D8" s="20"/>
      <c r="E8" s="776" t="s">
        <v>14</v>
      </c>
      <c r="F8" s="761" t="s">
        <v>15</v>
      </c>
      <c r="G8" s="761" t="s">
        <v>16</v>
      </c>
      <c r="H8" s="761" t="s">
        <v>17</v>
      </c>
      <c r="I8" s="761" t="s">
        <v>18</v>
      </c>
      <c r="J8" s="761" t="s">
        <v>19</v>
      </c>
      <c r="K8" s="761" t="s">
        <v>20</v>
      </c>
      <c r="L8" s="761" t="s">
        <v>21</v>
      </c>
      <c r="M8" s="21" t="s">
        <v>22</v>
      </c>
      <c r="N8" s="761" t="s">
        <v>287</v>
      </c>
      <c r="O8" s="761" t="s">
        <v>24</v>
      </c>
      <c r="P8" s="761" t="s">
        <v>25</v>
      </c>
      <c r="Q8" s="761" t="s">
        <v>26</v>
      </c>
      <c r="R8" s="761" t="s">
        <v>27</v>
      </c>
      <c r="S8" s="761" t="s">
        <v>28</v>
      </c>
      <c r="T8" s="955"/>
      <c r="U8" s="955" t="s">
        <v>523</v>
      </c>
      <c r="V8" s="955" t="s">
        <v>7</v>
      </c>
      <c r="W8" s="761" t="s">
        <v>411</v>
      </c>
      <c r="X8" s="761" t="s">
        <v>278</v>
      </c>
      <c r="Y8" s="955" t="s">
        <v>262</v>
      </c>
      <c r="Z8" s="761" t="s">
        <v>30</v>
      </c>
      <c r="AA8" s="955" t="s">
        <v>31</v>
      </c>
      <c r="AB8" s="1006" t="s">
        <v>256</v>
      </c>
      <c r="AC8" s="955" t="s">
        <v>463</v>
      </c>
      <c r="AD8" s="955" t="s">
        <v>494</v>
      </c>
      <c r="AE8" s="761" t="s">
        <v>94</v>
      </c>
      <c r="AF8" s="761" t="s">
        <v>531</v>
      </c>
      <c r="AG8" s="955" t="s">
        <v>29</v>
      </c>
      <c r="AH8" s="986"/>
      <c r="AI8" s="21" t="s">
        <v>32</v>
      </c>
      <c r="AJ8" s="955" t="s">
        <v>23</v>
      </c>
      <c r="AK8" s="761" t="s">
        <v>12</v>
      </c>
      <c r="AL8" s="761" t="s">
        <v>12</v>
      </c>
      <c r="AM8" s="761" t="s">
        <v>464</v>
      </c>
      <c r="AN8" s="761" t="s">
        <v>464</v>
      </c>
      <c r="AO8" s="761" t="s">
        <v>467</v>
      </c>
      <c r="AP8" s="761" t="s">
        <v>113</v>
      </c>
      <c r="AQ8" s="761" t="s">
        <v>483</v>
      </c>
      <c r="AR8" s="761" t="s">
        <v>284</v>
      </c>
      <c r="AS8" s="761" t="s">
        <v>112</v>
      </c>
      <c r="AT8" s="1022" t="s">
        <v>534</v>
      </c>
      <c r="AU8" s="21"/>
      <c r="AV8" s="21" t="s">
        <v>12</v>
      </c>
      <c r="AW8" s="259"/>
    </row>
    <row r="9" spans="1:49" s="8" customFormat="1" ht="12">
      <c r="A9" s="22" t="s">
        <v>33</v>
      </c>
      <c r="B9" s="23"/>
      <c r="C9" s="24"/>
      <c r="D9" s="25" t="s">
        <v>34</v>
      </c>
      <c r="E9" s="777" t="s">
        <v>35</v>
      </c>
      <c r="F9" s="762" t="s">
        <v>36</v>
      </c>
      <c r="G9" s="762" t="s">
        <v>37</v>
      </c>
      <c r="H9" s="762" t="s">
        <v>38</v>
      </c>
      <c r="I9" s="762" t="s">
        <v>17</v>
      </c>
      <c r="J9" s="762" t="s">
        <v>39</v>
      </c>
      <c r="K9" s="762" t="s">
        <v>40</v>
      </c>
      <c r="L9" s="762" t="s">
        <v>23</v>
      </c>
      <c r="M9" s="26" t="s">
        <v>41</v>
      </c>
      <c r="N9" s="997" t="s">
        <v>403</v>
      </c>
      <c r="O9" s="762" t="s">
        <v>44</v>
      </c>
      <c r="P9" s="762" t="s">
        <v>45</v>
      </c>
      <c r="Q9" s="762" t="s">
        <v>46</v>
      </c>
      <c r="R9" s="762" t="s">
        <v>46</v>
      </c>
      <c r="S9" s="762" t="s">
        <v>47</v>
      </c>
      <c r="T9" s="956" t="s">
        <v>48</v>
      </c>
      <c r="U9" s="956" t="s">
        <v>524</v>
      </c>
      <c r="V9" s="956" t="s">
        <v>42</v>
      </c>
      <c r="W9" s="762" t="s">
        <v>42</v>
      </c>
      <c r="X9" s="762" t="s">
        <v>279</v>
      </c>
      <c r="Y9" s="956" t="s">
        <v>264</v>
      </c>
      <c r="Z9" s="762" t="s">
        <v>51</v>
      </c>
      <c r="AA9" s="956" t="s">
        <v>288</v>
      </c>
      <c r="AB9" s="1007" t="s">
        <v>44</v>
      </c>
      <c r="AC9" s="956" t="s">
        <v>42</v>
      </c>
      <c r="AD9" s="956" t="s">
        <v>42</v>
      </c>
      <c r="AE9" s="762" t="s">
        <v>42</v>
      </c>
      <c r="AF9" s="762" t="s">
        <v>42</v>
      </c>
      <c r="AG9" s="956" t="s">
        <v>49</v>
      </c>
      <c r="AH9" s="987"/>
      <c r="AI9" s="26" t="s">
        <v>52</v>
      </c>
      <c r="AJ9" s="956" t="s">
        <v>43</v>
      </c>
      <c r="AK9" s="762" t="s">
        <v>408</v>
      </c>
      <c r="AL9" s="762" t="s">
        <v>407</v>
      </c>
      <c r="AM9" s="762" t="s">
        <v>465</v>
      </c>
      <c r="AN9" s="762" t="s">
        <v>466</v>
      </c>
      <c r="AO9" s="762" t="s">
        <v>468</v>
      </c>
      <c r="AP9" s="762" t="s">
        <v>469</v>
      </c>
      <c r="AQ9" s="762" t="s">
        <v>396</v>
      </c>
      <c r="AR9" s="762" t="s">
        <v>285</v>
      </c>
      <c r="AS9" s="762" t="s">
        <v>537</v>
      </c>
      <c r="AT9" s="1023" t="s">
        <v>42</v>
      </c>
      <c r="AU9" s="26" t="s">
        <v>53</v>
      </c>
      <c r="AV9" s="26" t="s">
        <v>52</v>
      </c>
      <c r="AW9" s="260"/>
    </row>
    <row r="10" spans="1:49" s="254" customFormat="1" ht="12">
      <c r="A10" s="253"/>
      <c r="D10" s="254" t="s">
        <v>54</v>
      </c>
      <c r="E10" s="1013" t="s">
        <v>55</v>
      </c>
      <c r="F10" s="759" t="s">
        <v>56</v>
      </c>
      <c r="G10" s="759" t="s">
        <v>57</v>
      </c>
      <c r="H10" s="759" t="s">
        <v>58</v>
      </c>
      <c r="I10" s="759" t="s">
        <v>59</v>
      </c>
      <c r="J10" s="759" t="s">
        <v>60</v>
      </c>
      <c r="K10" s="759" t="s">
        <v>61</v>
      </c>
      <c r="L10" s="759" t="s">
        <v>62</v>
      </c>
      <c r="M10" s="31" t="s">
        <v>65</v>
      </c>
      <c r="N10" s="759" t="s">
        <v>63</v>
      </c>
      <c r="O10" s="759" t="s">
        <v>64</v>
      </c>
      <c r="P10" s="759" t="s">
        <v>66</v>
      </c>
      <c r="Q10" s="759" t="s">
        <v>290</v>
      </c>
      <c r="R10" s="759" t="s">
        <v>291</v>
      </c>
      <c r="S10" s="759" t="s">
        <v>67</v>
      </c>
      <c r="T10" s="953" t="s">
        <v>68</v>
      </c>
      <c r="U10" s="953" t="s">
        <v>69</v>
      </c>
      <c r="V10" s="759" t="s">
        <v>70</v>
      </c>
      <c r="W10" s="759" t="s">
        <v>71</v>
      </c>
      <c r="X10" s="759" t="s">
        <v>72</v>
      </c>
      <c r="Y10" s="759" t="s">
        <v>73</v>
      </c>
      <c r="Z10" s="759" t="s">
        <v>292</v>
      </c>
      <c r="AA10" s="759" t="s">
        <v>74</v>
      </c>
      <c r="AB10" s="759" t="s">
        <v>75</v>
      </c>
      <c r="AC10" s="759" t="s">
        <v>76</v>
      </c>
      <c r="AD10" s="759" t="s">
        <v>77</v>
      </c>
      <c r="AE10" s="759" t="s">
        <v>259</v>
      </c>
      <c r="AF10" s="759" t="s">
        <v>395</v>
      </c>
      <c r="AG10" s="953" t="s">
        <v>402</v>
      </c>
      <c r="AH10" s="29"/>
      <c r="AI10" s="31" t="s">
        <v>405</v>
      </c>
      <c r="AJ10" s="953" t="s">
        <v>78</v>
      </c>
      <c r="AK10" s="759" t="s">
        <v>79</v>
      </c>
      <c r="AL10" s="759" t="s">
        <v>414</v>
      </c>
      <c r="AM10" s="759" t="s">
        <v>470</v>
      </c>
      <c r="AN10" s="759" t="s">
        <v>471</v>
      </c>
      <c r="AO10" s="759" t="s">
        <v>472</v>
      </c>
      <c r="AP10" s="759" t="s">
        <v>473</v>
      </c>
      <c r="AQ10" s="759" t="s">
        <v>474</v>
      </c>
      <c r="AR10" s="759" t="s">
        <v>484</v>
      </c>
      <c r="AS10" s="759" t="s">
        <v>535</v>
      </c>
      <c r="AT10" s="759" t="s">
        <v>518</v>
      </c>
      <c r="AU10" s="31" t="s">
        <v>283</v>
      </c>
      <c r="AV10" s="31" t="s">
        <v>65</v>
      </c>
      <c r="AW10" s="261"/>
    </row>
    <row r="11" spans="20:49" ht="12">
      <c r="T11" s="957"/>
      <c r="AG11" s="957"/>
      <c r="AJ11" s="957"/>
      <c r="AW11" s="262"/>
    </row>
    <row r="12" spans="2:49" ht="12">
      <c r="B12" s="2" t="s">
        <v>420</v>
      </c>
      <c r="T12" s="957"/>
      <c r="AG12" s="957"/>
      <c r="AJ12" s="957"/>
      <c r="AW12" s="262"/>
    </row>
    <row r="13" spans="1:54" s="33" customFormat="1" ht="12.75">
      <c r="A13" s="32">
        <v>1</v>
      </c>
      <c r="B13" s="33" t="s">
        <v>421</v>
      </c>
      <c r="E13" s="1014">
        <f>ResultSumEl!F8</f>
        <v>323681</v>
      </c>
      <c r="F13" s="952">
        <f>DFITWaEl!$F8</f>
        <v>0</v>
      </c>
      <c r="G13" s="952">
        <f>BldGain!$F8</f>
        <v>0</v>
      </c>
      <c r="H13" s="952">
        <f>ColstripAFUDC!$F8</f>
        <v>0</v>
      </c>
      <c r="I13" s="952">
        <f>ColstripCommon!$F8</f>
        <v>0</v>
      </c>
      <c r="J13" s="952">
        <f>KFSumm!$F8</f>
        <v>0</v>
      </c>
      <c r="K13" s="952">
        <f>CustAdv!$F8</f>
        <v>0</v>
      </c>
      <c r="L13" s="952">
        <f>SettleEx!$F8</f>
        <v>0</v>
      </c>
      <c r="M13" s="75">
        <f>SUM(E13:L13)</f>
        <v>323681</v>
      </c>
      <c r="N13" s="952">
        <f>HydroRel!$F8</f>
        <v>0</v>
      </c>
      <c r="O13" s="952">
        <f>BandO!$F8</f>
        <v>-10778</v>
      </c>
      <c r="P13" s="952">
        <f>PropTax!$F8</f>
        <v>0</v>
      </c>
      <c r="Q13" s="952">
        <f>UncollExp!$F8</f>
        <v>0</v>
      </c>
      <c r="R13" s="952">
        <f>RegExp!$F8</f>
        <v>0</v>
      </c>
      <c r="S13" s="952">
        <f>InjDam!$F8</f>
        <v>0</v>
      </c>
      <c r="T13" s="952">
        <f>FIT!$F8</f>
        <v>0</v>
      </c>
      <c r="U13" s="952">
        <f>ElimPowerCost!$F8</f>
        <v>-27408</v>
      </c>
      <c r="V13" s="952">
        <f>NezPerce!$F8</f>
        <v>0</v>
      </c>
      <c r="W13" s="952">
        <f>PayClear!$F8</f>
        <v>0</v>
      </c>
      <c r="X13" s="952">
        <f>'CS2'!$F8</f>
        <v>0</v>
      </c>
      <c r="Y13" s="952">
        <f>WAPGE!$F8</f>
        <v>0</v>
      </c>
      <c r="Z13" s="952">
        <f>ElimAR!$F8</f>
        <v>0</v>
      </c>
      <c r="AA13" s="952">
        <f>SubSpace!$F8</f>
        <v>0</v>
      </c>
      <c r="AB13" s="952">
        <f>XFranchTax!$F8</f>
        <v>0</v>
      </c>
      <c r="AC13" s="952">
        <f>WARevAdj!$F8</f>
        <v>-389</v>
      </c>
      <c r="AD13" s="952">
        <f>MiscTariffs!$F8</f>
        <v>293</v>
      </c>
      <c r="AE13" s="952">
        <f>Depr!$F8</f>
        <v>0</v>
      </c>
      <c r="AF13" s="952">
        <f>Incent!$F8</f>
        <v>0</v>
      </c>
      <c r="AG13" s="952">
        <f>DebtInt!$F8</f>
        <v>0</v>
      </c>
      <c r="AH13" s="988"/>
      <c r="AI13" s="75">
        <f>SUM(M13:AH13)</f>
        <v>285399</v>
      </c>
      <c r="AJ13" s="952">
        <f>PFPSWA!$F8</f>
        <v>0</v>
      </c>
      <c r="AK13" s="952">
        <f>PFPension!$F8</f>
        <v>0</v>
      </c>
      <c r="AL13" s="952">
        <f>PFIns!$F8</f>
        <v>0</v>
      </c>
      <c r="AM13" s="952">
        <f>PFLabor!$F8</f>
        <v>0</v>
      </c>
      <c r="AN13" s="952">
        <f>PFExec!$F8</f>
        <v>0</v>
      </c>
      <c r="AO13" s="952">
        <f>PFVeg!$F8</f>
        <v>0</v>
      </c>
      <c r="AP13" s="952">
        <f>PFTransm!$F8</f>
        <v>0</v>
      </c>
      <c r="AQ13" s="952">
        <f>PFSkook!$F8</f>
        <v>0</v>
      </c>
      <c r="AR13" s="952">
        <f>PFCanSmGen!$F8</f>
        <v>0</v>
      </c>
      <c r="AS13" s="952">
        <f>ProdTaxCr!$F8</f>
        <v>0</v>
      </c>
      <c r="AT13" s="952">
        <f>PFAlloc!$F8</f>
        <v>0</v>
      </c>
      <c r="AU13" s="75"/>
      <c r="AV13" s="75">
        <f aca="true" t="shared" si="0" ref="AV13:AV18">SUM(AI13:AU13)</f>
        <v>285399</v>
      </c>
      <c r="AW13" s="263"/>
      <c r="AX13" s="778"/>
      <c r="AY13" s="778"/>
      <c r="AZ13" s="778"/>
      <c r="BA13" s="778"/>
      <c r="BB13" s="778"/>
    </row>
    <row r="14" spans="1:49" s="34" customFormat="1" ht="12">
      <c r="A14" s="32">
        <v>2</v>
      </c>
      <c r="B14" s="34" t="s">
        <v>422</v>
      </c>
      <c r="E14" s="1015">
        <f>ResultSumEl!F9</f>
        <v>752</v>
      </c>
      <c r="F14" s="763">
        <f>DFITWaEl!$F9</f>
        <v>0</v>
      </c>
      <c r="G14" s="763">
        <f>BldGain!$F9</f>
        <v>0</v>
      </c>
      <c r="H14" s="763">
        <f>ColstripAFUDC!$F9</f>
        <v>0</v>
      </c>
      <c r="I14" s="763">
        <f>ColstripCommon!$F9</f>
        <v>0</v>
      </c>
      <c r="J14" s="763">
        <f>KFSumm!$F9</f>
        <v>0</v>
      </c>
      <c r="K14" s="763">
        <f>CustAdv!$F9</f>
        <v>0</v>
      </c>
      <c r="L14" s="763">
        <f>SettleEx!$F9</f>
        <v>0</v>
      </c>
      <c r="M14" s="71">
        <f>SUM(E14:L14)</f>
        <v>752</v>
      </c>
      <c r="N14" s="763">
        <f>HydroRel!$F9</f>
        <v>0</v>
      </c>
      <c r="O14" s="763">
        <f>BandO!$F9</f>
        <v>0</v>
      </c>
      <c r="P14" s="763">
        <f>PropTax!$F9</f>
        <v>0</v>
      </c>
      <c r="Q14" s="763">
        <f>UncollExp!$F9</f>
        <v>0</v>
      </c>
      <c r="R14" s="763">
        <f>RegExp!$F9</f>
        <v>0</v>
      </c>
      <c r="S14" s="763">
        <f>InjDam!$F9</f>
        <v>0</v>
      </c>
      <c r="T14" s="763">
        <f>FIT!$F9</f>
        <v>0</v>
      </c>
      <c r="U14" s="763">
        <f>ElimPowerCost!$F9</f>
        <v>0</v>
      </c>
      <c r="V14" s="763">
        <f>NezPerce!$F9</f>
        <v>0</v>
      </c>
      <c r="W14" s="763">
        <f>PayClear!$F9</f>
        <v>0</v>
      </c>
      <c r="X14" s="763">
        <f>'CS2'!$F9</f>
        <v>0</v>
      </c>
      <c r="Y14" s="763">
        <f>WAPGE!$F9</f>
        <v>0</v>
      </c>
      <c r="Z14" s="763">
        <f>ElimAR!$F9</f>
        <v>0</v>
      </c>
      <c r="AA14" s="763">
        <f>SubSpace!$F9</f>
        <v>0</v>
      </c>
      <c r="AB14" s="763">
        <f>XFranchTax!$F9</f>
        <v>0</v>
      </c>
      <c r="AC14" s="763">
        <f>WARevAdj!$F9</f>
        <v>0</v>
      </c>
      <c r="AD14" s="763">
        <f>MiscTariffs!$F9</f>
        <v>0</v>
      </c>
      <c r="AE14" s="763">
        <f>Depr!$F9</f>
        <v>0</v>
      </c>
      <c r="AF14" s="763">
        <f>Incent!$F9</f>
        <v>0</v>
      </c>
      <c r="AG14" s="763">
        <f>DebtInt!$F9</f>
        <v>0</v>
      </c>
      <c r="AH14" s="989"/>
      <c r="AI14" s="71">
        <f>SUM(M14:AH14)</f>
        <v>752</v>
      </c>
      <c r="AJ14" s="763">
        <f>PFPSWA!$F9</f>
        <v>0</v>
      </c>
      <c r="AK14" s="763">
        <f>PFPension!$F9</f>
        <v>0</v>
      </c>
      <c r="AL14" s="763">
        <f>PFIns!$F9</f>
        <v>0</v>
      </c>
      <c r="AM14" s="763">
        <f>PFLabor!$F9</f>
        <v>0</v>
      </c>
      <c r="AN14" s="763">
        <f>PFExec!$F9</f>
        <v>0</v>
      </c>
      <c r="AO14" s="763">
        <f>PFVeg!$F9</f>
        <v>0</v>
      </c>
      <c r="AP14" s="763">
        <f>PFTransm!$F9</f>
        <v>0</v>
      </c>
      <c r="AQ14" s="763">
        <f>PFSkook!$F9</f>
        <v>0</v>
      </c>
      <c r="AR14" s="763">
        <f>PFCanSmGen!$F9</f>
        <v>0</v>
      </c>
      <c r="AS14" s="763">
        <f>ProdTaxCr!$F9</f>
        <v>0</v>
      </c>
      <c r="AT14" s="763">
        <f>PFAlloc!$F9</f>
        <v>0</v>
      </c>
      <c r="AU14" s="71"/>
      <c r="AV14" s="71">
        <f t="shared" si="0"/>
        <v>752</v>
      </c>
      <c r="AW14" s="264"/>
    </row>
    <row r="15" spans="1:49" s="34" customFormat="1" ht="12">
      <c r="A15" s="32">
        <v>3</v>
      </c>
      <c r="B15" s="34" t="s">
        <v>423</v>
      </c>
      <c r="E15" s="1016">
        <f>ResultSumEl!F10</f>
        <v>58640</v>
      </c>
      <c r="F15" s="764">
        <f>DFITWaEl!$F10</f>
        <v>0</v>
      </c>
      <c r="G15" s="764">
        <f>BldGain!$F10</f>
        <v>0</v>
      </c>
      <c r="H15" s="764">
        <f>ColstripAFUDC!$F10</f>
        <v>0</v>
      </c>
      <c r="I15" s="764">
        <f>ColstripCommon!$F10</f>
        <v>0</v>
      </c>
      <c r="J15" s="764">
        <f>KFSumm!$F10</f>
        <v>0</v>
      </c>
      <c r="K15" s="764">
        <f>CustAdv!$F10</f>
        <v>0</v>
      </c>
      <c r="L15" s="764">
        <f>SettleEx!$F10</f>
        <v>0</v>
      </c>
      <c r="M15" s="72">
        <f>SUM(E15:L15)</f>
        <v>58640</v>
      </c>
      <c r="N15" s="764">
        <f>HydroRel!$F10</f>
        <v>0</v>
      </c>
      <c r="O15" s="764">
        <f>BandO!$F10</f>
        <v>0</v>
      </c>
      <c r="P15" s="764">
        <f>PropTax!$F10</f>
        <v>0</v>
      </c>
      <c r="Q15" s="764">
        <f>UncollExp!$F10</f>
        <v>0</v>
      </c>
      <c r="R15" s="764">
        <f>RegExp!$F10</f>
        <v>0</v>
      </c>
      <c r="S15" s="764">
        <f>InjDam!$F10</f>
        <v>0</v>
      </c>
      <c r="T15" s="764">
        <f>FIT!$F10</f>
        <v>0</v>
      </c>
      <c r="U15" s="764">
        <f>ElimPowerCost!$F10</f>
        <v>0</v>
      </c>
      <c r="V15" s="764">
        <f>NezPerce!$F10</f>
        <v>0</v>
      </c>
      <c r="W15" s="764">
        <f>PayClear!$F10</f>
        <v>0</v>
      </c>
      <c r="X15" s="764">
        <f>'CS2'!$F10</f>
        <v>0</v>
      </c>
      <c r="Y15" s="764">
        <f>WAPGE!$F10</f>
        <v>0</v>
      </c>
      <c r="Z15" s="764">
        <f>ElimAR!$F10</f>
        <v>0</v>
      </c>
      <c r="AA15" s="764">
        <f>SubSpace!$F10</f>
        <v>0</v>
      </c>
      <c r="AB15" s="764">
        <f>XFranchTax!$F10</f>
        <v>0</v>
      </c>
      <c r="AC15" s="764">
        <f>WARevAdj!$F10</f>
        <v>0</v>
      </c>
      <c r="AD15" s="764">
        <f>MiscTariffs!$F10</f>
        <v>0</v>
      </c>
      <c r="AE15" s="764">
        <f>Depr!$F10</f>
        <v>0</v>
      </c>
      <c r="AF15" s="764">
        <f>Incent!$F10</f>
        <v>0</v>
      </c>
      <c r="AG15" s="764">
        <f>DebtInt!$F10</f>
        <v>0</v>
      </c>
      <c r="AH15" s="990"/>
      <c r="AI15" s="72">
        <f>SUM(M15:AH15)</f>
        <v>58640</v>
      </c>
      <c r="AJ15" s="764">
        <f>PFPSWA!$F10</f>
        <v>-18180</v>
      </c>
      <c r="AK15" s="764">
        <f>PFPension!$F10</f>
        <v>0</v>
      </c>
      <c r="AL15" s="764">
        <f>PFIns!$F10</f>
        <v>0</v>
      </c>
      <c r="AM15" s="764">
        <f>PFLabor!$F10</f>
        <v>0</v>
      </c>
      <c r="AN15" s="764">
        <f>PFExec!$F10</f>
        <v>0</v>
      </c>
      <c r="AO15" s="764">
        <f>PFVeg!$F10</f>
        <v>0</v>
      </c>
      <c r="AP15" s="764">
        <f>PFTransm!$F10</f>
        <v>0</v>
      </c>
      <c r="AQ15" s="764">
        <f>PFSkook!$F10</f>
        <v>0</v>
      </c>
      <c r="AR15" s="764">
        <f>PFCanSmGen!$F10</f>
        <v>0</v>
      </c>
      <c r="AS15" s="764">
        <f>ProdTaxCr!$F10</f>
        <v>0</v>
      </c>
      <c r="AT15" s="764">
        <f>PFAlloc!$F10</f>
        <v>0</v>
      </c>
      <c r="AU15" s="72"/>
      <c r="AV15" s="72">
        <f t="shared" si="0"/>
        <v>40460</v>
      </c>
      <c r="AW15" s="265"/>
    </row>
    <row r="16" spans="1:49" s="34" customFormat="1" ht="12">
      <c r="A16" s="32">
        <v>4</v>
      </c>
      <c r="C16" s="34" t="s">
        <v>424</v>
      </c>
      <c r="E16" s="1017">
        <f aca="true" t="shared" si="1" ref="E16:L16">SUM(E13:E15)</f>
        <v>383073</v>
      </c>
      <c r="F16" s="765">
        <f t="shared" si="1"/>
        <v>0</v>
      </c>
      <c r="G16" s="765">
        <f t="shared" si="1"/>
        <v>0</v>
      </c>
      <c r="H16" s="765">
        <f t="shared" si="1"/>
        <v>0</v>
      </c>
      <c r="I16" s="765">
        <f t="shared" si="1"/>
        <v>0</v>
      </c>
      <c r="J16" s="765">
        <f t="shared" si="1"/>
        <v>0</v>
      </c>
      <c r="K16" s="765">
        <f t="shared" si="1"/>
        <v>0</v>
      </c>
      <c r="L16" s="765">
        <f t="shared" si="1"/>
        <v>0</v>
      </c>
      <c r="M16" s="34">
        <f aca="true" t="shared" si="2" ref="M16:T16">SUM(M13:M15)</f>
        <v>383073</v>
      </c>
      <c r="N16" s="765">
        <f t="shared" si="2"/>
        <v>0</v>
      </c>
      <c r="O16" s="765">
        <f t="shared" si="2"/>
        <v>-10778</v>
      </c>
      <c r="P16" s="765">
        <f t="shared" si="2"/>
        <v>0</v>
      </c>
      <c r="Q16" s="765">
        <f t="shared" si="2"/>
        <v>0</v>
      </c>
      <c r="R16" s="765">
        <f t="shared" si="2"/>
        <v>0</v>
      </c>
      <c r="S16" s="765">
        <f t="shared" si="2"/>
        <v>0</v>
      </c>
      <c r="T16" s="765">
        <f t="shared" si="2"/>
        <v>0</v>
      </c>
      <c r="U16" s="765">
        <f aca="true" t="shared" si="3" ref="U16:AD16">SUM(U13:U15)</f>
        <v>-27408</v>
      </c>
      <c r="V16" s="765">
        <f t="shared" si="3"/>
        <v>0</v>
      </c>
      <c r="W16" s="765">
        <f t="shared" si="3"/>
        <v>0</v>
      </c>
      <c r="X16" s="765">
        <f t="shared" si="3"/>
        <v>0</v>
      </c>
      <c r="Y16" s="765">
        <f>SUM(Y13:Y15)</f>
        <v>0</v>
      </c>
      <c r="Z16" s="765">
        <f>SUM(Z13:Z15)</f>
        <v>0</v>
      </c>
      <c r="AA16" s="765">
        <f>SUM(AA13:AA15)</f>
        <v>0</v>
      </c>
      <c r="AB16" s="765">
        <f>SUM(AB13:AB15)</f>
        <v>0</v>
      </c>
      <c r="AC16" s="765">
        <f t="shared" si="3"/>
        <v>-389</v>
      </c>
      <c r="AD16" s="765">
        <f t="shared" si="3"/>
        <v>293</v>
      </c>
      <c r="AE16" s="765">
        <f>SUM(AE13:AE15)</f>
        <v>0</v>
      </c>
      <c r="AF16" s="765">
        <f>SUM(AF13:AF15)</f>
        <v>0</v>
      </c>
      <c r="AG16" s="765">
        <f>SUM(AG13:AG15)</f>
        <v>0</v>
      </c>
      <c r="AH16" s="991"/>
      <c r="AI16" s="34">
        <f aca="true" t="shared" si="4" ref="AI16:AT16">SUM(AI13:AI15)</f>
        <v>344791</v>
      </c>
      <c r="AJ16" s="765">
        <f t="shared" si="4"/>
        <v>-18180</v>
      </c>
      <c r="AK16" s="765">
        <f t="shared" si="4"/>
        <v>0</v>
      </c>
      <c r="AL16" s="765">
        <f t="shared" si="4"/>
        <v>0</v>
      </c>
      <c r="AM16" s="765">
        <f t="shared" si="4"/>
        <v>0</v>
      </c>
      <c r="AN16" s="765">
        <f t="shared" si="4"/>
        <v>0</v>
      </c>
      <c r="AO16" s="765">
        <f t="shared" si="4"/>
        <v>0</v>
      </c>
      <c r="AP16" s="765">
        <f t="shared" si="4"/>
        <v>0</v>
      </c>
      <c r="AQ16" s="765">
        <f t="shared" si="4"/>
        <v>0</v>
      </c>
      <c r="AR16" s="765">
        <f t="shared" si="4"/>
        <v>0</v>
      </c>
      <c r="AS16" s="765">
        <f t="shared" si="4"/>
        <v>0</v>
      </c>
      <c r="AT16" s="765">
        <f t="shared" si="4"/>
        <v>0</v>
      </c>
      <c r="AV16" s="34">
        <f t="shared" si="0"/>
        <v>326611</v>
      </c>
      <c r="AW16" s="266"/>
    </row>
    <row r="17" spans="1:49" s="34" customFormat="1" ht="12">
      <c r="A17" s="32">
        <v>5</v>
      </c>
      <c r="B17" s="34" t="s">
        <v>425</v>
      </c>
      <c r="E17" s="1016">
        <f>ResultSumEl!F12</f>
        <v>53644</v>
      </c>
      <c r="F17" s="764">
        <f>DFITWaEl!$F12</f>
        <v>0</v>
      </c>
      <c r="G17" s="764">
        <f>BldGain!$F12</f>
        <v>0</v>
      </c>
      <c r="H17" s="764">
        <f>ColstripAFUDC!$F12</f>
        <v>0</v>
      </c>
      <c r="I17" s="764">
        <f>ColstripCommon!$F12</f>
        <v>0</v>
      </c>
      <c r="J17" s="764">
        <f>KFSumm!$F12</f>
        <v>0</v>
      </c>
      <c r="K17" s="764">
        <f>CustAdv!$F12</f>
        <v>0</v>
      </c>
      <c r="L17" s="764">
        <f>SettleEx!$F12</f>
        <v>0</v>
      </c>
      <c r="M17" s="72">
        <f>SUM(E17:L17)</f>
        <v>53644</v>
      </c>
      <c r="N17" s="764">
        <f>HydroRel!$F12</f>
        <v>0</v>
      </c>
      <c r="O17" s="764">
        <f>BandO!$F12</f>
        <v>-14</v>
      </c>
      <c r="P17" s="764">
        <f>PropTax!$F12</f>
        <v>0</v>
      </c>
      <c r="Q17" s="764">
        <f>UncollExp!$F12</f>
        <v>0</v>
      </c>
      <c r="R17" s="764">
        <f>RegExp!$F12</f>
        <v>0</v>
      </c>
      <c r="S17" s="764">
        <f>InjDam!$F12</f>
        <v>0</v>
      </c>
      <c r="T17" s="764">
        <f>FIT!$F12</f>
        <v>0</v>
      </c>
      <c r="U17" s="764">
        <f>ElimPowerCost!$F12</f>
        <v>0</v>
      </c>
      <c r="V17" s="764">
        <f>NezPerce!$F12</f>
        <v>0</v>
      </c>
      <c r="W17" s="764">
        <f>PayClear!$F12</f>
        <v>0</v>
      </c>
      <c r="X17" s="764">
        <f>'CS2'!$F12</f>
        <v>0</v>
      </c>
      <c r="Y17" s="764">
        <f>WAPGE!$F12</f>
        <v>0</v>
      </c>
      <c r="Z17" s="764">
        <f>ElimAR!$F12</f>
        <v>0</v>
      </c>
      <c r="AA17" s="764">
        <f>SubSpace!$F12</f>
        <v>0</v>
      </c>
      <c r="AB17" s="764">
        <f>XFranchTax!$F12</f>
        <v>0</v>
      </c>
      <c r="AC17" s="764">
        <f>WARevAdj!$F12</f>
        <v>203</v>
      </c>
      <c r="AD17" s="764">
        <f>MiscTariffs!$F12</f>
        <v>0</v>
      </c>
      <c r="AE17" s="764">
        <f>Depr!$F12</f>
        <v>0</v>
      </c>
      <c r="AF17" s="764">
        <f>Incent!$F12</f>
        <v>0</v>
      </c>
      <c r="AG17" s="764">
        <f>DebtInt!$F12</f>
        <v>0</v>
      </c>
      <c r="AH17" s="990"/>
      <c r="AI17" s="72">
        <f>SUM(M17:AH17)</f>
        <v>53833</v>
      </c>
      <c r="AJ17" s="764">
        <f>PFPSWA!$F12</f>
        <v>-45246</v>
      </c>
      <c r="AK17" s="764">
        <f>PFPension!$F12</f>
        <v>0</v>
      </c>
      <c r="AL17" s="764">
        <f>PFIns!$F12</f>
        <v>0</v>
      </c>
      <c r="AM17" s="764">
        <f>PFLabor!$F12</f>
        <v>0</v>
      </c>
      <c r="AN17" s="764">
        <f>PFExec!$F12</f>
        <v>0</v>
      </c>
      <c r="AO17" s="764">
        <f>PFVeg!$F12</f>
        <v>0</v>
      </c>
      <c r="AP17" s="764">
        <f>PFTransm!$F12</f>
        <v>0</v>
      </c>
      <c r="AQ17" s="764">
        <f>PFSkook!$F12</f>
        <v>0</v>
      </c>
      <c r="AR17" s="764">
        <f>PFCanSmGen!$F12</f>
        <v>0</v>
      </c>
      <c r="AS17" s="764">
        <f>ProdTaxCr!$F12</f>
        <v>0</v>
      </c>
      <c r="AT17" s="764">
        <f>PFAlloc!$F12</f>
        <v>0</v>
      </c>
      <c r="AU17" s="72"/>
      <c r="AV17" s="72">
        <f t="shared" si="0"/>
        <v>8587</v>
      </c>
      <c r="AW17" s="265"/>
    </row>
    <row r="18" spans="1:49" s="34" customFormat="1" ht="12">
      <c r="A18" s="32">
        <v>6</v>
      </c>
      <c r="C18" s="34" t="s">
        <v>426</v>
      </c>
      <c r="E18" s="1017">
        <f aca="true" t="shared" si="5" ref="E18:L18">SUM(E16:E17)</f>
        <v>436717</v>
      </c>
      <c r="F18" s="765">
        <f t="shared" si="5"/>
        <v>0</v>
      </c>
      <c r="G18" s="765">
        <f t="shared" si="5"/>
        <v>0</v>
      </c>
      <c r="H18" s="765">
        <f t="shared" si="5"/>
        <v>0</v>
      </c>
      <c r="I18" s="765">
        <f t="shared" si="5"/>
        <v>0</v>
      </c>
      <c r="J18" s="765">
        <f t="shared" si="5"/>
        <v>0</v>
      </c>
      <c r="K18" s="765">
        <f t="shared" si="5"/>
        <v>0</v>
      </c>
      <c r="L18" s="765">
        <f t="shared" si="5"/>
        <v>0</v>
      </c>
      <c r="M18" s="34">
        <f aca="true" t="shared" si="6" ref="M18:T18">SUM(M16:M17)</f>
        <v>436717</v>
      </c>
      <c r="N18" s="765">
        <f t="shared" si="6"/>
        <v>0</v>
      </c>
      <c r="O18" s="765">
        <f t="shared" si="6"/>
        <v>-10792</v>
      </c>
      <c r="P18" s="765">
        <f t="shared" si="6"/>
        <v>0</v>
      </c>
      <c r="Q18" s="765">
        <f t="shared" si="6"/>
        <v>0</v>
      </c>
      <c r="R18" s="765">
        <f t="shared" si="6"/>
        <v>0</v>
      </c>
      <c r="S18" s="765">
        <f t="shared" si="6"/>
        <v>0</v>
      </c>
      <c r="T18" s="765">
        <f t="shared" si="6"/>
        <v>0</v>
      </c>
      <c r="U18" s="765">
        <f aca="true" t="shared" si="7" ref="U18:AD18">SUM(U16:U17)</f>
        <v>-27408</v>
      </c>
      <c r="V18" s="765">
        <f t="shared" si="7"/>
        <v>0</v>
      </c>
      <c r="W18" s="765">
        <f t="shared" si="7"/>
        <v>0</v>
      </c>
      <c r="X18" s="765">
        <f t="shared" si="7"/>
        <v>0</v>
      </c>
      <c r="Y18" s="765">
        <f>SUM(Y16:Y17)</f>
        <v>0</v>
      </c>
      <c r="Z18" s="765">
        <f>SUM(Z16:Z17)</f>
        <v>0</v>
      </c>
      <c r="AA18" s="765">
        <f>SUM(AA16:AA17)</f>
        <v>0</v>
      </c>
      <c r="AB18" s="765">
        <f>SUM(AB16:AB17)</f>
        <v>0</v>
      </c>
      <c r="AC18" s="765">
        <f t="shared" si="7"/>
        <v>-186</v>
      </c>
      <c r="AD18" s="765">
        <f t="shared" si="7"/>
        <v>293</v>
      </c>
      <c r="AE18" s="765">
        <f>SUM(AE16:AE17)</f>
        <v>0</v>
      </c>
      <c r="AF18" s="765">
        <f>SUM(AF16:AF17)</f>
        <v>0</v>
      </c>
      <c r="AG18" s="765">
        <f>SUM(AG16:AG17)</f>
        <v>0</v>
      </c>
      <c r="AH18" s="991"/>
      <c r="AI18" s="34">
        <f aca="true" t="shared" si="8" ref="AI18:AT18">SUM(AI16:AI17)</f>
        <v>398624</v>
      </c>
      <c r="AJ18" s="765">
        <f t="shared" si="8"/>
        <v>-63426</v>
      </c>
      <c r="AK18" s="765">
        <f t="shared" si="8"/>
        <v>0</v>
      </c>
      <c r="AL18" s="765">
        <f t="shared" si="8"/>
        <v>0</v>
      </c>
      <c r="AM18" s="765">
        <f t="shared" si="8"/>
        <v>0</v>
      </c>
      <c r="AN18" s="765">
        <f t="shared" si="8"/>
        <v>0</v>
      </c>
      <c r="AO18" s="765">
        <f t="shared" si="8"/>
        <v>0</v>
      </c>
      <c r="AP18" s="765">
        <f t="shared" si="8"/>
        <v>0</v>
      </c>
      <c r="AQ18" s="765">
        <f t="shared" si="8"/>
        <v>0</v>
      </c>
      <c r="AR18" s="765">
        <f t="shared" si="8"/>
        <v>0</v>
      </c>
      <c r="AS18" s="765">
        <f t="shared" si="8"/>
        <v>0</v>
      </c>
      <c r="AT18" s="765">
        <f t="shared" si="8"/>
        <v>0</v>
      </c>
      <c r="AV18" s="34">
        <f t="shared" si="0"/>
        <v>335198</v>
      </c>
      <c r="AW18" s="266"/>
    </row>
    <row r="19" spans="1:49" s="34" customFormat="1" ht="12">
      <c r="A19" s="32"/>
      <c r="E19" s="1015"/>
      <c r="F19" s="763"/>
      <c r="G19" s="763"/>
      <c r="H19" s="763"/>
      <c r="I19" s="763"/>
      <c r="J19" s="763"/>
      <c r="K19" s="763"/>
      <c r="L19" s="763"/>
      <c r="M19" s="71"/>
      <c r="N19" s="763"/>
      <c r="O19" s="763"/>
      <c r="P19" s="763"/>
      <c r="Q19" s="763"/>
      <c r="R19" s="763"/>
      <c r="S19" s="763"/>
      <c r="T19" s="763"/>
      <c r="U19" s="763"/>
      <c r="V19" s="763"/>
      <c r="W19" s="763"/>
      <c r="X19" s="763"/>
      <c r="Y19" s="763"/>
      <c r="Z19" s="763"/>
      <c r="AA19" s="763"/>
      <c r="AB19" s="763"/>
      <c r="AC19" s="763"/>
      <c r="AD19" s="763"/>
      <c r="AE19" s="763"/>
      <c r="AF19" s="763"/>
      <c r="AG19" s="763"/>
      <c r="AH19" s="989"/>
      <c r="AI19" s="71"/>
      <c r="AJ19" s="763"/>
      <c r="AK19" s="763"/>
      <c r="AL19" s="763"/>
      <c r="AM19" s="763"/>
      <c r="AN19" s="763"/>
      <c r="AO19" s="763"/>
      <c r="AP19" s="763"/>
      <c r="AQ19" s="763"/>
      <c r="AR19" s="763"/>
      <c r="AS19" s="763"/>
      <c r="AT19" s="763"/>
      <c r="AU19" s="71"/>
      <c r="AV19" s="71"/>
      <c r="AW19" s="264"/>
    </row>
    <row r="20" spans="1:49" s="34" customFormat="1" ht="12">
      <c r="A20" s="32"/>
      <c r="B20" s="34" t="s">
        <v>427</v>
      </c>
      <c r="E20" s="1015"/>
      <c r="F20" s="763"/>
      <c r="G20" s="763"/>
      <c r="H20" s="763"/>
      <c r="I20" s="763"/>
      <c r="J20" s="763"/>
      <c r="K20" s="763"/>
      <c r="L20" s="763"/>
      <c r="M20" s="71"/>
      <c r="N20" s="763"/>
      <c r="O20" s="763"/>
      <c r="P20" s="763"/>
      <c r="Q20" s="763"/>
      <c r="R20" s="763"/>
      <c r="S20" s="763"/>
      <c r="T20" s="763"/>
      <c r="U20" s="763"/>
      <c r="V20" s="763"/>
      <c r="W20" s="763"/>
      <c r="X20" s="763"/>
      <c r="Y20" s="763"/>
      <c r="Z20" s="763"/>
      <c r="AA20" s="763"/>
      <c r="AB20" s="763"/>
      <c r="AC20" s="763"/>
      <c r="AD20" s="763"/>
      <c r="AE20" s="763"/>
      <c r="AF20" s="763"/>
      <c r="AG20" s="763"/>
      <c r="AH20" s="989"/>
      <c r="AI20" s="71"/>
      <c r="AJ20" s="763"/>
      <c r="AK20" s="763"/>
      <c r="AL20" s="763"/>
      <c r="AM20" s="763"/>
      <c r="AN20" s="763"/>
      <c r="AO20" s="763"/>
      <c r="AP20" s="763"/>
      <c r="AQ20" s="763"/>
      <c r="AR20" s="763"/>
      <c r="AS20" s="763"/>
      <c r="AT20" s="763"/>
      <c r="AU20" s="71"/>
      <c r="AV20" s="71"/>
      <c r="AW20" s="264"/>
    </row>
    <row r="21" spans="1:49" s="34" customFormat="1" ht="12">
      <c r="A21" s="32"/>
      <c r="B21" s="34" t="s">
        <v>428</v>
      </c>
      <c r="E21" s="1015"/>
      <c r="F21" s="763"/>
      <c r="G21" s="763"/>
      <c r="H21" s="763"/>
      <c r="I21" s="763"/>
      <c r="J21" s="763"/>
      <c r="K21" s="763"/>
      <c r="L21" s="763"/>
      <c r="M21" s="71"/>
      <c r="N21" s="763"/>
      <c r="O21" s="763"/>
      <c r="P21" s="763"/>
      <c r="Q21" s="763"/>
      <c r="R21" s="763"/>
      <c r="S21" s="763"/>
      <c r="T21" s="763"/>
      <c r="U21" s="763"/>
      <c r="V21" s="763"/>
      <c r="W21" s="763"/>
      <c r="X21" s="763"/>
      <c r="Y21" s="763"/>
      <c r="Z21" s="763"/>
      <c r="AA21" s="763"/>
      <c r="AB21" s="763"/>
      <c r="AC21" s="763"/>
      <c r="AD21" s="763"/>
      <c r="AE21" s="763"/>
      <c r="AF21" s="763"/>
      <c r="AG21" s="763"/>
      <c r="AH21" s="989"/>
      <c r="AI21" s="71"/>
      <c r="AJ21" s="763"/>
      <c r="AK21" s="763"/>
      <c r="AL21" s="763"/>
      <c r="AM21" s="763"/>
      <c r="AN21" s="763"/>
      <c r="AO21" s="763"/>
      <c r="AP21" s="763"/>
      <c r="AQ21" s="763"/>
      <c r="AR21" s="763"/>
      <c r="AS21" s="763"/>
      <c r="AT21" s="763"/>
      <c r="AU21" s="71"/>
      <c r="AV21" s="71">
        <f aca="true" t="shared" si="9" ref="AV21:AV26">SUM(AI21:AU21)</f>
        <v>0</v>
      </c>
      <c r="AW21" s="264"/>
    </row>
    <row r="22" spans="1:49" s="34" customFormat="1" ht="12">
      <c r="A22" s="32">
        <v>7</v>
      </c>
      <c r="C22" s="34" t="s">
        <v>429</v>
      </c>
      <c r="E22" s="1015">
        <f>ResultSumEl!F17</f>
        <v>130540</v>
      </c>
      <c r="F22" s="763">
        <f>DFITWaEl!$F17</f>
        <v>0</v>
      </c>
      <c r="G22" s="763">
        <f>BldGain!$F17</f>
        <v>0</v>
      </c>
      <c r="H22" s="763">
        <f>ColstripAFUDC!$F17</f>
        <v>0</v>
      </c>
      <c r="I22" s="763">
        <f>ColstripCommon!$F17</f>
        <v>0</v>
      </c>
      <c r="J22" s="763">
        <f>KFSumm!$F17</f>
        <v>0</v>
      </c>
      <c r="K22" s="763">
        <f>CustAdv!$F17</f>
        <v>0</v>
      </c>
      <c r="L22" s="763">
        <f>SettleEx!$F17</f>
        <v>0</v>
      </c>
      <c r="M22" s="71">
        <f>SUM(E22:L22)</f>
        <v>130540</v>
      </c>
      <c r="N22" s="763">
        <f>HydroRel!$F17</f>
        <v>4</v>
      </c>
      <c r="O22" s="763">
        <f>BandO!$F17</f>
        <v>0</v>
      </c>
      <c r="P22" s="763">
        <f>PropTax!$F17</f>
        <v>0</v>
      </c>
      <c r="Q22" s="763">
        <f>UncollExp!$F17</f>
        <v>0</v>
      </c>
      <c r="R22" s="763">
        <f>RegExp!$F17</f>
        <v>0</v>
      </c>
      <c r="S22" s="763">
        <f>InjDam!$F17</f>
        <v>0</v>
      </c>
      <c r="T22" s="763">
        <f>FIT!$F17</f>
        <v>0</v>
      </c>
      <c r="U22" s="763">
        <f>ElimPowerCost!$F17</f>
        <v>-18659</v>
      </c>
      <c r="V22" s="763">
        <f>NezPerce!$F17</f>
        <v>13</v>
      </c>
      <c r="W22" s="763">
        <f>PayClear!$F17</f>
        <v>-419</v>
      </c>
      <c r="X22" s="763">
        <f>'CS2'!$F17</f>
        <v>1948</v>
      </c>
      <c r="Y22" s="763">
        <f>WAPGE!$F17</f>
        <v>0</v>
      </c>
      <c r="Z22" s="763">
        <f>ElimAR!$F17</f>
        <v>0</v>
      </c>
      <c r="AA22" s="763">
        <f>SubSpace!$F17</f>
        <v>0</v>
      </c>
      <c r="AB22" s="763">
        <f>XFranchTax!$F17</f>
        <v>0</v>
      </c>
      <c r="AC22" s="763">
        <f>WARevAdj!$F17</f>
        <v>-1820</v>
      </c>
      <c r="AD22" s="763">
        <f>MiscTariffs!$F17</f>
        <v>0</v>
      </c>
      <c r="AE22" s="763">
        <f>Depr!$F17</f>
        <v>0</v>
      </c>
      <c r="AF22" s="763">
        <f>Incent!$F17</f>
        <v>0</v>
      </c>
      <c r="AG22" s="763">
        <f>DebtInt!$F17</f>
        <v>0</v>
      </c>
      <c r="AH22" s="989"/>
      <c r="AI22" s="71">
        <f>SUM(M22:AH22)</f>
        <v>111607</v>
      </c>
      <c r="AJ22" s="763">
        <f>PFPSWA!$F17</f>
        <v>-10062</v>
      </c>
      <c r="AK22" s="763">
        <f>PFPension!$F17</f>
        <v>-211</v>
      </c>
      <c r="AL22" s="763">
        <f>PFIns!$F17</f>
        <v>0</v>
      </c>
      <c r="AM22" s="763">
        <f>PFLabor!$F17</f>
        <v>764</v>
      </c>
      <c r="AN22" s="763">
        <f>PFExec!$F17</f>
        <v>1</v>
      </c>
      <c r="AO22" s="763">
        <f>PFVeg!$F17</f>
        <v>-228</v>
      </c>
      <c r="AP22" s="763">
        <f>PFTransm!$F17</f>
        <v>0</v>
      </c>
      <c r="AQ22" s="763">
        <f>PFSkook!$F17</f>
        <v>-27</v>
      </c>
      <c r="AR22" s="763">
        <f>PFCanSmGen!$F17</f>
        <v>0</v>
      </c>
      <c r="AS22" s="763">
        <f>ProdTaxCr!$F17</f>
        <v>0</v>
      </c>
      <c r="AT22" s="763">
        <f>PFAlloc!$F17</f>
        <v>0</v>
      </c>
      <c r="AU22" s="71"/>
      <c r="AV22" s="71">
        <f t="shared" si="9"/>
        <v>101844</v>
      </c>
      <c r="AW22" s="264"/>
    </row>
    <row r="23" spans="1:49" s="34" customFormat="1" ht="12">
      <c r="A23" s="32">
        <v>8</v>
      </c>
      <c r="C23" s="34" t="s">
        <v>430</v>
      </c>
      <c r="E23" s="1015">
        <f>ResultSumEl!F18</f>
        <v>97537</v>
      </c>
      <c r="F23" s="763">
        <f>DFITWaEl!$F18</f>
        <v>0</v>
      </c>
      <c r="G23" s="763">
        <f>BldGain!$F18</f>
        <v>0</v>
      </c>
      <c r="H23" s="763">
        <f>ColstripAFUDC!$F18</f>
        <v>0</v>
      </c>
      <c r="I23" s="763">
        <f>ColstripCommon!$F18</f>
        <v>0</v>
      </c>
      <c r="J23" s="763">
        <f>KFSumm!$F18</f>
        <v>0</v>
      </c>
      <c r="K23" s="763">
        <f>CustAdv!$F18</f>
        <v>0</v>
      </c>
      <c r="L23" s="763">
        <f>SettleEx!$F18</f>
        <v>0</v>
      </c>
      <c r="M23" s="71">
        <f>SUM(E23:L23)</f>
        <v>97537</v>
      </c>
      <c r="N23" s="763">
        <f>HydroRel!$F18</f>
        <v>0</v>
      </c>
      <c r="O23" s="763">
        <f>BandO!$F18</f>
        <v>0</v>
      </c>
      <c r="P23" s="763">
        <f>PropTax!$F18</f>
        <v>0</v>
      </c>
      <c r="Q23" s="763">
        <f>UncollExp!$F18</f>
        <v>0</v>
      </c>
      <c r="R23" s="763">
        <f>RegExp!$F18</f>
        <v>0</v>
      </c>
      <c r="S23" s="763">
        <f>InjDam!$F18</f>
        <v>0</v>
      </c>
      <c r="T23" s="763">
        <f>FIT!$F18</f>
        <v>0</v>
      </c>
      <c r="U23" s="763">
        <f>ElimPowerCost!$F18</f>
        <v>0</v>
      </c>
      <c r="V23" s="763">
        <f>NezPerce!$F18</f>
        <v>0</v>
      </c>
      <c r="W23" s="763">
        <f>PayClear!$F18</f>
        <v>0</v>
      </c>
      <c r="X23" s="763">
        <f>'CS2'!$F18</f>
        <v>0</v>
      </c>
      <c r="Y23" s="763">
        <f>WAPGE!$F18</f>
        <v>0</v>
      </c>
      <c r="Z23" s="763">
        <f>ElimAR!$F18</f>
        <v>0</v>
      </c>
      <c r="AA23" s="763">
        <f>SubSpace!$F18</f>
        <v>0</v>
      </c>
      <c r="AB23" s="763">
        <f>XFranchTax!$F18</f>
        <v>0</v>
      </c>
      <c r="AC23" s="763">
        <f>WARevAdj!$F18</f>
        <v>0</v>
      </c>
      <c r="AD23" s="763">
        <f>MiscTariffs!$F18</f>
        <v>0</v>
      </c>
      <c r="AE23" s="763">
        <f>Depr!$F18</f>
        <v>0</v>
      </c>
      <c r="AF23" s="763">
        <f>Incent!$F18</f>
        <v>0</v>
      </c>
      <c r="AG23" s="763">
        <f>DebtInt!$F18</f>
        <v>0</v>
      </c>
      <c r="AH23" s="989"/>
      <c r="AI23" s="71">
        <f>SUM(M23:AH23)</f>
        <v>97537</v>
      </c>
      <c r="AJ23" s="763">
        <f>PFPSWA!$F18</f>
        <v>-46495</v>
      </c>
      <c r="AK23" s="763">
        <f>PFPension!$F18</f>
        <v>0</v>
      </c>
      <c r="AL23" s="763">
        <f>PFIns!$F18</f>
        <v>0</v>
      </c>
      <c r="AM23" s="763">
        <f>PFLabor!$F18</f>
        <v>0</v>
      </c>
      <c r="AN23" s="763">
        <f>PFExec!$F18</f>
        <v>0</v>
      </c>
      <c r="AO23" s="763">
        <f>PFVeg!$F18</f>
        <v>0</v>
      </c>
      <c r="AP23" s="763">
        <f>PFTransm!$F18</f>
        <v>0</v>
      </c>
      <c r="AQ23" s="763">
        <f>PFSkook!$F18</f>
        <v>0</v>
      </c>
      <c r="AR23" s="763">
        <f>PFCanSmGen!$F18</f>
        <v>0</v>
      </c>
      <c r="AS23" s="763">
        <f>ProdTaxCr!$F18</f>
        <v>0</v>
      </c>
      <c r="AT23" s="763">
        <f>PFAlloc!$F18</f>
        <v>0</v>
      </c>
      <c r="AU23" s="71"/>
      <c r="AV23" s="71">
        <f t="shared" si="9"/>
        <v>51042</v>
      </c>
      <c r="AW23" s="264"/>
    </row>
    <row r="24" spans="1:49" s="34" customFormat="1" ht="12">
      <c r="A24" s="32">
        <v>9</v>
      </c>
      <c r="C24" s="34" t="s">
        <v>431</v>
      </c>
      <c r="E24" s="1015">
        <f>ResultSumEl!F19</f>
        <v>16259</v>
      </c>
      <c r="F24" s="763">
        <f>DFITWaEl!$F19</f>
        <v>0</v>
      </c>
      <c r="G24" s="763">
        <f>BldGain!$F19</f>
        <v>0</v>
      </c>
      <c r="H24" s="763">
        <f>ColstripAFUDC!$F19</f>
        <v>-221</v>
      </c>
      <c r="I24" s="763">
        <f>ColstripCommon!$F19</f>
        <v>0</v>
      </c>
      <c r="J24" s="763">
        <f>KFSumm!$F19</f>
        <v>-135</v>
      </c>
      <c r="K24" s="763">
        <f>CustAdv!$F19</f>
        <v>0</v>
      </c>
      <c r="L24" s="763">
        <f>SettleEx!$F19</f>
        <v>0</v>
      </c>
      <c r="M24" s="71">
        <f>SUM(E24:L24)</f>
        <v>15903</v>
      </c>
      <c r="N24" s="763">
        <f>HydroRel!$F19</f>
        <v>0</v>
      </c>
      <c r="O24" s="763">
        <f>BandO!$F19</f>
        <v>0</v>
      </c>
      <c r="P24" s="763">
        <f>PropTax!$F19</f>
        <v>0</v>
      </c>
      <c r="Q24" s="763">
        <f>UncollExp!$F19</f>
        <v>0</v>
      </c>
      <c r="R24" s="763">
        <f>RegExp!$F19</f>
        <v>0</v>
      </c>
      <c r="S24" s="763">
        <f>InjDam!$F19</f>
        <v>0</v>
      </c>
      <c r="T24" s="763">
        <f>FIT!$F19</f>
        <v>0</v>
      </c>
      <c r="U24" s="763">
        <f>ElimPowerCost!$F19</f>
        <v>0</v>
      </c>
      <c r="V24" s="763">
        <f>NezPerce!$F19</f>
        <v>0</v>
      </c>
      <c r="W24" s="763">
        <f>PayClear!$F19</f>
        <v>0</v>
      </c>
      <c r="X24" s="763">
        <f>'CS2'!$F19</f>
        <v>1705</v>
      </c>
      <c r="Y24" s="763">
        <f>WAPGE!$F19</f>
        <v>-1776</v>
      </c>
      <c r="Z24" s="763">
        <f>ElimAR!$F19</f>
        <v>0</v>
      </c>
      <c r="AA24" s="763">
        <f>SubSpace!$F19</f>
        <v>0</v>
      </c>
      <c r="AB24" s="763">
        <f>XFranchTax!$F19</f>
        <v>0</v>
      </c>
      <c r="AC24" s="763">
        <f>WARevAdj!$F19</f>
        <v>642</v>
      </c>
      <c r="AD24" s="763">
        <f>MiscTariffs!$F19</f>
        <v>6518</v>
      </c>
      <c r="AE24" s="763">
        <f>Depr!$F19</f>
        <v>-113</v>
      </c>
      <c r="AF24" s="763">
        <f>Incent!$F19</f>
        <v>0</v>
      </c>
      <c r="AG24" s="763">
        <f>DebtInt!$F19</f>
        <v>0</v>
      </c>
      <c r="AH24" s="989"/>
      <c r="AI24" s="71">
        <f>SUM(M24:AH24)</f>
        <v>22879</v>
      </c>
      <c r="AJ24" s="763">
        <f>PFPSWA!$F19</f>
        <v>0</v>
      </c>
      <c r="AK24" s="763">
        <f>PFPension!$F19</f>
        <v>0</v>
      </c>
      <c r="AL24" s="763">
        <f>PFIns!$F19</f>
        <v>0</v>
      </c>
      <c r="AM24" s="763">
        <f>PFLabor!$F19</f>
        <v>0</v>
      </c>
      <c r="AN24" s="763">
        <f>PFExec!$F19</f>
        <v>0</v>
      </c>
      <c r="AO24" s="763">
        <f>PFVeg!$F19</f>
        <v>0</v>
      </c>
      <c r="AP24" s="763">
        <f>PFTransm!$F19</f>
        <v>434</v>
      </c>
      <c r="AQ24" s="763">
        <f>PFSkook!$F19</f>
        <v>-15</v>
      </c>
      <c r="AR24" s="763">
        <f>PFCanSmGen!$F19</f>
        <v>306</v>
      </c>
      <c r="AS24" s="763">
        <f>ProdTaxCr!$F19</f>
        <v>0</v>
      </c>
      <c r="AT24" s="763">
        <f>PFAlloc!$F19</f>
        <v>0</v>
      </c>
      <c r="AU24" s="71"/>
      <c r="AV24" s="71">
        <f t="shared" si="9"/>
        <v>23604</v>
      </c>
      <c r="AW24" s="264"/>
    </row>
    <row r="25" spans="1:49" s="34" customFormat="1" ht="12">
      <c r="A25" s="32">
        <v>10</v>
      </c>
      <c r="C25" s="34" t="s">
        <v>432</v>
      </c>
      <c r="E25" s="1016">
        <f>ResultSumEl!F20</f>
        <v>7551</v>
      </c>
      <c r="F25" s="764">
        <f>DFITWaEl!$F20</f>
        <v>0</v>
      </c>
      <c r="G25" s="764">
        <f>BldGain!$F20</f>
        <v>0</v>
      </c>
      <c r="H25" s="764">
        <f>ColstripAFUDC!$F20</f>
        <v>0</v>
      </c>
      <c r="I25" s="764">
        <f>ColstripCommon!$F20</f>
        <v>0</v>
      </c>
      <c r="J25" s="764">
        <f>KFSumm!$F20</f>
        <v>0</v>
      </c>
      <c r="K25" s="764">
        <f>CustAdv!$F20</f>
        <v>0</v>
      </c>
      <c r="L25" s="764">
        <f>SettleEx!$F20</f>
        <v>0</v>
      </c>
      <c r="M25" s="72">
        <f>SUM(E25:L25)</f>
        <v>7551</v>
      </c>
      <c r="N25" s="764">
        <f>HydroRel!$F20</f>
        <v>0</v>
      </c>
      <c r="O25" s="764">
        <f>BandO!$F20</f>
        <v>0</v>
      </c>
      <c r="P25" s="764">
        <f>PropTax!$F20</f>
        <v>-313</v>
      </c>
      <c r="Q25" s="764">
        <f>UncollExp!$F20</f>
        <v>0</v>
      </c>
      <c r="R25" s="764">
        <f>RegExp!$F20</f>
        <v>0</v>
      </c>
      <c r="S25" s="764">
        <f>InjDam!$F20</f>
        <v>0</v>
      </c>
      <c r="T25" s="764">
        <f>FIT!$F20</f>
        <v>0</v>
      </c>
      <c r="U25" s="764">
        <f>ElimPowerCost!$F20</f>
        <v>0</v>
      </c>
      <c r="V25" s="764">
        <f>NezPerce!$F20</f>
        <v>0</v>
      </c>
      <c r="W25" s="764">
        <f>PayClear!$F20</f>
        <v>0</v>
      </c>
      <c r="X25" s="764">
        <f>'CS2'!$F20</f>
        <v>45</v>
      </c>
      <c r="Y25" s="764">
        <f>WAPGE!$F20</f>
        <v>0</v>
      </c>
      <c r="Z25" s="764">
        <f>ElimAR!$F20</f>
        <v>0</v>
      </c>
      <c r="AA25" s="764">
        <f>SubSpace!$F20</f>
        <v>0</v>
      </c>
      <c r="AB25" s="764">
        <f>XFranchTax!$F20</f>
        <v>0</v>
      </c>
      <c r="AC25" s="764">
        <f>WARevAdj!$F20</f>
        <v>0</v>
      </c>
      <c r="AD25" s="764">
        <f>MiscTariffs!$F20</f>
        <v>0</v>
      </c>
      <c r="AE25" s="764">
        <f>Depr!$F20</f>
        <v>0</v>
      </c>
      <c r="AF25" s="764">
        <f>Incent!$F20</f>
        <v>0</v>
      </c>
      <c r="AG25" s="764">
        <f>DebtInt!$F20</f>
        <v>0</v>
      </c>
      <c r="AH25" s="990"/>
      <c r="AI25" s="72">
        <f>SUM(M25:AH25)</f>
        <v>7283</v>
      </c>
      <c r="AJ25" s="764">
        <f>PFPSWA!$F20</f>
        <v>0</v>
      </c>
      <c r="AK25" s="764">
        <f>PFPension!$F20</f>
        <v>0</v>
      </c>
      <c r="AL25" s="764">
        <f>PFIns!$F20</f>
        <v>0</v>
      </c>
      <c r="AM25" s="764">
        <f>PFLabor!$F20</f>
        <v>0</v>
      </c>
      <c r="AN25" s="764">
        <f>PFExec!$F20</f>
        <v>0</v>
      </c>
      <c r="AO25" s="764">
        <f>PFVeg!$F20</f>
        <v>0</v>
      </c>
      <c r="AP25" s="764">
        <f>PFTransm!$F20</f>
        <v>278</v>
      </c>
      <c r="AQ25" s="764">
        <f>PFSkook!$F20</f>
        <v>-7</v>
      </c>
      <c r="AR25" s="764">
        <f>PFCanSmGen!$F20</f>
        <v>0</v>
      </c>
      <c r="AS25" s="764">
        <f>ProdTaxCr!$F20</f>
        <v>0</v>
      </c>
      <c r="AT25" s="764">
        <f>PFAlloc!$F20</f>
        <v>0</v>
      </c>
      <c r="AU25" s="72"/>
      <c r="AV25" s="72">
        <f t="shared" si="9"/>
        <v>7554</v>
      </c>
      <c r="AW25" s="265"/>
    </row>
    <row r="26" spans="1:49" s="34" customFormat="1" ht="12">
      <c r="A26" s="32">
        <v>11</v>
      </c>
      <c r="D26" s="34" t="s">
        <v>433</v>
      </c>
      <c r="E26" s="1017">
        <f aca="true" t="shared" si="10" ref="E26:L26">SUM(E22:E25)</f>
        <v>251887</v>
      </c>
      <c r="F26" s="765">
        <f t="shared" si="10"/>
        <v>0</v>
      </c>
      <c r="G26" s="765">
        <f t="shared" si="10"/>
        <v>0</v>
      </c>
      <c r="H26" s="765">
        <f t="shared" si="10"/>
        <v>-221</v>
      </c>
      <c r="I26" s="765">
        <f t="shared" si="10"/>
        <v>0</v>
      </c>
      <c r="J26" s="765">
        <f t="shared" si="10"/>
        <v>-135</v>
      </c>
      <c r="K26" s="765">
        <f t="shared" si="10"/>
        <v>0</v>
      </c>
      <c r="L26" s="765">
        <f t="shared" si="10"/>
        <v>0</v>
      </c>
      <c r="M26" s="34">
        <f aca="true" t="shared" si="11" ref="M26:T26">SUM(M22:M25)</f>
        <v>251531</v>
      </c>
      <c r="N26" s="765">
        <f t="shared" si="11"/>
        <v>4</v>
      </c>
      <c r="O26" s="765">
        <f t="shared" si="11"/>
        <v>0</v>
      </c>
      <c r="P26" s="765">
        <f t="shared" si="11"/>
        <v>-313</v>
      </c>
      <c r="Q26" s="765">
        <f t="shared" si="11"/>
        <v>0</v>
      </c>
      <c r="R26" s="765">
        <f t="shared" si="11"/>
        <v>0</v>
      </c>
      <c r="S26" s="765">
        <f t="shared" si="11"/>
        <v>0</v>
      </c>
      <c r="T26" s="765">
        <f t="shared" si="11"/>
        <v>0</v>
      </c>
      <c r="U26" s="765">
        <f aca="true" t="shared" si="12" ref="U26:AD26">SUM(U22:U25)</f>
        <v>-18659</v>
      </c>
      <c r="V26" s="765">
        <f t="shared" si="12"/>
        <v>13</v>
      </c>
      <c r="W26" s="765">
        <f t="shared" si="12"/>
        <v>-419</v>
      </c>
      <c r="X26" s="765">
        <f t="shared" si="12"/>
        <v>3698</v>
      </c>
      <c r="Y26" s="765">
        <f>SUM(Y22:Y25)</f>
        <v>-1776</v>
      </c>
      <c r="Z26" s="765">
        <f>SUM(Z22:Z25)</f>
        <v>0</v>
      </c>
      <c r="AA26" s="765">
        <f>SUM(AA22:AA25)</f>
        <v>0</v>
      </c>
      <c r="AB26" s="765">
        <f>SUM(AB22:AB25)</f>
        <v>0</v>
      </c>
      <c r="AC26" s="765">
        <f t="shared" si="12"/>
        <v>-1178</v>
      </c>
      <c r="AD26" s="765">
        <f t="shared" si="12"/>
        <v>6518</v>
      </c>
      <c r="AE26" s="765">
        <f>SUM(AE22:AE25)</f>
        <v>-113</v>
      </c>
      <c r="AF26" s="765">
        <f>SUM(AF22:AF25)</f>
        <v>0</v>
      </c>
      <c r="AG26" s="765">
        <f>SUM(AG22:AG25)</f>
        <v>0</v>
      </c>
      <c r="AH26" s="991"/>
      <c r="AI26" s="34">
        <f aca="true" t="shared" si="13" ref="AI26:AT26">SUM(AI22:AI25)</f>
        <v>239306</v>
      </c>
      <c r="AJ26" s="765">
        <f t="shared" si="13"/>
        <v>-56557</v>
      </c>
      <c r="AK26" s="765">
        <f t="shared" si="13"/>
        <v>-211</v>
      </c>
      <c r="AL26" s="765">
        <f t="shared" si="13"/>
        <v>0</v>
      </c>
      <c r="AM26" s="765">
        <f t="shared" si="13"/>
        <v>764</v>
      </c>
      <c r="AN26" s="765">
        <f t="shared" si="13"/>
        <v>1</v>
      </c>
      <c r="AO26" s="765">
        <f t="shared" si="13"/>
        <v>-228</v>
      </c>
      <c r="AP26" s="765">
        <f t="shared" si="13"/>
        <v>712</v>
      </c>
      <c r="AQ26" s="765">
        <f t="shared" si="13"/>
        <v>-49</v>
      </c>
      <c r="AR26" s="765">
        <f t="shared" si="13"/>
        <v>306</v>
      </c>
      <c r="AS26" s="765">
        <f t="shared" si="13"/>
        <v>0</v>
      </c>
      <c r="AT26" s="765">
        <f t="shared" si="13"/>
        <v>0</v>
      </c>
      <c r="AU26" s="34">
        <f>SUM(AU22:AU25)</f>
        <v>0</v>
      </c>
      <c r="AV26" s="34">
        <f t="shared" si="9"/>
        <v>184044</v>
      </c>
      <c r="AW26" s="266"/>
    </row>
    <row r="27" spans="1:49" s="34" customFormat="1" ht="12">
      <c r="A27" s="32"/>
      <c r="E27" s="1015"/>
      <c r="F27" s="763"/>
      <c r="G27" s="763"/>
      <c r="H27" s="763"/>
      <c r="I27" s="763"/>
      <c r="J27" s="763"/>
      <c r="K27" s="763"/>
      <c r="L27" s="763"/>
      <c r="M27" s="71"/>
      <c r="N27" s="763"/>
      <c r="O27" s="763"/>
      <c r="P27" s="763"/>
      <c r="Q27" s="763"/>
      <c r="R27" s="763"/>
      <c r="S27" s="763"/>
      <c r="T27" s="763"/>
      <c r="U27" s="763"/>
      <c r="V27" s="763"/>
      <c r="W27" s="763"/>
      <c r="X27" s="763"/>
      <c r="Y27" s="763"/>
      <c r="Z27" s="763"/>
      <c r="AA27" s="763"/>
      <c r="AB27" s="763"/>
      <c r="AC27" s="763"/>
      <c r="AD27" s="763"/>
      <c r="AE27" s="763"/>
      <c r="AF27" s="763"/>
      <c r="AG27" s="763"/>
      <c r="AH27" s="989"/>
      <c r="AI27" s="71"/>
      <c r="AJ27" s="763"/>
      <c r="AK27" s="763"/>
      <c r="AL27" s="763"/>
      <c r="AM27" s="763"/>
      <c r="AN27" s="763"/>
      <c r="AO27" s="763"/>
      <c r="AP27" s="763"/>
      <c r="AQ27" s="763"/>
      <c r="AR27" s="763"/>
      <c r="AS27" s="763"/>
      <c r="AT27" s="763"/>
      <c r="AU27" s="71"/>
      <c r="AV27" s="71"/>
      <c r="AW27" s="264"/>
    </row>
    <row r="28" spans="1:49" s="34" customFormat="1" ht="12">
      <c r="A28" s="32"/>
      <c r="B28" s="34" t="s">
        <v>434</v>
      </c>
      <c r="E28" s="1015"/>
      <c r="F28" s="763"/>
      <c r="G28" s="763"/>
      <c r="H28" s="763"/>
      <c r="I28" s="763"/>
      <c r="J28" s="763"/>
      <c r="K28" s="763"/>
      <c r="L28" s="763"/>
      <c r="M28" s="71"/>
      <c r="N28" s="763"/>
      <c r="O28" s="763"/>
      <c r="P28" s="763"/>
      <c r="Q28" s="763"/>
      <c r="R28" s="763"/>
      <c r="S28" s="763"/>
      <c r="T28" s="763"/>
      <c r="U28" s="763"/>
      <c r="V28" s="763"/>
      <c r="W28" s="763"/>
      <c r="X28" s="763"/>
      <c r="Y28" s="763"/>
      <c r="Z28" s="763"/>
      <c r="AA28" s="763"/>
      <c r="AB28" s="763"/>
      <c r="AC28" s="763"/>
      <c r="AD28" s="763"/>
      <c r="AE28" s="763"/>
      <c r="AF28" s="763"/>
      <c r="AG28" s="763"/>
      <c r="AH28" s="989"/>
      <c r="AI28" s="71"/>
      <c r="AJ28" s="763"/>
      <c r="AK28" s="763"/>
      <c r="AL28" s="763"/>
      <c r="AM28" s="763"/>
      <c r="AN28" s="763"/>
      <c r="AO28" s="763"/>
      <c r="AP28" s="763"/>
      <c r="AQ28" s="763"/>
      <c r="AR28" s="763"/>
      <c r="AS28" s="763"/>
      <c r="AT28" s="763"/>
      <c r="AU28" s="71"/>
      <c r="AV28" s="71">
        <f>SUM(AI28:AU28)</f>
        <v>0</v>
      </c>
      <c r="AW28" s="264"/>
    </row>
    <row r="29" spans="1:49" s="34" customFormat="1" ht="12">
      <c r="A29" s="32">
        <v>12</v>
      </c>
      <c r="C29" s="34" t="s">
        <v>429</v>
      </c>
      <c r="E29" s="1015">
        <f>ResultSumEl!F24</f>
        <v>12289</v>
      </c>
      <c r="F29" s="763">
        <f>DFITWaEl!$F24</f>
        <v>0</v>
      </c>
      <c r="G29" s="763">
        <f>BldGain!$F24</f>
        <v>0</v>
      </c>
      <c r="H29" s="763">
        <f>ColstripAFUDC!$F24</f>
        <v>0</v>
      </c>
      <c r="I29" s="763">
        <f>ColstripCommon!$F24</f>
        <v>0</v>
      </c>
      <c r="J29" s="763">
        <f>KFSumm!$F24</f>
        <v>0</v>
      </c>
      <c r="K29" s="763">
        <f>CustAdv!$F24</f>
        <v>0</v>
      </c>
      <c r="L29" s="763">
        <f>SettleEx!$F24</f>
        <v>0</v>
      </c>
      <c r="M29" s="71">
        <f>SUM(E29:L29)</f>
        <v>12289</v>
      </c>
      <c r="N29" s="763">
        <f>HydroRel!$F24</f>
        <v>0</v>
      </c>
      <c r="O29" s="763">
        <f>BandO!$F24</f>
        <v>0</v>
      </c>
      <c r="P29" s="763">
        <f>PropTax!$F24</f>
        <v>0</v>
      </c>
      <c r="Q29" s="763">
        <f>UncollExp!$F24</f>
        <v>0</v>
      </c>
      <c r="R29" s="763">
        <f>RegExp!$F24</f>
        <v>0</v>
      </c>
      <c r="S29" s="763">
        <f>InjDam!$F24</f>
        <v>0</v>
      </c>
      <c r="T29" s="763">
        <f>FIT!$F24</f>
        <v>0</v>
      </c>
      <c r="U29" s="763">
        <f>ElimPowerCost!$F24</f>
        <v>0</v>
      </c>
      <c r="V29" s="763">
        <f>NezPerce!$F24</f>
        <v>0</v>
      </c>
      <c r="W29" s="763">
        <f>PayClear!$F24</f>
        <v>-273</v>
      </c>
      <c r="X29" s="763">
        <f>'CS2'!$F24</f>
        <v>0</v>
      </c>
      <c r="Y29" s="763">
        <f>WAPGE!$F24</f>
        <v>0</v>
      </c>
      <c r="Z29" s="763">
        <f>ElimAR!$F24</f>
        <v>0</v>
      </c>
      <c r="AA29" s="763">
        <f>SubSpace!$F24</f>
        <v>0</v>
      </c>
      <c r="AB29" s="763">
        <f>XFranchTax!$F24</f>
        <v>0</v>
      </c>
      <c r="AC29" s="763">
        <f>WARevAdj!$F24</f>
        <v>0</v>
      </c>
      <c r="AD29" s="763">
        <f>MiscTariffs!$F24</f>
        <v>0</v>
      </c>
      <c r="AE29" s="763">
        <f>Depr!$F24</f>
        <v>0</v>
      </c>
      <c r="AF29" s="763">
        <f>Incent!$F24</f>
        <v>0</v>
      </c>
      <c r="AG29" s="763">
        <f>DebtInt!$F24</f>
        <v>0</v>
      </c>
      <c r="AH29" s="989"/>
      <c r="AI29" s="71">
        <f>SUM(M29:AH29)</f>
        <v>12016</v>
      </c>
      <c r="AJ29" s="763">
        <f>PFPSWA!$F24</f>
        <v>0</v>
      </c>
      <c r="AK29" s="763">
        <f>PFPension!$F24</f>
        <v>-137</v>
      </c>
      <c r="AL29" s="763">
        <f>PFIns!$F24</f>
        <v>0</v>
      </c>
      <c r="AM29" s="763">
        <f>PFLabor!$F24</f>
        <v>511</v>
      </c>
      <c r="AN29" s="763">
        <f>PFExec!$F24</f>
        <v>-9</v>
      </c>
      <c r="AO29" s="763">
        <f>PFVeg!$F24</f>
        <v>720</v>
      </c>
      <c r="AP29" s="763">
        <f>PFTransm!$F24</f>
        <v>0</v>
      </c>
      <c r="AQ29" s="763">
        <f>PFSkook!$F24</f>
        <v>0</v>
      </c>
      <c r="AR29" s="763">
        <f>PFCanSmGen!$F24</f>
        <v>0</v>
      </c>
      <c r="AS29" s="763">
        <f>ProdTaxCr!$F24</f>
        <v>0</v>
      </c>
      <c r="AT29" s="763">
        <f>PFAlloc!$F24</f>
        <v>0</v>
      </c>
      <c r="AU29" s="71"/>
      <c r="AV29" s="71">
        <f>SUM(AI29:AU29)</f>
        <v>13101</v>
      </c>
      <c r="AW29" s="264"/>
    </row>
    <row r="30" spans="1:49" s="34" customFormat="1" ht="12">
      <c r="A30" s="32">
        <v>13</v>
      </c>
      <c r="C30" s="34" t="s">
        <v>435</v>
      </c>
      <c r="E30" s="1015">
        <f>ResultSumEl!F25</f>
        <v>10044</v>
      </c>
      <c r="F30" s="763">
        <f>DFITWaEl!$F25</f>
        <v>0</v>
      </c>
      <c r="G30" s="763">
        <f>BldGain!$F25</f>
        <v>0</v>
      </c>
      <c r="H30" s="763">
        <f>ColstripAFUDC!$F25</f>
        <v>0</v>
      </c>
      <c r="I30" s="763">
        <f>ColstripCommon!$F25</f>
        <v>0</v>
      </c>
      <c r="J30" s="763">
        <f>KFSumm!$F25</f>
        <v>0</v>
      </c>
      <c r="K30" s="763">
        <f>CustAdv!$F25</f>
        <v>0</v>
      </c>
      <c r="L30" s="763">
        <f>SettleEx!$F25</f>
        <v>0</v>
      </c>
      <c r="M30" s="71">
        <f>SUM(E30:L30)</f>
        <v>10044</v>
      </c>
      <c r="N30" s="763">
        <f>HydroRel!$F25</f>
        <v>0</v>
      </c>
      <c r="O30" s="763">
        <f>BandO!$F25</f>
        <v>0</v>
      </c>
      <c r="P30" s="763">
        <f>PropTax!$F25</f>
        <v>0</v>
      </c>
      <c r="Q30" s="763">
        <f>UncollExp!$F25</f>
        <v>0</v>
      </c>
      <c r="R30" s="763">
        <f>RegExp!$F25</f>
        <v>0</v>
      </c>
      <c r="S30" s="763">
        <f>InjDam!$F25</f>
        <v>0</v>
      </c>
      <c r="T30" s="763">
        <f>FIT!$F25</f>
        <v>0</v>
      </c>
      <c r="U30" s="763">
        <f>ElimPowerCost!$F25</f>
        <v>0</v>
      </c>
      <c r="V30" s="763">
        <f>NezPerce!$F25</f>
        <v>0</v>
      </c>
      <c r="W30" s="763">
        <f>PayClear!$F25</f>
        <v>0</v>
      </c>
      <c r="X30" s="763">
        <f>'CS2'!$F25</f>
        <v>0</v>
      </c>
      <c r="Y30" s="763">
        <f>WAPGE!$F25</f>
        <v>0</v>
      </c>
      <c r="Z30" s="763">
        <f>ElimAR!$F25</f>
        <v>0</v>
      </c>
      <c r="AA30" s="763">
        <f>SubSpace!$F25</f>
        <v>0</v>
      </c>
      <c r="AB30" s="763">
        <f>XFranchTax!$F25</f>
        <v>0</v>
      </c>
      <c r="AC30" s="763">
        <f>WARevAdj!$F25</f>
        <v>0</v>
      </c>
      <c r="AD30" s="763">
        <f>MiscTariffs!$F25</f>
        <v>0</v>
      </c>
      <c r="AE30" s="763">
        <f>Depr!$F25</f>
        <v>23</v>
      </c>
      <c r="AF30" s="763">
        <f>Incent!$F25</f>
        <v>0</v>
      </c>
      <c r="AG30" s="763">
        <f>DebtInt!$F25</f>
        <v>0</v>
      </c>
      <c r="AH30" s="989"/>
      <c r="AI30" s="71">
        <f>SUM(M30:AH30)</f>
        <v>10067</v>
      </c>
      <c r="AJ30" s="763">
        <f>PFPSWA!$F25</f>
        <v>0</v>
      </c>
      <c r="AK30" s="763">
        <f>PFPension!$F25</f>
        <v>0</v>
      </c>
      <c r="AL30" s="763">
        <f>PFIns!$F25</f>
        <v>0</v>
      </c>
      <c r="AM30" s="763">
        <f>PFLabor!$F25</f>
        <v>0</v>
      </c>
      <c r="AN30" s="763">
        <f>PFExec!$F25</f>
        <v>0</v>
      </c>
      <c r="AO30" s="763">
        <f>PFVeg!$F25</f>
        <v>0</v>
      </c>
      <c r="AP30" s="763">
        <f>PFTransm!$F25</f>
        <v>0</v>
      </c>
      <c r="AQ30" s="763">
        <f>PFSkook!$F25</f>
        <v>0</v>
      </c>
      <c r="AR30" s="763">
        <f>PFCanSmGen!$F25</f>
        <v>0</v>
      </c>
      <c r="AS30" s="763">
        <f>ProdTaxCr!$F25</f>
        <v>0</v>
      </c>
      <c r="AT30" s="763">
        <f>PFAlloc!$F25</f>
        <v>0</v>
      </c>
      <c r="AU30" s="71"/>
      <c r="AV30" s="71">
        <f>SUM(AI30:AU30)</f>
        <v>10067</v>
      </c>
      <c r="AW30" s="264"/>
    </row>
    <row r="31" spans="1:49" s="34" customFormat="1" ht="12">
      <c r="A31" s="32">
        <v>14</v>
      </c>
      <c r="C31" s="34" t="s">
        <v>432</v>
      </c>
      <c r="E31" s="1016">
        <f>ResultSumEl!F26</f>
        <v>29575</v>
      </c>
      <c r="F31" s="764">
        <f>DFITWaEl!$F26</f>
        <v>0</v>
      </c>
      <c r="G31" s="764">
        <f>BldGain!$F26</f>
        <v>0</v>
      </c>
      <c r="H31" s="764">
        <f>ColstripAFUDC!$F26</f>
        <v>0</v>
      </c>
      <c r="I31" s="764">
        <f>ColstripCommon!$F26</f>
        <v>0</v>
      </c>
      <c r="J31" s="764">
        <f>KFSumm!$F26</f>
        <v>0</v>
      </c>
      <c r="K31" s="764">
        <f>CustAdv!$F26</f>
        <v>0</v>
      </c>
      <c r="L31" s="764">
        <f>SettleEx!$F26</f>
        <v>0</v>
      </c>
      <c r="M31" s="72">
        <f>SUM(E31:L31)</f>
        <v>29575</v>
      </c>
      <c r="N31" s="764">
        <f>HydroRel!$F26</f>
        <v>0</v>
      </c>
      <c r="O31" s="764">
        <f>BandO!$F26</f>
        <v>-11892</v>
      </c>
      <c r="P31" s="764">
        <f>PropTax!$F26</f>
        <v>413</v>
      </c>
      <c r="Q31" s="764">
        <f>UncollExp!$F26</f>
        <v>0</v>
      </c>
      <c r="R31" s="764">
        <f>RegExp!$F26</f>
        <v>0</v>
      </c>
      <c r="S31" s="764">
        <f>InjDam!$F26</f>
        <v>0</v>
      </c>
      <c r="T31" s="764">
        <f>FIT!$F26</f>
        <v>0</v>
      </c>
      <c r="U31" s="764">
        <f>ElimPowerCost!$F26</f>
        <v>-1058</v>
      </c>
      <c r="V31" s="764">
        <f>NezPerce!$F26</f>
        <v>0</v>
      </c>
      <c r="W31" s="764">
        <f>PayClear!$F26</f>
        <v>0</v>
      </c>
      <c r="X31" s="764">
        <f>'CS2'!$F26</f>
        <v>0</v>
      </c>
      <c r="Y31" s="764">
        <f>WAPGE!$F26</f>
        <v>0</v>
      </c>
      <c r="Z31" s="764">
        <f>ElimAR!$F26</f>
        <v>0</v>
      </c>
      <c r="AA31" s="764">
        <f>SubSpace!$F26</f>
        <v>0</v>
      </c>
      <c r="AB31" s="764">
        <f>XFranchTax!$F26</f>
        <v>359</v>
      </c>
      <c r="AC31" s="764">
        <f>WARevAdj!$F26</f>
        <v>-7</v>
      </c>
      <c r="AD31" s="764">
        <f>MiscTariffs!$F26</f>
        <v>11</v>
      </c>
      <c r="AE31" s="764">
        <f>Depr!$F26</f>
        <v>0</v>
      </c>
      <c r="AF31" s="764">
        <f>Incent!$F26</f>
        <v>0</v>
      </c>
      <c r="AG31" s="764">
        <f>DebtInt!$F26</f>
        <v>0</v>
      </c>
      <c r="AH31" s="990"/>
      <c r="AI31" s="72">
        <f>SUM(M31:AH31)</f>
        <v>17401</v>
      </c>
      <c r="AJ31" s="764">
        <f>PFPSWA!$F26</f>
        <v>0</v>
      </c>
      <c r="AK31" s="764">
        <f>PFPension!$F26</f>
        <v>0</v>
      </c>
      <c r="AL31" s="764">
        <f>PFIns!$F26</f>
        <v>0</v>
      </c>
      <c r="AM31" s="764">
        <f>PFLabor!$F26</f>
        <v>0</v>
      </c>
      <c r="AN31" s="764">
        <f>PFExec!$F26</f>
        <v>0</v>
      </c>
      <c r="AO31" s="764">
        <f>PFVeg!$F26</f>
        <v>0</v>
      </c>
      <c r="AP31" s="764">
        <f>PFTransm!$F26</f>
        <v>0</v>
      </c>
      <c r="AQ31" s="764">
        <f>PFSkook!$F26</f>
        <v>0</v>
      </c>
      <c r="AR31" s="764">
        <f>PFCanSmGen!$F26</f>
        <v>0</v>
      </c>
      <c r="AS31" s="764">
        <f>ProdTaxCr!$F26</f>
        <v>0</v>
      </c>
      <c r="AT31" s="764">
        <f>PFAlloc!$F26</f>
        <v>0</v>
      </c>
      <c r="AU31" s="72"/>
      <c r="AV31" s="72">
        <f>SUM(AI31:AU31)</f>
        <v>17401</v>
      </c>
      <c r="AW31" s="265"/>
    </row>
    <row r="32" spans="1:49" s="34" customFormat="1" ht="12">
      <c r="A32" s="32">
        <v>15</v>
      </c>
      <c r="D32" s="34" t="s">
        <v>436</v>
      </c>
      <c r="E32" s="1017">
        <f aca="true" t="shared" si="14" ref="E32:L32">SUM(E29:E31)</f>
        <v>51908</v>
      </c>
      <c r="F32" s="765">
        <f t="shared" si="14"/>
        <v>0</v>
      </c>
      <c r="G32" s="765">
        <f t="shared" si="14"/>
        <v>0</v>
      </c>
      <c r="H32" s="765">
        <f t="shared" si="14"/>
        <v>0</v>
      </c>
      <c r="I32" s="765">
        <f t="shared" si="14"/>
        <v>0</v>
      </c>
      <c r="J32" s="765">
        <f t="shared" si="14"/>
        <v>0</v>
      </c>
      <c r="K32" s="765">
        <f t="shared" si="14"/>
        <v>0</v>
      </c>
      <c r="L32" s="765">
        <f t="shared" si="14"/>
        <v>0</v>
      </c>
      <c r="M32" s="34">
        <f aca="true" t="shared" si="15" ref="M32:T32">SUM(M29:M31)</f>
        <v>51908</v>
      </c>
      <c r="N32" s="765">
        <f t="shared" si="15"/>
        <v>0</v>
      </c>
      <c r="O32" s="765">
        <f t="shared" si="15"/>
        <v>-11892</v>
      </c>
      <c r="P32" s="765">
        <f t="shared" si="15"/>
        <v>413</v>
      </c>
      <c r="Q32" s="765">
        <f t="shared" si="15"/>
        <v>0</v>
      </c>
      <c r="R32" s="765">
        <f t="shared" si="15"/>
        <v>0</v>
      </c>
      <c r="S32" s="765">
        <f t="shared" si="15"/>
        <v>0</v>
      </c>
      <c r="T32" s="765">
        <f t="shared" si="15"/>
        <v>0</v>
      </c>
      <c r="U32" s="765">
        <f aca="true" t="shared" si="16" ref="U32:AD32">SUM(U29:U31)</f>
        <v>-1058</v>
      </c>
      <c r="V32" s="765">
        <f t="shared" si="16"/>
        <v>0</v>
      </c>
      <c r="W32" s="765">
        <f t="shared" si="16"/>
        <v>-273</v>
      </c>
      <c r="X32" s="765">
        <f t="shared" si="16"/>
        <v>0</v>
      </c>
      <c r="Y32" s="765">
        <f>SUM(Y29:Y31)</f>
        <v>0</v>
      </c>
      <c r="Z32" s="765">
        <f>SUM(Z29:Z31)</f>
        <v>0</v>
      </c>
      <c r="AA32" s="765">
        <f>SUM(AA29:AA31)</f>
        <v>0</v>
      </c>
      <c r="AB32" s="765">
        <f>SUM(AB29:AB31)</f>
        <v>359</v>
      </c>
      <c r="AC32" s="765">
        <f t="shared" si="16"/>
        <v>-7</v>
      </c>
      <c r="AD32" s="765">
        <f t="shared" si="16"/>
        <v>11</v>
      </c>
      <c r="AE32" s="765">
        <f>SUM(AE29:AE31)</f>
        <v>23</v>
      </c>
      <c r="AF32" s="765">
        <f>SUM(AF29:AF31)</f>
        <v>0</v>
      </c>
      <c r="AG32" s="765">
        <f>SUM(AG29:AG31)</f>
        <v>0</v>
      </c>
      <c r="AH32" s="991"/>
      <c r="AI32" s="34">
        <f aca="true" t="shared" si="17" ref="AI32:AT32">SUM(AI29:AI31)</f>
        <v>39484</v>
      </c>
      <c r="AJ32" s="765">
        <f t="shared" si="17"/>
        <v>0</v>
      </c>
      <c r="AK32" s="765">
        <f t="shared" si="17"/>
        <v>-137</v>
      </c>
      <c r="AL32" s="765">
        <f t="shared" si="17"/>
        <v>0</v>
      </c>
      <c r="AM32" s="765">
        <f t="shared" si="17"/>
        <v>511</v>
      </c>
      <c r="AN32" s="765">
        <f t="shared" si="17"/>
        <v>-9</v>
      </c>
      <c r="AO32" s="765">
        <f t="shared" si="17"/>
        <v>720</v>
      </c>
      <c r="AP32" s="765">
        <f t="shared" si="17"/>
        <v>0</v>
      </c>
      <c r="AQ32" s="765">
        <f t="shared" si="17"/>
        <v>0</v>
      </c>
      <c r="AR32" s="765">
        <f t="shared" si="17"/>
        <v>0</v>
      </c>
      <c r="AS32" s="765">
        <f t="shared" si="17"/>
        <v>0</v>
      </c>
      <c r="AT32" s="765">
        <f t="shared" si="17"/>
        <v>0</v>
      </c>
      <c r="AU32" s="34">
        <f>SUM(AU29:AU31)</f>
        <v>0</v>
      </c>
      <c r="AV32" s="34">
        <f>SUM(AI32:AU32)</f>
        <v>40569</v>
      </c>
      <c r="AW32" s="266"/>
    </row>
    <row r="33" spans="1:49" s="34" customFormat="1" ht="12">
      <c r="A33" s="32"/>
      <c r="E33" s="1015"/>
      <c r="F33" s="763"/>
      <c r="G33" s="763"/>
      <c r="H33" s="763"/>
      <c r="I33" s="763"/>
      <c r="J33" s="763"/>
      <c r="K33" s="763"/>
      <c r="L33" s="763"/>
      <c r="M33" s="71"/>
      <c r="N33" s="763"/>
      <c r="O33" s="763"/>
      <c r="P33" s="763"/>
      <c r="Q33" s="763"/>
      <c r="R33" s="763"/>
      <c r="S33" s="763"/>
      <c r="T33" s="763"/>
      <c r="U33" s="763"/>
      <c r="V33" s="763"/>
      <c r="W33" s="763"/>
      <c r="X33" s="763"/>
      <c r="Y33" s="763"/>
      <c r="Z33" s="763"/>
      <c r="AA33" s="763"/>
      <c r="AB33" s="763"/>
      <c r="AC33" s="763"/>
      <c r="AD33" s="763"/>
      <c r="AE33" s="763"/>
      <c r="AF33" s="763"/>
      <c r="AG33" s="763"/>
      <c r="AH33" s="989"/>
      <c r="AI33" s="71"/>
      <c r="AJ33" s="763"/>
      <c r="AK33" s="763"/>
      <c r="AL33" s="763"/>
      <c r="AM33" s="763"/>
      <c r="AN33" s="763"/>
      <c r="AO33" s="763"/>
      <c r="AP33" s="763"/>
      <c r="AQ33" s="763"/>
      <c r="AR33" s="763"/>
      <c r="AS33" s="763"/>
      <c r="AT33" s="763"/>
      <c r="AU33" s="71"/>
      <c r="AV33" s="71"/>
      <c r="AW33" s="264"/>
    </row>
    <row r="34" spans="1:59" s="34" customFormat="1" ht="12">
      <c r="A34" s="32">
        <v>16</v>
      </c>
      <c r="B34" s="34" t="s">
        <v>437</v>
      </c>
      <c r="E34" s="1015">
        <f>ResultSumEl!F29</f>
        <v>8444</v>
      </c>
      <c r="F34" s="763">
        <f>DFITWaEl!$F29</f>
        <v>0</v>
      </c>
      <c r="G34" s="763">
        <f>BldGain!$F29</f>
        <v>0</v>
      </c>
      <c r="H34" s="763">
        <f>ColstripAFUDC!$F29</f>
        <v>0</v>
      </c>
      <c r="I34" s="763">
        <f>ColstripCommon!$F29</f>
        <v>0</v>
      </c>
      <c r="J34" s="763">
        <f>KFSumm!$F29</f>
        <v>0</v>
      </c>
      <c r="K34" s="763">
        <f>CustAdv!$F29</f>
        <v>0</v>
      </c>
      <c r="L34" s="763">
        <f>SettleEx!$F29</f>
        <v>0</v>
      </c>
      <c r="M34" s="71">
        <f>SUM(E34:L34)</f>
        <v>8444</v>
      </c>
      <c r="N34" s="763">
        <f>HydroRel!$F29</f>
        <v>0</v>
      </c>
      <c r="O34" s="763">
        <f>BandO!$F29</f>
        <v>0</v>
      </c>
      <c r="P34" s="763">
        <f>PropTax!$F29</f>
        <v>0</v>
      </c>
      <c r="Q34" s="763">
        <f>UncollExp!$F29</f>
        <v>-135</v>
      </c>
      <c r="R34" s="763">
        <f>RegExp!$F29</f>
        <v>0</v>
      </c>
      <c r="S34" s="763">
        <f>InjDam!$F29</f>
        <v>0</v>
      </c>
      <c r="T34" s="763">
        <f>FIT!$F29</f>
        <v>0</v>
      </c>
      <c r="U34" s="763">
        <f>ElimPowerCost!$F29</f>
        <v>-87</v>
      </c>
      <c r="V34" s="763">
        <f>NezPerce!$F29</f>
        <v>0</v>
      </c>
      <c r="W34" s="763">
        <f>PayClear!$F29</f>
        <v>-144</v>
      </c>
      <c r="X34" s="763">
        <f>'CS2'!$F29</f>
        <v>0</v>
      </c>
      <c r="Y34" s="763">
        <f>WAPGE!$F29</f>
        <v>0</v>
      </c>
      <c r="Z34" s="763">
        <f>ElimAR!$F29</f>
        <v>-726</v>
      </c>
      <c r="AA34" s="763">
        <f>SubSpace!$F29</f>
        <v>0</v>
      </c>
      <c r="AB34" s="763">
        <f>XFranchTax!$F29</f>
        <v>0</v>
      </c>
      <c r="AC34" s="763">
        <f>WARevAdj!$F29</f>
        <v>-1</v>
      </c>
      <c r="AD34" s="763">
        <f>MiscTariffs!$F29</f>
        <v>1</v>
      </c>
      <c r="AE34" s="763">
        <f>Depr!$F29</f>
        <v>0</v>
      </c>
      <c r="AF34" s="763">
        <f>Incent!$F29</f>
        <v>0</v>
      </c>
      <c r="AG34" s="763">
        <f>DebtInt!$F29</f>
        <v>0</v>
      </c>
      <c r="AH34" s="989"/>
      <c r="AI34" s="71">
        <f>SUM(M34:AH34)</f>
        <v>7352</v>
      </c>
      <c r="AJ34" s="763">
        <f>PFPSWA!$F29</f>
        <v>0</v>
      </c>
      <c r="AK34" s="763">
        <f>PFPension!$F29</f>
        <v>-73</v>
      </c>
      <c r="AL34" s="763">
        <f>PFIns!$F29</f>
        <v>0</v>
      </c>
      <c r="AM34" s="763">
        <f>PFLabor!$F29</f>
        <v>263</v>
      </c>
      <c r="AN34" s="763">
        <f>PFExec!$F29</f>
        <v>0</v>
      </c>
      <c r="AO34" s="763">
        <f>PFVeg!$F29</f>
        <v>0</v>
      </c>
      <c r="AP34" s="763">
        <f>PFTransm!$F29</f>
        <v>0</v>
      </c>
      <c r="AQ34" s="763">
        <f>PFSkook!$F29</f>
        <v>0</v>
      </c>
      <c r="AR34" s="763">
        <f>PFCanSmGen!$F29</f>
        <v>0</v>
      </c>
      <c r="AS34" s="763">
        <f>ProdTaxCr!$F29</f>
        <v>0</v>
      </c>
      <c r="AT34" s="763">
        <f>PFAlloc!$F29</f>
        <v>0</v>
      </c>
      <c r="AU34" s="71"/>
      <c r="AV34" s="71">
        <f>SUM(AI34:AU34)</f>
        <v>7542</v>
      </c>
      <c r="AW34" s="264"/>
      <c r="AX34" s="780"/>
      <c r="AY34" s="779"/>
      <c r="BD34" s="784"/>
      <c r="BE34" s="782"/>
      <c r="BF34" s="782"/>
      <c r="BG34" s="782"/>
    </row>
    <row r="35" spans="1:59" s="34" customFormat="1" ht="12">
      <c r="A35" s="32">
        <v>17</v>
      </c>
      <c r="B35" s="34" t="s">
        <v>438</v>
      </c>
      <c r="E35" s="1015">
        <f>ResultSumEl!F30</f>
        <v>7220</v>
      </c>
      <c r="F35" s="763">
        <f>DFITWaEl!$F30</f>
        <v>0</v>
      </c>
      <c r="G35" s="763">
        <f>BldGain!$F30</f>
        <v>0</v>
      </c>
      <c r="H35" s="763">
        <f>ColstripAFUDC!$F30</f>
        <v>0</v>
      </c>
      <c r="I35" s="763">
        <f>ColstripCommon!$F30</f>
        <v>0</v>
      </c>
      <c r="J35" s="763">
        <f>KFSumm!$F30</f>
        <v>0</v>
      </c>
      <c r="K35" s="763">
        <f>CustAdv!$F30</f>
        <v>0</v>
      </c>
      <c r="L35" s="763">
        <f>SettleEx!$F30</f>
        <v>0</v>
      </c>
      <c r="M35" s="71">
        <f>SUM(E35:L35)</f>
        <v>7220</v>
      </c>
      <c r="N35" s="763">
        <f>HydroRel!$F30</f>
        <v>0</v>
      </c>
      <c r="O35" s="763">
        <f>BandO!$F30</f>
        <v>0</v>
      </c>
      <c r="P35" s="763">
        <f>PropTax!$F30</f>
        <v>0</v>
      </c>
      <c r="Q35" s="763">
        <f>UncollExp!$F30</f>
        <v>0</v>
      </c>
      <c r="R35" s="763">
        <f>RegExp!$F30</f>
        <v>0</v>
      </c>
      <c r="S35" s="763">
        <f>InjDam!$F30</f>
        <v>0</v>
      </c>
      <c r="T35" s="763">
        <f>FIT!$F30</f>
        <v>0</v>
      </c>
      <c r="U35" s="763">
        <f>ElimPowerCost!$F30</f>
        <v>0</v>
      </c>
      <c r="V35" s="763">
        <f>NezPerce!$F30</f>
        <v>0</v>
      </c>
      <c r="W35" s="763">
        <f>PayClear!$F30</f>
        <v>-2</v>
      </c>
      <c r="X35" s="763">
        <f>'CS2'!$F30</f>
        <v>0</v>
      </c>
      <c r="Y35" s="763">
        <f>WAPGE!$F30</f>
        <v>0</v>
      </c>
      <c r="Z35" s="763">
        <f>ElimAR!$F30</f>
        <v>0</v>
      </c>
      <c r="AA35" s="763">
        <f>SubSpace!$F30</f>
        <v>0</v>
      </c>
      <c r="AB35" s="763">
        <f>XFranchTax!$F30</f>
        <v>-305</v>
      </c>
      <c r="AC35" s="763">
        <f>WARevAdj!$F30</f>
        <v>-417</v>
      </c>
      <c r="AD35" s="763">
        <f>MiscTariffs!$F30</f>
        <v>-6230</v>
      </c>
      <c r="AE35" s="763">
        <f>Depr!$F30</f>
        <v>0</v>
      </c>
      <c r="AF35" s="763">
        <f>Incent!$F30</f>
        <v>0</v>
      </c>
      <c r="AG35" s="763">
        <f>DebtInt!$F30</f>
        <v>0</v>
      </c>
      <c r="AH35" s="989"/>
      <c r="AI35" s="71">
        <f>SUM(M35:AH35)</f>
        <v>266</v>
      </c>
      <c r="AJ35" s="763">
        <f>PFPSWA!$F30</f>
        <v>0</v>
      </c>
      <c r="AK35" s="763">
        <f>PFPension!$F30</f>
        <v>-1</v>
      </c>
      <c r="AL35" s="763">
        <f>PFIns!$F30</f>
        <v>0</v>
      </c>
      <c r="AM35" s="763">
        <f>PFLabor!$F30</f>
        <v>4</v>
      </c>
      <c r="AN35" s="763">
        <f>PFExec!$F30</f>
        <v>0</v>
      </c>
      <c r="AO35" s="763">
        <f>PFVeg!$F30</f>
        <v>0</v>
      </c>
      <c r="AP35" s="763">
        <f>PFTransm!$F30</f>
        <v>0</v>
      </c>
      <c r="AQ35" s="763">
        <f>PFSkook!$F30</f>
        <v>0</v>
      </c>
      <c r="AR35" s="763">
        <f>PFCanSmGen!$F30</f>
        <v>0</v>
      </c>
      <c r="AS35" s="763">
        <f>ProdTaxCr!$F30</f>
        <v>0</v>
      </c>
      <c r="AT35" s="763">
        <f>PFAlloc!$F30</f>
        <v>0</v>
      </c>
      <c r="AU35" s="71"/>
      <c r="AV35" s="71">
        <f>SUM(AI35:AU35)</f>
        <v>269</v>
      </c>
      <c r="AW35" s="264"/>
      <c r="AZ35" s="779"/>
      <c r="BB35" s="781"/>
      <c r="BD35" s="785"/>
      <c r="BE35" s="785"/>
      <c r="BF35" s="785"/>
      <c r="BG35" s="782"/>
    </row>
    <row r="36" spans="1:54" s="34" customFormat="1" ht="12">
      <c r="A36" s="32">
        <v>18</v>
      </c>
      <c r="B36" s="34" t="s">
        <v>439</v>
      </c>
      <c r="E36" s="1015">
        <f>ResultSumEl!F31</f>
        <v>703</v>
      </c>
      <c r="F36" s="763">
        <f>DFITWaEl!$F31</f>
        <v>0</v>
      </c>
      <c r="G36" s="763">
        <f>BldGain!$F31</f>
        <v>0</v>
      </c>
      <c r="H36" s="763">
        <f>ColstripAFUDC!$F31</f>
        <v>0</v>
      </c>
      <c r="I36" s="763">
        <f>ColstripCommon!$F31</f>
        <v>0</v>
      </c>
      <c r="J36" s="763">
        <f>KFSumm!$F31</f>
        <v>0</v>
      </c>
      <c r="K36" s="763">
        <f>CustAdv!$F31</f>
        <v>0</v>
      </c>
      <c r="L36" s="763">
        <f>SettleEx!$F31</f>
        <v>0</v>
      </c>
      <c r="M36" s="71">
        <f>SUM(E36:L36)</f>
        <v>703</v>
      </c>
      <c r="N36" s="763">
        <f>HydroRel!$F31</f>
        <v>0</v>
      </c>
      <c r="O36" s="763">
        <f>BandO!$F31</f>
        <v>0</v>
      </c>
      <c r="P36" s="763">
        <f>PropTax!$F31</f>
        <v>0</v>
      </c>
      <c r="Q36" s="763">
        <f>UncollExp!$F31</f>
        <v>0</v>
      </c>
      <c r="R36" s="763">
        <f>RegExp!$F31</f>
        <v>0</v>
      </c>
      <c r="S36" s="763">
        <f>InjDam!$F31</f>
        <v>0</v>
      </c>
      <c r="T36" s="763">
        <f>FIT!$F31</f>
        <v>0</v>
      </c>
      <c r="U36" s="763">
        <f>ElimPowerCost!$F31</f>
        <v>0</v>
      </c>
      <c r="V36" s="763">
        <f>NezPerce!$F31</f>
        <v>0</v>
      </c>
      <c r="W36" s="763">
        <f>PayClear!$F31</f>
        <v>-17</v>
      </c>
      <c r="X36" s="763">
        <f>'CS2'!$F31</f>
        <v>0</v>
      </c>
      <c r="Y36" s="763">
        <f>WAPGE!$F31</f>
        <v>0</v>
      </c>
      <c r="Z36" s="763">
        <f>ElimAR!$F31</f>
        <v>0</v>
      </c>
      <c r="AA36" s="763">
        <f>SubSpace!$F31</f>
        <v>0</v>
      </c>
      <c r="AB36" s="763">
        <f>XFranchTax!$F31</f>
        <v>0</v>
      </c>
      <c r="AC36" s="763">
        <f>WARevAdj!$F31</f>
        <v>0</v>
      </c>
      <c r="AD36" s="763">
        <f>MiscTariffs!$F31</f>
        <v>0</v>
      </c>
      <c r="AE36" s="763">
        <f>Depr!$F31</f>
        <v>0</v>
      </c>
      <c r="AF36" s="763">
        <f>Incent!$F31</f>
        <v>0</v>
      </c>
      <c r="AG36" s="763">
        <f>DebtInt!$F31</f>
        <v>0</v>
      </c>
      <c r="AH36" s="989"/>
      <c r="AI36" s="71">
        <f>SUM(M36:AH36)</f>
        <v>686</v>
      </c>
      <c r="AJ36" s="763">
        <f>PFPSWA!$F31</f>
        <v>0</v>
      </c>
      <c r="AK36" s="763">
        <f>PFPension!$F31</f>
        <v>-8</v>
      </c>
      <c r="AL36" s="763">
        <f>PFIns!$F31</f>
        <v>0</v>
      </c>
      <c r="AM36" s="763">
        <f>PFLabor!$F31</f>
        <v>31</v>
      </c>
      <c r="AN36" s="763">
        <f>PFExec!$F31</f>
        <v>0</v>
      </c>
      <c r="AO36" s="763">
        <f>PFVeg!$F31</f>
        <v>0</v>
      </c>
      <c r="AP36" s="763">
        <f>PFTransm!$F31</f>
        <v>0</v>
      </c>
      <c r="AQ36" s="763">
        <f>PFSkook!$F31</f>
        <v>0</v>
      </c>
      <c r="AR36" s="763">
        <f>PFCanSmGen!$F31</f>
        <v>0</v>
      </c>
      <c r="AS36" s="763">
        <f>ProdTaxCr!$F31</f>
        <v>0</v>
      </c>
      <c r="AT36" s="763">
        <f>PFAlloc!$F31</f>
        <v>0</v>
      </c>
      <c r="AU36" s="71"/>
      <c r="AV36" s="71">
        <f>SUM(AI36:AU36)</f>
        <v>709</v>
      </c>
      <c r="AW36" s="264"/>
      <c r="AZ36" s="779"/>
      <c r="BB36" s="781"/>
    </row>
    <row r="37" spans="5:49" s="34" customFormat="1" ht="12">
      <c r="E37" s="1015"/>
      <c r="F37" s="763">
        <f>DFITWaEl!$F32</f>
        <v>0</v>
      </c>
      <c r="G37" s="763">
        <f>BldGain!$F32</f>
        <v>0</v>
      </c>
      <c r="H37" s="763">
        <f>ColstripAFUDC!$F32</f>
        <v>0</v>
      </c>
      <c r="I37" s="763">
        <f>ColstripCommon!$F32</f>
        <v>0</v>
      </c>
      <c r="J37" s="763">
        <f>KFSumm!$F32</f>
        <v>0</v>
      </c>
      <c r="K37" s="763">
        <f>CustAdv!$F32</f>
        <v>0</v>
      </c>
      <c r="L37" s="763">
        <f>SettleEx!$F32</f>
        <v>0</v>
      </c>
      <c r="M37" s="71"/>
      <c r="N37" s="763">
        <f>HydroRel!$F32</f>
        <v>0</v>
      </c>
      <c r="O37" s="763">
        <f>BandO!$F32</f>
        <v>0</v>
      </c>
      <c r="P37" s="763">
        <f>PropTax!$F32</f>
        <v>0</v>
      </c>
      <c r="Q37" s="763">
        <f>UncollExp!$F32</f>
        <v>0</v>
      </c>
      <c r="R37" s="763">
        <f>RegExp!$F32</f>
        <v>0</v>
      </c>
      <c r="S37" s="763">
        <f>InjDam!$F32</f>
        <v>0</v>
      </c>
      <c r="T37" s="763">
        <f>FIT!$F32</f>
        <v>0</v>
      </c>
      <c r="U37" s="763">
        <f>ElimPowerCost!$F32</f>
        <v>0</v>
      </c>
      <c r="V37" s="763">
        <f>NezPerce!$F32</f>
        <v>0</v>
      </c>
      <c r="W37" s="763">
        <f>PayClear!$F32</f>
        <v>0</v>
      </c>
      <c r="X37" s="763">
        <f>'CS2'!$F32</f>
        <v>0</v>
      </c>
      <c r="Y37" s="763">
        <f>WAPGE!$F32</f>
        <v>0</v>
      </c>
      <c r="Z37" s="763">
        <f>ElimAR!$F32</f>
        <v>0</v>
      </c>
      <c r="AA37" s="763">
        <f>SubSpace!$F32</f>
        <v>0</v>
      </c>
      <c r="AB37" s="763">
        <f>XFranchTax!$F32</f>
        <v>0</v>
      </c>
      <c r="AC37" s="763">
        <f>WARevAdj!$F32</f>
        <v>0</v>
      </c>
      <c r="AD37" s="763">
        <f>MiscTariffs!$F32</f>
        <v>0</v>
      </c>
      <c r="AE37" s="763">
        <f>Depr!$F32</f>
        <v>0</v>
      </c>
      <c r="AF37" s="763">
        <f>Incent!$F32</f>
        <v>0</v>
      </c>
      <c r="AG37" s="763">
        <f>DebtInt!$F32</f>
        <v>0</v>
      </c>
      <c r="AH37" s="989"/>
      <c r="AI37" s="71"/>
      <c r="AJ37" s="763">
        <f>PFPSWA!$F32</f>
        <v>0</v>
      </c>
      <c r="AK37" s="763">
        <f>PFPension!$F32</f>
        <v>0</v>
      </c>
      <c r="AL37" s="763">
        <f>PFIns!$F32</f>
        <v>0</v>
      </c>
      <c r="AM37" s="763">
        <f>PFLabor!$F32</f>
        <v>0</v>
      </c>
      <c r="AN37" s="763">
        <f>PFExec!$F32</f>
        <v>0</v>
      </c>
      <c r="AO37" s="763">
        <f>PFVeg!$F32</f>
        <v>0</v>
      </c>
      <c r="AP37" s="763">
        <f>PFTransm!$F32</f>
        <v>0</v>
      </c>
      <c r="AQ37" s="763">
        <f>PFSkook!$F32</f>
        <v>0</v>
      </c>
      <c r="AR37" s="763">
        <f>PFCanSmGen!$F32</f>
        <v>0</v>
      </c>
      <c r="AS37" s="763">
        <f>ProdTaxCr!$F32</f>
        <v>0</v>
      </c>
      <c r="AT37" s="763">
        <f>PFAlloc!$F32</f>
        <v>0</v>
      </c>
      <c r="AU37" s="71"/>
      <c r="AV37" s="71"/>
      <c r="AW37" s="264"/>
    </row>
    <row r="38" spans="1:49" s="34" customFormat="1" ht="12">
      <c r="A38" s="32"/>
      <c r="B38" s="34" t="s">
        <v>440</v>
      </c>
      <c r="E38" s="1015"/>
      <c r="F38" s="763">
        <f>DFITWaEl!$F33</f>
        <v>0</v>
      </c>
      <c r="G38" s="763">
        <f>BldGain!$F33</f>
        <v>0</v>
      </c>
      <c r="H38" s="763">
        <f>ColstripAFUDC!$F33</f>
        <v>0</v>
      </c>
      <c r="I38" s="763">
        <f>ColstripCommon!$F33</f>
        <v>0</v>
      </c>
      <c r="J38" s="763">
        <f>KFSumm!$F33</f>
        <v>0</v>
      </c>
      <c r="K38" s="763">
        <f>CustAdv!$F33</f>
        <v>0</v>
      </c>
      <c r="L38" s="763">
        <f>SettleEx!$F33</f>
        <v>0</v>
      </c>
      <c r="M38" s="71"/>
      <c r="N38" s="763">
        <f>HydroRel!$F33</f>
        <v>0</v>
      </c>
      <c r="O38" s="763">
        <f>BandO!$F33</f>
        <v>0</v>
      </c>
      <c r="P38" s="763">
        <f>PropTax!$F33</f>
        <v>0</v>
      </c>
      <c r="Q38" s="763">
        <f>UncollExp!$F33</f>
        <v>0</v>
      </c>
      <c r="R38" s="763">
        <f>RegExp!$F33</f>
        <v>0</v>
      </c>
      <c r="S38" s="763">
        <f>InjDam!$F33</f>
        <v>0</v>
      </c>
      <c r="T38" s="763">
        <f>FIT!$F33</f>
        <v>0</v>
      </c>
      <c r="U38" s="763">
        <f>ElimPowerCost!$F33</f>
        <v>0</v>
      </c>
      <c r="V38" s="763">
        <f>NezPerce!$F33</f>
        <v>0</v>
      </c>
      <c r="W38" s="763">
        <f>PayClear!$F33</f>
        <v>0</v>
      </c>
      <c r="X38" s="763">
        <f>'CS2'!$F33</f>
        <v>0</v>
      </c>
      <c r="Y38" s="763">
        <f>WAPGE!$F33</f>
        <v>0</v>
      </c>
      <c r="Z38" s="763">
        <f>ElimAR!$F33</f>
        <v>0</v>
      </c>
      <c r="AA38" s="763">
        <f>SubSpace!$F33</f>
        <v>0</v>
      </c>
      <c r="AB38" s="763">
        <f>XFranchTax!$F33</f>
        <v>0</v>
      </c>
      <c r="AC38" s="763">
        <f>WARevAdj!$F33</f>
        <v>0</v>
      </c>
      <c r="AD38" s="763">
        <f>MiscTariffs!$F33</f>
        <v>0</v>
      </c>
      <c r="AE38" s="763">
        <f>Depr!$F33</f>
        <v>0</v>
      </c>
      <c r="AF38" s="763">
        <f>Incent!$F33</f>
        <v>0</v>
      </c>
      <c r="AG38" s="763">
        <f>DebtInt!$F33</f>
        <v>0</v>
      </c>
      <c r="AH38" s="989"/>
      <c r="AI38" s="71"/>
      <c r="AJ38" s="763">
        <f>PFPSWA!$F33</f>
        <v>0</v>
      </c>
      <c r="AK38" s="763">
        <f>PFPension!$F33</f>
        <v>0</v>
      </c>
      <c r="AL38" s="763">
        <f>PFIns!$F33</f>
        <v>0</v>
      </c>
      <c r="AM38" s="763">
        <f>PFLabor!$F33</f>
        <v>0</v>
      </c>
      <c r="AN38" s="763">
        <f>PFExec!$F33</f>
        <v>0</v>
      </c>
      <c r="AO38" s="763">
        <f>PFVeg!$F33</f>
        <v>0</v>
      </c>
      <c r="AP38" s="763">
        <f>PFTransm!$F33</f>
        <v>0</v>
      </c>
      <c r="AQ38" s="763">
        <f>PFSkook!$F33</f>
        <v>0</v>
      </c>
      <c r="AR38" s="763">
        <f>PFCanSmGen!$F33</f>
        <v>0</v>
      </c>
      <c r="AS38" s="763">
        <f>ProdTaxCr!$F33</f>
        <v>0</v>
      </c>
      <c r="AT38" s="763">
        <f>PFAlloc!$F33</f>
        <v>0</v>
      </c>
      <c r="AU38" s="71"/>
      <c r="AV38" s="71"/>
      <c r="AW38" s="264"/>
    </row>
    <row r="39" spans="1:49" s="34" customFormat="1" ht="12">
      <c r="A39" s="32">
        <v>19</v>
      </c>
      <c r="C39" s="34" t="s">
        <v>429</v>
      </c>
      <c r="E39" s="1015">
        <f>ResultSumEl!F34</f>
        <v>32768</v>
      </c>
      <c r="F39" s="763">
        <f>DFITWaEl!$F34</f>
        <v>0</v>
      </c>
      <c r="G39" s="763">
        <f>BldGain!$F34</f>
        <v>0</v>
      </c>
      <c r="H39" s="763">
        <f>ColstripAFUDC!$F34</f>
        <v>0</v>
      </c>
      <c r="I39" s="763">
        <f>ColstripCommon!$F34</f>
        <v>0</v>
      </c>
      <c r="J39" s="763">
        <f>KFSumm!$F34</f>
        <v>0</v>
      </c>
      <c r="K39" s="763">
        <f>CustAdv!$F34</f>
        <v>0</v>
      </c>
      <c r="L39" s="763">
        <f>SettleEx!$F34</f>
        <v>0</v>
      </c>
      <c r="M39" s="71">
        <f>SUM(E39:L39)</f>
        <v>32768</v>
      </c>
      <c r="N39" s="763">
        <f>HydroRel!$F34</f>
        <v>0</v>
      </c>
      <c r="O39" s="763">
        <f>BandO!$F34</f>
        <v>114</v>
      </c>
      <c r="P39" s="763">
        <f>PropTax!$F34</f>
        <v>0</v>
      </c>
      <c r="Q39" s="763">
        <f>UncollExp!$F34</f>
        <v>0</v>
      </c>
      <c r="R39" s="763">
        <f>RegExp!$F34</f>
        <v>-312</v>
      </c>
      <c r="S39" s="763">
        <f>InjDam!$F34</f>
        <v>108</v>
      </c>
      <c r="T39" s="763">
        <f>FIT!$F34</f>
        <v>0</v>
      </c>
      <c r="U39" s="763">
        <f>ElimPowerCost!$F34</f>
        <v>-52</v>
      </c>
      <c r="V39" s="763">
        <f>NezPerce!$F34</f>
        <v>0</v>
      </c>
      <c r="W39" s="763">
        <f>PayClear!$F34</f>
        <v>-768</v>
      </c>
      <c r="X39" s="763">
        <f>'CS2'!$F34</f>
        <v>156</v>
      </c>
      <c r="Y39" s="763">
        <f>WAPGE!$F34</f>
        <v>0</v>
      </c>
      <c r="Z39" s="763">
        <f>ElimAR!$F34</f>
        <v>0</v>
      </c>
      <c r="AA39" s="763">
        <f>SubSpace!$F34</f>
        <v>-25</v>
      </c>
      <c r="AB39" s="763">
        <f>XFranchTax!$F34</f>
        <v>-114</v>
      </c>
      <c r="AC39" s="763">
        <f>WARevAdj!$F34</f>
        <v>0</v>
      </c>
      <c r="AD39" s="763">
        <f>MiscTariffs!$F34</f>
        <v>1</v>
      </c>
      <c r="AE39" s="763">
        <f>Depr!$F34</f>
        <v>0</v>
      </c>
      <c r="AF39" s="763">
        <f>Incent!$F34</f>
        <v>51</v>
      </c>
      <c r="AG39" s="763">
        <f>DebtInt!$F34</f>
        <v>0</v>
      </c>
      <c r="AH39" s="989"/>
      <c r="AI39" s="71">
        <f>SUM(M39:AH39)</f>
        <v>31927</v>
      </c>
      <c r="AJ39" s="763">
        <f>PFPSWA!$F34</f>
        <v>0</v>
      </c>
      <c r="AK39" s="763">
        <f>PFPension!$F34</f>
        <v>-150</v>
      </c>
      <c r="AL39" s="763">
        <f>PFIns!$F34</f>
        <v>-375</v>
      </c>
      <c r="AM39" s="763">
        <f>PFLabor!$F34</f>
        <v>467</v>
      </c>
      <c r="AN39" s="763">
        <f>PFExec!$F34</f>
        <v>64</v>
      </c>
      <c r="AO39" s="763">
        <f>PFVeg!$F34</f>
        <v>0</v>
      </c>
      <c r="AP39" s="763">
        <f>PFTransm!$F34</f>
        <v>0</v>
      </c>
      <c r="AQ39" s="763">
        <f>PFSkook!$F34</f>
        <v>0</v>
      </c>
      <c r="AR39" s="763">
        <f>PFCanSmGen!$F34</f>
        <v>0</v>
      </c>
      <c r="AS39" s="763">
        <f>ProdTaxCr!$F34</f>
        <v>0</v>
      </c>
      <c r="AT39" s="763">
        <f>PFAlloc!$F34</f>
        <v>521</v>
      </c>
      <c r="AU39" s="71"/>
      <c r="AV39" s="71">
        <f>SUM(AI39:AU39)</f>
        <v>32454</v>
      </c>
      <c r="AW39" s="264"/>
    </row>
    <row r="40" spans="1:49" s="34" customFormat="1" ht="12">
      <c r="A40" s="32">
        <v>20</v>
      </c>
      <c r="C40" s="34" t="s">
        <v>435</v>
      </c>
      <c r="E40" s="1015">
        <f>ResultSumEl!F35</f>
        <v>4370</v>
      </c>
      <c r="F40" s="763">
        <f>DFITWaEl!$F35</f>
        <v>0</v>
      </c>
      <c r="G40" s="763">
        <f>BldGain!$F35</f>
        <v>0</v>
      </c>
      <c r="H40" s="763">
        <f>ColstripAFUDC!$F35</f>
        <v>0</v>
      </c>
      <c r="I40" s="763">
        <f>ColstripCommon!$F35</f>
        <v>0</v>
      </c>
      <c r="J40" s="763">
        <f>KFSumm!$F35</f>
        <v>0</v>
      </c>
      <c r="K40" s="763">
        <f>CustAdv!$F35</f>
        <v>0</v>
      </c>
      <c r="L40" s="763">
        <f>SettleEx!$F35</f>
        <v>0</v>
      </c>
      <c r="M40" s="71">
        <f>SUM(E40:L40)</f>
        <v>4370</v>
      </c>
      <c r="N40" s="763">
        <f>HydroRel!$F35</f>
        <v>0</v>
      </c>
      <c r="O40" s="763">
        <f>BandO!$F35</f>
        <v>0</v>
      </c>
      <c r="P40" s="763">
        <f>PropTax!$F35</f>
        <v>0</v>
      </c>
      <c r="Q40" s="763">
        <f>UncollExp!$F35</f>
        <v>0</v>
      </c>
      <c r="R40" s="763">
        <f>RegExp!$F35</f>
        <v>0</v>
      </c>
      <c r="S40" s="763">
        <f>InjDam!$F35</f>
        <v>0</v>
      </c>
      <c r="T40" s="763">
        <f>FIT!$F35</f>
        <v>0</v>
      </c>
      <c r="U40" s="763">
        <f>ElimPowerCost!$F35</f>
        <v>0</v>
      </c>
      <c r="V40" s="763">
        <f>NezPerce!$F35</f>
        <v>0</v>
      </c>
      <c r="W40" s="763">
        <f>PayClear!$F35</f>
        <v>0</v>
      </c>
      <c r="X40" s="763">
        <f>'CS2'!$F35</f>
        <v>0</v>
      </c>
      <c r="Y40" s="763">
        <f>WAPGE!$F35</f>
        <v>0</v>
      </c>
      <c r="Z40" s="763">
        <f>ElimAR!$F35</f>
        <v>0</v>
      </c>
      <c r="AA40" s="763">
        <f>SubSpace!$F35</f>
        <v>0</v>
      </c>
      <c r="AB40" s="763">
        <f>XFranchTax!$F35</f>
        <v>0</v>
      </c>
      <c r="AC40" s="763">
        <f>WARevAdj!$F35</f>
        <v>0</v>
      </c>
      <c r="AD40" s="763">
        <f>MiscTariffs!$F35</f>
        <v>0</v>
      </c>
      <c r="AE40" s="763">
        <f>Depr!$F35</f>
        <v>1702</v>
      </c>
      <c r="AF40" s="763">
        <f>Incent!$F35</f>
        <v>0</v>
      </c>
      <c r="AG40" s="763">
        <f>DebtInt!$F35</f>
        <v>0</v>
      </c>
      <c r="AH40" s="989"/>
      <c r="AI40" s="71">
        <f>SUM(M40:AH40)</f>
        <v>6072</v>
      </c>
      <c r="AJ40" s="763">
        <f>PFPSWA!$F35</f>
        <v>0</v>
      </c>
      <c r="AK40" s="763">
        <f>PFPension!$F35</f>
        <v>0</v>
      </c>
      <c r="AL40" s="763">
        <f>PFIns!$F35</f>
        <v>0</v>
      </c>
      <c r="AM40" s="763">
        <f>PFLabor!$F35</f>
        <v>0</v>
      </c>
      <c r="AN40" s="763">
        <f>PFExec!$F35</f>
        <v>0</v>
      </c>
      <c r="AO40" s="763">
        <f>PFVeg!$F35</f>
        <v>0</v>
      </c>
      <c r="AP40" s="763">
        <f>PFTransm!$F35</f>
        <v>0</v>
      </c>
      <c r="AQ40" s="763">
        <f>PFSkook!$F35</f>
        <v>0</v>
      </c>
      <c r="AR40" s="763">
        <f>PFCanSmGen!$F35</f>
        <v>0</v>
      </c>
      <c r="AS40" s="763">
        <f>ProdTaxCr!$F35</f>
        <v>0</v>
      </c>
      <c r="AT40" s="763">
        <f>PFAlloc!$F35</f>
        <v>13</v>
      </c>
      <c r="AU40" s="71"/>
      <c r="AV40" s="71">
        <f>SUM(AI40:AU40)</f>
        <v>6085</v>
      </c>
      <c r="AW40" s="264"/>
    </row>
    <row r="41" spans="1:49" s="34" customFormat="1" ht="12">
      <c r="A41" s="32">
        <v>21</v>
      </c>
      <c r="C41" s="34" t="s">
        <v>432</v>
      </c>
      <c r="E41" s="1016">
        <f>ResultSumEl!F36</f>
        <v>0</v>
      </c>
      <c r="F41" s="764">
        <f>DFITWaEl!$F36</f>
        <v>0</v>
      </c>
      <c r="G41" s="764">
        <f>BldGain!$F36</f>
        <v>0</v>
      </c>
      <c r="H41" s="764">
        <f>ColstripAFUDC!$F36</f>
        <v>0</v>
      </c>
      <c r="I41" s="764">
        <f>ColstripCommon!$F36</f>
        <v>0</v>
      </c>
      <c r="J41" s="764">
        <f>KFSumm!$F36</f>
        <v>0</v>
      </c>
      <c r="K41" s="764">
        <f>CustAdv!$F36</f>
        <v>0</v>
      </c>
      <c r="L41" s="764">
        <f>SettleEx!$F36</f>
        <v>0</v>
      </c>
      <c r="M41" s="72">
        <f>SUM(E41:L41)</f>
        <v>0</v>
      </c>
      <c r="N41" s="764">
        <f>HydroRel!$F36</f>
        <v>0</v>
      </c>
      <c r="O41" s="764">
        <f>BandO!$F36</f>
        <v>0</v>
      </c>
      <c r="P41" s="764">
        <f>PropTax!$F36</f>
        <v>3</v>
      </c>
      <c r="Q41" s="764">
        <f>UncollExp!$F36</f>
        <v>0</v>
      </c>
      <c r="R41" s="764">
        <f>RegExp!$F36</f>
        <v>0</v>
      </c>
      <c r="S41" s="764">
        <f>InjDam!$F36</f>
        <v>0</v>
      </c>
      <c r="T41" s="764">
        <f>FIT!$F36</f>
        <v>0</v>
      </c>
      <c r="U41" s="764">
        <f>ElimPowerCost!$F36</f>
        <v>0</v>
      </c>
      <c r="V41" s="764">
        <f>NezPerce!$F36</f>
        <v>0</v>
      </c>
      <c r="W41" s="764">
        <f>PayClear!$F36</f>
        <v>0</v>
      </c>
      <c r="X41" s="764">
        <f>'CS2'!$F36</f>
        <v>0</v>
      </c>
      <c r="Y41" s="764">
        <f>WAPGE!$F36</f>
        <v>0</v>
      </c>
      <c r="Z41" s="764">
        <f>ElimAR!$F36</f>
        <v>0</v>
      </c>
      <c r="AA41" s="764">
        <f>SubSpace!$F36</f>
        <v>0</v>
      </c>
      <c r="AB41" s="764">
        <f>XFranchTax!$F36</f>
        <v>0</v>
      </c>
      <c r="AC41" s="764">
        <f>WARevAdj!$F36</f>
        <v>0</v>
      </c>
      <c r="AD41" s="764">
        <f>MiscTariffs!$F36</f>
        <v>0</v>
      </c>
      <c r="AE41" s="764">
        <f>Depr!$F36</f>
        <v>0</v>
      </c>
      <c r="AF41" s="764">
        <f>Incent!$F36</f>
        <v>0</v>
      </c>
      <c r="AG41" s="764">
        <f>DebtInt!$F36</f>
        <v>0</v>
      </c>
      <c r="AH41" s="990"/>
      <c r="AI41" s="72">
        <f>SUM(M41:AH41)</f>
        <v>3</v>
      </c>
      <c r="AJ41" s="764">
        <f>PFPSWA!$F36</f>
        <v>0</v>
      </c>
      <c r="AK41" s="764">
        <f>PFPension!$F36</f>
        <v>0</v>
      </c>
      <c r="AL41" s="764">
        <f>PFIns!$F36</f>
        <v>0</v>
      </c>
      <c r="AM41" s="764">
        <f>PFLabor!$F36</f>
        <v>0</v>
      </c>
      <c r="AN41" s="764">
        <f>PFExec!$F36</f>
        <v>0</v>
      </c>
      <c r="AO41" s="764">
        <f>PFVeg!$F36</f>
        <v>0</v>
      </c>
      <c r="AP41" s="764">
        <f>PFTransm!$F36</f>
        <v>0</v>
      </c>
      <c r="AQ41" s="764">
        <f>PFSkook!$F36</f>
        <v>0</v>
      </c>
      <c r="AR41" s="764">
        <f>PFCanSmGen!$F36</f>
        <v>0</v>
      </c>
      <c r="AS41" s="764">
        <f>ProdTaxCr!$F36</f>
        <v>0</v>
      </c>
      <c r="AT41" s="764">
        <f>PFAlloc!$F36</f>
        <v>0</v>
      </c>
      <c r="AU41" s="72"/>
      <c r="AV41" s="72">
        <f>SUM(AI41:AU41)</f>
        <v>3</v>
      </c>
      <c r="AW41" s="265"/>
    </row>
    <row r="42" spans="1:49" s="34" customFormat="1" ht="12">
      <c r="A42" s="32">
        <v>22</v>
      </c>
      <c r="D42" s="34" t="s">
        <v>441</v>
      </c>
      <c r="E42" s="1018">
        <f aca="true" t="shared" si="18" ref="E42:L42">SUM(E39:E41)</f>
        <v>37138</v>
      </c>
      <c r="F42" s="766">
        <f t="shared" si="18"/>
        <v>0</v>
      </c>
      <c r="G42" s="766">
        <f t="shared" si="18"/>
        <v>0</v>
      </c>
      <c r="H42" s="766">
        <f t="shared" si="18"/>
        <v>0</v>
      </c>
      <c r="I42" s="766">
        <f t="shared" si="18"/>
        <v>0</v>
      </c>
      <c r="J42" s="766">
        <f t="shared" si="18"/>
        <v>0</v>
      </c>
      <c r="K42" s="766">
        <f t="shared" si="18"/>
        <v>0</v>
      </c>
      <c r="L42" s="766">
        <f t="shared" si="18"/>
        <v>0</v>
      </c>
      <c r="M42" s="245">
        <f aca="true" t="shared" si="19" ref="M42:T42">SUM(M39:M41)</f>
        <v>37138</v>
      </c>
      <c r="N42" s="766">
        <f t="shared" si="19"/>
        <v>0</v>
      </c>
      <c r="O42" s="766">
        <f t="shared" si="19"/>
        <v>114</v>
      </c>
      <c r="P42" s="766">
        <f t="shared" si="19"/>
        <v>3</v>
      </c>
      <c r="Q42" s="766">
        <f t="shared" si="19"/>
        <v>0</v>
      </c>
      <c r="R42" s="766">
        <f t="shared" si="19"/>
        <v>-312</v>
      </c>
      <c r="S42" s="766">
        <f t="shared" si="19"/>
        <v>108</v>
      </c>
      <c r="T42" s="766">
        <f t="shared" si="19"/>
        <v>0</v>
      </c>
      <c r="U42" s="766">
        <f aca="true" t="shared" si="20" ref="U42:AD42">SUM(U39:U41)</f>
        <v>-52</v>
      </c>
      <c r="V42" s="766">
        <f t="shared" si="20"/>
        <v>0</v>
      </c>
      <c r="W42" s="766">
        <f t="shared" si="20"/>
        <v>-768</v>
      </c>
      <c r="X42" s="766">
        <f t="shared" si="20"/>
        <v>156</v>
      </c>
      <c r="Y42" s="766">
        <f>SUM(Y39:Y41)</f>
        <v>0</v>
      </c>
      <c r="Z42" s="766">
        <f>SUM(Z39:Z41)</f>
        <v>0</v>
      </c>
      <c r="AA42" s="766">
        <f>SUM(AA39:AA41)</f>
        <v>-25</v>
      </c>
      <c r="AB42" s="766">
        <f>SUM(AB39:AB41)</f>
        <v>-114</v>
      </c>
      <c r="AC42" s="766">
        <f t="shared" si="20"/>
        <v>0</v>
      </c>
      <c r="AD42" s="766">
        <f t="shared" si="20"/>
        <v>1</v>
      </c>
      <c r="AE42" s="766">
        <f>SUM(AE39:AE41)</f>
        <v>1702</v>
      </c>
      <c r="AF42" s="766">
        <f>SUM(AF39:AF41)</f>
        <v>51</v>
      </c>
      <c r="AG42" s="766">
        <f>SUM(AG39:AG41)</f>
        <v>0</v>
      </c>
      <c r="AH42" s="992"/>
      <c r="AI42" s="245">
        <f aca="true" t="shared" si="21" ref="AI42:AQ42">SUM(AI39:AI41)</f>
        <v>38002</v>
      </c>
      <c r="AJ42" s="766">
        <f t="shared" si="21"/>
        <v>0</v>
      </c>
      <c r="AK42" s="766">
        <f t="shared" si="21"/>
        <v>-150</v>
      </c>
      <c r="AL42" s="766">
        <f t="shared" si="21"/>
        <v>-375</v>
      </c>
      <c r="AM42" s="766">
        <f t="shared" si="21"/>
        <v>467</v>
      </c>
      <c r="AN42" s="766">
        <f t="shared" si="21"/>
        <v>64</v>
      </c>
      <c r="AO42" s="766">
        <f t="shared" si="21"/>
        <v>0</v>
      </c>
      <c r="AP42" s="766">
        <f t="shared" si="21"/>
        <v>0</v>
      </c>
      <c r="AQ42" s="766">
        <f t="shared" si="21"/>
        <v>0</v>
      </c>
      <c r="AR42" s="766">
        <f>SUM(AR39:AR41)</f>
        <v>0</v>
      </c>
      <c r="AS42" s="766">
        <f>SUM(AS39:AS41)</f>
        <v>0</v>
      </c>
      <c r="AT42" s="766">
        <f>SUM(AT39:AT41)</f>
        <v>534</v>
      </c>
      <c r="AU42" s="245">
        <f>SUM(AU39:AU41)</f>
        <v>0</v>
      </c>
      <c r="AV42" s="245">
        <f>SUM(AI42:AU42)</f>
        <v>38542</v>
      </c>
      <c r="AW42" s="267"/>
    </row>
    <row r="43" spans="1:49" s="34" customFormat="1" ht="18" customHeight="1">
      <c r="A43" s="32">
        <v>23</v>
      </c>
      <c r="B43" s="34" t="s">
        <v>442</v>
      </c>
      <c r="E43" s="1018">
        <f aca="true" t="shared" si="22" ref="E43:L43">E42+E36+E35+E34+E32+E26</f>
        <v>357300</v>
      </c>
      <c r="F43" s="766">
        <f t="shared" si="22"/>
        <v>0</v>
      </c>
      <c r="G43" s="766">
        <f t="shared" si="22"/>
        <v>0</v>
      </c>
      <c r="H43" s="766">
        <f t="shared" si="22"/>
        <v>-221</v>
      </c>
      <c r="I43" s="766">
        <f t="shared" si="22"/>
        <v>0</v>
      </c>
      <c r="J43" s="766">
        <f t="shared" si="22"/>
        <v>-135</v>
      </c>
      <c r="K43" s="766">
        <f t="shared" si="22"/>
        <v>0</v>
      </c>
      <c r="L43" s="766">
        <f t="shared" si="22"/>
        <v>0</v>
      </c>
      <c r="M43" s="245">
        <f aca="true" t="shared" si="23" ref="M43:T43">M42+M36+M35+M34+M32+M26</f>
        <v>356944</v>
      </c>
      <c r="N43" s="766">
        <f t="shared" si="23"/>
        <v>4</v>
      </c>
      <c r="O43" s="766">
        <f t="shared" si="23"/>
        <v>-11778</v>
      </c>
      <c r="P43" s="766">
        <f t="shared" si="23"/>
        <v>103</v>
      </c>
      <c r="Q43" s="766">
        <f t="shared" si="23"/>
        <v>-135</v>
      </c>
      <c r="R43" s="766">
        <f t="shared" si="23"/>
        <v>-312</v>
      </c>
      <c r="S43" s="766">
        <f t="shared" si="23"/>
        <v>108</v>
      </c>
      <c r="T43" s="766">
        <f t="shared" si="23"/>
        <v>0</v>
      </c>
      <c r="U43" s="766">
        <f aca="true" t="shared" si="24" ref="U43:AD43">U42+U36+U35+U34+U32+U26</f>
        <v>-19856</v>
      </c>
      <c r="V43" s="766">
        <f t="shared" si="24"/>
        <v>13</v>
      </c>
      <c r="W43" s="766">
        <f t="shared" si="24"/>
        <v>-1623</v>
      </c>
      <c r="X43" s="766">
        <f t="shared" si="24"/>
        <v>3854</v>
      </c>
      <c r="Y43" s="766">
        <f>Y42+Y36+Y35+Y34+Y32+Y26</f>
        <v>-1776</v>
      </c>
      <c r="Z43" s="766">
        <f>Z42+Z36+Z35+Z34+Z32+Z26</f>
        <v>-726</v>
      </c>
      <c r="AA43" s="766">
        <f>AA42+AA36+AA35+AA34+AA32+AA26</f>
        <v>-25</v>
      </c>
      <c r="AB43" s="766">
        <f>AB42+AB36+AB35+AB34+AB32+AB26</f>
        <v>-60</v>
      </c>
      <c r="AC43" s="766">
        <f t="shared" si="24"/>
        <v>-1603</v>
      </c>
      <c r="AD43" s="766">
        <f t="shared" si="24"/>
        <v>301</v>
      </c>
      <c r="AE43" s="766">
        <f>AE42+AE36+AE35+AE34+AE32+AE26</f>
        <v>1612</v>
      </c>
      <c r="AF43" s="766">
        <f>AF42+AF36+AF35+AF34+AF32+AF26</f>
        <v>51</v>
      </c>
      <c r="AG43" s="766">
        <f>AG42+AG36+AG35+AG34+AG32+AG26</f>
        <v>0</v>
      </c>
      <c r="AH43" s="992"/>
      <c r="AI43" s="245">
        <f aca="true" t="shared" si="25" ref="AI43:AT43">AI42+AI36+AI35+AI34+AI32+AI26</f>
        <v>325096</v>
      </c>
      <c r="AJ43" s="766">
        <f t="shared" si="25"/>
        <v>-56557</v>
      </c>
      <c r="AK43" s="766">
        <f t="shared" si="25"/>
        <v>-580</v>
      </c>
      <c r="AL43" s="766">
        <f t="shared" si="25"/>
        <v>-375</v>
      </c>
      <c r="AM43" s="766">
        <f t="shared" si="25"/>
        <v>2040</v>
      </c>
      <c r="AN43" s="766">
        <f t="shared" si="25"/>
        <v>56</v>
      </c>
      <c r="AO43" s="766">
        <f t="shared" si="25"/>
        <v>492</v>
      </c>
      <c r="AP43" s="766">
        <f t="shared" si="25"/>
        <v>712</v>
      </c>
      <c r="AQ43" s="766">
        <f t="shared" si="25"/>
        <v>-49</v>
      </c>
      <c r="AR43" s="766">
        <f t="shared" si="25"/>
        <v>306</v>
      </c>
      <c r="AS43" s="766">
        <f t="shared" si="25"/>
        <v>0</v>
      </c>
      <c r="AT43" s="766">
        <f t="shared" si="25"/>
        <v>534</v>
      </c>
      <c r="AU43" s="245">
        <f>AU42+AU36+AU35+AU34+AU32+AU26</f>
        <v>0</v>
      </c>
      <c r="AV43" s="245">
        <f>SUM(AI43:AU43)</f>
        <v>271675</v>
      </c>
      <c r="AW43" s="267"/>
    </row>
    <row r="44" spans="1:49" s="34" customFormat="1" ht="12">
      <c r="A44" s="32"/>
      <c r="E44" s="1017"/>
      <c r="F44" s="765"/>
      <c r="G44" s="765"/>
      <c r="H44" s="765"/>
      <c r="I44" s="765"/>
      <c r="J44" s="765"/>
      <c r="K44" s="765"/>
      <c r="L44" s="765"/>
      <c r="N44" s="765"/>
      <c r="O44" s="765"/>
      <c r="P44" s="765"/>
      <c r="Q44" s="765"/>
      <c r="R44" s="765"/>
      <c r="S44" s="765"/>
      <c r="T44" s="765"/>
      <c r="U44" s="765"/>
      <c r="V44" s="765"/>
      <c r="W44" s="765"/>
      <c r="X44" s="765"/>
      <c r="Y44" s="765"/>
      <c r="Z44" s="765"/>
      <c r="AA44" s="765"/>
      <c r="AB44" s="765"/>
      <c r="AC44" s="765"/>
      <c r="AD44" s="765"/>
      <c r="AE44" s="765"/>
      <c r="AF44" s="765"/>
      <c r="AG44" s="765"/>
      <c r="AH44" s="991"/>
      <c r="AJ44" s="765"/>
      <c r="AK44" s="765"/>
      <c r="AL44" s="765"/>
      <c r="AM44" s="765"/>
      <c r="AN44" s="765"/>
      <c r="AO44" s="765"/>
      <c r="AP44" s="765"/>
      <c r="AQ44" s="765"/>
      <c r="AR44" s="765"/>
      <c r="AS44" s="765"/>
      <c r="AT44" s="765"/>
      <c r="AW44" s="266"/>
    </row>
    <row r="45" spans="1:49" s="34" customFormat="1" ht="12">
      <c r="A45" s="32">
        <v>24</v>
      </c>
      <c r="B45" s="34" t="s">
        <v>443</v>
      </c>
      <c r="E45" s="1017">
        <f aca="true" t="shared" si="26" ref="E45:L45">E18-E43</f>
        <v>79417</v>
      </c>
      <c r="F45" s="765">
        <f t="shared" si="26"/>
        <v>0</v>
      </c>
      <c r="G45" s="765">
        <f t="shared" si="26"/>
        <v>0</v>
      </c>
      <c r="H45" s="765">
        <f t="shared" si="26"/>
        <v>221</v>
      </c>
      <c r="I45" s="765">
        <f t="shared" si="26"/>
        <v>0</v>
      </c>
      <c r="J45" s="765">
        <f t="shared" si="26"/>
        <v>135</v>
      </c>
      <c r="K45" s="765">
        <f t="shared" si="26"/>
        <v>0</v>
      </c>
      <c r="L45" s="765">
        <f t="shared" si="26"/>
        <v>0</v>
      </c>
      <c r="M45" s="34">
        <f aca="true" t="shared" si="27" ref="M45:T45">M18-M43</f>
        <v>79773</v>
      </c>
      <c r="N45" s="765">
        <f>N18-N43</f>
        <v>-4</v>
      </c>
      <c r="O45" s="765">
        <f t="shared" si="27"/>
        <v>986</v>
      </c>
      <c r="P45" s="765">
        <f t="shared" si="27"/>
        <v>-103</v>
      </c>
      <c r="Q45" s="765">
        <f t="shared" si="27"/>
        <v>135</v>
      </c>
      <c r="R45" s="765">
        <f t="shared" si="27"/>
        <v>312</v>
      </c>
      <c r="S45" s="765">
        <f t="shared" si="27"/>
        <v>-108</v>
      </c>
      <c r="T45" s="765">
        <f t="shared" si="27"/>
        <v>0</v>
      </c>
      <c r="U45" s="765">
        <f>U18-U43</f>
        <v>-7552</v>
      </c>
      <c r="V45" s="765">
        <f>V18-V43</f>
        <v>-13</v>
      </c>
      <c r="W45" s="765">
        <f aca="true" t="shared" si="28" ref="W45:AD45">W18-W43</f>
        <v>1623</v>
      </c>
      <c r="X45" s="765">
        <f t="shared" si="28"/>
        <v>-3854</v>
      </c>
      <c r="Y45" s="765">
        <f>Y18-Y43</f>
        <v>1776</v>
      </c>
      <c r="Z45" s="765">
        <f>Z18-Z43</f>
        <v>726</v>
      </c>
      <c r="AA45" s="765">
        <f>AA18-AA43</f>
        <v>25</v>
      </c>
      <c r="AB45" s="765">
        <f>AB18-AB43</f>
        <v>60</v>
      </c>
      <c r="AC45" s="765">
        <f t="shared" si="28"/>
        <v>1417</v>
      </c>
      <c r="AD45" s="765">
        <f t="shared" si="28"/>
        <v>-8</v>
      </c>
      <c r="AE45" s="765">
        <f>AE18-AE43</f>
        <v>-1612</v>
      </c>
      <c r="AF45" s="765">
        <f>AF18-AF43</f>
        <v>-51</v>
      </c>
      <c r="AG45" s="765">
        <f>AG18-AG43</f>
        <v>0</v>
      </c>
      <c r="AH45" s="991"/>
      <c r="AI45" s="34">
        <f>AI18-AI43</f>
        <v>73528</v>
      </c>
      <c r="AJ45" s="765">
        <f>AJ18-AJ43</f>
        <v>-6869</v>
      </c>
      <c r="AK45" s="765">
        <f aca="true" t="shared" si="29" ref="AK45:AP45">AK18-AK43</f>
        <v>580</v>
      </c>
      <c r="AL45" s="765">
        <f t="shared" si="29"/>
        <v>375</v>
      </c>
      <c r="AM45" s="765">
        <f t="shared" si="29"/>
        <v>-2040</v>
      </c>
      <c r="AN45" s="765">
        <f t="shared" si="29"/>
        <v>-56</v>
      </c>
      <c r="AO45" s="765">
        <f t="shared" si="29"/>
        <v>-492</v>
      </c>
      <c r="AP45" s="765">
        <f t="shared" si="29"/>
        <v>-712</v>
      </c>
      <c r="AQ45" s="765">
        <f>AQ18-AQ43</f>
        <v>49</v>
      </c>
      <c r="AR45" s="765">
        <f>AR18-AR43</f>
        <v>-306</v>
      </c>
      <c r="AS45" s="765">
        <f>AS18-AS43</f>
        <v>0</v>
      </c>
      <c r="AT45" s="765">
        <f>AT18-AT43</f>
        <v>-534</v>
      </c>
      <c r="AU45" s="34">
        <f>AU18-AU43</f>
        <v>0</v>
      </c>
      <c r="AV45" s="34">
        <f>SUM(AI45:AU45)</f>
        <v>63523</v>
      </c>
      <c r="AW45" s="266"/>
    </row>
    <row r="46" spans="1:49" s="34" customFormat="1" ht="12">
      <c r="A46" s="32"/>
      <c r="E46" s="1015"/>
      <c r="F46" s="763"/>
      <c r="G46" s="763"/>
      <c r="H46" s="763"/>
      <c r="I46" s="763"/>
      <c r="J46" s="763"/>
      <c r="K46" s="763"/>
      <c r="L46" s="763"/>
      <c r="M46" s="71"/>
      <c r="N46" s="763"/>
      <c r="O46" s="763"/>
      <c r="P46" s="763"/>
      <c r="Q46" s="763"/>
      <c r="R46" s="763"/>
      <c r="S46" s="763"/>
      <c r="T46" s="763"/>
      <c r="U46" s="763"/>
      <c r="V46" s="763"/>
      <c r="W46" s="763"/>
      <c r="X46" s="763"/>
      <c r="Y46" s="763"/>
      <c r="Z46" s="763"/>
      <c r="AA46" s="763"/>
      <c r="AB46" s="763"/>
      <c r="AC46" s="763"/>
      <c r="AD46" s="763"/>
      <c r="AE46" s="763"/>
      <c r="AF46" s="763"/>
      <c r="AG46" s="763"/>
      <c r="AH46" s="989"/>
      <c r="AI46" s="71"/>
      <c r="AJ46" s="763"/>
      <c r="AK46" s="763"/>
      <c r="AL46" s="763"/>
      <c r="AM46" s="763"/>
      <c r="AN46" s="763"/>
      <c r="AO46" s="763"/>
      <c r="AP46" s="763"/>
      <c r="AQ46" s="763"/>
      <c r="AR46" s="763"/>
      <c r="AS46" s="763"/>
      <c r="AT46" s="763"/>
      <c r="AU46" s="71"/>
      <c r="AV46" s="71"/>
      <c r="AW46" s="264"/>
    </row>
    <row r="47" spans="1:49" s="34" customFormat="1" ht="12">
      <c r="A47" s="32"/>
      <c r="B47" s="34" t="s">
        <v>444</v>
      </c>
      <c r="E47" s="1015"/>
      <c r="F47" s="763"/>
      <c r="G47" s="763"/>
      <c r="H47" s="763"/>
      <c r="I47" s="763"/>
      <c r="J47" s="763"/>
      <c r="K47" s="763"/>
      <c r="L47" s="763"/>
      <c r="M47" s="71"/>
      <c r="N47" s="763"/>
      <c r="O47" s="763"/>
      <c r="P47" s="763"/>
      <c r="Q47" s="763"/>
      <c r="R47" s="763"/>
      <c r="S47" s="763"/>
      <c r="T47" s="763"/>
      <c r="U47" s="763"/>
      <c r="V47" s="763"/>
      <c r="W47" s="763"/>
      <c r="X47" s="763"/>
      <c r="Y47" s="763"/>
      <c r="Z47" s="763"/>
      <c r="AA47" s="763"/>
      <c r="AB47" s="763"/>
      <c r="AC47" s="763"/>
      <c r="AD47" s="763"/>
      <c r="AE47" s="763"/>
      <c r="AF47" s="763"/>
      <c r="AG47" s="763"/>
      <c r="AH47" s="989"/>
      <c r="AI47" s="71"/>
      <c r="AJ47" s="763"/>
      <c r="AK47" s="763"/>
      <c r="AL47" s="763"/>
      <c r="AM47" s="763"/>
      <c r="AN47" s="763"/>
      <c r="AO47" s="763"/>
      <c r="AP47" s="763"/>
      <c r="AQ47" s="763"/>
      <c r="AR47" s="763"/>
      <c r="AS47" s="763"/>
      <c r="AT47" s="763"/>
      <c r="AU47" s="71"/>
      <c r="AV47" s="71"/>
      <c r="AW47" s="264"/>
    </row>
    <row r="48" spans="1:55" s="34" customFormat="1" ht="12">
      <c r="A48" s="32">
        <v>25</v>
      </c>
      <c r="B48" s="34" t="s">
        <v>445</v>
      </c>
      <c r="E48" s="1015">
        <f>ResultSumEl!F43</f>
        <v>11617</v>
      </c>
      <c r="F48" s="763">
        <f>DFITWaEl!$F43</f>
        <v>0</v>
      </c>
      <c r="G48" s="763">
        <f>BldGain!$F43</f>
        <v>0</v>
      </c>
      <c r="H48" s="763">
        <f>ColstripAFUDC!$F43</f>
        <v>0</v>
      </c>
      <c r="I48" s="763">
        <f>ColstripCommon!$F43</f>
        <v>0</v>
      </c>
      <c r="J48" s="763">
        <f>KFSumm!$F43</f>
        <v>0</v>
      </c>
      <c r="K48" s="763">
        <f>CustAdv!$F43</f>
        <v>0</v>
      </c>
      <c r="L48" s="763">
        <f>SettleEx!$F43</f>
        <v>0</v>
      </c>
      <c r="M48" s="71">
        <f>SUM(E48:L48)</f>
        <v>11617</v>
      </c>
      <c r="N48" s="763">
        <f>HydroRel!$F43</f>
        <v>-1</v>
      </c>
      <c r="O48" s="763">
        <f>BandO!$F43</f>
        <v>345</v>
      </c>
      <c r="P48" s="763">
        <f>PropTax!$F43</f>
        <v>-36</v>
      </c>
      <c r="Q48" s="763">
        <f>UncollExp!$F43</f>
        <v>47</v>
      </c>
      <c r="R48" s="763">
        <f>RegExp!$F43</f>
        <v>109</v>
      </c>
      <c r="S48" s="763">
        <f>InjDam!$F43</f>
        <v>-38</v>
      </c>
      <c r="T48" s="763">
        <f>FIT!$F43</f>
        <v>4597</v>
      </c>
      <c r="U48" s="763">
        <f>ElimPowerCost!$F43</f>
        <v>-8266</v>
      </c>
      <c r="V48" s="763">
        <f>NezPerce!$F43</f>
        <v>-5</v>
      </c>
      <c r="W48" s="763">
        <f>PayClear!$F43</f>
        <v>568</v>
      </c>
      <c r="X48" s="763">
        <f>'CS2'!$F43</f>
        <v>-1349</v>
      </c>
      <c r="Y48" s="763">
        <f>WAPGE!$F43</f>
        <v>0</v>
      </c>
      <c r="Z48" s="763">
        <f>ElimAR!$F43</f>
        <v>254</v>
      </c>
      <c r="AA48" s="763">
        <f>SubSpace!$F43</f>
        <v>9</v>
      </c>
      <c r="AB48" s="763">
        <f>XFranchTax!$F43</f>
        <v>21</v>
      </c>
      <c r="AC48" s="763">
        <f>WARevAdj!$F43</f>
        <v>496</v>
      </c>
      <c r="AD48" s="763">
        <f>MiscTariffs!$F43</f>
        <v>2278</v>
      </c>
      <c r="AE48" s="763">
        <f>Depr!$F43</f>
        <v>-564</v>
      </c>
      <c r="AF48" s="763">
        <f>Incent!$F43</f>
        <v>-18</v>
      </c>
      <c r="AG48" s="763">
        <f>DebtInt!$F43</f>
        <v>2661.236242108256</v>
      </c>
      <c r="AH48" s="989"/>
      <c r="AI48" s="71">
        <f>SUM(M48:AH48)</f>
        <v>12725.236242108256</v>
      </c>
      <c r="AJ48" s="763">
        <f>PFPSWA!$F43</f>
        <v>-2404</v>
      </c>
      <c r="AK48" s="763">
        <f>PFPension!$F43</f>
        <v>203</v>
      </c>
      <c r="AL48" s="763">
        <f>PFIns!$F43</f>
        <v>131</v>
      </c>
      <c r="AM48" s="763">
        <f>PFLabor!$F43</f>
        <v>-714</v>
      </c>
      <c r="AN48" s="763">
        <f>PFExec!$F43</f>
        <v>-20</v>
      </c>
      <c r="AO48" s="763">
        <f>PFVeg!$F43</f>
        <v>-172</v>
      </c>
      <c r="AP48" s="763">
        <f>PFTransm!$F43</f>
        <v>-575</v>
      </c>
      <c r="AQ48" s="763">
        <f>PFSkook!$F43</f>
        <v>17</v>
      </c>
      <c r="AR48" s="763">
        <f>PFCanSmGen!$F43</f>
        <v>0</v>
      </c>
      <c r="AS48" s="763">
        <f>ProdTaxCr!$F43</f>
        <v>-992</v>
      </c>
      <c r="AT48" s="763">
        <f>PFAlloc!F43</f>
        <v>-187</v>
      </c>
      <c r="AU48" s="71"/>
      <c r="AV48" s="71">
        <f>SUM(AI48:AU48)</f>
        <v>8012.236242108256</v>
      </c>
      <c r="AW48" s="264"/>
      <c r="BC48" s="33"/>
    </row>
    <row r="49" spans="1:55" s="34" customFormat="1" ht="12">
      <c r="A49" s="32">
        <v>26</v>
      </c>
      <c r="B49" s="34" t="s">
        <v>446</v>
      </c>
      <c r="E49" s="1015">
        <f>ResultSumEl!F44</f>
        <v>2004</v>
      </c>
      <c r="F49" s="763">
        <f>DFITWaEl!$F44</f>
        <v>0</v>
      </c>
      <c r="G49" s="763">
        <f>BldGain!$F44</f>
        <v>0</v>
      </c>
      <c r="H49" s="763">
        <f>ColstripAFUDC!$F44</f>
        <v>0</v>
      </c>
      <c r="I49" s="763">
        <f>ColstripCommon!$F44</f>
        <v>0</v>
      </c>
      <c r="J49" s="763">
        <f>KFSumm!$F44</f>
        <v>56</v>
      </c>
      <c r="K49" s="763">
        <f>CustAdv!$F44</f>
        <v>0</v>
      </c>
      <c r="L49" s="763">
        <f>SettleEx!$F44</f>
        <v>0</v>
      </c>
      <c r="M49" s="71">
        <f>SUM(E49:L49)</f>
        <v>2060</v>
      </c>
      <c r="N49" s="763">
        <f>HydroRel!$F44</f>
        <v>0</v>
      </c>
      <c r="O49" s="763">
        <f>BandO!$F44</f>
        <v>0</v>
      </c>
      <c r="P49" s="763">
        <f>PropTax!$F44</f>
        <v>0</v>
      </c>
      <c r="Q49" s="763">
        <f>UncollExp!$F44</f>
        <v>0</v>
      </c>
      <c r="R49" s="763">
        <f>RegExp!$F44</f>
        <v>0</v>
      </c>
      <c r="S49" s="763">
        <f>InjDam!$F44</f>
        <v>0</v>
      </c>
      <c r="T49" s="763">
        <f>FIT!$F44</f>
        <v>-5416</v>
      </c>
      <c r="U49" s="763">
        <f>ElimPowerCost!$F44</f>
        <v>5623</v>
      </c>
      <c r="V49" s="763">
        <f>NezPerce!$F44</f>
        <v>0</v>
      </c>
      <c r="W49" s="763">
        <f>PayClear!$F44</f>
        <v>0</v>
      </c>
      <c r="X49" s="763">
        <f>'CS2'!$F44</f>
        <v>0</v>
      </c>
      <c r="Y49" s="763">
        <f>WAPGE!$F44</f>
        <v>622</v>
      </c>
      <c r="Z49" s="763">
        <f>ElimAR!$F44</f>
        <v>0</v>
      </c>
      <c r="AA49" s="763">
        <f>SubSpace!$F44</f>
        <v>0</v>
      </c>
      <c r="AB49" s="763">
        <f>XFranchTax!$F44</f>
        <v>0</v>
      </c>
      <c r="AC49" s="763">
        <f>WARevAdj!$F44</f>
        <v>0</v>
      </c>
      <c r="AD49" s="763">
        <f>MiscTariffs!$F44</f>
        <v>-2281</v>
      </c>
      <c r="AE49" s="763">
        <f>Depr!$F44</f>
        <v>0</v>
      </c>
      <c r="AF49" s="763">
        <f>Incent!$F44</f>
        <v>0</v>
      </c>
      <c r="AG49" s="763">
        <f>DebtInt!$F44</f>
        <v>0</v>
      </c>
      <c r="AH49" s="989"/>
      <c r="AI49" s="71">
        <f>SUM(M49:AH49)</f>
        <v>608</v>
      </c>
      <c r="AJ49" s="763">
        <f>PFPSWA!$F44</f>
        <v>0</v>
      </c>
      <c r="AK49" s="763">
        <f>PFPension!$F44</f>
        <v>0</v>
      </c>
      <c r="AL49" s="763">
        <f>PFIns!$F44</f>
        <v>0</v>
      </c>
      <c r="AM49" s="763">
        <f>PFLabor!$F44</f>
        <v>0</v>
      </c>
      <c r="AN49" s="763">
        <f>PFExec!$F44</f>
        <v>0</v>
      </c>
      <c r="AO49" s="763">
        <f>PFVeg!$F44</f>
        <v>0</v>
      </c>
      <c r="AP49" s="763">
        <f>PFTransm!$F44</f>
        <v>326</v>
      </c>
      <c r="AQ49" s="763">
        <f>PFSkook!$F44</f>
        <v>0</v>
      </c>
      <c r="AR49" s="763">
        <f>PFCanSmGen!$F44</f>
        <v>-107</v>
      </c>
      <c r="AS49" s="763">
        <f>ProdTaxCr!$F44</f>
        <v>0</v>
      </c>
      <c r="AT49" s="763">
        <f>PFAlloc!$F44</f>
        <v>0</v>
      </c>
      <c r="AU49" s="71"/>
      <c r="AV49" s="71">
        <f>SUM(AI49:AU49)</f>
        <v>827</v>
      </c>
      <c r="AW49" s="264"/>
      <c r="AZ49" s="33"/>
      <c r="BA49" s="33"/>
      <c r="BB49" s="33"/>
      <c r="BC49" s="2"/>
    </row>
    <row r="50" spans="1:59" s="34" customFormat="1" ht="12">
      <c r="A50" s="32"/>
      <c r="E50" s="1016"/>
      <c r="F50" s="764"/>
      <c r="G50" s="764"/>
      <c r="H50" s="764"/>
      <c r="I50" s="764"/>
      <c r="J50" s="764"/>
      <c r="K50" s="764"/>
      <c r="L50" s="764"/>
      <c r="M50" s="72"/>
      <c r="N50" s="764"/>
      <c r="O50" s="764"/>
      <c r="P50" s="764"/>
      <c r="Q50" s="764"/>
      <c r="R50" s="764"/>
      <c r="S50" s="764"/>
      <c r="T50" s="764"/>
      <c r="U50" s="764"/>
      <c r="V50" s="764"/>
      <c r="W50" s="764"/>
      <c r="X50" s="764"/>
      <c r="Y50" s="764"/>
      <c r="Z50" s="764"/>
      <c r="AA50" s="764"/>
      <c r="AB50" s="764"/>
      <c r="AC50" s="764"/>
      <c r="AD50" s="764"/>
      <c r="AE50" s="764"/>
      <c r="AF50" s="764"/>
      <c r="AG50" s="764"/>
      <c r="AH50" s="990"/>
      <c r="AI50" s="72"/>
      <c r="AJ50" s="764"/>
      <c r="AK50" s="764"/>
      <c r="AL50" s="764"/>
      <c r="AM50" s="764"/>
      <c r="AN50" s="764"/>
      <c r="AO50" s="764"/>
      <c r="AP50" s="764"/>
      <c r="AQ50" s="764"/>
      <c r="AR50" s="764"/>
      <c r="AS50" s="764"/>
      <c r="AT50" s="764"/>
      <c r="AU50" s="72"/>
      <c r="AV50" s="72"/>
      <c r="AW50" s="265"/>
      <c r="AZ50" s="2"/>
      <c r="BA50" s="2"/>
      <c r="BB50" s="2"/>
      <c r="BC50" s="2"/>
      <c r="BD50" s="2"/>
      <c r="BE50" s="2"/>
      <c r="BF50" s="2"/>
      <c r="BG50" s="2"/>
    </row>
    <row r="51" spans="56:59" ht="12">
      <c r="BD51" s="33"/>
      <c r="BE51" s="33"/>
      <c r="BF51" s="33"/>
      <c r="BG51" s="33"/>
    </row>
    <row r="52" spans="1:59" s="33" customFormat="1" ht="12.75" thickBot="1">
      <c r="A52" s="32">
        <v>27</v>
      </c>
      <c r="B52" s="33" t="s">
        <v>447</v>
      </c>
      <c r="E52" s="1019">
        <f aca="true" t="shared" si="30" ref="E52:AC52">E45-SUM(E48:E50)</f>
        <v>65796</v>
      </c>
      <c r="F52" s="767">
        <f t="shared" si="30"/>
        <v>0</v>
      </c>
      <c r="G52" s="767">
        <f t="shared" si="30"/>
        <v>0</v>
      </c>
      <c r="H52" s="767">
        <f t="shared" si="30"/>
        <v>221</v>
      </c>
      <c r="I52" s="767">
        <f t="shared" si="30"/>
        <v>0</v>
      </c>
      <c r="J52" s="767">
        <f t="shared" si="30"/>
        <v>79</v>
      </c>
      <c r="K52" s="767">
        <f t="shared" si="30"/>
        <v>0</v>
      </c>
      <c r="L52" s="767">
        <f t="shared" si="30"/>
        <v>0</v>
      </c>
      <c r="M52" s="244">
        <f t="shared" si="30"/>
        <v>66096</v>
      </c>
      <c r="N52" s="767">
        <f t="shared" si="30"/>
        <v>-3</v>
      </c>
      <c r="O52" s="767">
        <f t="shared" si="30"/>
        <v>641</v>
      </c>
      <c r="P52" s="767">
        <f t="shared" si="30"/>
        <v>-67</v>
      </c>
      <c r="Q52" s="767">
        <f t="shared" si="30"/>
        <v>88</v>
      </c>
      <c r="R52" s="767">
        <f t="shared" si="30"/>
        <v>203</v>
      </c>
      <c r="S52" s="767">
        <f t="shared" si="30"/>
        <v>-70</v>
      </c>
      <c r="T52" s="767">
        <f t="shared" si="30"/>
        <v>819</v>
      </c>
      <c r="U52" s="767">
        <f t="shared" si="30"/>
        <v>-4909</v>
      </c>
      <c r="V52" s="767">
        <f t="shared" si="30"/>
        <v>-8</v>
      </c>
      <c r="W52" s="767">
        <f t="shared" si="30"/>
        <v>1055</v>
      </c>
      <c r="X52" s="767">
        <f t="shared" si="30"/>
        <v>-2505</v>
      </c>
      <c r="Y52" s="767">
        <f>Y45-SUM(Y48:Y50)</f>
        <v>1154</v>
      </c>
      <c r="Z52" s="767">
        <f>Z45-SUM(Z48:Z50)</f>
        <v>472</v>
      </c>
      <c r="AA52" s="767">
        <f>AA45-SUM(AA48:AA50)</f>
        <v>16</v>
      </c>
      <c r="AB52" s="767">
        <f>AB45-SUM(AB48:AB50)</f>
        <v>39</v>
      </c>
      <c r="AC52" s="767">
        <f t="shared" si="30"/>
        <v>921</v>
      </c>
      <c r="AD52" s="767">
        <f>AD45-SUM(AD48:AD50)</f>
        <v>-5</v>
      </c>
      <c r="AE52" s="767">
        <f>AE45-SUM(AE48:AE50)</f>
        <v>-1048</v>
      </c>
      <c r="AF52" s="767">
        <f>AF45-SUM(AF48:AF50)</f>
        <v>-33</v>
      </c>
      <c r="AG52" s="767">
        <f>AG45-SUM(AG48:AG50)</f>
        <v>-2661.236242108256</v>
      </c>
      <c r="AH52" s="993"/>
      <c r="AI52" s="244">
        <f aca="true" t="shared" si="31" ref="AI52:AP52">AI45-SUM(AI48:AI50)</f>
        <v>60194.76375789174</v>
      </c>
      <c r="AJ52" s="767">
        <f t="shared" si="31"/>
        <v>-4465</v>
      </c>
      <c r="AK52" s="767">
        <f t="shared" si="31"/>
        <v>377</v>
      </c>
      <c r="AL52" s="767">
        <f t="shared" si="31"/>
        <v>244</v>
      </c>
      <c r="AM52" s="767">
        <f t="shared" si="31"/>
        <v>-1326</v>
      </c>
      <c r="AN52" s="767">
        <f t="shared" si="31"/>
        <v>-36</v>
      </c>
      <c r="AO52" s="767">
        <f t="shared" si="31"/>
        <v>-320</v>
      </c>
      <c r="AP52" s="767">
        <f t="shared" si="31"/>
        <v>-463</v>
      </c>
      <c r="AQ52" s="767">
        <f>AQ45-SUM(AQ48:AQ50)</f>
        <v>32</v>
      </c>
      <c r="AR52" s="767">
        <f>AR45-SUM(AR48:AR50)</f>
        <v>-199</v>
      </c>
      <c r="AS52" s="767">
        <f>AS45-SUM(AS48:AS50)</f>
        <v>992</v>
      </c>
      <c r="AT52" s="767">
        <f>AT45-SUM(AT48:AT50)</f>
        <v>-347</v>
      </c>
      <c r="AU52" s="244">
        <f>AU45-SUM(AU48:AU50)</f>
        <v>0</v>
      </c>
      <c r="AV52" s="244">
        <f>SUM(AI52:AU52)</f>
        <v>54683.76375789174</v>
      </c>
      <c r="AW52" s="268"/>
      <c r="AZ52" s="2"/>
      <c r="BA52" s="2"/>
      <c r="BB52" s="2"/>
      <c r="BC52" s="2"/>
      <c r="BD52" s="2"/>
      <c r="BE52" s="2"/>
      <c r="BF52" s="2"/>
      <c r="BG52" s="2"/>
    </row>
    <row r="53" ht="12.75" thickTop="1"/>
    <row r="54" ht="12">
      <c r="B54" s="2" t="s">
        <v>448</v>
      </c>
    </row>
    <row r="55" spans="2:59" ht="12">
      <c r="B55" s="2" t="s">
        <v>449</v>
      </c>
      <c r="BD55" s="33"/>
      <c r="BE55" s="33"/>
      <c r="BF55" s="33"/>
      <c r="BG55" s="33"/>
    </row>
    <row r="56" spans="1:59" s="33" customFormat="1" ht="12">
      <c r="A56" s="32">
        <v>28</v>
      </c>
      <c r="C56" s="33" t="s">
        <v>450</v>
      </c>
      <c r="E56" s="1014">
        <f>ResultSumEl!F51</f>
        <v>21374</v>
      </c>
      <c r="F56" s="768">
        <f>DFITWaEl!$F51</f>
        <v>0</v>
      </c>
      <c r="G56" s="768">
        <f>BldGain!$F51</f>
        <v>0</v>
      </c>
      <c r="H56" s="768">
        <f>ColstripAFUDC!$F51</f>
        <v>0</v>
      </c>
      <c r="I56" s="768">
        <f>ColstripCommon!$F51</f>
        <v>0</v>
      </c>
      <c r="J56" s="768">
        <f>KFSumm!$F51</f>
        <v>0</v>
      </c>
      <c r="K56" s="768">
        <f>CustAdv!$F51</f>
        <v>0</v>
      </c>
      <c r="L56" s="768">
        <f>SettleEx!$F51</f>
        <v>0</v>
      </c>
      <c r="M56" s="75">
        <f>SUM(E56:L56)</f>
        <v>21374</v>
      </c>
      <c r="N56" s="768">
        <f>HydroRel!$F51</f>
        <v>0</v>
      </c>
      <c r="O56" s="768">
        <f>BandO!$F51</f>
        <v>0</v>
      </c>
      <c r="P56" s="768">
        <f>PropTax!$F51</f>
        <v>0</v>
      </c>
      <c r="Q56" s="768">
        <f>UncollExp!$F51</f>
        <v>0</v>
      </c>
      <c r="R56" s="768">
        <f>RegExp!$F51</f>
        <v>0</v>
      </c>
      <c r="S56" s="768">
        <f>InjDam!$F51</f>
        <v>0</v>
      </c>
      <c r="T56" s="768">
        <f>FIT!$F51</f>
        <v>0</v>
      </c>
      <c r="U56" s="768">
        <f>ElimPowerCost!$F51</f>
        <v>0</v>
      </c>
      <c r="V56" s="768">
        <f>NezPerce!$F51</f>
        <v>0</v>
      </c>
      <c r="W56" s="768">
        <f>PayClear!$F51</f>
        <v>0</v>
      </c>
      <c r="X56" s="768">
        <f>'CS2'!$F51</f>
        <v>0</v>
      </c>
      <c r="Y56" s="768">
        <f>WAPGE!$F51</f>
        <v>0</v>
      </c>
      <c r="Z56" s="768">
        <f>ElimAR!$F51</f>
        <v>0</v>
      </c>
      <c r="AA56" s="768">
        <f>SubSpace!$F51</f>
        <v>0</v>
      </c>
      <c r="AB56" s="768">
        <f>XFranchTax!$F51</f>
        <v>0</v>
      </c>
      <c r="AC56" s="768">
        <f>WARevAdj!$F51</f>
        <v>0</v>
      </c>
      <c r="AD56" s="768">
        <f>MiscTariffs!$F51</f>
        <v>0</v>
      </c>
      <c r="AE56" s="768">
        <f>Depr!$F51</f>
        <v>0</v>
      </c>
      <c r="AF56" s="768">
        <f>Incent!$F51</f>
        <v>0</v>
      </c>
      <c r="AG56" s="768">
        <f>DebtInt!$F51</f>
        <v>0</v>
      </c>
      <c r="AH56" s="994"/>
      <c r="AI56" s="75">
        <f>SUM(M56:AH56)</f>
        <v>21374</v>
      </c>
      <c r="AJ56" s="768">
        <f>PFPSWA!$F51</f>
        <v>0</v>
      </c>
      <c r="AK56" s="768">
        <f>PFPension!$F51</f>
        <v>0</v>
      </c>
      <c r="AL56" s="768">
        <f>PFIns!$F51</f>
        <v>0</v>
      </c>
      <c r="AM56" s="768">
        <f>PFLabor!$F51</f>
        <v>0</v>
      </c>
      <c r="AN56" s="768">
        <f>PFExec!$F51</f>
        <v>0</v>
      </c>
      <c r="AO56" s="768">
        <f>PFVeg!$F51</f>
        <v>0</v>
      </c>
      <c r="AP56" s="768">
        <f>PFTransm!$F51</f>
        <v>0</v>
      </c>
      <c r="AQ56" s="768">
        <f>PFSkook!$F51</f>
        <v>0</v>
      </c>
      <c r="AR56" s="768">
        <f>PFCanSmGen!$F51</f>
        <v>0</v>
      </c>
      <c r="AS56" s="768">
        <f>ProdTaxCr!$F51</f>
        <v>0</v>
      </c>
      <c r="AT56" s="768">
        <f>PFAlloc!$F51</f>
        <v>0</v>
      </c>
      <c r="AU56" s="75"/>
      <c r="AV56" s="75">
        <f aca="true" t="shared" si="32" ref="AV56:AV61">SUM(AI56:AU56)</f>
        <v>21374</v>
      </c>
      <c r="AW56" s="269"/>
      <c r="AZ56" s="2"/>
      <c r="BA56" s="2"/>
      <c r="BB56" s="2"/>
      <c r="BC56" s="2"/>
      <c r="BD56" s="34"/>
      <c r="BE56" s="34"/>
      <c r="BF56" s="34"/>
      <c r="BG56" s="34"/>
    </row>
    <row r="57" spans="1:55" s="34" customFormat="1" ht="12">
      <c r="A57" s="32">
        <v>29</v>
      </c>
      <c r="C57" s="34" t="s">
        <v>451</v>
      </c>
      <c r="E57" s="1015">
        <f>ResultSumEl!F52</f>
        <v>559199</v>
      </c>
      <c r="F57" s="763">
        <f>DFITWaEl!$F52</f>
        <v>0</v>
      </c>
      <c r="G57" s="763">
        <f>BldGain!$F52</f>
        <v>0</v>
      </c>
      <c r="H57" s="763">
        <f>ColstripAFUDC!$F52</f>
        <v>-7325</v>
      </c>
      <c r="I57" s="763">
        <f>ColstripCommon!$F52</f>
        <v>492</v>
      </c>
      <c r="J57" s="763">
        <f>KFSumm!$F52</f>
        <v>-5248</v>
      </c>
      <c r="K57" s="763">
        <f>CustAdv!$F52</f>
        <v>0</v>
      </c>
      <c r="L57" s="763">
        <f>SettleEx!$F52</f>
        <v>79626</v>
      </c>
      <c r="M57" s="71">
        <f>SUM(E57:L57)</f>
        <v>626744</v>
      </c>
      <c r="N57" s="763">
        <f>HydroRel!$F52</f>
        <v>0</v>
      </c>
      <c r="O57" s="763">
        <f>BandO!$F52</f>
        <v>0</v>
      </c>
      <c r="P57" s="763">
        <f>PropTax!$F52</f>
        <v>0</v>
      </c>
      <c r="Q57" s="763">
        <f>UncollExp!$F52</f>
        <v>0</v>
      </c>
      <c r="R57" s="763">
        <f>RegExp!$F52</f>
        <v>0</v>
      </c>
      <c r="S57" s="763">
        <f>InjDam!$F52</f>
        <v>0</v>
      </c>
      <c r="T57" s="763">
        <f>FIT!$F52</f>
        <v>0</v>
      </c>
      <c r="U57" s="763">
        <f>ElimPowerCost!$F52</f>
        <v>0</v>
      </c>
      <c r="V57" s="763">
        <f>NezPerce!$F52</f>
        <v>0</v>
      </c>
      <c r="W57" s="763">
        <f>PayClear!$F52</f>
        <v>0</v>
      </c>
      <c r="X57" s="763">
        <f>'CS2'!$F52</f>
        <v>39069</v>
      </c>
      <c r="Y57" s="763">
        <f>WAPGE!$F52</f>
        <v>-14205</v>
      </c>
      <c r="Z57" s="763">
        <f>ElimAR!$F52</f>
        <v>0</v>
      </c>
      <c r="AA57" s="763">
        <f>SubSpace!$F52</f>
        <v>0</v>
      </c>
      <c r="AB57" s="763">
        <f>XFranchTax!$F52</f>
        <v>0</v>
      </c>
      <c r="AC57" s="763">
        <f>WARevAdj!$F52</f>
        <v>0</v>
      </c>
      <c r="AD57" s="763">
        <f>MiscTariffs!$F52</f>
        <v>0</v>
      </c>
      <c r="AE57" s="763">
        <f>Depr!$F52</f>
        <v>0</v>
      </c>
      <c r="AF57" s="763">
        <f>Incent!$F52</f>
        <v>0</v>
      </c>
      <c r="AG57" s="763">
        <f>DebtInt!$F52</f>
        <v>0</v>
      </c>
      <c r="AH57" s="989"/>
      <c r="AI57" s="71">
        <f>SUM(M57:AH57)</f>
        <v>651608</v>
      </c>
      <c r="AJ57" s="763">
        <f>PFPSWA!$F52</f>
        <v>0</v>
      </c>
      <c r="AK57" s="763">
        <f>PFPension!$F52</f>
        <v>0</v>
      </c>
      <c r="AL57" s="763">
        <f>PFIns!$F52</f>
        <v>0</v>
      </c>
      <c r="AM57" s="763">
        <f>PFLabor!$F52</f>
        <v>0</v>
      </c>
      <c r="AN57" s="763">
        <f>PFExec!$F52</f>
        <v>0</v>
      </c>
      <c r="AO57" s="763">
        <f>PFVeg!$F52</f>
        <v>0</v>
      </c>
      <c r="AP57" s="763">
        <f>PFTransm!$F52</f>
        <v>0</v>
      </c>
      <c r="AQ57" s="763">
        <f>PFSkook!$F52</f>
        <v>-298</v>
      </c>
      <c r="AR57" s="763">
        <f>PFCanSmGen!$F52</f>
        <v>0</v>
      </c>
      <c r="AS57" s="763">
        <f>ProdTaxCr!$F52</f>
        <v>0</v>
      </c>
      <c r="AT57" s="763">
        <f>PFAlloc!$F52</f>
        <v>0</v>
      </c>
      <c r="AU57" s="71"/>
      <c r="AV57" s="71">
        <f t="shared" si="32"/>
        <v>651310</v>
      </c>
      <c r="AW57" s="264"/>
      <c r="AZ57" s="2"/>
      <c r="BA57" s="2"/>
      <c r="BB57" s="2"/>
      <c r="BC57" s="2"/>
    </row>
    <row r="58" spans="1:55" s="34" customFormat="1" ht="12">
      <c r="A58" s="32">
        <v>30</v>
      </c>
      <c r="C58" s="34" t="s">
        <v>452</v>
      </c>
      <c r="E58" s="1015">
        <f>ResultSumEl!F53</f>
        <v>210579</v>
      </c>
      <c r="F58" s="763">
        <f>DFITWaEl!$F53</f>
        <v>0</v>
      </c>
      <c r="G58" s="763">
        <f>BldGain!$F53</f>
        <v>0</v>
      </c>
      <c r="H58" s="763">
        <f>ColstripAFUDC!$F53</f>
        <v>0</v>
      </c>
      <c r="I58" s="763">
        <f>ColstripCommon!$F53</f>
        <v>0</v>
      </c>
      <c r="J58" s="763">
        <f>KFSumm!$F53</f>
        <v>0</v>
      </c>
      <c r="K58" s="763">
        <f>CustAdv!$F53</f>
        <v>0</v>
      </c>
      <c r="L58" s="763">
        <f>SettleEx!$F53</f>
        <v>0</v>
      </c>
      <c r="M58" s="71">
        <f>SUM(E58:L58)</f>
        <v>210579</v>
      </c>
      <c r="N58" s="763">
        <f>HydroRel!$F53</f>
        <v>0</v>
      </c>
      <c r="O58" s="763">
        <f>BandO!$F53</f>
        <v>0</v>
      </c>
      <c r="P58" s="763">
        <f>PropTax!$F53</f>
        <v>0</v>
      </c>
      <c r="Q58" s="763">
        <f>UncollExp!$F53</f>
        <v>0</v>
      </c>
      <c r="R58" s="763">
        <f>RegExp!$F53</f>
        <v>0</v>
      </c>
      <c r="S58" s="763">
        <f>InjDam!$F53</f>
        <v>0</v>
      </c>
      <c r="T58" s="763">
        <f>FIT!$F53</f>
        <v>0</v>
      </c>
      <c r="U58" s="763">
        <f>ElimPowerCost!$F53</f>
        <v>0</v>
      </c>
      <c r="V58" s="763">
        <f>NezPerce!$F53</f>
        <v>0</v>
      </c>
      <c r="W58" s="763">
        <f>PayClear!$F53</f>
        <v>0</v>
      </c>
      <c r="X58" s="763">
        <f>'CS2'!$F53</f>
        <v>2960</v>
      </c>
      <c r="Y58" s="763">
        <f>WAPGE!$F53</f>
        <v>0</v>
      </c>
      <c r="Z58" s="763">
        <f>ElimAR!$F53</f>
        <v>0</v>
      </c>
      <c r="AA58" s="763">
        <f>SubSpace!$F53</f>
        <v>0</v>
      </c>
      <c r="AB58" s="763">
        <f>XFranchTax!$F53</f>
        <v>0</v>
      </c>
      <c r="AC58" s="763">
        <f>WARevAdj!$F53</f>
        <v>0</v>
      </c>
      <c r="AD58" s="763">
        <f>MiscTariffs!$F53</f>
        <v>0</v>
      </c>
      <c r="AE58" s="763">
        <f>Depr!$F53</f>
        <v>0</v>
      </c>
      <c r="AF58" s="763">
        <f>Incent!$F53</f>
        <v>0</v>
      </c>
      <c r="AG58" s="763">
        <f>DebtInt!$F53</f>
        <v>0</v>
      </c>
      <c r="AH58" s="989"/>
      <c r="AI58" s="71">
        <f>SUM(M58:AH58)</f>
        <v>213539</v>
      </c>
      <c r="AJ58" s="763">
        <f>PFPSWA!$F53</f>
        <v>0</v>
      </c>
      <c r="AK58" s="763">
        <f>PFPension!$F53</f>
        <v>0</v>
      </c>
      <c r="AL58" s="763">
        <f>PFIns!$F53</f>
        <v>0</v>
      </c>
      <c r="AM58" s="763">
        <f>PFLabor!$F53</f>
        <v>0</v>
      </c>
      <c r="AN58" s="763">
        <f>PFExec!$F53</f>
        <v>0</v>
      </c>
      <c r="AO58" s="763">
        <f>PFVeg!$F53</f>
        <v>0</v>
      </c>
      <c r="AP58" s="763">
        <f>PFTransm!$F53</f>
        <v>18543</v>
      </c>
      <c r="AQ58" s="763">
        <f>PFSkook!$F53</f>
        <v>0</v>
      </c>
      <c r="AR58" s="763">
        <f>PFCanSmGen!$F53</f>
        <v>0</v>
      </c>
      <c r="AS58" s="763">
        <f>ProdTaxCr!$F53</f>
        <v>0</v>
      </c>
      <c r="AT58" s="763">
        <f>PFAlloc!$F53</f>
        <v>0</v>
      </c>
      <c r="AU58" s="71"/>
      <c r="AV58" s="71">
        <f t="shared" si="32"/>
        <v>232082</v>
      </c>
      <c r="AW58" s="264"/>
      <c r="AZ58" s="2"/>
      <c r="BA58" s="2"/>
      <c r="BB58" s="2"/>
      <c r="BC58" s="2"/>
    </row>
    <row r="59" spans="1:55" s="34" customFormat="1" ht="12">
      <c r="A59" s="32">
        <v>31</v>
      </c>
      <c r="C59" s="34" t="s">
        <v>434</v>
      </c>
      <c r="E59" s="1015">
        <f>ResultSumEl!F54</f>
        <v>459739</v>
      </c>
      <c r="F59" s="763">
        <f>DFITWaEl!$F54</f>
        <v>0</v>
      </c>
      <c r="G59" s="763">
        <f>BldGain!$F54</f>
        <v>0</v>
      </c>
      <c r="H59" s="763">
        <f>ColstripAFUDC!$F54</f>
        <v>0</v>
      </c>
      <c r="I59" s="763">
        <f>ColstripCommon!$F54</f>
        <v>0</v>
      </c>
      <c r="J59" s="763">
        <f>KFSumm!$F54</f>
        <v>0</v>
      </c>
      <c r="K59" s="763">
        <f>CustAdv!$F54</f>
        <v>-223</v>
      </c>
      <c r="L59" s="763">
        <f>SettleEx!$F54</f>
        <v>0</v>
      </c>
      <c r="M59" s="71">
        <f>SUM(E59:L59)</f>
        <v>459516</v>
      </c>
      <c r="N59" s="763">
        <f>HydroRel!$F54</f>
        <v>0</v>
      </c>
      <c r="O59" s="763">
        <f>BandO!$F54</f>
        <v>0</v>
      </c>
      <c r="P59" s="763">
        <f>PropTax!$F54</f>
        <v>0</v>
      </c>
      <c r="Q59" s="763">
        <f>UncollExp!$F54</f>
        <v>0</v>
      </c>
      <c r="R59" s="763">
        <f>RegExp!$F54</f>
        <v>0</v>
      </c>
      <c r="S59" s="763">
        <f>InjDam!$F54</f>
        <v>0</v>
      </c>
      <c r="T59" s="763">
        <f>FIT!$F54</f>
        <v>0</v>
      </c>
      <c r="U59" s="763">
        <f>ElimPowerCost!$F54</f>
        <v>0</v>
      </c>
      <c r="V59" s="763">
        <f>NezPerce!$F54</f>
        <v>0</v>
      </c>
      <c r="W59" s="763">
        <f>PayClear!$F54</f>
        <v>0</v>
      </c>
      <c r="X59" s="763">
        <f>'CS2'!$F54</f>
        <v>0</v>
      </c>
      <c r="Y59" s="763">
        <f>WAPGE!$F54</f>
        <v>0</v>
      </c>
      <c r="Z59" s="763">
        <f>ElimAR!$F54</f>
        <v>0</v>
      </c>
      <c r="AA59" s="763">
        <f>SubSpace!$F54</f>
        <v>0</v>
      </c>
      <c r="AB59" s="763">
        <f>XFranchTax!$F54</f>
        <v>0</v>
      </c>
      <c r="AC59" s="763">
        <f>WARevAdj!$F54</f>
        <v>0</v>
      </c>
      <c r="AD59" s="763">
        <f>MiscTariffs!$F54</f>
        <v>0</v>
      </c>
      <c r="AE59" s="763">
        <f>Depr!$F54</f>
        <v>0</v>
      </c>
      <c r="AF59" s="763">
        <f>Incent!$F54</f>
        <v>0</v>
      </c>
      <c r="AG59" s="763">
        <f>DebtInt!$F54</f>
        <v>0</v>
      </c>
      <c r="AH59" s="989"/>
      <c r="AI59" s="71">
        <f>SUM(M59:AH59)</f>
        <v>459516</v>
      </c>
      <c r="AJ59" s="763">
        <f>PFPSWA!$F54</f>
        <v>0</v>
      </c>
      <c r="AK59" s="763">
        <f>PFPension!$F54</f>
        <v>0</v>
      </c>
      <c r="AL59" s="763">
        <f>PFIns!$F54</f>
        <v>0</v>
      </c>
      <c r="AM59" s="763">
        <f>PFLabor!$F54</f>
        <v>0</v>
      </c>
      <c r="AN59" s="763">
        <f>PFExec!$F54</f>
        <v>0</v>
      </c>
      <c r="AO59" s="763">
        <f>PFVeg!$F54</f>
        <v>0</v>
      </c>
      <c r="AP59" s="763">
        <f>PFTransm!$F54</f>
        <v>0</v>
      </c>
      <c r="AQ59" s="763">
        <f>PFSkook!$F54</f>
        <v>0</v>
      </c>
      <c r="AR59" s="763">
        <f>PFCanSmGen!$F54</f>
        <v>0</v>
      </c>
      <c r="AS59" s="763">
        <f>ProdTaxCr!$F54</f>
        <v>0</v>
      </c>
      <c r="AT59" s="763">
        <f>PFAlloc!$F54</f>
        <v>0</v>
      </c>
      <c r="AU59" s="71"/>
      <c r="AV59" s="71">
        <f t="shared" si="32"/>
        <v>459516</v>
      </c>
      <c r="AW59" s="264"/>
      <c r="AZ59" s="2"/>
      <c r="BA59" s="2"/>
      <c r="BB59" s="2"/>
      <c r="BC59" s="2"/>
    </row>
    <row r="60" spans="1:55" s="34" customFormat="1" ht="12">
      <c r="A60" s="32">
        <v>32</v>
      </c>
      <c r="C60" s="34" t="s">
        <v>453</v>
      </c>
      <c r="E60" s="1016">
        <f>ResultSumEl!F55</f>
        <v>63155</v>
      </c>
      <c r="F60" s="764">
        <f>DFITWaEl!$F55</f>
        <v>0</v>
      </c>
      <c r="G60" s="764">
        <f>BldGain!$F55</f>
        <v>0</v>
      </c>
      <c r="H60" s="764">
        <f>ColstripAFUDC!$F55</f>
        <v>0</v>
      </c>
      <c r="I60" s="764">
        <f>ColstripCommon!$F55</f>
        <v>0</v>
      </c>
      <c r="J60" s="764">
        <f>KFSumm!$F55</f>
        <v>0</v>
      </c>
      <c r="K60" s="764">
        <f>CustAdv!$F55</f>
        <v>0</v>
      </c>
      <c r="L60" s="764">
        <f>SettleEx!$F55</f>
        <v>0</v>
      </c>
      <c r="M60" s="72">
        <f>SUM(E60:L60)</f>
        <v>63155</v>
      </c>
      <c r="N60" s="764">
        <f>HydroRel!$F55</f>
        <v>0</v>
      </c>
      <c r="O60" s="764">
        <f>BandO!$F55</f>
        <v>0</v>
      </c>
      <c r="P60" s="764">
        <f>PropTax!$F55</f>
        <v>0</v>
      </c>
      <c r="Q60" s="764">
        <f>UncollExp!$F55</f>
        <v>0</v>
      </c>
      <c r="R60" s="764">
        <f>RegExp!$F55</f>
        <v>0</v>
      </c>
      <c r="S60" s="764">
        <f>InjDam!$F55</f>
        <v>0</v>
      </c>
      <c r="T60" s="764">
        <f>FIT!$F55</f>
        <v>0</v>
      </c>
      <c r="U60" s="764">
        <f>ElimPowerCost!$F55</f>
        <v>0</v>
      </c>
      <c r="V60" s="764">
        <f>NezPerce!$F55</f>
        <v>0</v>
      </c>
      <c r="W60" s="764">
        <f>PayClear!$F55</f>
        <v>0</v>
      </c>
      <c r="X60" s="764">
        <f>'CS2'!$F55</f>
        <v>0</v>
      </c>
      <c r="Y60" s="764">
        <f>WAPGE!$F55</f>
        <v>0</v>
      </c>
      <c r="Z60" s="764">
        <f>ElimAR!$F55</f>
        <v>0</v>
      </c>
      <c r="AA60" s="764">
        <f>SubSpace!$F55</f>
        <v>0</v>
      </c>
      <c r="AB60" s="764">
        <f>XFranchTax!$F55</f>
        <v>0</v>
      </c>
      <c r="AC60" s="764">
        <f>WARevAdj!$F55</f>
        <v>0</v>
      </c>
      <c r="AD60" s="764">
        <f>MiscTariffs!$F55</f>
        <v>0</v>
      </c>
      <c r="AE60" s="764">
        <f>Depr!$F55</f>
        <v>0</v>
      </c>
      <c r="AF60" s="764">
        <f>Incent!$F55</f>
        <v>0</v>
      </c>
      <c r="AG60" s="764">
        <f>DebtInt!$F55</f>
        <v>0</v>
      </c>
      <c r="AH60" s="990"/>
      <c r="AI60" s="72">
        <f>SUM(M60:AH60)</f>
        <v>63155</v>
      </c>
      <c r="AJ60" s="764">
        <f>PFPSWA!$F55</f>
        <v>0</v>
      </c>
      <c r="AK60" s="764">
        <f>PFPension!$F55</f>
        <v>0</v>
      </c>
      <c r="AL60" s="764">
        <f>PFIns!$F55</f>
        <v>0</v>
      </c>
      <c r="AM60" s="764">
        <f>PFLabor!$F55</f>
        <v>0</v>
      </c>
      <c r="AN60" s="764">
        <f>PFExec!$F55</f>
        <v>0</v>
      </c>
      <c r="AO60" s="764">
        <f>PFVeg!$F55</f>
        <v>0</v>
      </c>
      <c r="AP60" s="764">
        <f>PFTransm!$F55</f>
        <v>0</v>
      </c>
      <c r="AQ60" s="764">
        <f>PFSkook!$F55</f>
        <v>0</v>
      </c>
      <c r="AR60" s="764">
        <f>PFCanSmGen!$F55</f>
        <v>0</v>
      </c>
      <c r="AS60" s="764">
        <f>ProdTaxCr!$F55</f>
        <v>0</v>
      </c>
      <c r="AT60" s="764">
        <f>PFAlloc!$F55</f>
        <v>0</v>
      </c>
      <c r="AU60" s="72"/>
      <c r="AV60" s="72">
        <f t="shared" si="32"/>
        <v>63155</v>
      </c>
      <c r="AW60" s="265"/>
      <c r="AZ60" s="2"/>
      <c r="BA60" s="2"/>
      <c r="BB60" s="2"/>
      <c r="BC60" s="2"/>
    </row>
    <row r="61" spans="1:55" s="34" customFormat="1" ht="12">
      <c r="A61" s="32">
        <v>33</v>
      </c>
      <c r="D61" s="34" t="s">
        <v>454</v>
      </c>
      <c r="E61" s="1017">
        <f aca="true" t="shared" si="33" ref="E61:L61">SUM(E56:E60)</f>
        <v>1314046</v>
      </c>
      <c r="F61" s="765">
        <f t="shared" si="33"/>
        <v>0</v>
      </c>
      <c r="G61" s="765">
        <f t="shared" si="33"/>
        <v>0</v>
      </c>
      <c r="H61" s="765">
        <f t="shared" si="33"/>
        <v>-7325</v>
      </c>
      <c r="I61" s="765">
        <f t="shared" si="33"/>
        <v>492</v>
      </c>
      <c r="J61" s="765">
        <f t="shared" si="33"/>
        <v>-5248</v>
      </c>
      <c r="K61" s="765">
        <f t="shared" si="33"/>
        <v>-223</v>
      </c>
      <c r="L61" s="765">
        <f t="shared" si="33"/>
        <v>79626</v>
      </c>
      <c r="M61" s="34">
        <f aca="true" t="shared" si="34" ref="M61:T61">SUM(M56:M60)</f>
        <v>1381368</v>
      </c>
      <c r="N61" s="765">
        <f t="shared" si="34"/>
        <v>0</v>
      </c>
      <c r="O61" s="765">
        <f t="shared" si="34"/>
        <v>0</v>
      </c>
      <c r="P61" s="765">
        <f t="shared" si="34"/>
        <v>0</v>
      </c>
      <c r="Q61" s="765">
        <f t="shared" si="34"/>
        <v>0</v>
      </c>
      <c r="R61" s="765">
        <f t="shared" si="34"/>
        <v>0</v>
      </c>
      <c r="S61" s="765">
        <f t="shared" si="34"/>
        <v>0</v>
      </c>
      <c r="T61" s="765">
        <f t="shared" si="34"/>
        <v>0</v>
      </c>
      <c r="U61" s="765">
        <f aca="true" t="shared" si="35" ref="U61:AD61">SUM(U56:U60)</f>
        <v>0</v>
      </c>
      <c r="V61" s="765">
        <f t="shared" si="35"/>
        <v>0</v>
      </c>
      <c r="W61" s="765">
        <f t="shared" si="35"/>
        <v>0</v>
      </c>
      <c r="X61" s="765">
        <f t="shared" si="35"/>
        <v>42029</v>
      </c>
      <c r="Y61" s="765">
        <f>SUM(Y56:Y60)</f>
        <v>-14205</v>
      </c>
      <c r="Z61" s="765">
        <f>SUM(Z56:Z60)</f>
        <v>0</v>
      </c>
      <c r="AA61" s="765">
        <f>SUM(AA56:AA60)</f>
        <v>0</v>
      </c>
      <c r="AB61" s="765">
        <f>SUM(AB56:AB60)</f>
        <v>0</v>
      </c>
      <c r="AC61" s="765">
        <f t="shared" si="35"/>
        <v>0</v>
      </c>
      <c r="AD61" s="765">
        <f t="shared" si="35"/>
        <v>0</v>
      </c>
      <c r="AE61" s="765">
        <f>SUM(AE56:AE60)</f>
        <v>0</v>
      </c>
      <c r="AF61" s="765">
        <f>SUM(AF56:AF60)</f>
        <v>0</v>
      </c>
      <c r="AG61" s="765">
        <f>SUM(AG56:AG60)</f>
        <v>0</v>
      </c>
      <c r="AH61" s="991"/>
      <c r="AI61" s="34">
        <f aca="true" t="shared" si="36" ref="AI61:AT61">SUM(AI56:AI60)</f>
        <v>1409192</v>
      </c>
      <c r="AJ61" s="765">
        <f t="shared" si="36"/>
        <v>0</v>
      </c>
      <c r="AK61" s="765">
        <f t="shared" si="36"/>
        <v>0</v>
      </c>
      <c r="AL61" s="765">
        <f t="shared" si="36"/>
        <v>0</v>
      </c>
      <c r="AM61" s="765">
        <f t="shared" si="36"/>
        <v>0</v>
      </c>
      <c r="AN61" s="765">
        <f t="shared" si="36"/>
        <v>0</v>
      </c>
      <c r="AO61" s="765">
        <f t="shared" si="36"/>
        <v>0</v>
      </c>
      <c r="AP61" s="765">
        <f t="shared" si="36"/>
        <v>18543</v>
      </c>
      <c r="AQ61" s="765">
        <f t="shared" si="36"/>
        <v>-298</v>
      </c>
      <c r="AR61" s="765">
        <f t="shared" si="36"/>
        <v>0</v>
      </c>
      <c r="AS61" s="765">
        <f t="shared" si="36"/>
        <v>0</v>
      </c>
      <c r="AT61" s="765">
        <f t="shared" si="36"/>
        <v>0</v>
      </c>
      <c r="AU61" s="34">
        <f>SUM(AU56:AU60)</f>
        <v>0</v>
      </c>
      <c r="AV61" s="34">
        <f t="shared" si="32"/>
        <v>1427437</v>
      </c>
      <c r="AW61" s="266"/>
      <c r="AZ61" s="2"/>
      <c r="BA61" s="2"/>
      <c r="BB61" s="2"/>
      <c r="BC61" s="2"/>
    </row>
    <row r="62" spans="1:55" s="34" customFormat="1" ht="18" customHeight="1">
      <c r="A62" s="32">
        <v>34</v>
      </c>
      <c r="B62" s="34" t="s">
        <v>455</v>
      </c>
      <c r="E62" s="1015">
        <f>ResultSumEl!F57</f>
        <v>436127</v>
      </c>
      <c r="F62" s="763">
        <f>DFITWaEl!$F57</f>
        <v>0</v>
      </c>
      <c r="G62" s="763">
        <f>BldGain!$F57</f>
        <v>0</v>
      </c>
      <c r="H62" s="763">
        <f>ColstripAFUDC!$F57</f>
        <v>-5023</v>
      </c>
      <c r="I62" s="763">
        <f>ColstripCommon!$F57</f>
        <v>0</v>
      </c>
      <c r="J62" s="763">
        <f>KFSumm!$F57</f>
        <v>-3559</v>
      </c>
      <c r="K62" s="763">
        <f>CustAdv!$F57</f>
        <v>0</v>
      </c>
      <c r="L62" s="763">
        <f>SettleEx!$F57</f>
        <v>0</v>
      </c>
      <c r="M62" s="71">
        <f>SUM(E62:L62)</f>
        <v>427545</v>
      </c>
      <c r="N62" s="763">
        <f>HydroRel!$F57</f>
        <v>0</v>
      </c>
      <c r="O62" s="763">
        <f>BandO!$F57</f>
        <v>0</v>
      </c>
      <c r="P62" s="763">
        <f>PropTax!$F57</f>
        <v>0</v>
      </c>
      <c r="Q62" s="763">
        <f>UncollExp!$F57</f>
        <v>0</v>
      </c>
      <c r="R62" s="763">
        <f>RegExp!$F57</f>
        <v>0</v>
      </c>
      <c r="S62" s="763">
        <f>InjDam!$F57</f>
        <v>0</v>
      </c>
      <c r="T62" s="763">
        <f>FIT!$F57</f>
        <v>0</v>
      </c>
      <c r="U62" s="763">
        <f>ElimPowerCost!$F57</f>
        <v>0</v>
      </c>
      <c r="V62" s="763">
        <f>NezPerce!$F57</f>
        <v>0</v>
      </c>
      <c r="W62" s="763">
        <f>PayClear!$F57</f>
        <v>0</v>
      </c>
      <c r="X62" s="763">
        <f>'CS2'!$F57</f>
        <v>853</v>
      </c>
      <c r="Y62" s="763">
        <f>WAPGE!$F57</f>
        <v>0</v>
      </c>
      <c r="Z62" s="763">
        <f>ElimAR!$F57</f>
        <v>0</v>
      </c>
      <c r="AA62" s="763">
        <f>SubSpace!$F57</f>
        <v>0</v>
      </c>
      <c r="AB62" s="763">
        <f>XFranchTax!$F57</f>
        <v>0</v>
      </c>
      <c r="AC62" s="763">
        <f>WARevAdj!$F57</f>
        <v>0</v>
      </c>
      <c r="AD62" s="763">
        <f>MiscTariffs!$F57</f>
        <v>0</v>
      </c>
      <c r="AE62" s="763">
        <f>Depr!$F57</f>
        <v>-251</v>
      </c>
      <c r="AF62" s="763">
        <f>Incent!$F57</f>
        <v>0</v>
      </c>
      <c r="AG62" s="763">
        <f>DebtInt!$F57</f>
        <v>0</v>
      </c>
      <c r="AH62" s="989"/>
      <c r="AI62" s="71">
        <f>SUM(M62:AH62)</f>
        <v>428147</v>
      </c>
      <c r="AJ62" s="763">
        <f>PFPSWA!$F57</f>
        <v>0</v>
      </c>
      <c r="AK62" s="763">
        <f>PFPension!$F57</f>
        <v>0</v>
      </c>
      <c r="AL62" s="763">
        <f>PFIns!$F57</f>
        <v>0</v>
      </c>
      <c r="AM62" s="763">
        <f>PFLabor!$F57</f>
        <v>0</v>
      </c>
      <c r="AN62" s="763">
        <f>PFExec!$F57</f>
        <v>0</v>
      </c>
      <c r="AO62" s="763">
        <f>PFVeg!$F57</f>
        <v>0</v>
      </c>
      <c r="AP62" s="763">
        <f>PFTransm!$F57</f>
        <v>217</v>
      </c>
      <c r="AQ62" s="763">
        <f>PFSkook!$F57</f>
        <v>-135</v>
      </c>
      <c r="AR62" s="763">
        <f>PFCanSmGen!$F57</f>
        <v>0</v>
      </c>
      <c r="AS62" s="763">
        <f>ProdTaxCr!$F57</f>
        <v>0</v>
      </c>
      <c r="AT62" s="763">
        <f>PFAlloc!$F57</f>
        <v>0</v>
      </c>
      <c r="AU62" s="71"/>
      <c r="AV62" s="71">
        <f aca="true" t="shared" si="37" ref="AV62:AV68">SUM(AI62:AU62)</f>
        <v>428229</v>
      </c>
      <c r="AW62" s="264"/>
      <c r="AZ62" s="2"/>
      <c r="BA62" s="2"/>
      <c r="BB62" s="2"/>
      <c r="BC62" s="2"/>
    </row>
    <row r="63" spans="1:55" s="34" customFormat="1" ht="12">
      <c r="A63" s="32">
        <v>35</v>
      </c>
      <c r="B63" s="34" t="s">
        <v>456</v>
      </c>
      <c r="E63" s="1016">
        <f>ResultSumEl!F58</f>
        <v>10630</v>
      </c>
      <c r="F63" s="764">
        <f>DFITWaEl!$F58</f>
        <v>0</v>
      </c>
      <c r="G63" s="764">
        <f>BldGain!$F58</f>
        <v>0</v>
      </c>
      <c r="H63" s="764">
        <f>ColstripAFUDC!$F58</f>
        <v>0</v>
      </c>
      <c r="I63" s="764">
        <f>ColstripCommon!$F58</f>
        <v>0</v>
      </c>
      <c r="J63" s="764">
        <f>KFSumm!$F58</f>
        <v>0</v>
      </c>
      <c r="K63" s="764">
        <f>CustAdv!$F58</f>
        <v>0</v>
      </c>
      <c r="L63" s="764">
        <f>SettleEx!$F58</f>
        <v>47368</v>
      </c>
      <c r="M63" s="72">
        <f>SUM(E63:L63)</f>
        <v>57998</v>
      </c>
      <c r="N63" s="764">
        <f>HydroRel!$F58</f>
        <v>0</v>
      </c>
      <c r="O63" s="764">
        <f>BandO!$F58</f>
        <v>0</v>
      </c>
      <c r="P63" s="764">
        <f>PropTax!$F58</f>
        <v>0</v>
      </c>
      <c r="Q63" s="764">
        <f>UncollExp!$F58</f>
        <v>0</v>
      </c>
      <c r="R63" s="764">
        <f>RegExp!$F58</f>
        <v>0</v>
      </c>
      <c r="S63" s="764">
        <f>InjDam!$F58</f>
        <v>0</v>
      </c>
      <c r="T63" s="764">
        <f>FIT!$F58</f>
        <v>0</v>
      </c>
      <c r="U63" s="764">
        <f>ElimPowerCost!$F58</f>
        <v>0</v>
      </c>
      <c r="V63" s="764">
        <f>NezPerce!$F58</f>
        <v>0</v>
      </c>
      <c r="W63" s="764">
        <f>PayClear!$F58</f>
        <v>0</v>
      </c>
      <c r="X63" s="764">
        <f>'CS2'!$F58</f>
        <v>0</v>
      </c>
      <c r="Y63" s="764">
        <f>WAPGE!$F58</f>
        <v>-10210</v>
      </c>
      <c r="Z63" s="764">
        <f>ElimAR!$F58</f>
        <v>0</v>
      </c>
      <c r="AA63" s="764">
        <f>SubSpace!$F58</f>
        <v>0</v>
      </c>
      <c r="AB63" s="764">
        <f>XFranchTax!$F58</f>
        <v>0</v>
      </c>
      <c r="AC63" s="764">
        <f>WARevAdj!$F58</f>
        <v>0</v>
      </c>
      <c r="AD63" s="764">
        <f>MiscTariffs!$F58</f>
        <v>0</v>
      </c>
      <c r="AE63" s="764">
        <f>Depr!$F58</f>
        <v>0</v>
      </c>
      <c r="AF63" s="764">
        <f>Incent!$F58</f>
        <v>0</v>
      </c>
      <c r="AG63" s="764">
        <f>DebtInt!$F58</f>
        <v>0</v>
      </c>
      <c r="AH63" s="990"/>
      <c r="AI63" s="72">
        <f>SUM(M63:AH63)</f>
        <v>47788</v>
      </c>
      <c r="AJ63" s="764">
        <f>PFPSWA!$F58</f>
        <v>0</v>
      </c>
      <c r="AK63" s="764">
        <f>PFPension!$F58</f>
        <v>0</v>
      </c>
      <c r="AL63" s="764">
        <f>PFIns!$F58</f>
        <v>0</v>
      </c>
      <c r="AM63" s="764">
        <f>PFLabor!$F58</f>
        <v>0</v>
      </c>
      <c r="AN63" s="764">
        <f>PFExec!$F58</f>
        <v>0</v>
      </c>
      <c r="AO63" s="764">
        <f>PFVeg!$F58</f>
        <v>0</v>
      </c>
      <c r="AP63" s="764">
        <f>PFTransm!$F58</f>
        <v>0</v>
      </c>
      <c r="AQ63" s="764">
        <f>PFSkook!$F58</f>
        <v>0</v>
      </c>
      <c r="AR63" s="764">
        <f>PFCanSmGen!$F58</f>
        <v>0</v>
      </c>
      <c r="AS63" s="764">
        <f>ProdTaxCr!$F58</f>
        <v>0</v>
      </c>
      <c r="AT63" s="764">
        <f>PFAlloc!$F58</f>
        <v>0</v>
      </c>
      <c r="AU63" s="72"/>
      <c r="AV63" s="72">
        <f t="shared" si="37"/>
        <v>47788</v>
      </c>
      <c r="AW63" s="265"/>
      <c r="AZ63" s="2"/>
      <c r="BA63" s="2"/>
      <c r="BB63" s="2"/>
      <c r="BC63" s="2"/>
    </row>
    <row r="64" spans="1:55" s="34" customFormat="1" ht="12">
      <c r="A64" s="32">
        <v>36</v>
      </c>
      <c r="C64" s="34" t="s">
        <v>457</v>
      </c>
      <c r="E64" s="1017">
        <f aca="true" t="shared" si="38" ref="E64:L64">SUM(E62:E63)</f>
        <v>446757</v>
      </c>
      <c r="F64" s="765">
        <f t="shared" si="38"/>
        <v>0</v>
      </c>
      <c r="G64" s="765">
        <f t="shared" si="38"/>
        <v>0</v>
      </c>
      <c r="H64" s="765">
        <f t="shared" si="38"/>
        <v>-5023</v>
      </c>
      <c r="I64" s="765">
        <f t="shared" si="38"/>
        <v>0</v>
      </c>
      <c r="J64" s="765">
        <f t="shared" si="38"/>
        <v>-3559</v>
      </c>
      <c r="K64" s="765">
        <f t="shared" si="38"/>
        <v>0</v>
      </c>
      <c r="L64" s="765">
        <f t="shared" si="38"/>
        <v>47368</v>
      </c>
      <c r="M64" s="34">
        <f aca="true" t="shared" si="39" ref="M64:T64">SUM(M62:M63)</f>
        <v>485543</v>
      </c>
      <c r="N64" s="765">
        <f t="shared" si="39"/>
        <v>0</v>
      </c>
      <c r="O64" s="765">
        <f t="shared" si="39"/>
        <v>0</v>
      </c>
      <c r="P64" s="765">
        <f t="shared" si="39"/>
        <v>0</v>
      </c>
      <c r="Q64" s="765">
        <f t="shared" si="39"/>
        <v>0</v>
      </c>
      <c r="R64" s="765">
        <f t="shared" si="39"/>
        <v>0</v>
      </c>
      <c r="S64" s="765">
        <f t="shared" si="39"/>
        <v>0</v>
      </c>
      <c r="T64" s="765">
        <f t="shared" si="39"/>
        <v>0</v>
      </c>
      <c r="U64" s="765">
        <f aca="true" t="shared" si="40" ref="U64:AD64">SUM(U62:U63)</f>
        <v>0</v>
      </c>
      <c r="V64" s="765">
        <f t="shared" si="40"/>
        <v>0</v>
      </c>
      <c r="W64" s="765">
        <f t="shared" si="40"/>
        <v>0</v>
      </c>
      <c r="X64" s="765">
        <f t="shared" si="40"/>
        <v>853</v>
      </c>
      <c r="Y64" s="765">
        <f>SUM(Y62:Y63)</f>
        <v>-10210</v>
      </c>
      <c r="Z64" s="765">
        <f>SUM(Z62:Z63)</f>
        <v>0</v>
      </c>
      <c r="AA64" s="765">
        <f>SUM(AA62:AA63)</f>
        <v>0</v>
      </c>
      <c r="AB64" s="765">
        <f>SUM(AB62:AB63)</f>
        <v>0</v>
      </c>
      <c r="AC64" s="765">
        <f t="shared" si="40"/>
        <v>0</v>
      </c>
      <c r="AD64" s="765">
        <f t="shared" si="40"/>
        <v>0</v>
      </c>
      <c r="AE64" s="765">
        <f>SUM(AE62:AE63)</f>
        <v>-251</v>
      </c>
      <c r="AF64" s="765">
        <f>SUM(AF62:AF63)</f>
        <v>0</v>
      </c>
      <c r="AG64" s="765">
        <f>SUM(AG62:AG63)</f>
        <v>0</v>
      </c>
      <c r="AH64" s="991"/>
      <c r="AI64" s="34">
        <f aca="true" t="shared" si="41" ref="AI64:AT64">SUM(AI62:AI63)</f>
        <v>475935</v>
      </c>
      <c r="AJ64" s="765">
        <f t="shared" si="41"/>
        <v>0</v>
      </c>
      <c r="AK64" s="765">
        <f t="shared" si="41"/>
        <v>0</v>
      </c>
      <c r="AL64" s="765">
        <f t="shared" si="41"/>
        <v>0</v>
      </c>
      <c r="AM64" s="765">
        <f t="shared" si="41"/>
        <v>0</v>
      </c>
      <c r="AN64" s="765">
        <f t="shared" si="41"/>
        <v>0</v>
      </c>
      <c r="AO64" s="765">
        <f t="shared" si="41"/>
        <v>0</v>
      </c>
      <c r="AP64" s="765">
        <f t="shared" si="41"/>
        <v>217</v>
      </c>
      <c r="AQ64" s="765">
        <f t="shared" si="41"/>
        <v>-135</v>
      </c>
      <c r="AR64" s="765">
        <f t="shared" si="41"/>
        <v>0</v>
      </c>
      <c r="AS64" s="765">
        <f t="shared" si="41"/>
        <v>0</v>
      </c>
      <c r="AT64" s="765">
        <f t="shared" si="41"/>
        <v>0</v>
      </c>
      <c r="AU64" s="34">
        <f>SUM(AU62:AU63)</f>
        <v>0</v>
      </c>
      <c r="AV64" s="34">
        <f t="shared" si="37"/>
        <v>476017</v>
      </c>
      <c r="AW64" s="266"/>
      <c r="AZ64" s="2"/>
      <c r="BA64" s="2"/>
      <c r="BB64" s="2"/>
      <c r="BC64" s="2"/>
    </row>
    <row r="65" spans="1:55" s="34" customFormat="1" ht="12">
      <c r="A65" s="32">
        <v>37</v>
      </c>
      <c r="B65" s="34" t="s">
        <v>458</v>
      </c>
      <c r="E65" s="1015">
        <f>ResultSumEl!F60</f>
        <v>0</v>
      </c>
      <c r="F65" s="763">
        <f>DFITWaEl!$F60</f>
        <v>0</v>
      </c>
      <c r="G65" s="763">
        <f>BldGain!$F60</f>
        <v>-715</v>
      </c>
      <c r="H65" s="763">
        <f>ColstripAFUDC!$F60</f>
        <v>0</v>
      </c>
      <c r="I65" s="763">
        <f>ColstripCommon!$F60</f>
        <v>0</v>
      </c>
      <c r="J65" s="763">
        <f>KFSumm!$F60</f>
        <v>0</v>
      </c>
      <c r="K65" s="763">
        <f>CustAdv!$F60</f>
        <v>0</v>
      </c>
      <c r="L65" s="763">
        <f>SettleEx!$F60</f>
        <v>0</v>
      </c>
      <c r="M65" s="71">
        <f>SUM(E65:L65)</f>
        <v>-715</v>
      </c>
      <c r="N65" s="763">
        <f>HydroRel!$F60</f>
        <v>0</v>
      </c>
      <c r="O65" s="763">
        <f>BandO!$F60</f>
        <v>0</v>
      </c>
      <c r="P65" s="763">
        <f>PropTax!$F60</f>
        <v>0</v>
      </c>
      <c r="Q65" s="763">
        <f>UncollExp!$F60</f>
        <v>0</v>
      </c>
      <c r="R65" s="763">
        <f>RegExp!$F60</f>
        <v>0</v>
      </c>
      <c r="S65" s="763">
        <f>InjDam!$F60</f>
        <v>0</v>
      </c>
      <c r="T65" s="763">
        <f>FIT!$F60</f>
        <v>0</v>
      </c>
      <c r="U65" s="763">
        <f>ElimPowerCost!$F60</f>
        <v>0</v>
      </c>
      <c r="V65" s="763">
        <f>NezPerce!$F60</f>
        <v>0</v>
      </c>
      <c r="W65" s="763">
        <f>PayClear!$F60</f>
        <v>0</v>
      </c>
      <c r="X65" s="763">
        <f>'CS2'!$F60</f>
        <v>0</v>
      </c>
      <c r="Y65" s="763">
        <f>WAPGE!$F60</f>
        <v>0</v>
      </c>
      <c r="Z65" s="763">
        <f>ElimAR!$F60</f>
        <v>0</v>
      </c>
      <c r="AA65" s="763">
        <f>SubSpace!$F60</f>
        <v>0</v>
      </c>
      <c r="AB65" s="763">
        <f>XFranchTax!$F60</f>
        <v>0</v>
      </c>
      <c r="AC65" s="763">
        <f>WARevAdj!$F60</f>
        <v>0</v>
      </c>
      <c r="AD65" s="763">
        <f>MiscTariffs!$F60</f>
        <v>0</v>
      </c>
      <c r="AE65" s="763">
        <f>Depr!$F60</f>
        <v>0</v>
      </c>
      <c r="AF65" s="763">
        <f>Incent!$F60</f>
        <v>0</v>
      </c>
      <c r="AG65" s="763">
        <f>DebtInt!$F60</f>
        <v>0</v>
      </c>
      <c r="AH65" s="989"/>
      <c r="AI65" s="71">
        <f>SUM(M65:AH65)</f>
        <v>-715</v>
      </c>
      <c r="AJ65" s="763">
        <f>PFPSWA!$F60</f>
        <v>0</v>
      </c>
      <c r="AK65" s="763">
        <f>PFPension!$F60</f>
        <v>0</v>
      </c>
      <c r="AL65" s="763">
        <f>PFIns!$F60</f>
        <v>0</v>
      </c>
      <c r="AM65" s="763">
        <f>PFLabor!$F60</f>
        <v>0</v>
      </c>
      <c r="AN65" s="763">
        <f>PFExec!$F60</f>
        <v>0</v>
      </c>
      <c r="AO65" s="763">
        <f>PFVeg!$F60</f>
        <v>0</v>
      </c>
      <c r="AP65" s="763">
        <f>PFTransm!$F60</f>
        <v>0</v>
      </c>
      <c r="AQ65" s="763">
        <f>PFSkook!$F60</f>
        <v>0</v>
      </c>
      <c r="AR65" s="763">
        <f>PFCanSmGen!$F60</f>
        <v>0</v>
      </c>
      <c r="AS65" s="763">
        <f>ProdTaxCr!$F60</f>
        <v>0</v>
      </c>
      <c r="AT65" s="763">
        <f>PFAlloc!$F60</f>
        <v>0</v>
      </c>
      <c r="AU65" s="71"/>
      <c r="AV65" s="71">
        <f t="shared" si="37"/>
        <v>-715</v>
      </c>
      <c r="AW65" s="264"/>
      <c r="AZ65" s="2"/>
      <c r="BA65" s="2"/>
      <c r="BB65" s="2"/>
      <c r="BC65" s="2"/>
    </row>
    <row r="66" spans="1:55" s="34" customFormat="1" ht="12">
      <c r="A66" s="32">
        <v>38</v>
      </c>
      <c r="B66" s="34" t="s">
        <v>459</v>
      </c>
      <c r="E66" s="1016">
        <f>ResultSumEl!F61</f>
        <v>0</v>
      </c>
      <c r="F66" s="764">
        <f>DFITWaEl!$F61</f>
        <v>-150785</v>
      </c>
      <c r="G66" s="764">
        <f>BldGain!$F61</f>
        <v>250</v>
      </c>
      <c r="H66" s="764">
        <f>ColstripAFUDC!$F61</f>
        <v>0</v>
      </c>
      <c r="I66" s="764">
        <f>ColstripCommon!$F61</f>
        <v>0</v>
      </c>
      <c r="J66" s="764">
        <f>KFSumm!$F61</f>
        <v>668</v>
      </c>
      <c r="K66" s="764">
        <f>CustAdv!$F61</f>
        <v>0</v>
      </c>
      <c r="L66" s="764">
        <f>SettleEx!$F61</f>
        <v>-5577</v>
      </c>
      <c r="M66" s="72">
        <f>SUM(E66:L66)</f>
        <v>-155444</v>
      </c>
      <c r="N66" s="764">
        <f>HydroRel!$F61</f>
        <v>0</v>
      </c>
      <c r="O66" s="764">
        <f>BandO!$F61</f>
        <v>0</v>
      </c>
      <c r="P66" s="764">
        <f>PropTax!$F61</f>
        <v>0</v>
      </c>
      <c r="Q66" s="764">
        <f>UncollExp!$F61</f>
        <v>0</v>
      </c>
      <c r="R66" s="764">
        <f>RegExp!$F61</f>
        <v>0</v>
      </c>
      <c r="S66" s="764">
        <f>InjDam!$F61</f>
        <v>0</v>
      </c>
      <c r="T66" s="764">
        <f>FIT!$F61</f>
        <v>0</v>
      </c>
      <c r="U66" s="764">
        <f>ElimPowerCost!$F61</f>
        <v>0</v>
      </c>
      <c r="V66" s="764">
        <f>NezPerce!$F61</f>
        <v>0</v>
      </c>
      <c r="W66" s="764">
        <f>PayClear!$F61</f>
        <v>0</v>
      </c>
      <c r="X66" s="764">
        <f>'CS2'!$F61</f>
        <v>-175</v>
      </c>
      <c r="Y66" s="764">
        <f>WAPGE!$F61</f>
        <v>1088</v>
      </c>
      <c r="Z66" s="764">
        <f>ElimAR!$F61</f>
        <v>0</v>
      </c>
      <c r="AA66" s="764">
        <f>SubSpace!$F61</f>
        <v>0</v>
      </c>
      <c r="AB66" s="764">
        <f>XFranchTax!$F61</f>
        <v>0</v>
      </c>
      <c r="AC66" s="764">
        <f>WARevAdj!$F61</f>
        <v>0</v>
      </c>
      <c r="AD66" s="764">
        <f>MiscTariffs!$F61</f>
        <v>0</v>
      </c>
      <c r="AE66" s="764">
        <f>Depr!$F61</f>
        <v>0</v>
      </c>
      <c r="AF66" s="764">
        <f>Incent!$F61</f>
        <v>0</v>
      </c>
      <c r="AG66" s="764">
        <f>DebtInt!$F61</f>
        <v>0</v>
      </c>
      <c r="AH66" s="990"/>
      <c r="AI66" s="72">
        <f>SUM(M66:AH66)</f>
        <v>-154531</v>
      </c>
      <c r="AJ66" s="764">
        <f>PFPSWA!$F61</f>
        <v>0</v>
      </c>
      <c r="AK66" s="764">
        <f>PFPension!$F61</f>
        <v>0</v>
      </c>
      <c r="AL66" s="764">
        <f>PFIns!$F61</f>
        <v>0</v>
      </c>
      <c r="AM66" s="764">
        <f>PFLabor!$F61</f>
        <v>0</v>
      </c>
      <c r="AN66" s="764">
        <f>PFExec!$F61</f>
        <v>0</v>
      </c>
      <c r="AO66" s="764">
        <f>PFVeg!$F61</f>
        <v>0</v>
      </c>
      <c r="AP66" s="764">
        <f>PFTransm!$F61</f>
        <v>-329</v>
      </c>
      <c r="AQ66" s="764">
        <f>PFSkook!$F61</f>
        <v>0</v>
      </c>
      <c r="AR66" s="764">
        <f>PFCanSmGen!$F61</f>
        <v>0</v>
      </c>
      <c r="AS66" s="764">
        <f>ProdTaxCr!$F61</f>
        <v>0</v>
      </c>
      <c r="AT66" s="764">
        <f>PFAlloc!$F61</f>
        <v>0</v>
      </c>
      <c r="AU66" s="72"/>
      <c r="AV66" s="72">
        <f t="shared" si="37"/>
        <v>-154860</v>
      </c>
      <c r="AW66" s="265"/>
      <c r="AZ66" s="2"/>
      <c r="BA66" s="2"/>
      <c r="BB66" s="2"/>
      <c r="BC66" s="2"/>
    </row>
    <row r="67" spans="1:59" s="34" customFormat="1" ht="12">
      <c r="A67" s="32"/>
      <c r="E67" s="1017"/>
      <c r="F67" s="765"/>
      <c r="G67" s="765"/>
      <c r="H67" s="765"/>
      <c r="I67" s="765"/>
      <c r="J67" s="765"/>
      <c r="K67" s="765"/>
      <c r="L67" s="765"/>
      <c r="N67" s="765"/>
      <c r="O67" s="765"/>
      <c r="P67" s="765"/>
      <c r="Q67" s="765"/>
      <c r="R67" s="765"/>
      <c r="S67" s="765"/>
      <c r="T67" s="765"/>
      <c r="U67" s="765"/>
      <c r="V67" s="765"/>
      <c r="W67" s="765"/>
      <c r="X67" s="765"/>
      <c r="Y67" s="765"/>
      <c r="Z67" s="765"/>
      <c r="AA67" s="765"/>
      <c r="AB67" s="765"/>
      <c r="AC67" s="765"/>
      <c r="AD67" s="765"/>
      <c r="AE67" s="765"/>
      <c r="AF67" s="765"/>
      <c r="AG67" s="765"/>
      <c r="AH67" s="991"/>
      <c r="AJ67" s="765"/>
      <c r="AK67" s="765"/>
      <c r="AL67" s="765"/>
      <c r="AM67" s="765"/>
      <c r="AN67" s="765"/>
      <c r="AO67" s="765"/>
      <c r="AP67" s="765"/>
      <c r="AQ67" s="765"/>
      <c r="AR67" s="765"/>
      <c r="AS67" s="765"/>
      <c r="AT67" s="765"/>
      <c r="AU67" s="4"/>
      <c r="AV67" s="34">
        <f t="shared" si="37"/>
        <v>0</v>
      </c>
      <c r="AW67" s="266"/>
      <c r="AZ67" s="2"/>
      <c r="BA67" s="2"/>
      <c r="BB67" s="2"/>
      <c r="BC67" s="2"/>
      <c r="BD67" s="33"/>
      <c r="BE67" s="33"/>
      <c r="BF67" s="33"/>
      <c r="BG67" s="33"/>
    </row>
    <row r="68" spans="1:59" s="33" customFormat="1" ht="12.75" thickBot="1">
      <c r="A68" s="35">
        <v>39</v>
      </c>
      <c r="B68" s="33" t="s">
        <v>460</v>
      </c>
      <c r="E68" s="1019">
        <f aca="true" t="shared" si="42" ref="E68:L68">E61-E64+E65+E66</f>
        <v>867289</v>
      </c>
      <c r="F68" s="767">
        <f t="shared" si="42"/>
        <v>-150785</v>
      </c>
      <c r="G68" s="767">
        <f t="shared" si="42"/>
        <v>-465</v>
      </c>
      <c r="H68" s="767">
        <f t="shared" si="42"/>
        <v>-2302</v>
      </c>
      <c r="I68" s="767">
        <f t="shared" si="42"/>
        <v>492</v>
      </c>
      <c r="J68" s="767">
        <f t="shared" si="42"/>
        <v>-1021</v>
      </c>
      <c r="K68" s="767">
        <f t="shared" si="42"/>
        <v>-223</v>
      </c>
      <c r="L68" s="767">
        <f t="shared" si="42"/>
        <v>26681</v>
      </c>
      <c r="M68" s="244">
        <f aca="true" t="shared" si="43" ref="M68:T68">M61-M64+M65+M66</f>
        <v>739666</v>
      </c>
      <c r="N68" s="767">
        <f>N61-N64+N65+N66</f>
        <v>0</v>
      </c>
      <c r="O68" s="767">
        <f t="shared" si="43"/>
        <v>0</v>
      </c>
      <c r="P68" s="767">
        <f t="shared" si="43"/>
        <v>0</v>
      </c>
      <c r="Q68" s="767">
        <f t="shared" si="43"/>
        <v>0</v>
      </c>
      <c r="R68" s="767">
        <f t="shared" si="43"/>
        <v>0</v>
      </c>
      <c r="S68" s="767">
        <f t="shared" si="43"/>
        <v>0</v>
      </c>
      <c r="T68" s="767">
        <f t="shared" si="43"/>
        <v>0</v>
      </c>
      <c r="U68" s="767">
        <f aca="true" t="shared" si="44" ref="U68:AC68">U61-U64+U65+U66</f>
        <v>0</v>
      </c>
      <c r="V68" s="767">
        <f t="shared" si="44"/>
        <v>0</v>
      </c>
      <c r="W68" s="767">
        <f t="shared" si="44"/>
        <v>0</v>
      </c>
      <c r="X68" s="767">
        <f t="shared" si="44"/>
        <v>41001</v>
      </c>
      <c r="Y68" s="767">
        <f>Y61-Y64+Y65+Y66</f>
        <v>-2907</v>
      </c>
      <c r="Z68" s="767">
        <f>Z61-Z64+Z65+Z66</f>
        <v>0</v>
      </c>
      <c r="AA68" s="767">
        <f>AA61-AA64+AA65+AA66</f>
        <v>0</v>
      </c>
      <c r="AB68" s="767">
        <f>AB61-AB64+AB65+AB66</f>
        <v>0</v>
      </c>
      <c r="AC68" s="767">
        <f t="shared" si="44"/>
        <v>0</v>
      </c>
      <c r="AD68" s="767">
        <f>AD61-AD64+AD65+AD66</f>
        <v>0</v>
      </c>
      <c r="AE68" s="767">
        <f>AE61-AE64+AE65+AE66</f>
        <v>251</v>
      </c>
      <c r="AF68" s="767">
        <f>AF61-AF64+AF65+AF66</f>
        <v>0</v>
      </c>
      <c r="AG68" s="767">
        <f>AG61-AG64+AG65+AG66</f>
        <v>0</v>
      </c>
      <c r="AH68" s="993"/>
      <c r="AI68" s="244">
        <f aca="true" t="shared" si="45" ref="AI68:AP68">AI61-AI64+AI65+AI66</f>
        <v>778011</v>
      </c>
      <c r="AJ68" s="767">
        <f t="shared" si="45"/>
        <v>0</v>
      </c>
      <c r="AK68" s="767">
        <f t="shared" si="45"/>
        <v>0</v>
      </c>
      <c r="AL68" s="767">
        <f t="shared" si="45"/>
        <v>0</v>
      </c>
      <c r="AM68" s="767">
        <f t="shared" si="45"/>
        <v>0</v>
      </c>
      <c r="AN68" s="767">
        <f t="shared" si="45"/>
        <v>0</v>
      </c>
      <c r="AO68" s="767">
        <f t="shared" si="45"/>
        <v>0</v>
      </c>
      <c r="AP68" s="767">
        <f t="shared" si="45"/>
        <v>17997</v>
      </c>
      <c r="AQ68" s="767">
        <f>AQ61-AQ64+AQ65+AQ66</f>
        <v>-163</v>
      </c>
      <c r="AR68" s="767">
        <f>AR61-AR64+AR65+AR66</f>
        <v>0</v>
      </c>
      <c r="AS68" s="767">
        <f>AS61-AS64+AS65+AS66</f>
        <v>0</v>
      </c>
      <c r="AT68" s="767">
        <f>AT61-AT64+AT65+AT66</f>
        <v>0</v>
      </c>
      <c r="AU68" s="244">
        <f>AU61-AU64+AU65+AU66</f>
        <v>0</v>
      </c>
      <c r="AV68" s="244">
        <f t="shared" si="37"/>
        <v>795845</v>
      </c>
      <c r="AW68" s="268"/>
      <c r="AZ68" s="2"/>
      <c r="BA68" s="2"/>
      <c r="BB68" s="2"/>
      <c r="BC68" s="2"/>
      <c r="BD68" s="2"/>
      <c r="BE68" s="2"/>
      <c r="BF68" s="2"/>
      <c r="BG68" s="2"/>
    </row>
    <row r="69" spans="1:48" ht="18" customHeight="1" thickTop="1">
      <c r="A69" s="32">
        <v>40</v>
      </c>
      <c r="B69" s="2" t="s">
        <v>461</v>
      </c>
      <c r="E69" s="1020">
        <f>ROUND(E52/E68,4)</f>
        <v>0.0759</v>
      </c>
      <c r="M69" s="37">
        <f>ROUND(M52/M68,4)</f>
        <v>0.0894</v>
      </c>
      <c r="AI69" s="37">
        <f>ROUND(AI52/AI68,4)</f>
        <v>0.0774</v>
      </c>
      <c r="AV69" s="37">
        <f>ROUND(AV52/AV68,4)</f>
        <v>0.0687</v>
      </c>
    </row>
    <row r="70" ht="12">
      <c r="E70" s="1020"/>
    </row>
  </sheetData>
  <printOptions/>
  <pageMargins left="0.75" right="0.51" top="0.75" bottom="0.5" header="0.5" footer="0.5"/>
  <pageSetup firstPageNumber="4" useFirstPageNumber="1" fitToWidth="7" horizontalDpi="300" verticalDpi="300" orientation="portrait" scale="75" r:id="rId1"/>
  <headerFooter alignWithMargins="0">
    <oddHeader>&amp;L&amp;"Times,Regular"&amp;9KM  File: &amp;F&amp;R&amp;"Times,Regular"Exhibit No.____(DMF-2)</oddHeader>
    <oddFooter>&amp;L&amp;"Times,Regular"Docket No. UE-05-________
Falkner, Avista&amp;R&amp;"Times,Regular"Page &amp;P of 9</oddFooter>
  </headerFooter>
  <colBreaks count="1" manualBreakCount="1">
    <brk id="4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0"/>
  <sheetViews>
    <sheetView zoomScale="75" zoomScaleNormal="75" workbookViewId="0" topLeftCell="A1">
      <selection activeCell="E70" sqref="E70"/>
    </sheetView>
  </sheetViews>
  <sheetFormatPr defaultColWidth="9.140625" defaultRowHeight="12.75"/>
  <cols>
    <col min="1" max="1" width="5.57421875" style="144" customWidth="1"/>
    <col min="2" max="2" width="26.140625" style="141" customWidth="1"/>
    <col min="3" max="3" width="12.421875" style="141" customWidth="1"/>
    <col min="4" max="4" width="6.7109375" style="141" customWidth="1"/>
    <col min="5" max="5" width="12.421875" style="78" customWidth="1"/>
    <col min="6" max="7" width="12.421875" style="141" customWidth="1"/>
    <col min="8" max="8" width="11.7109375" style="78" customWidth="1"/>
    <col min="9" max="16384" width="12.421875" style="141" customWidth="1"/>
  </cols>
  <sheetData>
    <row r="1" spans="1:3" ht="12">
      <c r="A1" s="139" t="str">
        <f>Inputs!$D$6</f>
        <v>AVISTA UTILITIES</v>
      </c>
      <c r="B1" s="140"/>
      <c r="C1" s="139"/>
    </row>
    <row r="2" spans="1:7" ht="12">
      <c r="A2" s="139" t="s">
        <v>134</v>
      </c>
      <c r="B2" s="140"/>
      <c r="C2" s="139"/>
      <c r="E2" s="76"/>
      <c r="F2" s="962" t="s">
        <v>462</v>
      </c>
      <c r="G2" s="139"/>
    </row>
    <row r="3" spans="1:7" ht="12">
      <c r="A3" s="140" t="str">
        <f>WAElec12_04!$A$4</f>
        <v>TWELVE MONTHS ENDED DECEMBER 31, 2004</v>
      </c>
      <c r="B3" s="140"/>
      <c r="C3" s="139"/>
      <c r="E3" s="76"/>
      <c r="F3" s="962" t="s">
        <v>501</v>
      </c>
      <c r="G3" s="139"/>
    </row>
    <row r="4" spans="1:7" ht="12">
      <c r="A4" s="139" t="s">
        <v>1</v>
      </c>
      <c r="B4" s="140"/>
      <c r="C4" s="139"/>
      <c r="E4" s="80"/>
      <c r="F4" s="142"/>
      <c r="G4" s="143"/>
    </row>
    <row r="5" ht="12">
      <c r="A5" s="144" t="s">
        <v>13</v>
      </c>
    </row>
    <row r="6" spans="1:8" s="144" customFormat="1" ht="12">
      <c r="A6" s="144" t="s">
        <v>138</v>
      </c>
      <c r="B6" s="145" t="s">
        <v>34</v>
      </c>
      <c r="C6" s="145"/>
      <c r="E6" s="83" t="s">
        <v>139</v>
      </c>
      <c r="F6" s="145" t="s">
        <v>140</v>
      </c>
      <c r="G6" s="145" t="s">
        <v>123</v>
      </c>
      <c r="H6" s="85" t="s">
        <v>141</v>
      </c>
    </row>
    <row r="7" ht="12">
      <c r="B7" s="146" t="s">
        <v>80</v>
      </c>
    </row>
    <row r="8" spans="1:8" s="149" customFormat="1" ht="12">
      <c r="A8" s="147">
        <v>1</v>
      </c>
      <c r="B8" s="148" t="s">
        <v>81</v>
      </c>
      <c r="E8" s="90">
        <f>F8+G8</f>
        <v>0</v>
      </c>
      <c r="F8" s="150"/>
      <c r="G8" s="150"/>
      <c r="H8" s="89" t="str">
        <f aca="true" t="shared" si="0" ref="H8:H13">IF(E8=F8+G8," ","ERROR")</f>
        <v> </v>
      </c>
    </row>
    <row r="9" spans="1:8" ht="12">
      <c r="A9" s="144">
        <v>2</v>
      </c>
      <c r="B9" s="146" t="s">
        <v>82</v>
      </c>
      <c r="E9" s="91"/>
      <c r="F9" s="151"/>
      <c r="G9" s="151"/>
      <c r="H9" s="89" t="str">
        <f t="shared" si="0"/>
        <v> </v>
      </c>
    </row>
    <row r="10" spans="1:8" ht="12">
      <c r="A10" s="144">
        <v>3</v>
      </c>
      <c r="B10" s="146" t="s">
        <v>142</v>
      </c>
      <c r="E10" s="91"/>
      <c r="F10" s="151"/>
      <c r="G10" s="151"/>
      <c r="H10" s="89" t="str">
        <f t="shared" si="0"/>
        <v> </v>
      </c>
    </row>
    <row r="11" spans="1:8" ht="12">
      <c r="A11" s="144">
        <v>4</v>
      </c>
      <c r="B11" s="146" t="s">
        <v>143</v>
      </c>
      <c r="E11" s="92">
        <f>E8+E9+E10</f>
        <v>0</v>
      </c>
      <c r="F11" s="152">
        <f>F8+F9+F10</f>
        <v>0</v>
      </c>
      <c r="G11" s="152">
        <f>G8+G9+G10</f>
        <v>0</v>
      </c>
      <c r="H11" s="89" t="str">
        <f t="shared" si="0"/>
        <v> </v>
      </c>
    </row>
    <row r="12" spans="1:8" ht="12">
      <c r="A12" s="144">
        <v>5</v>
      </c>
      <c r="B12" s="146" t="s">
        <v>85</v>
      </c>
      <c r="E12" s="91"/>
      <c r="F12" s="151"/>
      <c r="G12" s="151"/>
      <c r="H12" s="89" t="str">
        <f t="shared" si="0"/>
        <v> </v>
      </c>
    </row>
    <row r="13" spans="1:8" ht="12">
      <c r="A13" s="144">
        <v>6</v>
      </c>
      <c r="B13" s="146" t="s">
        <v>144</v>
      </c>
      <c r="E13" s="92">
        <f>E11+E12</f>
        <v>0</v>
      </c>
      <c r="F13" s="152">
        <f>F11+F12</f>
        <v>0</v>
      </c>
      <c r="G13" s="152">
        <f>G11+G12</f>
        <v>0</v>
      </c>
      <c r="H13" s="89" t="str">
        <f t="shared" si="0"/>
        <v> </v>
      </c>
    </row>
    <row r="14" spans="5:8" ht="12">
      <c r="E14" s="93"/>
      <c r="F14" s="153"/>
      <c r="G14" s="153"/>
      <c r="H14" s="89"/>
    </row>
    <row r="15" spans="2:8" ht="12">
      <c r="B15" s="146" t="s">
        <v>87</v>
      </c>
      <c r="E15" s="93"/>
      <c r="F15" s="153"/>
      <c r="G15" s="153"/>
      <c r="H15" s="89"/>
    </row>
    <row r="16" spans="2:8" ht="12">
      <c r="B16" s="146" t="s">
        <v>88</v>
      </c>
      <c r="E16" s="93"/>
      <c r="F16" s="153"/>
      <c r="G16" s="153"/>
      <c r="H16" s="89"/>
    </row>
    <row r="17" spans="1:8" ht="12">
      <c r="A17" s="144">
        <v>7</v>
      </c>
      <c r="B17" s="146" t="s">
        <v>145</v>
      </c>
      <c r="E17" s="91"/>
      <c r="F17" s="151"/>
      <c r="G17" s="151"/>
      <c r="H17" s="89" t="str">
        <f>IF(E17=F17+G17," ","ERROR")</f>
        <v> </v>
      </c>
    </row>
    <row r="18" spans="1:8" ht="12">
      <c r="A18" s="144">
        <v>8</v>
      </c>
      <c r="B18" s="146" t="s">
        <v>146</v>
      </c>
      <c r="E18" s="91"/>
      <c r="F18" s="151"/>
      <c r="G18" s="151"/>
      <c r="H18" s="89" t="str">
        <f>IF(E18=F18+G18," ","ERROR")</f>
        <v> </v>
      </c>
    </row>
    <row r="19" spans="1:8" ht="12">
      <c r="A19" s="144">
        <v>9</v>
      </c>
      <c r="B19" s="146" t="s">
        <v>147</v>
      </c>
      <c r="E19" s="91">
        <f>F19+G19</f>
        <v>-135</v>
      </c>
      <c r="F19" s="151">
        <v>-135</v>
      </c>
      <c r="G19" s="151"/>
      <c r="H19" s="89" t="str">
        <f>IF(E19=F19+G19," ","ERROR")</f>
        <v> </v>
      </c>
    </row>
    <row r="20" spans="1:8" ht="12">
      <c r="A20" s="144">
        <v>10</v>
      </c>
      <c r="B20" s="146" t="s">
        <v>148</v>
      </c>
      <c r="E20" s="91"/>
      <c r="F20" s="151"/>
      <c r="G20" s="151"/>
      <c r="H20" s="89" t="str">
        <f>IF(E20=F20+G20," ","ERROR")</f>
        <v> </v>
      </c>
    </row>
    <row r="21" spans="1:8" ht="12">
      <c r="A21" s="144">
        <v>11</v>
      </c>
      <c r="B21" s="146" t="s">
        <v>149</v>
      </c>
      <c r="E21" s="92">
        <f>E17+E18+E19+E20</f>
        <v>-135</v>
      </c>
      <c r="F21" s="152">
        <f>F17+F18+F19+F20</f>
        <v>-135</v>
      </c>
      <c r="G21" s="152">
        <f>G17+G18+G19+G20</f>
        <v>0</v>
      </c>
      <c r="H21" s="89" t="str">
        <f>IF(E21=F21+G21," ","ERROR")</f>
        <v> </v>
      </c>
    </row>
    <row r="22" spans="5:8" ht="12">
      <c r="E22" s="93"/>
      <c r="F22" s="153"/>
      <c r="G22" s="153"/>
      <c r="H22" s="89"/>
    </row>
    <row r="23" spans="2:8" ht="12">
      <c r="B23" s="146" t="s">
        <v>93</v>
      </c>
      <c r="E23" s="93"/>
      <c r="F23" s="153"/>
      <c r="G23" s="153"/>
      <c r="H23" s="89"/>
    </row>
    <row r="24" spans="1:8" ht="12">
      <c r="A24" s="144">
        <v>12</v>
      </c>
      <c r="B24" s="146" t="s">
        <v>145</v>
      </c>
      <c r="E24" s="91"/>
      <c r="F24" s="151"/>
      <c r="G24" s="151"/>
      <c r="H24" s="89" t="str">
        <f>IF(E24=F24+G24," ","ERROR")</f>
        <v> </v>
      </c>
    </row>
    <row r="25" spans="1:8" ht="12">
      <c r="A25" s="144">
        <v>13</v>
      </c>
      <c r="B25" s="146" t="s">
        <v>150</v>
      </c>
      <c r="E25" s="91"/>
      <c r="F25" s="151"/>
      <c r="G25" s="151"/>
      <c r="H25" s="89" t="str">
        <f>IF(E25=F25+G25," ","ERROR")</f>
        <v> </v>
      </c>
    </row>
    <row r="26" spans="1:8" ht="12">
      <c r="A26" s="144">
        <v>14</v>
      </c>
      <c r="B26" s="146" t="s">
        <v>148</v>
      </c>
      <c r="E26" s="91">
        <f>F26+G26</f>
        <v>0</v>
      </c>
      <c r="F26" s="151"/>
      <c r="G26" s="151">
        <f>G109</f>
        <v>0</v>
      </c>
      <c r="H26" s="89" t="str">
        <f>IF(E26=F26+G26," ","ERROR")</f>
        <v> </v>
      </c>
    </row>
    <row r="27" spans="1:8" ht="12">
      <c r="A27" s="144">
        <v>15</v>
      </c>
      <c r="B27" s="146" t="s">
        <v>151</v>
      </c>
      <c r="E27" s="92">
        <f>E24+E25+E26</f>
        <v>0</v>
      </c>
      <c r="F27" s="152">
        <f>F24+F25+F26</f>
        <v>0</v>
      </c>
      <c r="G27" s="152">
        <f>G24+G25+G26</f>
        <v>0</v>
      </c>
      <c r="H27" s="89" t="str">
        <f>IF(E27=F27+G27," ","ERROR")</f>
        <v> </v>
      </c>
    </row>
    <row r="28" spans="5:8" ht="12">
      <c r="E28" s="93"/>
      <c r="F28" s="153"/>
      <c r="G28" s="153"/>
      <c r="H28" s="89"/>
    </row>
    <row r="29" spans="1:8" ht="12">
      <c r="A29" s="144">
        <v>16</v>
      </c>
      <c r="B29" s="146" t="s">
        <v>96</v>
      </c>
      <c r="E29" s="91"/>
      <c r="F29" s="151"/>
      <c r="G29" s="151"/>
      <c r="H29" s="89" t="str">
        <f>IF(E29=F29+G29," ","ERROR")</f>
        <v> </v>
      </c>
    </row>
    <row r="30" spans="1:8" ht="12">
      <c r="A30" s="144">
        <v>17</v>
      </c>
      <c r="B30" s="146" t="s">
        <v>97</v>
      </c>
      <c r="E30" s="91"/>
      <c r="F30" s="151"/>
      <c r="G30" s="151"/>
      <c r="H30" s="89" t="str">
        <f>IF(E30=F30+G30," ","ERROR")</f>
        <v> </v>
      </c>
    </row>
    <row r="31" spans="1:8" ht="12">
      <c r="A31" s="144">
        <v>18</v>
      </c>
      <c r="B31" s="146" t="s">
        <v>152</v>
      </c>
      <c r="E31" s="91"/>
      <c r="F31" s="151"/>
      <c r="G31" s="151"/>
      <c r="H31" s="89" t="str">
        <f>IF(E31=F31+G31," ","ERROR")</f>
        <v> </v>
      </c>
    </row>
    <row r="32" spans="5:8" ht="12">
      <c r="E32" s="93"/>
      <c r="F32" s="153"/>
      <c r="G32" s="153"/>
      <c r="H32" s="89"/>
    </row>
    <row r="33" spans="2:8" ht="12">
      <c r="B33" s="146" t="s">
        <v>99</v>
      </c>
      <c r="E33" s="93"/>
      <c r="F33" s="153"/>
      <c r="G33" s="153"/>
      <c r="H33" s="89"/>
    </row>
    <row r="34" spans="1:8" ht="12">
      <c r="A34" s="144">
        <v>19</v>
      </c>
      <c r="B34" s="146" t="s">
        <v>145</v>
      </c>
      <c r="E34" s="91"/>
      <c r="F34" s="151"/>
      <c r="G34" s="151"/>
      <c r="H34" s="89" t="str">
        <f>IF(E34=F34+G34," ","ERROR")</f>
        <v> </v>
      </c>
    </row>
    <row r="35" spans="1:8" ht="12">
      <c r="A35" s="144">
        <v>20</v>
      </c>
      <c r="B35" s="146" t="s">
        <v>150</v>
      </c>
      <c r="E35" s="91"/>
      <c r="F35" s="151"/>
      <c r="G35" s="151"/>
      <c r="H35" s="89" t="str">
        <f>IF(E35=F35+G35," ","ERROR")</f>
        <v> </v>
      </c>
    </row>
    <row r="36" spans="1:8" ht="12">
      <c r="A36" s="144">
        <v>21</v>
      </c>
      <c r="B36" s="146" t="s">
        <v>148</v>
      </c>
      <c r="E36" s="91"/>
      <c r="F36" s="151"/>
      <c r="G36" s="151"/>
      <c r="H36" s="89" t="str">
        <f>IF(E36=F36+G36," ","ERROR")</f>
        <v> </v>
      </c>
    </row>
    <row r="37" spans="1:8" ht="12">
      <c r="A37" s="144">
        <v>22</v>
      </c>
      <c r="B37" s="146" t="s">
        <v>153</v>
      </c>
      <c r="E37" s="94">
        <f>E34+E35+E36</f>
        <v>0</v>
      </c>
      <c r="F37" s="154">
        <f>F34+F35+F36</f>
        <v>0</v>
      </c>
      <c r="G37" s="154">
        <f>G34+G35+G36</f>
        <v>0</v>
      </c>
      <c r="H37" s="89" t="str">
        <f>IF(E37=F37+G37," ","ERROR")</f>
        <v> </v>
      </c>
    </row>
    <row r="38" spans="1:8" ht="12">
      <c r="A38" s="144">
        <v>23</v>
      </c>
      <c r="B38" s="146" t="s">
        <v>101</v>
      </c>
      <c r="E38" s="95">
        <f>E21+E27+E29+E30+E31+E37</f>
        <v>-135</v>
      </c>
      <c r="F38" s="155">
        <f>F21+F27+F29+F30+F31+F37</f>
        <v>-135</v>
      </c>
      <c r="G38" s="155">
        <f>G21+G27+G29+G30+G31+G37</f>
        <v>0</v>
      </c>
      <c r="H38" s="89" t="str">
        <f>IF(E38=F38+G38," ","ERROR")</f>
        <v> </v>
      </c>
    </row>
    <row r="39" spans="5:8" ht="12">
      <c r="E39" s="93"/>
      <c r="F39" s="153"/>
      <c r="G39" s="153"/>
      <c r="H39" s="89"/>
    </row>
    <row r="40" spans="1:8" ht="12">
      <c r="A40" s="144">
        <v>24</v>
      </c>
      <c r="B40" s="146" t="s">
        <v>154</v>
      </c>
      <c r="E40" s="93">
        <f>E13-E38</f>
        <v>135</v>
      </c>
      <c r="F40" s="153">
        <f>F13-F38</f>
        <v>135</v>
      </c>
      <c r="G40" s="153">
        <f>G13-G38</f>
        <v>0</v>
      </c>
      <c r="H40" s="89" t="str">
        <f>IF(E40=F40+G40," ","ERROR")</f>
        <v> </v>
      </c>
    </row>
    <row r="41" spans="2:8" ht="12">
      <c r="B41" s="146"/>
      <c r="E41" s="93"/>
      <c r="F41" s="153"/>
      <c r="G41" s="153"/>
      <c r="H41" s="89"/>
    </row>
    <row r="42" spans="2:8" ht="12">
      <c r="B42" s="146" t="s">
        <v>155</v>
      </c>
      <c r="E42" s="93"/>
      <c r="F42" s="153"/>
      <c r="G42" s="153"/>
      <c r="H42" s="89"/>
    </row>
    <row r="43" spans="1:8" ht="12">
      <c r="A43" s="144">
        <v>25</v>
      </c>
      <c r="B43" s="146" t="s">
        <v>214</v>
      </c>
      <c r="E43" s="91">
        <f>F43+G43</f>
        <v>0</v>
      </c>
      <c r="F43" s="151">
        <v>0</v>
      </c>
      <c r="G43" s="151">
        <v>0</v>
      </c>
      <c r="H43" s="89" t="str">
        <f>IF(E43=F43+G43," ","ERROR")</f>
        <v> </v>
      </c>
    </row>
    <row r="44" spans="1:8" ht="12">
      <c r="A44" s="144">
        <v>26</v>
      </c>
      <c r="B44" s="146" t="s">
        <v>157</v>
      </c>
      <c r="E44" s="91">
        <f>F44+G44</f>
        <v>56</v>
      </c>
      <c r="F44" s="151">
        <v>56</v>
      </c>
      <c r="G44" s="151"/>
      <c r="H44" s="89" t="str">
        <f>IF(E44=F44+G44," ","ERROR")</f>
        <v> </v>
      </c>
    </row>
    <row r="45" spans="1:8" ht="12.75">
      <c r="A45"/>
      <c r="B45"/>
      <c r="C45"/>
      <c r="D45"/>
      <c r="E45" s="943"/>
      <c r="F45" s="943"/>
      <c r="G45" s="943"/>
      <c r="H45" s="89" t="str">
        <f>IF(E45=F45+G45," ","ERROR")</f>
        <v> </v>
      </c>
    </row>
    <row r="46" spans="1:8" ht="12">
      <c r="A46" s="278"/>
      <c r="B46" s="281"/>
      <c r="C46" s="275"/>
      <c r="D46" s="275"/>
      <c r="E46" s="288"/>
      <c r="F46" s="288"/>
      <c r="G46" s="288"/>
      <c r="H46" s="89"/>
    </row>
    <row r="47" spans="1:8" s="149" customFormat="1" ht="12">
      <c r="A47" s="282">
        <v>27</v>
      </c>
      <c r="B47" s="283" t="s">
        <v>108</v>
      </c>
      <c r="C47" s="284"/>
      <c r="D47" s="284"/>
      <c r="E47" s="292">
        <f>E40-SUM(E43:E44)</f>
        <v>79</v>
      </c>
      <c r="F47" s="292">
        <f>F40-SUM(F43:F44)</f>
        <v>79</v>
      </c>
      <c r="G47" s="292">
        <f>G40-SUM(G43:G44)</f>
        <v>0</v>
      </c>
      <c r="H47" s="89" t="str">
        <f>IF(E47=F47+G47," ","ERROR")</f>
        <v> </v>
      </c>
    </row>
    <row r="48" spans="1:8" ht="12">
      <c r="A48" s="278"/>
      <c r="H48" s="89"/>
    </row>
    <row r="49" spans="1:8" ht="12">
      <c r="A49" s="278"/>
      <c r="B49" s="146" t="s">
        <v>109</v>
      </c>
      <c r="H49" s="89"/>
    </row>
    <row r="50" spans="1:8" ht="12">
      <c r="A50" s="278"/>
      <c r="B50" s="146" t="s">
        <v>110</v>
      </c>
      <c r="H50" s="89"/>
    </row>
    <row r="51" spans="1:8" s="149" customFormat="1" ht="12">
      <c r="A51" s="282">
        <v>28</v>
      </c>
      <c r="B51" s="148" t="s">
        <v>159</v>
      </c>
      <c r="E51" s="90"/>
      <c r="F51" s="150"/>
      <c r="G51" s="150"/>
      <c r="H51" s="89" t="str">
        <f aca="true" t="shared" si="1" ref="H51:H61">IF(E51=F51+G51," ","ERROR")</f>
        <v> </v>
      </c>
    </row>
    <row r="52" spans="1:8" ht="12">
      <c r="A52" s="278">
        <v>29</v>
      </c>
      <c r="B52" s="146" t="s">
        <v>160</v>
      </c>
      <c r="E52" s="91">
        <f>SUM(F52:G52)</f>
        <v>-5248</v>
      </c>
      <c r="F52" s="151">
        <v>-5248</v>
      </c>
      <c r="G52" s="151"/>
      <c r="H52" s="89" t="str">
        <f t="shared" si="1"/>
        <v> </v>
      </c>
    </row>
    <row r="53" spans="1:8" ht="12">
      <c r="A53" s="278">
        <v>30</v>
      </c>
      <c r="B53" s="146" t="s">
        <v>161</v>
      </c>
      <c r="E53" s="91"/>
      <c r="F53" s="151"/>
      <c r="G53" s="151"/>
      <c r="H53" s="89" t="str">
        <f t="shared" si="1"/>
        <v> </v>
      </c>
    </row>
    <row r="54" spans="1:8" ht="12">
      <c r="A54" s="278">
        <v>31</v>
      </c>
      <c r="B54" s="146" t="s">
        <v>162</v>
      </c>
      <c r="E54" s="91"/>
      <c r="F54" s="151"/>
      <c r="G54" s="151"/>
      <c r="H54" s="89" t="str">
        <f t="shared" si="1"/>
        <v> </v>
      </c>
    </row>
    <row r="55" spans="1:8" ht="12">
      <c r="A55" s="278">
        <v>32</v>
      </c>
      <c r="B55" s="146" t="s">
        <v>163</v>
      </c>
      <c r="E55" s="97"/>
      <c r="F55" s="156"/>
      <c r="G55" s="156"/>
      <c r="H55" s="89" t="str">
        <f t="shared" si="1"/>
        <v> </v>
      </c>
    </row>
    <row r="56" spans="1:8" ht="12">
      <c r="A56" s="278">
        <v>33</v>
      </c>
      <c r="B56" s="146" t="s">
        <v>164</v>
      </c>
      <c r="E56" s="93">
        <f>E51+E52+E53+E54+E55</f>
        <v>-5248</v>
      </c>
      <c r="F56" s="153">
        <f>F51+F52+F53+F54+F55</f>
        <v>-5248</v>
      </c>
      <c r="G56" s="153">
        <f>G51+G52+G53+G54+G55</f>
        <v>0</v>
      </c>
      <c r="H56" s="89" t="str">
        <f t="shared" si="1"/>
        <v> </v>
      </c>
    </row>
    <row r="57" spans="1:8" ht="12">
      <c r="A57" s="278">
        <v>34</v>
      </c>
      <c r="B57" s="146" t="s">
        <v>116</v>
      </c>
      <c r="E57" s="91">
        <f>SUM(F57:G57)</f>
        <v>-3559</v>
      </c>
      <c r="F57" s="151">
        <v>-3559</v>
      </c>
      <c r="G57" s="151"/>
      <c r="H57" s="89" t="str">
        <f t="shared" si="1"/>
        <v> </v>
      </c>
    </row>
    <row r="58" spans="1:8" ht="12">
      <c r="A58" s="278">
        <v>35</v>
      </c>
      <c r="B58" s="146" t="s">
        <v>117</v>
      </c>
      <c r="E58" s="97"/>
      <c r="F58" s="156"/>
      <c r="G58" s="156"/>
      <c r="H58" s="89" t="str">
        <f t="shared" si="1"/>
        <v> </v>
      </c>
    </row>
    <row r="59" spans="1:8" ht="12">
      <c r="A59" s="278">
        <v>36</v>
      </c>
      <c r="B59" s="146" t="s">
        <v>165</v>
      </c>
      <c r="E59" s="93">
        <f>E57+E58</f>
        <v>-3559</v>
      </c>
      <c r="F59" s="153">
        <f>F57+F58</f>
        <v>-3559</v>
      </c>
      <c r="G59" s="153">
        <f>G57+G58</f>
        <v>0</v>
      </c>
      <c r="H59" s="89" t="str">
        <f t="shared" si="1"/>
        <v> </v>
      </c>
    </row>
    <row r="60" spans="1:8" ht="12">
      <c r="A60" s="278">
        <v>37</v>
      </c>
      <c r="B60" s="146" t="s">
        <v>119</v>
      </c>
      <c r="E60" s="91"/>
      <c r="F60" s="151"/>
      <c r="G60" s="151"/>
      <c r="H60" s="89" t="str">
        <f t="shared" si="1"/>
        <v> </v>
      </c>
    </row>
    <row r="61" spans="1:8" ht="12">
      <c r="A61" s="278">
        <v>38</v>
      </c>
      <c r="B61" s="146" t="s">
        <v>120</v>
      </c>
      <c r="E61" s="91">
        <f>SUM(F61:G61)</f>
        <v>668</v>
      </c>
      <c r="F61" s="156">
        <v>668</v>
      </c>
      <c r="G61" s="156"/>
      <c r="H61" s="89" t="str">
        <f t="shared" si="1"/>
        <v> </v>
      </c>
    </row>
    <row r="62" spans="1:8" ht="12">
      <c r="A62" s="278"/>
      <c r="E62" s="945"/>
      <c r="H62" s="89"/>
    </row>
    <row r="63" spans="1:8" s="149" customFormat="1" ht="12.75" thickBot="1">
      <c r="A63" s="282">
        <v>39</v>
      </c>
      <c r="B63" s="148" t="s">
        <v>121</v>
      </c>
      <c r="E63" s="98">
        <f>E56-E59+E60+E61</f>
        <v>-1021</v>
      </c>
      <c r="F63" s="157">
        <f>F56-F59+F60+F61</f>
        <v>-1021</v>
      </c>
      <c r="G63" s="157">
        <f>G56-G59+G60+G61</f>
        <v>0</v>
      </c>
      <c r="H63" s="89" t="str">
        <f>IF(E63=F63+G63," ","ERROR")</f>
        <v> </v>
      </c>
    </row>
    <row r="64" ht="12.75" thickTop="1"/>
    <row r="65" spans="1:7" ht="12">
      <c r="A65" s="158"/>
      <c r="B65" s="158"/>
      <c r="C65" s="158"/>
      <c r="D65" s="158"/>
      <c r="E65" s="99"/>
      <c r="F65" s="158"/>
      <c r="G65" s="158"/>
    </row>
    <row r="66" spans="1:7" ht="12">
      <c r="A66" s="158"/>
      <c r="B66" s="158"/>
      <c r="C66" s="158"/>
      <c r="D66" s="158"/>
      <c r="E66" s="99"/>
      <c r="F66" s="158"/>
      <c r="G66" s="158"/>
    </row>
    <row r="67" spans="1:7" ht="12">
      <c r="A67" s="158"/>
      <c r="B67" s="158"/>
      <c r="C67" s="158"/>
      <c r="D67" s="158"/>
      <c r="E67" s="99"/>
      <c r="F67" s="158"/>
      <c r="G67" s="158"/>
    </row>
    <row r="68" spans="1:7" ht="12">
      <c r="A68" s="158"/>
      <c r="B68" s="158"/>
      <c r="C68" s="158"/>
      <c r="D68" s="158"/>
      <c r="E68" s="99"/>
      <c r="F68" s="158"/>
      <c r="G68" s="158"/>
    </row>
    <row r="69" spans="1:7" ht="12.75">
      <c r="A69" s="158"/>
      <c r="B69" s="158"/>
      <c r="C69" s="158"/>
      <c r="D69" s="158"/>
      <c r="E69"/>
      <c r="F69" s="158"/>
      <c r="G69" s="158"/>
    </row>
    <row r="70" spans="1:7" ht="12.75">
      <c r="A70" s="158"/>
      <c r="B70" s="158"/>
      <c r="C70" s="158"/>
      <c r="D70" s="158"/>
      <c r="E70"/>
      <c r="F70" s="158"/>
      <c r="G70" s="158"/>
    </row>
    <row r="71" spans="1:7" ht="12">
      <c r="A71" s="158"/>
      <c r="B71" s="158"/>
      <c r="C71" s="158"/>
      <c r="D71" s="158"/>
      <c r="E71" s="99"/>
      <c r="F71" s="158"/>
      <c r="G71" s="158"/>
    </row>
    <row r="72" spans="1:7" ht="12">
      <c r="A72" s="158"/>
      <c r="B72" s="158"/>
      <c r="C72" s="158"/>
      <c r="D72" s="158"/>
      <c r="E72" s="84"/>
      <c r="F72" s="158"/>
      <c r="G72" s="158"/>
    </row>
    <row r="73" spans="1:7" ht="12">
      <c r="A73" s="158"/>
      <c r="B73" s="158"/>
      <c r="C73" s="158"/>
      <c r="D73" s="158"/>
      <c r="E73" s="84"/>
      <c r="F73" s="158"/>
      <c r="G73" s="158"/>
    </row>
    <row r="74" spans="1:7" ht="12">
      <c r="A74" s="158"/>
      <c r="B74" s="158"/>
      <c r="C74" s="158"/>
      <c r="D74" s="158"/>
      <c r="E74" s="84"/>
      <c r="F74" s="158"/>
      <c r="G74" s="158"/>
    </row>
    <row r="75" spans="1:7" ht="12">
      <c r="A75" s="158"/>
      <c r="B75" s="158"/>
      <c r="C75" s="158"/>
      <c r="D75" s="158"/>
      <c r="E75" s="84"/>
      <c r="F75" s="158"/>
      <c r="G75" s="158"/>
    </row>
    <row r="76" spans="1:7" ht="12">
      <c r="A76" s="158"/>
      <c r="B76" s="158"/>
      <c r="C76" s="158"/>
      <c r="D76" s="158"/>
      <c r="E76" s="84"/>
      <c r="F76" s="158"/>
      <c r="G76" s="158"/>
    </row>
    <row r="77" spans="1:7" ht="12">
      <c r="A77" s="158"/>
      <c r="B77" s="158"/>
      <c r="C77" s="158"/>
      <c r="D77" s="158"/>
      <c r="E77" s="84"/>
      <c r="F77" s="158"/>
      <c r="G77" s="158"/>
    </row>
    <row r="78" spans="1:7" ht="12">
      <c r="A78" s="158"/>
      <c r="B78" s="158"/>
      <c r="C78" s="158"/>
      <c r="D78" s="158"/>
      <c r="E78" s="84"/>
      <c r="F78" s="158"/>
      <c r="G78" s="158"/>
    </row>
    <row r="79" spans="1:7" ht="12">
      <c r="A79" s="158"/>
      <c r="B79" s="158"/>
      <c r="C79" s="158"/>
      <c r="D79" s="158"/>
      <c r="E79" s="84"/>
      <c r="F79" s="158"/>
      <c r="G79" s="158"/>
    </row>
    <row r="80" spans="1:7" ht="12">
      <c r="A80" s="158"/>
      <c r="B80" s="158"/>
      <c r="C80" s="158"/>
      <c r="D80" s="158"/>
      <c r="E80" s="84"/>
      <c r="F80" s="158"/>
      <c r="G80" s="158"/>
    </row>
    <row r="81" spans="1:7" ht="12">
      <c r="A81" s="158"/>
      <c r="B81" s="158"/>
      <c r="C81" s="158"/>
      <c r="D81" s="158"/>
      <c r="E81" s="84"/>
      <c r="F81" s="158"/>
      <c r="G81" s="158"/>
    </row>
    <row r="82" spans="1:7" ht="12">
      <c r="A82" s="158"/>
      <c r="B82" s="158"/>
      <c r="C82" s="158"/>
      <c r="D82" s="158"/>
      <c r="E82" s="84"/>
      <c r="F82" s="158"/>
      <c r="G82" s="158"/>
    </row>
    <row r="83" spans="1:7" ht="12">
      <c r="A83" s="158"/>
      <c r="B83" s="158"/>
      <c r="C83" s="158"/>
      <c r="D83" s="158"/>
      <c r="E83" s="84"/>
      <c r="F83" s="158"/>
      <c r="G83" s="158"/>
    </row>
    <row r="84" spans="1:7" ht="12">
      <c r="A84" s="158"/>
      <c r="B84" s="158"/>
      <c r="C84" s="158"/>
      <c r="D84" s="158"/>
      <c r="E84" s="84"/>
      <c r="F84" s="158"/>
      <c r="G84" s="158"/>
    </row>
    <row r="85" spans="1:7" ht="12">
      <c r="A85" s="158"/>
      <c r="B85" s="158"/>
      <c r="C85" s="158"/>
      <c r="D85" s="158"/>
      <c r="E85" s="84"/>
      <c r="F85" s="158"/>
      <c r="G85" s="158"/>
    </row>
    <row r="86" spans="1:7" ht="12">
      <c r="A86" s="158"/>
      <c r="B86" s="158"/>
      <c r="C86" s="158"/>
      <c r="D86" s="158"/>
      <c r="E86" s="84"/>
      <c r="F86" s="158"/>
      <c r="G86" s="158"/>
    </row>
    <row r="87" spans="1:7" ht="12">
      <c r="A87" s="158"/>
      <c r="B87" s="158"/>
      <c r="C87" s="158"/>
      <c r="D87" s="158"/>
      <c r="E87" s="84"/>
      <c r="F87" s="158"/>
      <c r="G87" s="158"/>
    </row>
    <row r="88" spans="1:7" ht="12">
      <c r="A88" s="158"/>
      <c r="B88" s="158"/>
      <c r="C88" s="158"/>
      <c r="D88" s="158"/>
      <c r="E88" s="84"/>
      <c r="F88" s="158"/>
      <c r="G88" s="158"/>
    </row>
    <row r="89" spans="1:7" ht="12">
      <c r="A89" s="158"/>
      <c r="B89" s="158"/>
      <c r="C89" s="158"/>
      <c r="D89" s="158"/>
      <c r="E89" s="84"/>
      <c r="F89" s="158"/>
      <c r="G89" s="158"/>
    </row>
    <row r="90" spans="1:7" ht="12">
      <c r="A90" s="158"/>
      <c r="B90" s="158"/>
      <c r="C90" s="158"/>
      <c r="D90" s="158"/>
      <c r="E90" s="84"/>
      <c r="F90" s="158"/>
      <c r="G90" s="158"/>
    </row>
    <row r="91" spans="1:7" ht="12">
      <c r="A91" s="158"/>
      <c r="B91" s="158"/>
      <c r="C91" s="158"/>
      <c r="D91" s="158"/>
      <c r="E91" s="84"/>
      <c r="F91" s="158"/>
      <c r="G91" s="158"/>
    </row>
    <row r="92" spans="1:7" ht="12">
      <c r="A92" s="158"/>
      <c r="B92" s="158"/>
      <c r="C92" s="158"/>
      <c r="D92" s="158"/>
      <c r="E92" s="84"/>
      <c r="F92" s="158"/>
      <c r="G92" s="158"/>
    </row>
    <row r="93" spans="1:7" ht="12">
      <c r="A93" s="158"/>
      <c r="B93" s="158"/>
      <c r="C93" s="158"/>
      <c r="D93" s="158"/>
      <c r="E93" s="84"/>
      <c r="F93" s="158"/>
      <c r="G93" s="158"/>
    </row>
    <row r="94" spans="1:7" ht="12">
      <c r="A94" s="158"/>
      <c r="B94" s="158"/>
      <c r="C94" s="158"/>
      <c r="D94" s="158"/>
      <c r="E94" s="84"/>
      <c r="F94" s="158"/>
      <c r="G94" s="158"/>
    </row>
    <row r="95" spans="1:7" ht="12">
      <c r="A95" s="158"/>
      <c r="B95" s="158"/>
      <c r="C95" s="158"/>
      <c r="D95" s="158"/>
      <c r="E95" s="84"/>
      <c r="F95" s="158"/>
      <c r="G95" s="158"/>
    </row>
    <row r="96" spans="1:7" ht="12">
      <c r="A96" s="158"/>
      <c r="B96" s="158"/>
      <c r="C96" s="158"/>
      <c r="D96" s="158"/>
      <c r="E96" s="84"/>
      <c r="F96" s="158"/>
      <c r="G96" s="158"/>
    </row>
    <row r="97" spans="1:7" ht="12">
      <c r="A97" s="158"/>
      <c r="B97" s="158"/>
      <c r="C97" s="158"/>
      <c r="D97" s="158"/>
      <c r="E97" s="84"/>
      <c r="F97" s="158"/>
      <c r="G97" s="158"/>
    </row>
    <row r="98" spans="1:7" ht="12">
      <c r="A98" s="158"/>
      <c r="B98" s="158"/>
      <c r="C98" s="158"/>
      <c r="D98" s="158"/>
      <c r="E98" s="84"/>
      <c r="F98" s="158"/>
      <c r="G98" s="158"/>
    </row>
    <row r="99" spans="1:7" ht="12">
      <c r="A99" s="158"/>
      <c r="B99" s="158"/>
      <c r="C99" s="158"/>
      <c r="D99" s="158"/>
      <c r="E99" s="84"/>
      <c r="F99" s="158"/>
      <c r="G99" s="158"/>
    </row>
    <row r="100" spans="1:7" ht="12">
      <c r="A100" s="158"/>
      <c r="B100" s="158"/>
      <c r="C100" s="158"/>
      <c r="D100" s="158"/>
      <c r="E100" s="84"/>
      <c r="F100" s="158"/>
      <c r="G100" s="158"/>
    </row>
    <row r="101" spans="1:7" ht="12">
      <c r="A101" s="158"/>
      <c r="B101" s="158"/>
      <c r="C101" s="158"/>
      <c r="D101" s="158"/>
      <c r="E101" s="84"/>
      <c r="F101" s="158"/>
      <c r="G101" s="158"/>
    </row>
    <row r="102" spans="1:7" ht="12">
      <c r="A102" s="158"/>
      <c r="B102" s="158"/>
      <c r="C102" s="158"/>
      <c r="D102" s="158"/>
      <c r="E102" s="84"/>
      <c r="F102" s="158"/>
      <c r="G102" s="158"/>
    </row>
    <row r="103" spans="1:7" ht="12">
      <c r="A103" s="158"/>
      <c r="B103" s="158"/>
      <c r="C103" s="158"/>
      <c r="D103" s="158"/>
      <c r="E103" s="84"/>
      <c r="F103" s="158"/>
      <c r="G103" s="158"/>
    </row>
    <row r="104" spans="1:7" ht="12">
      <c r="A104" s="158"/>
      <c r="B104" s="158"/>
      <c r="C104" s="158"/>
      <c r="D104" s="158"/>
      <c r="E104" s="84"/>
      <c r="F104" s="158"/>
      <c r="G104" s="158"/>
    </row>
    <row r="105" spans="1:7" ht="12">
      <c r="A105" s="158"/>
      <c r="B105" s="158"/>
      <c r="C105" s="158"/>
      <c r="D105" s="158"/>
      <c r="E105" s="84"/>
      <c r="F105" s="158"/>
      <c r="G105" s="158"/>
    </row>
    <row r="106" spans="1:7" ht="12">
      <c r="A106" s="158"/>
      <c r="B106" s="158"/>
      <c r="C106" s="158"/>
      <c r="D106" s="158"/>
      <c r="E106" s="84"/>
      <c r="F106" s="158"/>
      <c r="G106" s="158"/>
    </row>
    <row r="107" spans="1:7" ht="12">
      <c r="A107" s="158"/>
      <c r="B107" s="158"/>
      <c r="C107" s="158"/>
      <c r="D107" s="158"/>
      <c r="E107" s="84"/>
      <c r="F107" s="158"/>
      <c r="G107" s="158"/>
    </row>
    <row r="108" spans="1:7" ht="12">
      <c r="A108" s="158"/>
      <c r="B108" s="158"/>
      <c r="C108" s="158"/>
      <c r="D108" s="158"/>
      <c r="E108" s="99"/>
      <c r="F108" s="158"/>
      <c r="G108" s="158"/>
    </row>
    <row r="109" spans="1:7" ht="12">
      <c r="A109" s="158"/>
      <c r="B109" s="158"/>
      <c r="C109" s="158"/>
      <c r="D109" s="158"/>
      <c r="E109" s="99"/>
      <c r="F109" s="158"/>
      <c r="G109" s="158"/>
    </row>
    <row r="110" spans="1:7" ht="12">
      <c r="A110" s="158"/>
      <c r="B110" s="158"/>
      <c r="C110" s="158"/>
      <c r="D110" s="158"/>
      <c r="E110" s="99"/>
      <c r="F110" s="158"/>
      <c r="G110" s="158"/>
    </row>
  </sheetData>
  <printOptions horizontalCentered="1"/>
  <pageMargins left="1" right="0.75" top="0.5" bottom="0.5" header="0.5" footer="0.5"/>
  <pageSetup horizontalDpi="300" verticalDpi="300" orientation="portrait" scale="90" r:id="rId1"/>
  <rowBreaks count="1" manualBreakCount="1">
    <brk id="65" max="65535" man="1"/>
  </rowBreaks>
  <colBreaks count="1" manualBreakCount="1">
    <brk id="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9"/>
  <sheetViews>
    <sheetView workbookViewId="0" topLeftCell="A1">
      <pane xSplit="4" ySplit="6" topLeftCell="E3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54" sqref="G54"/>
    </sheetView>
  </sheetViews>
  <sheetFormatPr defaultColWidth="9.140625" defaultRowHeight="12.75"/>
  <cols>
    <col min="1" max="1" width="5.57421875" style="422" customWidth="1"/>
    <col min="2" max="2" width="26.140625" style="419" customWidth="1"/>
    <col min="3" max="3" width="12.421875" style="419" customWidth="1"/>
    <col min="4" max="4" width="6.7109375" style="419" customWidth="1"/>
    <col min="5" max="6" width="12.421875" style="419" customWidth="1"/>
    <col min="7" max="7" width="11.7109375" style="419" customWidth="1"/>
    <col min="8" max="8" width="11.7109375" style="78" customWidth="1"/>
    <col min="9" max="16384" width="12.421875" style="419" customWidth="1"/>
  </cols>
  <sheetData>
    <row r="1" spans="1:3" ht="12">
      <c r="A1" s="417" t="str">
        <f>Inputs!$D$6</f>
        <v>AVISTA UTILITIES</v>
      </c>
      <c r="B1" s="418"/>
      <c r="C1" s="417"/>
    </row>
    <row r="2" spans="1:7" ht="12">
      <c r="A2" s="417" t="s">
        <v>134</v>
      </c>
      <c r="B2" s="418"/>
      <c r="C2" s="417"/>
      <c r="E2" s="417" t="s">
        <v>226</v>
      </c>
      <c r="F2" s="417"/>
      <c r="G2" s="417"/>
    </row>
    <row r="3" spans="1:7" ht="12">
      <c r="A3" s="418" t="str">
        <f>WAElec12_04!$A$4</f>
        <v>TWELVE MONTHS ENDED DECEMBER 31, 2004</v>
      </c>
      <c r="B3" s="418"/>
      <c r="C3" s="417"/>
      <c r="E3" s="417" t="s">
        <v>227</v>
      </c>
      <c r="F3" s="417"/>
      <c r="G3" s="417"/>
    </row>
    <row r="4" spans="1:7" ht="12">
      <c r="A4" s="417" t="s">
        <v>1</v>
      </c>
      <c r="B4" s="418"/>
      <c r="C4" s="417"/>
      <c r="E4" s="420" t="s">
        <v>137</v>
      </c>
      <c r="F4" s="420"/>
      <c r="G4" s="421"/>
    </row>
    <row r="5" ht="12">
      <c r="A5" s="422" t="s">
        <v>13</v>
      </c>
    </row>
    <row r="6" spans="1:8" s="422" customFormat="1" ht="12">
      <c r="A6" s="422" t="s">
        <v>138</v>
      </c>
      <c r="B6" s="423" t="s">
        <v>34</v>
      </c>
      <c r="C6" s="423"/>
      <c r="E6" s="423" t="s">
        <v>139</v>
      </c>
      <c r="F6" s="423" t="s">
        <v>140</v>
      </c>
      <c r="G6" s="423" t="s">
        <v>123</v>
      </c>
      <c r="H6" s="85" t="s">
        <v>141</v>
      </c>
    </row>
    <row r="7" ht="12">
      <c r="B7" s="424" t="s">
        <v>80</v>
      </c>
    </row>
    <row r="8" spans="1:8" s="427" customFormat="1" ht="12">
      <c r="A8" s="425">
        <v>1</v>
      </c>
      <c r="B8" s="426" t="s">
        <v>81</v>
      </c>
      <c r="E8" s="428">
        <f>F8+G8</f>
        <v>0</v>
      </c>
      <c r="F8" s="428"/>
      <c r="G8" s="428"/>
      <c r="H8" s="89" t="str">
        <f aca="true" t="shared" si="0" ref="H8:H13">IF(E8=F8+G8," ","ERROR")</f>
        <v> </v>
      </c>
    </row>
    <row r="9" spans="1:8" ht="12">
      <c r="A9" s="422">
        <v>2</v>
      </c>
      <c r="B9" s="424" t="s">
        <v>82</v>
      </c>
      <c r="E9" s="429"/>
      <c r="F9" s="429"/>
      <c r="G9" s="429"/>
      <c r="H9" s="89" t="str">
        <f t="shared" si="0"/>
        <v> </v>
      </c>
    </row>
    <row r="10" spans="1:8" ht="12">
      <c r="A10" s="422">
        <v>3</v>
      </c>
      <c r="B10" s="424" t="s">
        <v>142</v>
      </c>
      <c r="E10" s="429"/>
      <c r="F10" s="429"/>
      <c r="G10" s="429"/>
      <c r="H10" s="89" t="str">
        <f t="shared" si="0"/>
        <v> </v>
      </c>
    </row>
    <row r="11" spans="1:8" ht="12">
      <c r="A11" s="422">
        <v>4</v>
      </c>
      <c r="B11" s="424" t="s">
        <v>143</v>
      </c>
      <c r="E11" s="430">
        <f>E8+E9+E10</f>
        <v>0</v>
      </c>
      <c r="F11" s="430">
        <f>F8+F9+F10</f>
        <v>0</v>
      </c>
      <c r="G11" s="430">
        <f>G8+G9+G10</f>
        <v>0</v>
      </c>
      <c r="H11" s="89" t="str">
        <f t="shared" si="0"/>
        <v> </v>
      </c>
    </row>
    <row r="12" spans="1:8" ht="12">
      <c r="A12" s="422">
        <v>5</v>
      </c>
      <c r="B12" s="424" t="s">
        <v>85</v>
      </c>
      <c r="E12" s="429"/>
      <c r="F12" s="429"/>
      <c r="G12" s="429"/>
      <c r="H12" s="89" t="str">
        <f t="shared" si="0"/>
        <v> </v>
      </c>
    </row>
    <row r="13" spans="1:8" ht="12">
      <c r="A13" s="422">
        <v>6</v>
      </c>
      <c r="B13" s="424" t="s">
        <v>144</v>
      </c>
      <c r="E13" s="430">
        <f>E11+E12</f>
        <v>0</v>
      </c>
      <c r="F13" s="430">
        <f>F11+F12</f>
        <v>0</v>
      </c>
      <c r="G13" s="430">
        <f>G11+G12</f>
        <v>0</v>
      </c>
      <c r="H13" s="89" t="str">
        <f t="shared" si="0"/>
        <v> </v>
      </c>
    </row>
    <row r="14" spans="5:8" ht="12">
      <c r="E14" s="431"/>
      <c r="F14" s="431"/>
      <c r="G14" s="431"/>
      <c r="H14" s="89"/>
    </row>
    <row r="15" spans="2:8" ht="12">
      <c r="B15" s="424" t="s">
        <v>87</v>
      </c>
      <c r="E15" s="431"/>
      <c r="F15" s="431"/>
      <c r="G15" s="431"/>
      <c r="H15" s="89"/>
    </row>
    <row r="16" spans="2:8" ht="12">
      <c r="B16" s="424" t="s">
        <v>88</v>
      </c>
      <c r="E16" s="431"/>
      <c r="F16" s="431"/>
      <c r="G16" s="431"/>
      <c r="H16" s="89"/>
    </row>
    <row r="17" spans="1:8" ht="12">
      <c r="A17" s="422">
        <v>7</v>
      </c>
      <c r="B17" s="424" t="s">
        <v>145</v>
      </c>
      <c r="E17" s="429"/>
      <c r="F17" s="429"/>
      <c r="G17" s="429"/>
      <c r="H17" s="89" t="str">
        <f>IF(E17=F17+G17," ","ERROR")</f>
        <v> </v>
      </c>
    </row>
    <row r="18" spans="1:8" ht="12">
      <c r="A18" s="422">
        <v>8</v>
      </c>
      <c r="B18" s="424" t="s">
        <v>146</v>
      </c>
      <c r="E18" s="429"/>
      <c r="F18" s="429"/>
      <c r="G18" s="429"/>
      <c r="H18" s="89" t="str">
        <f>IF(E18=F18+G18," ","ERROR")</f>
        <v> </v>
      </c>
    </row>
    <row r="19" spans="1:8" ht="12">
      <c r="A19" s="422">
        <v>9</v>
      </c>
      <c r="B19" s="424" t="s">
        <v>147</v>
      </c>
      <c r="E19" s="429"/>
      <c r="F19" s="429"/>
      <c r="G19" s="429"/>
      <c r="H19" s="89" t="str">
        <f>IF(E19=F19+G19," ","ERROR")</f>
        <v> </v>
      </c>
    </row>
    <row r="20" spans="1:8" ht="12">
      <c r="A20" s="422">
        <v>10</v>
      </c>
      <c r="B20" s="424" t="s">
        <v>148</v>
      </c>
      <c r="E20" s="429"/>
      <c r="F20" s="429"/>
      <c r="G20" s="429"/>
      <c r="H20" s="89" t="str">
        <f>IF(E20=F20+G20," ","ERROR")</f>
        <v> </v>
      </c>
    </row>
    <row r="21" spans="1:8" ht="12">
      <c r="A21" s="422">
        <v>11</v>
      </c>
      <c r="B21" s="424" t="s">
        <v>149</v>
      </c>
      <c r="E21" s="430">
        <f>E17+E18+E19+E20</f>
        <v>0</v>
      </c>
      <c r="F21" s="430">
        <f>F17+F18+F19+F20</f>
        <v>0</v>
      </c>
      <c r="G21" s="430">
        <f>G17+G18+G19+G20</f>
        <v>0</v>
      </c>
      <c r="H21" s="89" t="str">
        <f>IF(E21=F21+G21," ","ERROR")</f>
        <v> </v>
      </c>
    </row>
    <row r="22" spans="5:8" ht="12">
      <c r="E22" s="431"/>
      <c r="F22" s="431"/>
      <c r="G22" s="431"/>
      <c r="H22" s="89"/>
    </row>
    <row r="23" spans="2:8" ht="12">
      <c r="B23" s="424" t="s">
        <v>93</v>
      </c>
      <c r="E23" s="431"/>
      <c r="F23" s="431"/>
      <c r="G23" s="431"/>
      <c r="H23" s="89"/>
    </row>
    <row r="24" spans="1:8" ht="12">
      <c r="A24" s="422">
        <v>12</v>
      </c>
      <c r="B24" s="424" t="s">
        <v>145</v>
      </c>
      <c r="E24" s="429"/>
      <c r="F24" s="429"/>
      <c r="G24" s="429"/>
      <c r="H24" s="89" t="str">
        <f>IF(E24=F24+G24," ","ERROR")</f>
        <v> </v>
      </c>
    </row>
    <row r="25" spans="1:8" ht="12">
      <c r="A25" s="422">
        <v>13</v>
      </c>
      <c r="B25" s="424" t="s">
        <v>150</v>
      </c>
      <c r="E25" s="429"/>
      <c r="F25" s="429"/>
      <c r="G25" s="429"/>
      <c r="H25" s="89" t="str">
        <f>IF(E25=F25+G25," ","ERROR")</f>
        <v> </v>
      </c>
    </row>
    <row r="26" spans="1:8" ht="12">
      <c r="A26" s="422">
        <v>14</v>
      </c>
      <c r="B26" s="424" t="s">
        <v>148</v>
      </c>
      <c r="E26" s="429">
        <f>F26+G26</f>
        <v>0</v>
      </c>
      <c r="F26" s="429"/>
      <c r="G26" s="429"/>
      <c r="H26" s="89" t="str">
        <f>IF(E26=F26+G26," ","ERROR")</f>
        <v> </v>
      </c>
    </row>
    <row r="27" spans="1:8" ht="12">
      <c r="A27" s="422">
        <v>15</v>
      </c>
      <c r="B27" s="424" t="s">
        <v>151</v>
      </c>
      <c r="E27" s="430">
        <f>E24+E25+E26</f>
        <v>0</v>
      </c>
      <c r="F27" s="430">
        <f>F24+F25+F26</f>
        <v>0</v>
      </c>
      <c r="G27" s="430">
        <f>G24+G25+G26</f>
        <v>0</v>
      </c>
      <c r="H27" s="89" t="str">
        <f>IF(E27=F27+G27," ","ERROR")</f>
        <v> </v>
      </c>
    </row>
    <row r="28" spans="5:8" ht="12">
      <c r="E28" s="431"/>
      <c r="F28" s="431"/>
      <c r="G28" s="431"/>
      <c r="H28" s="89"/>
    </row>
    <row r="29" spans="1:8" ht="12">
      <c r="A29" s="422">
        <v>16</v>
      </c>
      <c r="B29" s="424" t="s">
        <v>96</v>
      </c>
      <c r="E29" s="429"/>
      <c r="F29" s="429"/>
      <c r="G29" s="429"/>
      <c r="H29" s="89" t="str">
        <f>IF(E29=F29+G29," ","ERROR")</f>
        <v> </v>
      </c>
    </row>
    <row r="30" spans="1:8" ht="12">
      <c r="A30" s="422">
        <v>17</v>
      </c>
      <c r="B30" s="424" t="s">
        <v>97</v>
      </c>
      <c r="E30" s="429"/>
      <c r="F30" s="429"/>
      <c r="G30" s="429"/>
      <c r="H30" s="89" t="str">
        <f>IF(E30=F30+G30," ","ERROR")</f>
        <v> </v>
      </c>
    </row>
    <row r="31" spans="1:8" ht="12">
      <c r="A31" s="422">
        <v>18</v>
      </c>
      <c r="B31" s="424" t="s">
        <v>152</v>
      </c>
      <c r="E31" s="429"/>
      <c r="F31" s="429"/>
      <c r="G31" s="429"/>
      <c r="H31" s="89" t="str">
        <f>IF(E31=F31+G31," ","ERROR")</f>
        <v> </v>
      </c>
    </row>
    <row r="32" spans="5:8" ht="12">
      <c r="E32" s="431"/>
      <c r="F32" s="431"/>
      <c r="G32" s="431"/>
      <c r="H32" s="89"/>
    </row>
    <row r="33" spans="2:8" ht="12">
      <c r="B33" s="424" t="s">
        <v>99</v>
      </c>
      <c r="E33" s="431"/>
      <c r="F33" s="431"/>
      <c r="G33" s="431"/>
      <c r="H33" s="89"/>
    </row>
    <row r="34" spans="1:8" ht="12">
      <c r="A34" s="422">
        <v>19</v>
      </c>
      <c r="B34" s="424" t="s">
        <v>145</v>
      </c>
      <c r="E34" s="429"/>
      <c r="F34" s="429"/>
      <c r="G34" s="429"/>
      <c r="H34" s="89" t="str">
        <f>IF(E34=F34+G34," ","ERROR")</f>
        <v> </v>
      </c>
    </row>
    <row r="35" spans="1:8" ht="12">
      <c r="A35" s="422">
        <v>20</v>
      </c>
      <c r="B35" s="424" t="s">
        <v>150</v>
      </c>
      <c r="E35" s="429"/>
      <c r="F35" s="429"/>
      <c r="G35" s="429"/>
      <c r="H35" s="89" t="str">
        <f>IF(E35=F35+G35," ","ERROR")</f>
        <v> </v>
      </c>
    </row>
    <row r="36" spans="1:8" ht="12">
      <c r="A36" s="422">
        <v>21</v>
      </c>
      <c r="B36" s="424" t="s">
        <v>148</v>
      </c>
      <c r="E36" s="429"/>
      <c r="F36" s="429"/>
      <c r="G36" s="429"/>
      <c r="H36" s="89" t="str">
        <f>IF(E36=F36+G36," ","ERROR")</f>
        <v> </v>
      </c>
    </row>
    <row r="37" spans="1:8" ht="12">
      <c r="A37" s="422">
        <v>22</v>
      </c>
      <c r="B37" s="424" t="s">
        <v>153</v>
      </c>
      <c r="E37" s="432">
        <f>E34+E35+E36</f>
        <v>0</v>
      </c>
      <c r="F37" s="432">
        <f>F34+F35+F36</f>
        <v>0</v>
      </c>
      <c r="G37" s="432">
        <f>G34+G35+G36</f>
        <v>0</v>
      </c>
      <c r="H37" s="89" t="str">
        <f>IF(E37=F37+G37," ","ERROR")</f>
        <v> </v>
      </c>
    </row>
    <row r="38" spans="1:8" ht="12">
      <c r="A38" s="422">
        <v>23</v>
      </c>
      <c r="B38" s="424" t="s">
        <v>101</v>
      </c>
      <c r="E38" s="433">
        <f>E21+E27+E29+E30+E31+E37</f>
        <v>0</v>
      </c>
      <c r="F38" s="433">
        <f>F21+F27+F29+F30+F31+F37</f>
        <v>0</v>
      </c>
      <c r="G38" s="433">
        <f>G21+G27+G29+G30+G31+G37</f>
        <v>0</v>
      </c>
      <c r="H38" s="89" t="str">
        <f>IF(E38=F38+G38," ","ERROR")</f>
        <v> </v>
      </c>
    </row>
    <row r="39" spans="5:8" ht="12">
      <c r="E39" s="431"/>
      <c r="F39" s="431"/>
      <c r="G39" s="431"/>
      <c r="H39" s="89"/>
    </row>
    <row r="40" spans="1:8" ht="12">
      <c r="A40" s="422">
        <v>24</v>
      </c>
      <c r="B40" s="424" t="s">
        <v>154</v>
      </c>
      <c r="E40" s="431">
        <f>E13-E38</f>
        <v>0</v>
      </c>
      <c r="F40" s="431">
        <f>F13-F38</f>
        <v>0</v>
      </c>
      <c r="G40" s="431">
        <f>G13-G38</f>
        <v>0</v>
      </c>
      <c r="H40" s="89" t="str">
        <f>IF(E40=F40+G40," ","ERROR")</f>
        <v> </v>
      </c>
    </row>
    <row r="41" spans="2:8" ht="12">
      <c r="B41" s="424"/>
      <c r="E41" s="431"/>
      <c r="F41" s="431"/>
      <c r="G41" s="431"/>
      <c r="H41" s="89"/>
    </row>
    <row r="42" spans="2:8" ht="12">
      <c r="B42" s="424" t="s">
        <v>155</v>
      </c>
      <c r="E42" s="431"/>
      <c r="F42" s="431"/>
      <c r="G42" s="431"/>
      <c r="H42" s="89"/>
    </row>
    <row r="43" spans="1:8" ht="12">
      <c r="A43" s="422">
        <v>25</v>
      </c>
      <c r="B43" s="424" t="s">
        <v>156</v>
      </c>
      <c r="D43" s="434">
        <v>0.35</v>
      </c>
      <c r="E43" s="429">
        <f>F43+G43</f>
        <v>0</v>
      </c>
      <c r="F43" s="429">
        <f>ROUND(F40*D43,0)</f>
        <v>0</v>
      </c>
      <c r="G43" s="429">
        <f>ROUND(G40*D43,0)</f>
        <v>0</v>
      </c>
      <c r="H43" s="89" t="str">
        <f>IF(E43=F43+G43," ","ERROR")</f>
        <v> </v>
      </c>
    </row>
    <row r="44" spans="1:8" ht="12">
      <c r="A44" s="422">
        <v>26</v>
      </c>
      <c r="B44" s="424" t="s">
        <v>228</v>
      </c>
      <c r="E44" s="429"/>
      <c r="F44" s="429"/>
      <c r="G44" s="429"/>
      <c r="H44" s="89" t="str">
        <f>IF(E44=F44+G44," ","ERROR")</f>
        <v> </v>
      </c>
    </row>
    <row r="45" spans="1:8" ht="12.75">
      <c r="A45"/>
      <c r="B45"/>
      <c r="C45"/>
      <c r="D45"/>
      <c r="E45" s="943"/>
      <c r="F45" s="943"/>
      <c r="G45" s="943"/>
      <c r="H45" s="89" t="str">
        <f>IF(E45=F45+G45," ","ERROR")</f>
        <v> </v>
      </c>
    </row>
    <row r="46" spans="1:8" ht="12">
      <c r="A46" s="278"/>
      <c r="B46" s="281"/>
      <c r="C46" s="275"/>
      <c r="D46" s="275"/>
      <c r="E46" s="288"/>
      <c r="F46" s="288"/>
      <c r="G46" s="288"/>
      <c r="H46" s="89"/>
    </row>
    <row r="47" spans="1:8" s="427" customFormat="1" ht="12">
      <c r="A47" s="282">
        <v>27</v>
      </c>
      <c r="B47" s="283" t="s">
        <v>108</v>
      </c>
      <c r="C47" s="284"/>
      <c r="D47" s="284"/>
      <c r="E47" s="292">
        <f>E40-SUM(E43:E44)</f>
        <v>0</v>
      </c>
      <c r="F47" s="292">
        <f>F40-SUM(F43:F44)</f>
        <v>0</v>
      </c>
      <c r="G47" s="292">
        <f>G40-SUM(G43:G44)</f>
        <v>0</v>
      </c>
      <c r="H47" s="89" t="str">
        <f>IF(E47=F47+G47," ","ERROR")</f>
        <v> </v>
      </c>
    </row>
    <row r="48" spans="1:8" ht="12">
      <c r="A48" s="278"/>
      <c r="H48" s="89"/>
    </row>
    <row r="49" spans="1:8" ht="12">
      <c r="A49" s="278"/>
      <c r="B49" s="424" t="s">
        <v>109</v>
      </c>
      <c r="H49" s="89"/>
    </row>
    <row r="50" spans="1:8" ht="12">
      <c r="A50" s="278"/>
      <c r="B50" s="424" t="s">
        <v>110</v>
      </c>
      <c r="H50" s="89"/>
    </row>
    <row r="51" spans="1:8" s="427" customFormat="1" ht="12">
      <c r="A51" s="282">
        <v>28</v>
      </c>
      <c r="B51" s="426" t="s">
        <v>159</v>
      </c>
      <c r="E51" s="428"/>
      <c r="F51" s="428"/>
      <c r="G51" s="428"/>
      <c r="H51" s="89" t="str">
        <f aca="true" t="shared" si="1" ref="H51:H61">IF(E51=F51+G51," ","ERROR")</f>
        <v> </v>
      </c>
    </row>
    <row r="52" spans="1:8" ht="12">
      <c r="A52" s="278">
        <v>29</v>
      </c>
      <c r="B52" s="424" t="s">
        <v>160</v>
      </c>
      <c r="E52" s="429"/>
      <c r="F52" s="429"/>
      <c r="G52" s="429"/>
      <c r="H52" s="89" t="str">
        <f t="shared" si="1"/>
        <v> </v>
      </c>
    </row>
    <row r="53" spans="1:8" ht="12">
      <c r="A53" s="278">
        <v>30</v>
      </c>
      <c r="B53" s="424" t="s">
        <v>161</v>
      </c>
      <c r="E53" s="429"/>
      <c r="F53" s="429"/>
      <c r="G53" s="429"/>
      <c r="H53" s="89" t="str">
        <f t="shared" si="1"/>
        <v> </v>
      </c>
    </row>
    <row r="54" spans="1:8" ht="12">
      <c r="A54" s="278">
        <v>31</v>
      </c>
      <c r="B54" s="424" t="s">
        <v>162</v>
      </c>
      <c r="E54" s="429">
        <f>SUM(F54:G54)</f>
        <v>-223</v>
      </c>
      <c r="F54" s="429">
        <v>-223</v>
      </c>
      <c r="G54" s="429"/>
      <c r="H54" s="89" t="str">
        <f t="shared" si="1"/>
        <v> </v>
      </c>
    </row>
    <row r="55" spans="1:8" ht="12">
      <c r="A55" s="278">
        <v>32</v>
      </c>
      <c r="B55" s="424" t="s">
        <v>163</v>
      </c>
      <c r="E55" s="435"/>
      <c r="F55" s="435"/>
      <c r="G55" s="435"/>
      <c r="H55" s="89" t="str">
        <f t="shared" si="1"/>
        <v> </v>
      </c>
    </row>
    <row r="56" spans="1:8" ht="12">
      <c r="A56" s="278">
        <v>33</v>
      </c>
      <c r="B56" s="424" t="s">
        <v>164</v>
      </c>
      <c r="E56" s="431">
        <f>E51+E52+E53+E54+E55</f>
        <v>-223</v>
      </c>
      <c r="F56" s="431">
        <f>F51+F52+F53+F54+F55</f>
        <v>-223</v>
      </c>
      <c r="G56" s="431">
        <f>G51+G52+G53+G54+G55</f>
        <v>0</v>
      </c>
      <c r="H56" s="89" t="str">
        <f t="shared" si="1"/>
        <v> </v>
      </c>
    </row>
    <row r="57" spans="1:8" ht="12">
      <c r="A57" s="278">
        <v>34</v>
      </c>
      <c r="B57" s="424" t="s">
        <v>116</v>
      </c>
      <c r="E57" s="429"/>
      <c r="F57" s="429"/>
      <c r="G57" s="429"/>
      <c r="H57" s="89" t="str">
        <f t="shared" si="1"/>
        <v> </v>
      </c>
    </row>
    <row r="58" spans="1:8" ht="12">
      <c r="A58" s="278">
        <v>35</v>
      </c>
      <c r="B58" s="424" t="s">
        <v>117</v>
      </c>
      <c r="E58" s="435"/>
      <c r="F58" s="435"/>
      <c r="G58" s="435"/>
      <c r="H58" s="89" t="str">
        <f t="shared" si="1"/>
        <v> </v>
      </c>
    </row>
    <row r="59" spans="1:8" ht="12">
      <c r="A59" s="278">
        <v>36</v>
      </c>
      <c r="B59" s="424" t="s">
        <v>165</v>
      </c>
      <c r="E59" s="431">
        <f>E57+E58</f>
        <v>0</v>
      </c>
      <c r="F59" s="431">
        <f>F57+F58</f>
        <v>0</v>
      </c>
      <c r="G59" s="431">
        <f>G57+G58</f>
        <v>0</v>
      </c>
      <c r="H59" s="89" t="str">
        <f t="shared" si="1"/>
        <v> </v>
      </c>
    </row>
    <row r="60" spans="1:8" ht="12">
      <c r="A60" s="278">
        <v>37</v>
      </c>
      <c r="B60" s="424" t="s">
        <v>119</v>
      </c>
      <c r="E60" s="429"/>
      <c r="F60" s="429"/>
      <c r="G60" s="429"/>
      <c r="H60" s="89" t="str">
        <f t="shared" si="1"/>
        <v> </v>
      </c>
    </row>
    <row r="61" spans="1:8" ht="12">
      <c r="A61" s="278">
        <v>38</v>
      </c>
      <c r="B61" s="424" t="s">
        <v>120</v>
      </c>
      <c r="E61" s="435"/>
      <c r="F61" s="435"/>
      <c r="G61" s="435"/>
      <c r="H61" s="89" t="str">
        <f t="shared" si="1"/>
        <v> </v>
      </c>
    </row>
    <row r="62" spans="1:8" ht="9" customHeight="1">
      <c r="A62" s="278"/>
      <c r="H62" s="89"/>
    </row>
    <row r="63" spans="1:8" s="427" customFormat="1" ht="12.75" thickBot="1">
      <c r="A63" s="282">
        <v>39</v>
      </c>
      <c r="B63" s="426" t="s">
        <v>121</v>
      </c>
      <c r="E63" s="436">
        <f>E56-E59+E60+E61</f>
        <v>-223</v>
      </c>
      <c r="F63" s="436">
        <f>F56-F59+F60+F61</f>
        <v>-223</v>
      </c>
      <c r="G63" s="436">
        <f>G56-G59+G60+G61</f>
        <v>0</v>
      </c>
      <c r="H63" s="89" t="str">
        <f>IF(E63=F63+G63," ","ERROR")</f>
        <v> </v>
      </c>
    </row>
    <row r="64" ht="12.75" thickTop="1"/>
    <row r="65" spans="1:4" ht="12">
      <c r="A65" s="418"/>
      <c r="B65" s="418"/>
      <c r="C65" s="418"/>
      <c r="D65" s="437"/>
    </row>
    <row r="66" spans="1:4" ht="12">
      <c r="A66" s="418"/>
      <c r="B66" s="418"/>
      <c r="C66" s="418"/>
      <c r="D66" s="437"/>
    </row>
    <row r="67" spans="1:4" ht="12">
      <c r="A67" s="418"/>
      <c r="B67" s="418"/>
      <c r="C67" s="418"/>
      <c r="D67" s="437"/>
    </row>
    <row r="68" spans="1:4" ht="12">
      <c r="A68" s="418"/>
      <c r="B68" s="418"/>
      <c r="C68" s="418"/>
      <c r="D68" s="437"/>
    </row>
    <row r="69" spans="2:4" ht="12">
      <c r="B69" s="437"/>
      <c r="C69" s="437"/>
      <c r="D69" s="437"/>
    </row>
    <row r="70" spans="2:4" ht="12">
      <c r="B70" s="437"/>
      <c r="C70" s="437"/>
      <c r="D70" s="437"/>
    </row>
    <row r="71" spans="2:4" ht="12">
      <c r="B71" s="438"/>
      <c r="C71" s="439"/>
      <c r="D71" s="437"/>
    </row>
    <row r="72" spans="2:4" ht="12">
      <c r="B72" s="424"/>
      <c r="C72" s="437"/>
      <c r="D72" s="437"/>
    </row>
    <row r="73" spans="2:4" ht="12">
      <c r="B73" s="426"/>
      <c r="C73" s="437"/>
      <c r="D73" s="437"/>
    </row>
    <row r="74" spans="2:4" ht="12">
      <c r="B74" s="424"/>
      <c r="C74" s="437"/>
      <c r="D74" s="437"/>
    </row>
    <row r="75" spans="2:4" ht="12">
      <c r="B75" s="424"/>
      <c r="C75" s="437"/>
      <c r="D75" s="437"/>
    </row>
    <row r="76" spans="2:4" ht="12">
      <c r="B76" s="424"/>
      <c r="C76" s="437"/>
      <c r="D76" s="437"/>
    </row>
    <row r="77" spans="2:4" ht="12">
      <c r="B77" s="424"/>
      <c r="C77" s="437"/>
      <c r="D77" s="437"/>
    </row>
    <row r="78" spans="2:4" ht="12">
      <c r="B78" s="424"/>
      <c r="C78" s="437"/>
      <c r="D78" s="437"/>
    </row>
    <row r="79" spans="3:4" ht="12">
      <c r="C79" s="437"/>
      <c r="D79" s="437"/>
    </row>
    <row r="80" spans="2:4" ht="12">
      <c r="B80" s="424"/>
      <c r="C80" s="437"/>
      <c r="D80" s="437"/>
    </row>
    <row r="81" spans="2:4" ht="12">
      <c r="B81" s="424"/>
      <c r="C81" s="437"/>
      <c r="D81" s="437"/>
    </row>
    <row r="82" spans="2:4" ht="12">
      <c r="B82" s="424"/>
      <c r="C82" s="437"/>
      <c r="D82" s="437"/>
    </row>
    <row r="83" spans="2:4" ht="12">
      <c r="B83" s="424"/>
      <c r="C83" s="437"/>
      <c r="D83" s="437"/>
    </row>
    <row r="84" spans="2:4" ht="12">
      <c r="B84" s="424"/>
      <c r="C84" s="437"/>
      <c r="D84" s="437"/>
    </row>
    <row r="85" spans="2:4" ht="12">
      <c r="B85" s="424"/>
      <c r="C85" s="437"/>
      <c r="D85" s="437"/>
    </row>
    <row r="86" spans="2:4" ht="12">
      <c r="B86" s="424"/>
      <c r="C86" s="437"/>
      <c r="D86" s="437"/>
    </row>
    <row r="87" spans="3:4" ht="12">
      <c r="C87" s="437"/>
      <c r="D87" s="437"/>
    </row>
    <row r="88" spans="2:4" ht="12">
      <c r="B88" s="424"/>
      <c r="C88" s="437"/>
      <c r="D88" s="437"/>
    </row>
    <row r="89" spans="2:4" ht="12">
      <c r="B89" s="424"/>
      <c r="C89" s="437"/>
      <c r="D89" s="437"/>
    </row>
    <row r="90" spans="2:4" ht="12">
      <c r="B90" s="424"/>
      <c r="C90" s="437"/>
      <c r="D90" s="437"/>
    </row>
    <row r="91" spans="1:4" ht="12">
      <c r="A91" s="419"/>
      <c r="B91" s="424"/>
      <c r="C91" s="437"/>
      <c r="D91" s="437"/>
    </row>
    <row r="92" spans="1:4" ht="12">
      <c r="A92" s="419"/>
      <c r="B92" s="424"/>
      <c r="C92" s="437"/>
      <c r="D92" s="437"/>
    </row>
    <row r="93" spans="1:4" ht="12">
      <c r="A93" s="419"/>
      <c r="C93" s="437"/>
      <c r="D93" s="437"/>
    </row>
    <row r="94" spans="1:4" ht="12">
      <c r="A94" s="419"/>
      <c r="B94" s="424"/>
      <c r="C94" s="437"/>
      <c r="D94" s="437"/>
    </row>
    <row r="95" spans="1:4" ht="12">
      <c r="A95" s="419"/>
      <c r="B95" s="424"/>
      <c r="C95" s="437"/>
      <c r="D95" s="437"/>
    </row>
    <row r="96" spans="1:4" ht="12">
      <c r="A96" s="419"/>
      <c r="B96" s="424"/>
      <c r="C96" s="437"/>
      <c r="D96" s="437"/>
    </row>
    <row r="97" spans="1:4" ht="12">
      <c r="A97" s="419"/>
      <c r="C97" s="437"/>
      <c r="D97" s="437"/>
    </row>
    <row r="98" spans="1:4" ht="12">
      <c r="A98" s="419"/>
      <c r="B98" s="424"/>
      <c r="C98" s="437"/>
      <c r="D98" s="437"/>
    </row>
    <row r="99" spans="1:4" ht="12">
      <c r="A99" s="419"/>
      <c r="B99" s="424"/>
      <c r="C99" s="437"/>
      <c r="D99" s="437"/>
    </row>
    <row r="100" spans="1:4" ht="12">
      <c r="A100" s="419"/>
      <c r="B100" s="424"/>
      <c r="C100" s="437"/>
      <c r="D100" s="437"/>
    </row>
    <row r="101" spans="1:4" ht="12">
      <c r="A101" s="419"/>
      <c r="B101" s="424"/>
      <c r="C101" s="437"/>
      <c r="D101" s="437"/>
    </row>
    <row r="102" spans="1:4" ht="12">
      <c r="A102" s="419"/>
      <c r="B102" s="424"/>
      <c r="C102" s="437"/>
      <c r="D102" s="437"/>
    </row>
    <row r="103" spans="1:4" ht="12">
      <c r="A103" s="419"/>
      <c r="B103" s="437"/>
      <c r="C103" s="437"/>
      <c r="D103" s="437"/>
    </row>
    <row r="104" spans="1:4" ht="12">
      <c r="A104" s="419"/>
      <c r="B104" s="437"/>
      <c r="C104" s="437"/>
      <c r="D104" s="437"/>
    </row>
    <row r="105" spans="1:4" ht="12">
      <c r="A105" s="419"/>
      <c r="B105" s="437"/>
      <c r="C105" s="437"/>
      <c r="D105" s="437"/>
    </row>
    <row r="106" spans="1:4" ht="12">
      <c r="A106" s="419"/>
      <c r="B106" s="437"/>
      <c r="C106" s="437"/>
      <c r="D106" s="437"/>
    </row>
    <row r="107" spans="1:4" ht="12">
      <c r="A107" s="419"/>
      <c r="B107" s="437"/>
      <c r="C107" s="437"/>
      <c r="D107" s="437"/>
    </row>
    <row r="108" spans="1:4" ht="12">
      <c r="A108" s="419"/>
      <c r="B108" s="437"/>
      <c r="C108" s="437"/>
      <c r="D108" s="437"/>
    </row>
    <row r="109" spans="1:4" ht="12">
      <c r="A109" s="419"/>
      <c r="B109" s="440"/>
      <c r="C109" s="441"/>
      <c r="D109" s="437"/>
    </row>
  </sheetData>
  <printOptions horizontalCentered="1"/>
  <pageMargins left="1" right="1" top="0.5" bottom="0.5" header="0.5" footer="0.5"/>
  <pageSetup horizontalDpi="300" verticalDpi="300" orientation="portrait" scale="90" r:id="rId1"/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1">
      <selection activeCell="F68" sqref="F68"/>
    </sheetView>
  </sheetViews>
  <sheetFormatPr defaultColWidth="9.140625" defaultRowHeight="12.75"/>
  <cols>
    <col min="1" max="1" width="5.57421875" style="447" customWidth="1"/>
    <col min="2" max="2" width="26.140625" style="444" customWidth="1"/>
    <col min="3" max="3" width="12.421875" style="444" customWidth="1"/>
    <col min="4" max="4" width="6.7109375" style="444" customWidth="1"/>
    <col min="5" max="7" width="12.421875" style="444" customWidth="1"/>
    <col min="8" max="8" width="11.7109375" style="78" customWidth="1"/>
    <col min="9" max="16384" width="12.421875" style="444" customWidth="1"/>
  </cols>
  <sheetData>
    <row r="1" spans="1:3" ht="12">
      <c r="A1" s="442" t="str">
        <f>Inputs!$D$6</f>
        <v>AVISTA UTILITIES</v>
      </c>
      <c r="B1" s="443"/>
      <c r="C1" s="442"/>
    </row>
    <row r="2" spans="1:7" ht="12">
      <c r="A2" s="442" t="s">
        <v>134</v>
      </c>
      <c r="B2" s="443"/>
      <c r="C2" s="442"/>
      <c r="E2" s="442" t="s">
        <v>229</v>
      </c>
      <c r="F2" s="442"/>
      <c r="G2" s="442"/>
    </row>
    <row r="3" spans="1:7" ht="12">
      <c r="A3" s="443" t="str">
        <f>WAElec12_04!$A$4</f>
        <v>TWELVE MONTHS ENDED DECEMBER 31, 2004</v>
      </c>
      <c r="B3" s="443"/>
      <c r="C3" s="442"/>
      <c r="E3" s="442" t="s">
        <v>230</v>
      </c>
      <c r="F3" s="442"/>
      <c r="G3" s="442"/>
    </row>
    <row r="4" spans="1:7" ht="12">
      <c r="A4" s="442" t="s">
        <v>1</v>
      </c>
      <c r="B4" s="443"/>
      <c r="C4" s="442"/>
      <c r="E4" s="445" t="s">
        <v>137</v>
      </c>
      <c r="F4" s="445"/>
      <c r="G4" s="446"/>
    </row>
    <row r="5" ht="12">
      <c r="A5" s="447" t="s">
        <v>13</v>
      </c>
    </row>
    <row r="6" spans="1:8" s="447" customFormat="1" ht="12">
      <c r="A6" s="447" t="s">
        <v>138</v>
      </c>
      <c r="B6" s="448" t="s">
        <v>34</v>
      </c>
      <c r="C6" s="448"/>
      <c r="E6" s="448" t="s">
        <v>139</v>
      </c>
      <c r="F6" s="448" t="s">
        <v>140</v>
      </c>
      <c r="G6" s="448" t="s">
        <v>123</v>
      </c>
      <c r="H6" s="85" t="s">
        <v>141</v>
      </c>
    </row>
    <row r="7" ht="12">
      <c r="B7" s="449" t="s">
        <v>80</v>
      </c>
    </row>
    <row r="8" spans="1:8" s="452" customFormat="1" ht="12">
      <c r="A8" s="450">
        <v>1</v>
      </c>
      <c r="B8" s="451" t="s">
        <v>81</v>
      </c>
      <c r="E8" s="453">
        <f>F8+G8</f>
        <v>0</v>
      </c>
      <c r="F8" s="453"/>
      <c r="G8" s="453"/>
      <c r="H8" s="89" t="str">
        <f aca="true" t="shared" si="0" ref="H8:H13">IF(E8=F8+G8," ","ERROR")</f>
        <v> </v>
      </c>
    </row>
    <row r="9" spans="1:8" ht="12">
      <c r="A9" s="447">
        <v>2</v>
      </c>
      <c r="B9" s="449" t="s">
        <v>82</v>
      </c>
      <c r="E9" s="454"/>
      <c r="F9" s="454"/>
      <c r="G9" s="454"/>
      <c r="H9" s="89" t="str">
        <f t="shared" si="0"/>
        <v> </v>
      </c>
    </row>
    <row r="10" spans="1:8" ht="12">
      <c r="A10" s="447">
        <v>3</v>
      </c>
      <c r="B10" s="449" t="s">
        <v>142</v>
      </c>
      <c r="E10" s="454"/>
      <c r="F10" s="454"/>
      <c r="G10" s="454"/>
      <c r="H10" s="89" t="str">
        <f t="shared" si="0"/>
        <v> </v>
      </c>
    </row>
    <row r="11" spans="1:8" ht="12">
      <c r="A11" s="447">
        <v>4</v>
      </c>
      <c r="B11" s="449" t="s">
        <v>143</v>
      </c>
      <c r="E11" s="455">
        <f>E8+E9+E10</f>
        <v>0</v>
      </c>
      <c r="F11" s="455">
        <f>F8+F9+F10</f>
        <v>0</v>
      </c>
      <c r="G11" s="455">
        <f>G8+G9+G10</f>
        <v>0</v>
      </c>
      <c r="H11" s="89" t="str">
        <f t="shared" si="0"/>
        <v> </v>
      </c>
    </row>
    <row r="12" spans="1:8" ht="12">
      <c r="A12" s="447">
        <v>5</v>
      </c>
      <c r="B12" s="449" t="s">
        <v>85</v>
      </c>
      <c r="E12" s="454"/>
      <c r="F12" s="454"/>
      <c r="G12" s="454"/>
      <c r="H12" s="89" t="str">
        <f t="shared" si="0"/>
        <v> </v>
      </c>
    </row>
    <row r="13" spans="1:8" ht="12">
      <c r="A13" s="447">
        <v>6</v>
      </c>
      <c r="B13" s="449" t="s">
        <v>144</v>
      </c>
      <c r="E13" s="455">
        <f>E11+E12</f>
        <v>0</v>
      </c>
      <c r="F13" s="455">
        <f>F11+F12</f>
        <v>0</v>
      </c>
      <c r="G13" s="455">
        <f>G11+G12</f>
        <v>0</v>
      </c>
      <c r="H13" s="89" t="str">
        <f t="shared" si="0"/>
        <v> </v>
      </c>
    </row>
    <row r="14" spans="5:8" ht="12">
      <c r="E14" s="456"/>
      <c r="F14" s="456"/>
      <c r="G14" s="456"/>
      <c r="H14" s="89"/>
    </row>
    <row r="15" spans="2:8" ht="12">
      <c r="B15" s="449" t="s">
        <v>87</v>
      </c>
      <c r="E15" s="456"/>
      <c r="F15" s="456"/>
      <c r="G15" s="456"/>
      <c r="H15" s="89"/>
    </row>
    <row r="16" spans="2:8" ht="12">
      <c r="B16" s="449" t="s">
        <v>88</v>
      </c>
      <c r="E16" s="456"/>
      <c r="F16" s="456"/>
      <c r="G16" s="456"/>
      <c r="H16" s="89"/>
    </row>
    <row r="17" spans="1:8" ht="12">
      <c r="A17" s="447">
        <v>7</v>
      </c>
      <c r="B17" s="449" t="s">
        <v>145</v>
      </c>
      <c r="E17" s="454"/>
      <c r="F17" s="454"/>
      <c r="G17" s="454"/>
      <c r="H17" s="89" t="str">
        <f>IF(E17=F17+G17," ","ERROR")</f>
        <v> </v>
      </c>
    </row>
    <row r="18" spans="1:8" ht="12">
      <c r="A18" s="447">
        <v>8</v>
      </c>
      <c r="B18" s="449" t="s">
        <v>146</v>
      </c>
      <c r="E18" s="454"/>
      <c r="F18" s="454"/>
      <c r="G18" s="454"/>
      <c r="H18" s="89" t="str">
        <f>IF(E18=F18+G18," ","ERROR")</f>
        <v> </v>
      </c>
    </row>
    <row r="19" spans="1:8" ht="12">
      <c r="A19" s="447">
        <v>9</v>
      </c>
      <c r="B19" s="449" t="s">
        <v>147</v>
      </c>
      <c r="E19" s="454">
        <f>F19+G19</f>
        <v>0</v>
      </c>
      <c r="F19" s="454">
        <v>0</v>
      </c>
      <c r="G19" s="454">
        <v>0</v>
      </c>
      <c r="H19" s="89" t="str">
        <f>IF(E19=F19+G19," ","ERROR")</f>
        <v> </v>
      </c>
    </row>
    <row r="20" spans="1:8" ht="12">
      <c r="A20" s="447">
        <v>10</v>
      </c>
      <c r="B20" s="449" t="s">
        <v>148</v>
      </c>
      <c r="E20" s="454"/>
      <c r="F20" s="454"/>
      <c r="G20" s="454"/>
      <c r="H20" s="89" t="str">
        <f>IF(E20=F20+G20," ","ERROR")</f>
        <v> </v>
      </c>
    </row>
    <row r="21" spans="1:8" ht="12">
      <c r="A21" s="447">
        <v>11</v>
      </c>
      <c r="B21" s="449" t="s">
        <v>149</v>
      </c>
      <c r="E21" s="455">
        <f>E17+E18+E19+E20</f>
        <v>0</v>
      </c>
      <c r="F21" s="455">
        <f>F17+F18+F19+F20</f>
        <v>0</v>
      </c>
      <c r="G21" s="455">
        <f>G17+G18+G19+G20</f>
        <v>0</v>
      </c>
      <c r="H21" s="89" t="str">
        <f>IF(E21=F21+G21," ","ERROR")</f>
        <v> </v>
      </c>
    </row>
    <row r="22" spans="5:8" ht="12">
      <c r="E22" s="456"/>
      <c r="F22" s="456"/>
      <c r="G22" s="456"/>
      <c r="H22" s="89"/>
    </row>
    <row r="23" spans="2:8" ht="12">
      <c r="B23" s="449" t="s">
        <v>93</v>
      </c>
      <c r="E23" s="456"/>
      <c r="F23" s="456"/>
      <c r="G23" s="456"/>
      <c r="H23" s="89"/>
    </row>
    <row r="24" spans="1:8" ht="12">
      <c r="A24" s="447">
        <v>12</v>
      </c>
      <c r="B24" s="449" t="s">
        <v>145</v>
      </c>
      <c r="E24" s="454"/>
      <c r="F24" s="454"/>
      <c r="G24" s="454"/>
      <c r="H24" s="89" t="str">
        <f>IF(E24=F24+G24," ","ERROR")</f>
        <v> </v>
      </c>
    </row>
    <row r="25" spans="1:8" ht="12">
      <c r="A25" s="447">
        <v>13</v>
      </c>
      <c r="B25" s="449" t="s">
        <v>150</v>
      </c>
      <c r="E25" s="454"/>
      <c r="F25" s="454"/>
      <c r="G25" s="454"/>
      <c r="H25" s="89" t="str">
        <f>IF(E25=F25+G25," ","ERROR")</f>
        <v> </v>
      </c>
    </row>
    <row r="26" spans="1:8" ht="12">
      <c r="A26" s="447">
        <v>14</v>
      </c>
      <c r="B26" s="449" t="s">
        <v>148</v>
      </c>
      <c r="E26" s="454"/>
      <c r="F26" s="454"/>
      <c r="G26" s="454"/>
      <c r="H26" s="89" t="str">
        <f>IF(E26=F26+G26," ","ERROR")</f>
        <v> </v>
      </c>
    </row>
    <row r="27" spans="1:8" ht="12">
      <c r="A27" s="447">
        <v>15</v>
      </c>
      <c r="B27" s="449" t="s">
        <v>151</v>
      </c>
      <c r="E27" s="455">
        <f>E24+E25+E26</f>
        <v>0</v>
      </c>
      <c r="F27" s="455">
        <f>F24+F25+F26</f>
        <v>0</v>
      </c>
      <c r="G27" s="455">
        <f>G24+G25+G26</f>
        <v>0</v>
      </c>
      <c r="H27" s="89" t="str">
        <f>IF(E27=F27+G27," ","ERROR")</f>
        <v> </v>
      </c>
    </row>
    <row r="28" spans="5:8" ht="12">
      <c r="E28" s="456"/>
      <c r="F28" s="456"/>
      <c r="G28" s="456"/>
      <c r="H28" s="89"/>
    </row>
    <row r="29" spans="1:8" ht="12">
      <c r="A29" s="447">
        <v>16</v>
      </c>
      <c r="B29" s="449" t="s">
        <v>96</v>
      </c>
      <c r="E29" s="454"/>
      <c r="F29" s="454"/>
      <c r="G29" s="454"/>
      <c r="H29" s="89" t="str">
        <f>IF(E29=F29+G29," ","ERROR")</f>
        <v> </v>
      </c>
    </row>
    <row r="30" spans="1:8" ht="12">
      <c r="A30" s="447">
        <v>17</v>
      </c>
      <c r="B30" s="449" t="s">
        <v>97</v>
      </c>
      <c r="E30" s="454"/>
      <c r="F30" s="454"/>
      <c r="G30" s="454"/>
      <c r="H30" s="89" t="str">
        <f>IF(E30=F30+G30," ","ERROR")</f>
        <v> </v>
      </c>
    </row>
    <row r="31" spans="1:8" ht="12">
      <c r="A31" s="447">
        <v>18</v>
      </c>
      <c r="B31" s="449" t="s">
        <v>152</v>
      </c>
      <c r="E31" s="454"/>
      <c r="F31" s="454"/>
      <c r="G31" s="454"/>
      <c r="H31" s="89" t="str">
        <f>IF(E31=F31+G31," ","ERROR")</f>
        <v> </v>
      </c>
    </row>
    <row r="32" spans="5:8" ht="12">
      <c r="E32" s="456"/>
      <c r="F32" s="456"/>
      <c r="G32" s="456"/>
      <c r="H32" s="89"/>
    </row>
    <row r="33" spans="2:8" ht="12">
      <c r="B33" s="449" t="s">
        <v>99</v>
      </c>
      <c r="E33" s="456"/>
      <c r="F33" s="456"/>
      <c r="G33" s="456"/>
      <c r="H33" s="89"/>
    </row>
    <row r="34" spans="1:8" ht="12">
      <c r="A34" s="447">
        <v>19</v>
      </c>
      <c r="B34" s="449" t="s">
        <v>145</v>
      </c>
      <c r="E34" s="454"/>
      <c r="F34" s="454"/>
      <c r="G34" s="454"/>
      <c r="H34" s="89" t="str">
        <f>IF(E34=F34+G34," ","ERROR")</f>
        <v> </v>
      </c>
    </row>
    <row r="35" spans="1:8" ht="12">
      <c r="A35" s="447">
        <v>20</v>
      </c>
      <c r="B35" s="449" t="s">
        <v>150</v>
      </c>
      <c r="E35" s="454"/>
      <c r="F35" s="454"/>
      <c r="G35" s="454"/>
      <c r="H35" s="89" t="str">
        <f>IF(E35=F35+G35," ","ERROR")</f>
        <v> </v>
      </c>
    </row>
    <row r="36" spans="1:8" ht="12">
      <c r="A36" s="447">
        <v>21</v>
      </c>
      <c r="B36" s="449" t="s">
        <v>148</v>
      </c>
      <c r="E36" s="454"/>
      <c r="F36" s="454"/>
      <c r="G36" s="454"/>
      <c r="H36" s="89" t="str">
        <f>IF(E36=F36+G36," ","ERROR")</f>
        <v> </v>
      </c>
    </row>
    <row r="37" spans="1:8" ht="12">
      <c r="A37" s="447">
        <v>22</v>
      </c>
      <c r="B37" s="449" t="s">
        <v>153</v>
      </c>
      <c r="E37" s="457">
        <f>E34+E35+E36</f>
        <v>0</v>
      </c>
      <c r="F37" s="457">
        <f>F34+F35+F36</f>
        <v>0</v>
      </c>
      <c r="G37" s="457">
        <f>G34+G35+G36</f>
        <v>0</v>
      </c>
      <c r="H37" s="89" t="str">
        <f>IF(E37=F37+G37," ","ERROR")</f>
        <v> </v>
      </c>
    </row>
    <row r="38" spans="1:8" ht="12">
      <c r="A38" s="447">
        <v>23</v>
      </c>
      <c r="B38" s="449" t="s">
        <v>101</v>
      </c>
      <c r="E38" s="458">
        <f>E21+E27+E29+E30+E31+E37</f>
        <v>0</v>
      </c>
      <c r="F38" s="458">
        <f>F21+F27+F29+F30+F31+F37</f>
        <v>0</v>
      </c>
      <c r="G38" s="458">
        <f>G21+G27+G29+G30+G31+G37</f>
        <v>0</v>
      </c>
      <c r="H38" s="89" t="str">
        <f>IF(E38=F38+G38," ","ERROR")</f>
        <v> </v>
      </c>
    </row>
    <row r="39" spans="5:8" ht="12">
      <c r="E39" s="456"/>
      <c r="F39" s="456"/>
      <c r="G39" s="456"/>
      <c r="H39" s="89"/>
    </row>
    <row r="40" spans="1:8" ht="12">
      <c r="A40" s="447">
        <v>24</v>
      </c>
      <c r="B40" s="449" t="s">
        <v>154</v>
      </c>
      <c r="E40" s="456">
        <f>E13-E38</f>
        <v>0</v>
      </c>
      <c r="F40" s="456">
        <f>F13-F38</f>
        <v>0</v>
      </c>
      <c r="G40" s="456">
        <f>G13-G38</f>
        <v>0</v>
      </c>
      <c r="H40" s="89" t="str">
        <f>IF(E40=F40+G40," ","ERROR")</f>
        <v> </v>
      </c>
    </row>
    <row r="41" spans="2:8" ht="12">
      <c r="B41" s="449"/>
      <c r="E41" s="456"/>
      <c r="F41" s="456"/>
      <c r="G41" s="456"/>
      <c r="H41" s="89"/>
    </row>
    <row r="42" spans="2:8" ht="12">
      <c r="B42" s="449" t="s">
        <v>155</v>
      </c>
      <c r="E42" s="456"/>
      <c r="F42" s="456"/>
      <c r="G42" s="456"/>
      <c r="H42" s="89"/>
    </row>
    <row r="43" spans="1:8" ht="12">
      <c r="A43" s="447">
        <v>25</v>
      </c>
      <c r="B43" s="449" t="s">
        <v>214</v>
      </c>
      <c r="E43" s="454">
        <v>0</v>
      </c>
      <c r="F43" s="454">
        <v>0</v>
      </c>
      <c r="G43" s="454">
        <v>0</v>
      </c>
      <c r="H43" s="89" t="str">
        <f>IF(E43=F43+G43," ","ERROR")</f>
        <v> </v>
      </c>
    </row>
    <row r="44" spans="1:8" ht="12">
      <c r="A44" s="447">
        <v>26</v>
      </c>
      <c r="B44" s="449" t="s">
        <v>157</v>
      </c>
      <c r="E44" s="454">
        <f>F44+G44</f>
        <v>0</v>
      </c>
      <c r="F44" s="454">
        <v>0</v>
      </c>
      <c r="G44" s="454">
        <v>0</v>
      </c>
      <c r="H44" s="89" t="str">
        <f>IF(E44=F44+G44," ","ERROR")</f>
        <v> </v>
      </c>
    </row>
    <row r="45" spans="1:8" ht="12.75">
      <c r="A45"/>
      <c r="B45"/>
      <c r="C45"/>
      <c r="D45"/>
      <c r="E45" s="943"/>
      <c r="F45" s="943"/>
      <c r="G45" s="943"/>
      <c r="H45" s="89" t="str">
        <f>IF(E45=F45+G45," ","ERROR")</f>
        <v> </v>
      </c>
    </row>
    <row r="46" spans="1:8" ht="12">
      <c r="A46" s="278"/>
      <c r="B46" s="281"/>
      <c r="C46" s="275"/>
      <c r="D46" s="275"/>
      <c r="E46" s="288"/>
      <c r="F46" s="288"/>
      <c r="G46" s="288"/>
      <c r="H46" s="89"/>
    </row>
    <row r="47" spans="1:8" s="452" customFormat="1" ht="12">
      <c r="A47" s="282">
        <v>27</v>
      </c>
      <c r="B47" s="283" t="s">
        <v>108</v>
      </c>
      <c r="C47" s="284"/>
      <c r="D47" s="284"/>
      <c r="E47" s="292">
        <f>E40-SUM(E43:E44)</f>
        <v>0</v>
      </c>
      <c r="F47" s="292">
        <f>F40-SUM(F43:F44)</f>
        <v>0</v>
      </c>
      <c r="G47" s="292">
        <f>G40-SUM(G43:G44)</f>
        <v>0</v>
      </c>
      <c r="H47" s="89" t="str">
        <f>IF(E47=F47+G47," ","ERROR")</f>
        <v> </v>
      </c>
    </row>
    <row r="48" spans="1:8" ht="12">
      <c r="A48" s="278"/>
      <c r="H48" s="89"/>
    </row>
    <row r="49" spans="1:8" ht="12">
      <c r="A49" s="278"/>
      <c r="B49" s="449" t="s">
        <v>109</v>
      </c>
      <c r="H49" s="89"/>
    </row>
    <row r="50" spans="1:8" ht="12">
      <c r="A50" s="278"/>
      <c r="B50" s="449" t="s">
        <v>110</v>
      </c>
      <c r="H50" s="89"/>
    </row>
    <row r="51" spans="1:8" s="452" customFormat="1" ht="12">
      <c r="A51" s="282">
        <v>28</v>
      </c>
      <c r="B51" s="451" t="s">
        <v>159</v>
      </c>
      <c r="E51" s="453"/>
      <c r="F51" s="453"/>
      <c r="G51" s="453"/>
      <c r="H51" s="89" t="str">
        <f aca="true" t="shared" si="1" ref="H51:H61">IF(E51=F51+G51," ","ERROR")</f>
        <v> </v>
      </c>
    </row>
    <row r="52" spans="1:8" ht="12">
      <c r="A52" s="278">
        <v>29</v>
      </c>
      <c r="B52" s="449" t="s">
        <v>160</v>
      </c>
      <c r="E52" s="454">
        <f>F52+G52</f>
        <v>79626</v>
      </c>
      <c r="F52" s="454">
        <v>79626</v>
      </c>
      <c r="G52" s="454"/>
      <c r="H52" s="89" t="str">
        <f t="shared" si="1"/>
        <v> </v>
      </c>
    </row>
    <row r="53" spans="1:8" ht="12">
      <c r="A53" s="278">
        <v>30</v>
      </c>
      <c r="B53" s="449" t="s">
        <v>161</v>
      </c>
      <c r="E53" s="454"/>
      <c r="F53" s="454"/>
      <c r="G53" s="454"/>
      <c r="H53" s="89" t="str">
        <f t="shared" si="1"/>
        <v> </v>
      </c>
    </row>
    <row r="54" spans="1:8" ht="12">
      <c r="A54" s="278">
        <v>31</v>
      </c>
      <c r="B54" s="449" t="s">
        <v>162</v>
      </c>
      <c r="E54" s="454"/>
      <c r="F54" s="454"/>
      <c r="G54" s="454"/>
      <c r="H54" s="89" t="str">
        <f t="shared" si="1"/>
        <v> </v>
      </c>
    </row>
    <row r="55" spans="1:8" ht="12">
      <c r="A55" s="278">
        <v>32</v>
      </c>
      <c r="B55" s="449" t="s">
        <v>163</v>
      </c>
      <c r="E55" s="459"/>
      <c r="F55" s="459"/>
      <c r="G55" s="459"/>
      <c r="H55" s="89" t="str">
        <f t="shared" si="1"/>
        <v> </v>
      </c>
    </row>
    <row r="56" spans="1:8" ht="12">
      <c r="A56" s="278">
        <v>33</v>
      </c>
      <c r="B56" s="449" t="s">
        <v>164</v>
      </c>
      <c r="E56" s="456">
        <f>E51+E52+E53+E54+E55</f>
        <v>79626</v>
      </c>
      <c r="F56" s="456">
        <f>F51+F52+F53+F54+F55</f>
        <v>79626</v>
      </c>
      <c r="G56" s="456">
        <f>G51+G52+G53+G54+G55</f>
        <v>0</v>
      </c>
      <c r="H56" s="89" t="str">
        <f t="shared" si="1"/>
        <v> </v>
      </c>
    </row>
    <row r="57" spans="1:8" ht="12">
      <c r="A57" s="278">
        <v>34</v>
      </c>
      <c r="B57" s="449" t="s">
        <v>116</v>
      </c>
      <c r="E57" s="454"/>
      <c r="F57" s="454"/>
      <c r="G57" s="454"/>
      <c r="H57" s="89" t="str">
        <f t="shared" si="1"/>
        <v> </v>
      </c>
    </row>
    <row r="58" spans="1:8" ht="12">
      <c r="A58" s="278">
        <v>35</v>
      </c>
      <c r="B58" s="449" t="s">
        <v>117</v>
      </c>
      <c r="E58" s="459">
        <f>F58+G58</f>
        <v>47368</v>
      </c>
      <c r="F58" s="459">
        <v>47368</v>
      </c>
      <c r="G58" s="459"/>
      <c r="H58" s="89" t="str">
        <f t="shared" si="1"/>
        <v> </v>
      </c>
    </row>
    <row r="59" spans="1:8" ht="12">
      <c r="A59" s="278">
        <v>36</v>
      </c>
      <c r="B59" s="449" t="s">
        <v>165</v>
      </c>
      <c r="E59" s="456">
        <f>E57+E58</f>
        <v>47368</v>
      </c>
      <c r="F59" s="456">
        <f>F57+F58</f>
        <v>47368</v>
      </c>
      <c r="G59" s="456">
        <f>G57+G58</f>
        <v>0</v>
      </c>
      <c r="H59" s="89" t="str">
        <f t="shared" si="1"/>
        <v> </v>
      </c>
    </row>
    <row r="60" spans="1:8" ht="12">
      <c r="A60" s="278">
        <v>37</v>
      </c>
      <c r="B60" s="449" t="s">
        <v>119</v>
      </c>
      <c r="E60" s="454"/>
      <c r="F60" s="454"/>
      <c r="G60" s="454"/>
      <c r="H60" s="89" t="str">
        <f t="shared" si="1"/>
        <v> </v>
      </c>
    </row>
    <row r="61" spans="1:8" ht="12">
      <c r="A61" s="278">
        <v>38</v>
      </c>
      <c r="B61" s="449" t="s">
        <v>120</v>
      </c>
      <c r="E61" s="459">
        <f>F61+G61</f>
        <v>-5577</v>
      </c>
      <c r="F61" s="459">
        <v>-5577</v>
      </c>
      <c r="G61" s="459"/>
      <c r="H61" s="89" t="str">
        <f t="shared" si="1"/>
        <v> </v>
      </c>
    </row>
    <row r="62" spans="1:8" ht="12">
      <c r="A62" s="278"/>
      <c r="H62" s="89"/>
    </row>
    <row r="63" spans="1:8" s="452" customFormat="1" ht="12.75" thickBot="1">
      <c r="A63" s="282">
        <v>39</v>
      </c>
      <c r="B63" s="451" t="s">
        <v>121</v>
      </c>
      <c r="E63" s="460">
        <f>E56-E59+E60+E61</f>
        <v>26681</v>
      </c>
      <c r="F63" s="460">
        <f>F56-F59+F60+F61</f>
        <v>26681</v>
      </c>
      <c r="G63" s="460">
        <f>G56-G59+G60+G61</f>
        <v>0</v>
      </c>
      <c r="H63" s="89" t="str">
        <f>IF(E63=F63+G63," ","ERROR")</f>
        <v> </v>
      </c>
    </row>
    <row r="64" ht="12.75" thickTop="1"/>
    <row r="65" spans="1:7" ht="12">
      <c r="A65" s="461"/>
      <c r="B65" s="461"/>
      <c r="C65" s="461"/>
      <c r="D65" s="462"/>
      <c r="E65" s="463"/>
      <c r="F65" s="462"/>
      <c r="G65" s="464"/>
    </row>
    <row r="66" spans="1:7" ht="12">
      <c r="A66" s="461"/>
      <c r="B66" s="461"/>
      <c r="C66" s="461"/>
      <c r="D66" s="462"/>
      <c r="E66" s="463"/>
      <c r="F66" s="471"/>
      <c r="G66" s="464"/>
    </row>
    <row r="67" spans="1:7" ht="12">
      <c r="A67" s="461"/>
      <c r="B67" s="461"/>
      <c r="C67" s="461"/>
      <c r="D67" s="462"/>
      <c r="E67" s="463"/>
      <c r="F67" s="462"/>
      <c r="G67" s="465"/>
    </row>
    <row r="68" spans="1:7" ht="12">
      <c r="A68" s="461"/>
      <c r="B68" s="461"/>
      <c r="C68" s="461"/>
      <c r="D68" s="462"/>
      <c r="E68" s="463"/>
      <c r="F68" s="462"/>
      <c r="G68" s="465"/>
    </row>
    <row r="69" spans="1:7" ht="12">
      <c r="A69" s="466"/>
      <c r="B69" s="462"/>
      <c r="C69" s="462"/>
      <c r="D69" s="462"/>
      <c r="E69" s="463"/>
      <c r="F69" s="462"/>
      <c r="G69" s="465"/>
    </row>
    <row r="70" spans="1:7" ht="12">
      <c r="A70" s="466"/>
      <c r="B70" s="462"/>
      <c r="C70" s="462"/>
      <c r="D70" s="462"/>
      <c r="E70" s="463"/>
      <c r="F70" s="462"/>
      <c r="G70" s="465"/>
    </row>
    <row r="71" spans="1:7" ht="12">
      <c r="A71" s="466"/>
      <c r="B71" s="467"/>
      <c r="C71" s="462"/>
      <c r="D71" s="462"/>
      <c r="E71" s="463"/>
      <c r="F71" s="462"/>
      <c r="G71" s="465"/>
    </row>
    <row r="72" spans="1:7" ht="12">
      <c r="A72" s="466"/>
      <c r="B72" s="468"/>
      <c r="C72" s="462"/>
      <c r="D72" s="462"/>
      <c r="E72" s="462"/>
      <c r="F72" s="462"/>
      <c r="G72" s="464"/>
    </row>
    <row r="73" spans="1:7" ht="12">
      <c r="A73" s="466"/>
      <c r="B73" s="469"/>
      <c r="C73" s="462"/>
      <c r="D73" s="462"/>
      <c r="E73" s="462"/>
      <c r="F73" s="462"/>
      <c r="G73" s="470"/>
    </row>
    <row r="74" spans="1:7" ht="12">
      <c r="A74" s="466"/>
      <c r="B74" s="468"/>
      <c r="C74" s="462"/>
      <c r="D74" s="462"/>
      <c r="E74" s="462"/>
      <c r="F74" s="462"/>
      <c r="G74" s="471"/>
    </row>
    <row r="75" spans="1:7" ht="12">
      <c r="A75" s="466"/>
      <c r="B75" s="468"/>
      <c r="C75" s="462"/>
      <c r="D75" s="462"/>
      <c r="E75" s="462"/>
      <c r="F75" s="462"/>
      <c r="G75" s="471"/>
    </row>
    <row r="76" spans="1:7" ht="12">
      <c r="A76" s="466"/>
      <c r="B76" s="468"/>
      <c r="C76" s="462"/>
      <c r="D76" s="462"/>
      <c r="E76" s="462"/>
      <c r="F76" s="462"/>
      <c r="G76" s="471"/>
    </row>
    <row r="77" spans="1:7" ht="12">
      <c r="A77" s="466"/>
      <c r="B77" s="468"/>
      <c r="C77" s="462"/>
      <c r="D77" s="462"/>
      <c r="E77" s="462"/>
      <c r="F77" s="462"/>
      <c r="G77" s="471"/>
    </row>
    <row r="78" spans="1:7" ht="12">
      <c r="A78" s="466"/>
      <c r="B78" s="468"/>
      <c r="C78" s="462"/>
      <c r="D78" s="462"/>
      <c r="E78" s="462"/>
      <c r="F78" s="462"/>
      <c r="G78" s="471"/>
    </row>
    <row r="79" spans="1:7" ht="12">
      <c r="A79" s="466"/>
      <c r="B79" s="472"/>
      <c r="C79" s="462"/>
      <c r="D79" s="462"/>
      <c r="E79" s="462"/>
      <c r="F79" s="462"/>
      <c r="G79" s="471"/>
    </row>
    <row r="80" spans="1:7" ht="12">
      <c r="A80" s="466"/>
      <c r="B80" s="468"/>
      <c r="C80" s="462"/>
      <c r="D80" s="462"/>
      <c r="E80" s="462"/>
      <c r="F80" s="462"/>
      <c r="G80" s="471"/>
    </row>
    <row r="81" spans="1:7" ht="12">
      <c r="A81" s="466"/>
      <c r="B81" s="468"/>
      <c r="C81" s="462"/>
      <c r="D81" s="462"/>
      <c r="E81" s="462"/>
      <c r="F81" s="462"/>
      <c r="G81" s="471"/>
    </row>
    <row r="82" spans="1:7" ht="12">
      <c r="A82" s="466"/>
      <c r="B82" s="468"/>
      <c r="C82" s="462"/>
      <c r="D82" s="462"/>
      <c r="E82" s="462"/>
      <c r="F82" s="462"/>
      <c r="G82" s="471"/>
    </row>
    <row r="83" spans="1:7" ht="12">
      <c r="A83" s="466"/>
      <c r="B83" s="468"/>
      <c r="C83" s="462"/>
      <c r="D83" s="462"/>
      <c r="E83" s="462"/>
      <c r="F83" s="462"/>
      <c r="G83" s="471"/>
    </row>
    <row r="84" spans="1:7" ht="12">
      <c r="A84" s="466"/>
      <c r="B84" s="468"/>
      <c r="C84" s="462"/>
      <c r="D84" s="462"/>
      <c r="E84" s="462"/>
      <c r="F84" s="462"/>
      <c r="G84" s="471"/>
    </row>
    <row r="85" spans="1:7" ht="12">
      <c r="A85" s="466"/>
      <c r="B85" s="468"/>
      <c r="C85" s="462"/>
      <c r="D85" s="462"/>
      <c r="E85" s="462"/>
      <c r="F85" s="462"/>
      <c r="G85" s="471"/>
    </row>
    <row r="86" spans="1:7" ht="12">
      <c r="A86" s="466"/>
      <c r="B86" s="468"/>
      <c r="C86" s="462"/>
      <c r="D86" s="462"/>
      <c r="E86" s="462"/>
      <c r="F86" s="462"/>
      <c r="G86" s="471"/>
    </row>
    <row r="87" spans="1:7" ht="12">
      <c r="A87" s="466"/>
      <c r="B87" s="472"/>
      <c r="C87" s="462"/>
      <c r="D87" s="462"/>
      <c r="E87" s="462"/>
      <c r="F87" s="462"/>
      <c r="G87" s="471"/>
    </row>
    <row r="88" spans="1:7" ht="12">
      <c r="A88" s="466"/>
      <c r="B88" s="468"/>
      <c r="C88" s="462"/>
      <c r="D88" s="462"/>
      <c r="E88" s="462"/>
      <c r="F88" s="462"/>
      <c r="G88" s="471"/>
    </row>
    <row r="89" spans="1:7" ht="12">
      <c r="A89" s="466"/>
      <c r="B89" s="468"/>
      <c r="C89" s="462"/>
      <c r="D89" s="462"/>
      <c r="E89" s="462"/>
      <c r="F89" s="462"/>
      <c r="G89" s="471"/>
    </row>
    <row r="90" spans="1:7" ht="12">
      <c r="A90" s="466"/>
      <c r="B90" s="468"/>
      <c r="C90" s="462"/>
      <c r="D90" s="462"/>
      <c r="E90" s="462"/>
      <c r="F90" s="462"/>
      <c r="G90" s="471"/>
    </row>
    <row r="91" spans="1:7" ht="12">
      <c r="A91" s="472"/>
      <c r="B91" s="468"/>
      <c r="C91" s="462"/>
      <c r="D91" s="462"/>
      <c r="E91" s="462"/>
      <c r="F91" s="462"/>
      <c r="G91" s="471"/>
    </row>
    <row r="92" spans="1:7" ht="12">
      <c r="A92" s="472"/>
      <c r="B92" s="468"/>
      <c r="C92" s="462"/>
      <c r="D92" s="462"/>
      <c r="E92" s="462"/>
      <c r="F92" s="462"/>
      <c r="G92" s="471"/>
    </row>
    <row r="93" spans="1:7" ht="12">
      <c r="A93" s="472"/>
      <c r="B93" s="472"/>
      <c r="C93" s="462"/>
      <c r="D93" s="462"/>
      <c r="E93" s="462"/>
      <c r="F93" s="462"/>
      <c r="G93" s="471"/>
    </row>
    <row r="94" spans="1:7" ht="12">
      <c r="A94" s="472"/>
      <c r="B94" s="468"/>
      <c r="C94" s="462"/>
      <c r="D94" s="462"/>
      <c r="E94" s="462"/>
      <c r="F94" s="462"/>
      <c r="G94" s="471"/>
    </row>
    <row r="95" spans="1:7" ht="12">
      <c r="A95" s="472"/>
      <c r="B95" s="468"/>
      <c r="C95" s="462"/>
      <c r="D95" s="462"/>
      <c r="E95" s="462"/>
      <c r="F95" s="462"/>
      <c r="G95" s="471"/>
    </row>
    <row r="96" spans="1:7" ht="12">
      <c r="A96" s="472"/>
      <c r="B96" s="468"/>
      <c r="C96" s="462"/>
      <c r="D96" s="462"/>
      <c r="E96" s="462"/>
      <c r="F96" s="462"/>
      <c r="G96" s="471"/>
    </row>
    <row r="97" spans="1:7" ht="12">
      <c r="A97" s="472"/>
      <c r="B97" s="472"/>
      <c r="C97" s="462"/>
      <c r="D97" s="462"/>
      <c r="E97" s="462"/>
      <c r="F97" s="462"/>
      <c r="G97" s="471"/>
    </row>
    <row r="98" spans="1:7" ht="12">
      <c r="A98" s="472"/>
      <c r="B98" s="468"/>
      <c r="C98" s="462"/>
      <c r="D98" s="462"/>
      <c r="E98" s="462"/>
      <c r="F98" s="462"/>
      <c r="G98" s="471"/>
    </row>
    <row r="99" spans="1:7" ht="12">
      <c r="A99" s="472"/>
      <c r="B99" s="468"/>
      <c r="C99" s="462"/>
      <c r="D99" s="462"/>
      <c r="E99" s="462"/>
      <c r="F99" s="462"/>
      <c r="G99" s="471"/>
    </row>
    <row r="100" spans="1:7" ht="12">
      <c r="A100" s="472"/>
      <c r="B100" s="468"/>
      <c r="C100" s="462"/>
      <c r="D100" s="462"/>
      <c r="E100" s="462"/>
      <c r="F100" s="462"/>
      <c r="G100" s="471"/>
    </row>
    <row r="101" spans="1:7" ht="12">
      <c r="A101" s="472"/>
      <c r="B101" s="468"/>
      <c r="C101" s="462"/>
      <c r="D101" s="462"/>
      <c r="E101" s="462"/>
      <c r="F101" s="462"/>
      <c r="G101" s="471"/>
    </row>
    <row r="102" spans="1:7" ht="12">
      <c r="A102" s="472"/>
      <c r="B102" s="468"/>
      <c r="C102" s="462"/>
      <c r="D102" s="462"/>
      <c r="E102" s="462"/>
      <c r="F102" s="462"/>
      <c r="G102" s="471"/>
    </row>
    <row r="103" spans="1:7" ht="12">
      <c r="A103" s="472"/>
      <c r="B103" s="462"/>
      <c r="C103" s="462"/>
      <c r="D103" s="462"/>
      <c r="E103" s="462"/>
      <c r="F103" s="462"/>
      <c r="G103" s="471"/>
    </row>
    <row r="104" spans="1:7" ht="12">
      <c r="A104" s="472"/>
      <c r="B104" s="462"/>
      <c r="C104" s="462"/>
      <c r="D104" s="462"/>
      <c r="E104" s="462"/>
      <c r="F104" s="462"/>
      <c r="G104" s="471"/>
    </row>
    <row r="105" spans="1:7" ht="12">
      <c r="A105" s="472"/>
      <c r="B105" s="462"/>
      <c r="C105" s="462"/>
      <c r="D105" s="462"/>
      <c r="E105" s="462"/>
      <c r="F105" s="462"/>
      <c r="G105" s="471"/>
    </row>
    <row r="106" spans="1:7" ht="12">
      <c r="A106" s="472"/>
      <c r="B106" s="462"/>
      <c r="C106" s="462"/>
      <c r="D106" s="462"/>
      <c r="E106" s="462"/>
      <c r="F106" s="462"/>
      <c r="G106" s="471"/>
    </row>
    <row r="107" spans="1:7" ht="12">
      <c r="A107" s="472"/>
      <c r="B107" s="462"/>
      <c r="C107" s="462"/>
      <c r="D107" s="462"/>
      <c r="E107" s="462"/>
      <c r="F107" s="462"/>
      <c r="G107" s="471"/>
    </row>
    <row r="108" spans="1:7" ht="12">
      <c r="A108" s="472"/>
      <c r="B108" s="462"/>
      <c r="C108" s="462"/>
      <c r="D108" s="462"/>
      <c r="E108" s="463"/>
      <c r="F108" s="462"/>
      <c r="G108" s="471"/>
    </row>
    <row r="109" spans="1:7" ht="12">
      <c r="A109" s="472"/>
      <c r="B109" s="467"/>
      <c r="C109" s="473"/>
      <c r="D109" s="462"/>
      <c r="E109" s="463"/>
      <c r="F109" s="462"/>
      <c r="G109" s="470"/>
    </row>
    <row r="110" spans="1:7" ht="12">
      <c r="A110" s="472"/>
      <c r="B110" s="462"/>
      <c r="C110" s="462"/>
      <c r="D110" s="462"/>
      <c r="E110" s="463"/>
      <c r="F110" s="462"/>
      <c r="G110" s="464"/>
    </row>
  </sheetData>
  <printOptions horizontalCentered="1"/>
  <pageMargins left="1" right="1" top="0.5" bottom="0.5" header="0.5" footer="0.5"/>
  <pageSetup horizontalDpi="300" verticalDpi="300" orientation="portrait" scale="90" r:id="rId1"/>
  <rowBreaks count="1" manualBreakCount="1">
    <brk id="65" max="65535" man="1"/>
  </rowBreaks>
  <colBreaks count="1" manualBreakCount="1">
    <brk id="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0"/>
  <sheetViews>
    <sheetView view="pageBreakPreview" zoomScale="60" workbookViewId="0" topLeftCell="A1">
      <selection activeCell="H17" sqref="H17"/>
    </sheetView>
  </sheetViews>
  <sheetFormatPr defaultColWidth="9.140625" defaultRowHeight="12.75"/>
  <cols>
    <col min="1" max="1" width="5.57421875" style="384" customWidth="1"/>
    <col min="2" max="2" width="26.140625" style="383" customWidth="1"/>
    <col min="3" max="3" width="12.421875" style="383" customWidth="1"/>
    <col min="4" max="4" width="6.7109375" style="383" customWidth="1"/>
    <col min="5" max="16384" width="12.421875" style="383" customWidth="1"/>
  </cols>
  <sheetData>
    <row r="1" spans="1:3" ht="12">
      <c r="A1" s="381" t="str">
        <f>Inputs!$D$6</f>
        <v>AVISTA UTILITIES</v>
      </c>
      <c r="B1" s="382"/>
      <c r="C1" s="381"/>
    </row>
    <row r="2" spans="1:7" ht="12">
      <c r="A2" s="381" t="s">
        <v>134</v>
      </c>
      <c r="B2" s="382"/>
      <c r="C2" s="381"/>
      <c r="E2" s="381"/>
      <c r="F2" s="384" t="s">
        <v>254</v>
      </c>
      <c r="G2" s="381"/>
    </row>
    <row r="3" spans="1:7" ht="12">
      <c r="A3" s="382" t="str">
        <f>WAElec12_04!$A$4</f>
        <v>TWELVE MONTHS ENDED DECEMBER 31, 2004</v>
      </c>
      <c r="B3" s="382"/>
      <c r="C3" s="381"/>
      <c r="E3" s="381"/>
      <c r="F3" s="924" t="s">
        <v>232</v>
      </c>
      <c r="G3" s="381"/>
    </row>
    <row r="4" spans="1:7" ht="12">
      <c r="A4" s="381" t="s">
        <v>1</v>
      </c>
      <c r="B4" s="382"/>
      <c r="C4" s="381"/>
      <c r="E4" s="385"/>
      <c r="F4" s="386" t="s">
        <v>137</v>
      </c>
      <c r="G4" s="387"/>
    </row>
    <row r="5" ht="12">
      <c r="A5" s="384" t="s">
        <v>13</v>
      </c>
    </row>
    <row r="6" spans="1:8" s="384" customFormat="1" ht="12">
      <c r="A6" s="384" t="s">
        <v>138</v>
      </c>
      <c r="B6" s="388" t="s">
        <v>34</v>
      </c>
      <c r="C6" s="388"/>
      <c r="E6" s="388" t="s">
        <v>139</v>
      </c>
      <c r="F6" s="388" t="s">
        <v>140</v>
      </c>
      <c r="G6" s="388" t="s">
        <v>123</v>
      </c>
      <c r="H6" s="389" t="s">
        <v>141</v>
      </c>
    </row>
    <row r="7" ht="12">
      <c r="B7" s="390" t="s">
        <v>80</v>
      </c>
    </row>
    <row r="8" spans="1:8" s="393" customFormat="1" ht="12">
      <c r="A8" s="391">
        <v>1</v>
      </c>
      <c r="B8" s="392" t="s">
        <v>81</v>
      </c>
      <c r="E8" s="394">
        <f>F8+G8</f>
        <v>0</v>
      </c>
      <c r="F8" s="394"/>
      <c r="G8" s="394"/>
      <c r="H8" s="393" t="str">
        <f aca="true" t="shared" si="0" ref="H8:H13">IF(E8=F8+G8," ","ERROR")</f>
        <v> </v>
      </c>
    </row>
    <row r="9" spans="1:8" ht="12">
      <c r="A9" s="384">
        <v>2</v>
      </c>
      <c r="B9" s="390" t="s">
        <v>82</v>
      </c>
      <c r="E9" s="395"/>
      <c r="F9" s="395"/>
      <c r="G9" s="395"/>
      <c r="H9" s="393" t="str">
        <f t="shared" si="0"/>
        <v> </v>
      </c>
    </row>
    <row r="10" spans="1:8" ht="12">
      <c r="A10" s="384">
        <v>3</v>
      </c>
      <c r="B10" s="390" t="s">
        <v>142</v>
      </c>
      <c r="E10" s="395">
        <f>F10+G10</f>
        <v>0</v>
      </c>
      <c r="F10" s="395"/>
      <c r="G10" s="395"/>
      <c r="H10" s="393" t="str">
        <f t="shared" si="0"/>
        <v> </v>
      </c>
    </row>
    <row r="11" spans="1:8" ht="12">
      <c r="A11" s="384">
        <v>4</v>
      </c>
      <c r="B11" s="390" t="s">
        <v>143</v>
      </c>
      <c r="E11" s="396">
        <f>E8+E9+E10</f>
        <v>0</v>
      </c>
      <c r="F11" s="396">
        <f>F8+F9+F10</f>
        <v>0</v>
      </c>
      <c r="G11" s="396">
        <f>G8+G9+G10</f>
        <v>0</v>
      </c>
      <c r="H11" s="393" t="str">
        <f t="shared" si="0"/>
        <v> </v>
      </c>
    </row>
    <row r="12" spans="1:8" ht="12">
      <c r="A12" s="384">
        <v>5</v>
      </c>
      <c r="B12" s="390" t="s">
        <v>85</v>
      </c>
      <c r="E12" s="395"/>
      <c r="F12" s="395"/>
      <c r="G12" s="395"/>
      <c r="H12" s="393" t="str">
        <f t="shared" si="0"/>
        <v> </v>
      </c>
    </row>
    <row r="13" spans="1:8" ht="12">
      <c r="A13" s="384">
        <v>6</v>
      </c>
      <c r="B13" s="390" t="s">
        <v>144</v>
      </c>
      <c r="E13" s="396">
        <f>E11+E12</f>
        <v>0</v>
      </c>
      <c r="F13" s="396">
        <f>F11+F12</f>
        <v>0</v>
      </c>
      <c r="G13" s="396">
        <f>G11+G12</f>
        <v>0</v>
      </c>
      <c r="H13" s="393" t="str">
        <f t="shared" si="0"/>
        <v> </v>
      </c>
    </row>
    <row r="14" spans="5:8" ht="12">
      <c r="E14" s="397"/>
      <c r="F14" s="397"/>
      <c r="G14" s="397"/>
      <c r="H14" s="393"/>
    </row>
    <row r="15" spans="2:8" ht="12">
      <c r="B15" s="390" t="s">
        <v>87</v>
      </c>
      <c r="E15" s="397"/>
      <c r="F15" s="397"/>
      <c r="G15" s="397"/>
      <c r="H15" s="393"/>
    </row>
    <row r="16" spans="2:8" ht="12">
      <c r="B16" s="390" t="s">
        <v>88</v>
      </c>
      <c r="E16" s="397"/>
      <c r="F16" s="397"/>
      <c r="G16" s="397"/>
      <c r="H16" s="393"/>
    </row>
    <row r="17" spans="1:8" ht="12">
      <c r="A17" s="384">
        <v>7</v>
      </c>
      <c r="B17" s="390" t="s">
        <v>145</v>
      </c>
      <c r="E17" s="395">
        <f>F17+G17</f>
        <v>0</v>
      </c>
      <c r="F17" s="395">
        <v>4</v>
      </c>
      <c r="G17" s="395">
        <v>-4</v>
      </c>
      <c r="H17" s="393" t="str">
        <f>IF(E17=F17+G17," ","ERROR")</f>
        <v> </v>
      </c>
    </row>
    <row r="18" spans="1:8" ht="12">
      <c r="A18" s="384">
        <v>8</v>
      </c>
      <c r="B18" s="390" t="s">
        <v>146</v>
      </c>
      <c r="E18" s="395"/>
      <c r="F18" s="395"/>
      <c r="G18" s="395"/>
      <c r="H18" s="393" t="str">
        <f>IF(E18=F18+G18," ","ERROR")</f>
        <v> </v>
      </c>
    </row>
    <row r="19" spans="1:8" ht="12">
      <c r="A19" s="384">
        <v>9</v>
      </c>
      <c r="B19" s="390" t="s">
        <v>147</v>
      </c>
      <c r="E19" s="395"/>
      <c r="F19" s="395"/>
      <c r="G19" s="395"/>
      <c r="H19" s="393" t="str">
        <f>IF(E19=F19+G19," ","ERROR")</f>
        <v> </v>
      </c>
    </row>
    <row r="20" spans="1:8" ht="12">
      <c r="A20" s="384">
        <v>10</v>
      </c>
      <c r="B20" s="390" t="s">
        <v>148</v>
      </c>
      <c r="E20" s="395"/>
      <c r="F20" s="395"/>
      <c r="G20" s="395"/>
      <c r="H20" s="393" t="str">
        <f>IF(E20=F20+G20," ","ERROR")</f>
        <v> </v>
      </c>
    </row>
    <row r="21" spans="1:8" ht="12">
      <c r="A21" s="384">
        <v>11</v>
      </c>
      <c r="B21" s="390" t="s">
        <v>149</v>
      </c>
      <c r="E21" s="396">
        <f>E17+E18+E19+E20</f>
        <v>0</v>
      </c>
      <c r="F21" s="396">
        <f>F17+F18+F19+F20</f>
        <v>4</v>
      </c>
      <c r="G21" s="396">
        <f>G17+G18+G19+G20</f>
        <v>-4</v>
      </c>
      <c r="H21" s="393" t="str">
        <f>IF(E21=F21+G21," ","ERROR")</f>
        <v> </v>
      </c>
    </row>
    <row r="22" spans="5:8" ht="12">
      <c r="E22" s="397"/>
      <c r="F22" s="397"/>
      <c r="G22" s="397"/>
      <c r="H22" s="393"/>
    </row>
    <row r="23" spans="2:8" ht="12">
      <c r="B23" s="390" t="s">
        <v>93</v>
      </c>
      <c r="E23" s="397"/>
      <c r="F23" s="397"/>
      <c r="G23" s="397"/>
      <c r="H23" s="393"/>
    </row>
    <row r="24" spans="1:8" ht="12">
      <c r="A24" s="384">
        <v>12</v>
      </c>
      <c r="B24" s="390" t="s">
        <v>145</v>
      </c>
      <c r="E24" s="395"/>
      <c r="F24" s="395"/>
      <c r="G24" s="395"/>
      <c r="H24" s="393" t="str">
        <f>IF(E24=F24+G24," ","ERROR")</f>
        <v> </v>
      </c>
    </row>
    <row r="25" spans="1:8" ht="12">
      <c r="A25" s="384">
        <v>13</v>
      </c>
      <c r="B25" s="390" t="s">
        <v>150</v>
      </c>
      <c r="E25" s="395"/>
      <c r="F25" s="395"/>
      <c r="G25" s="395"/>
      <c r="H25" s="393" t="str">
        <f>IF(E25=F25+G25," ","ERROR")</f>
        <v> </v>
      </c>
    </row>
    <row r="26" spans="1:8" ht="12">
      <c r="A26" s="384">
        <v>14</v>
      </c>
      <c r="B26" s="390" t="s">
        <v>148</v>
      </c>
      <c r="E26" s="395">
        <f>F26+G26</f>
        <v>0</v>
      </c>
      <c r="F26" s="395"/>
      <c r="G26" s="398">
        <f>F109</f>
        <v>0</v>
      </c>
      <c r="H26" s="393" t="str">
        <f>IF(E26=F26+G26," ","ERROR")</f>
        <v> </v>
      </c>
    </row>
    <row r="27" spans="1:8" ht="12">
      <c r="A27" s="384">
        <v>15</v>
      </c>
      <c r="B27" s="390" t="s">
        <v>151</v>
      </c>
      <c r="E27" s="396">
        <f>E24+E25+E26</f>
        <v>0</v>
      </c>
      <c r="F27" s="396">
        <f>F24+F25+F26</f>
        <v>0</v>
      </c>
      <c r="G27" s="396">
        <f>G24+G25+G26</f>
        <v>0</v>
      </c>
      <c r="H27" s="393" t="str">
        <f>IF(E27=F27+G27," ","ERROR")</f>
        <v> </v>
      </c>
    </row>
    <row r="28" spans="5:8" ht="12">
      <c r="E28" s="397"/>
      <c r="F28" s="397"/>
      <c r="G28" s="397"/>
      <c r="H28" s="393"/>
    </row>
    <row r="29" spans="1:8" ht="12">
      <c r="A29" s="384">
        <v>16</v>
      </c>
      <c r="B29" s="390" t="s">
        <v>96</v>
      </c>
      <c r="E29" s="395"/>
      <c r="F29" s="395"/>
      <c r="G29" s="395"/>
      <c r="H29" s="393" t="str">
        <f>IF(E29=F29+G29," ","ERROR")</f>
        <v> </v>
      </c>
    </row>
    <row r="30" spans="1:8" ht="12">
      <c r="A30" s="384">
        <v>17</v>
      </c>
      <c r="B30" s="390" t="s">
        <v>97</v>
      </c>
      <c r="E30" s="395"/>
      <c r="F30" s="395"/>
      <c r="G30" s="395"/>
      <c r="H30" s="393" t="str">
        <f>IF(E30=F30+G30," ","ERROR")</f>
        <v> </v>
      </c>
    </row>
    <row r="31" spans="1:8" ht="12">
      <c r="A31" s="384">
        <v>18</v>
      </c>
      <c r="B31" s="390" t="s">
        <v>152</v>
      </c>
      <c r="E31" s="395"/>
      <c r="F31" s="395"/>
      <c r="G31" s="395"/>
      <c r="H31" s="393" t="str">
        <f>IF(E31=F31+G31," ","ERROR")</f>
        <v> </v>
      </c>
    </row>
    <row r="32" spans="5:8" ht="12">
      <c r="E32" s="397"/>
      <c r="F32" s="397"/>
      <c r="G32" s="397"/>
      <c r="H32" s="393"/>
    </row>
    <row r="33" spans="2:8" ht="12">
      <c r="B33" s="390" t="s">
        <v>99</v>
      </c>
      <c r="E33" s="397"/>
      <c r="F33" s="397"/>
      <c r="G33" s="397"/>
      <c r="H33" s="393"/>
    </row>
    <row r="34" spans="1:8" ht="12">
      <c r="A34" s="384">
        <v>19</v>
      </c>
      <c r="B34" s="390" t="s">
        <v>145</v>
      </c>
      <c r="E34" s="395"/>
      <c r="F34" s="397"/>
      <c r="G34" s="397"/>
      <c r="H34" s="393" t="str">
        <f>IF(E34=F34+G34," ","ERROR")</f>
        <v> </v>
      </c>
    </row>
    <row r="35" spans="1:8" ht="12">
      <c r="A35" s="384">
        <v>20</v>
      </c>
      <c r="B35" s="390" t="s">
        <v>150</v>
      </c>
      <c r="E35" s="395"/>
      <c r="F35" s="395"/>
      <c r="G35" s="395"/>
      <c r="H35" s="393" t="str">
        <f>IF(E35=F35+G35," ","ERROR")</f>
        <v> </v>
      </c>
    </row>
    <row r="36" spans="1:8" ht="12">
      <c r="A36" s="384">
        <v>21</v>
      </c>
      <c r="B36" s="390" t="s">
        <v>148</v>
      </c>
      <c r="E36" s="395"/>
      <c r="F36" s="395"/>
      <c r="G36" s="395"/>
      <c r="H36" s="393" t="str">
        <f>IF(E36=F36+G36," ","ERROR")</f>
        <v> </v>
      </c>
    </row>
    <row r="37" spans="1:8" ht="12">
      <c r="A37" s="384">
        <v>22</v>
      </c>
      <c r="B37" s="390" t="s">
        <v>153</v>
      </c>
      <c r="E37" s="399">
        <f>E34+E35+E36</f>
        <v>0</v>
      </c>
      <c r="F37" s="399">
        <f>F34+F35+F36</f>
        <v>0</v>
      </c>
      <c r="G37" s="399">
        <f>G34+G35+G36</f>
        <v>0</v>
      </c>
      <c r="H37" s="393" t="str">
        <f>IF(E37=F37+G37," ","ERROR")</f>
        <v> </v>
      </c>
    </row>
    <row r="38" spans="1:8" ht="12">
      <c r="A38" s="384">
        <v>23</v>
      </c>
      <c r="B38" s="390" t="s">
        <v>101</v>
      </c>
      <c r="E38" s="400">
        <f>E21+E27+E29+E30+E31+E37</f>
        <v>0</v>
      </c>
      <c r="F38" s="400">
        <f>F21+F27+F29+F30+F31+F37</f>
        <v>4</v>
      </c>
      <c r="G38" s="400">
        <f>G21+G27+G29+G30+G31+G37</f>
        <v>-4</v>
      </c>
      <c r="H38" s="393" t="str">
        <f>IF(E38=F38+G38," ","ERROR")</f>
        <v> </v>
      </c>
    </row>
    <row r="39" spans="5:8" ht="12">
      <c r="E39" s="397"/>
      <c r="F39" s="397"/>
      <c r="G39" s="397"/>
      <c r="H39" s="393"/>
    </row>
    <row r="40" spans="1:8" ht="12">
      <c r="A40" s="384">
        <v>24</v>
      </c>
      <c r="B40" s="390" t="s">
        <v>154</v>
      </c>
      <c r="E40" s="397">
        <f>E13-E38</f>
        <v>0</v>
      </c>
      <c r="F40" s="397">
        <f>F13-F38</f>
        <v>-4</v>
      </c>
      <c r="G40" s="397">
        <f>G13-G38</f>
        <v>4</v>
      </c>
      <c r="H40" s="393" t="str">
        <f>IF(E40=F40+G40," ","ERROR")</f>
        <v> </v>
      </c>
    </row>
    <row r="41" spans="2:8" ht="12">
      <c r="B41" s="390"/>
      <c r="E41" s="397"/>
      <c r="F41" s="397"/>
      <c r="G41" s="397"/>
      <c r="H41" s="393"/>
    </row>
    <row r="42" spans="2:8" ht="12">
      <c r="B42" s="390" t="s">
        <v>155</v>
      </c>
      <c r="E42" s="397"/>
      <c r="F42" s="397"/>
      <c r="G42" s="397"/>
      <c r="H42" s="393"/>
    </row>
    <row r="43" spans="1:8" ht="12">
      <c r="A43" s="384">
        <v>25</v>
      </c>
      <c r="B43" s="390" t="s">
        <v>156</v>
      </c>
      <c r="D43" s="401">
        <v>0.35</v>
      </c>
      <c r="E43" s="395">
        <f>F43+G43</f>
        <v>0</v>
      </c>
      <c r="F43" s="395">
        <f>ROUND(F40*D43,0)</f>
        <v>-1</v>
      </c>
      <c r="G43" s="395">
        <f>ROUND(G40*D43,0)</f>
        <v>1</v>
      </c>
      <c r="H43" s="393" t="str">
        <f>IF(E43=F43+G43," ","ERROR")</f>
        <v> </v>
      </c>
    </row>
    <row r="44" spans="1:8" ht="12">
      <c r="A44" s="384">
        <v>26</v>
      </c>
      <c r="B44" s="390" t="s">
        <v>157</v>
      </c>
      <c r="E44" s="395"/>
      <c r="F44" s="395"/>
      <c r="G44" s="395"/>
      <c r="H44" s="393" t="str">
        <f>IF(E44=F44+G44," ","ERROR")</f>
        <v> </v>
      </c>
    </row>
    <row r="45" spans="1:8" ht="12.75">
      <c r="A45"/>
      <c r="B45"/>
      <c r="C45"/>
      <c r="D45"/>
      <c r="E45" s="943"/>
      <c r="F45" s="943"/>
      <c r="G45" s="943"/>
      <c r="H45" s="393" t="str">
        <f>IF(E45=F45+G45," ","ERROR")</f>
        <v> </v>
      </c>
    </row>
    <row r="46" spans="1:8" ht="12">
      <c r="A46" s="278"/>
      <c r="B46" s="281"/>
      <c r="C46" s="275"/>
      <c r="D46" s="275"/>
      <c r="E46" s="288"/>
      <c r="F46" s="288"/>
      <c r="G46" s="288"/>
      <c r="H46" s="393"/>
    </row>
    <row r="47" spans="1:8" s="393" customFormat="1" ht="12">
      <c r="A47" s="282">
        <v>27</v>
      </c>
      <c r="B47" s="283" t="s">
        <v>108</v>
      </c>
      <c r="C47" s="284"/>
      <c r="D47" s="284"/>
      <c r="E47" s="292">
        <f>E40-SUM(E43:E44)</f>
        <v>0</v>
      </c>
      <c r="F47" s="292">
        <f>F40-SUM(F43:F44)</f>
        <v>-3</v>
      </c>
      <c r="G47" s="292">
        <f>G40-SUM(G43:G44)</f>
        <v>3</v>
      </c>
      <c r="H47" s="393" t="str">
        <f>IF(E47=F47+G47," ","ERROR")</f>
        <v> </v>
      </c>
    </row>
    <row r="48" spans="1:8" ht="12">
      <c r="A48" s="278"/>
      <c r="H48" s="393"/>
    </row>
    <row r="49" spans="1:8" ht="12">
      <c r="A49" s="278"/>
      <c r="B49" s="390" t="s">
        <v>109</v>
      </c>
      <c r="H49" s="393"/>
    </row>
    <row r="50" spans="1:8" ht="12">
      <c r="A50" s="278"/>
      <c r="B50" s="390" t="s">
        <v>110</v>
      </c>
      <c r="H50" s="393"/>
    </row>
    <row r="51" spans="1:8" s="393" customFormat="1" ht="12">
      <c r="A51" s="282">
        <v>28</v>
      </c>
      <c r="B51" s="392" t="s">
        <v>159</v>
      </c>
      <c r="E51" s="394"/>
      <c r="F51" s="394"/>
      <c r="G51" s="394"/>
      <c r="H51" s="393" t="str">
        <f aca="true" t="shared" si="1" ref="H51:H61">IF(E51=F51+G51," ","ERROR")</f>
        <v> </v>
      </c>
    </row>
    <row r="52" spans="1:8" ht="12">
      <c r="A52" s="278">
        <v>29</v>
      </c>
      <c r="B52" s="390" t="s">
        <v>160</v>
      </c>
      <c r="E52" s="395"/>
      <c r="F52" s="395"/>
      <c r="G52" s="395"/>
      <c r="H52" s="393" t="str">
        <f t="shared" si="1"/>
        <v> </v>
      </c>
    </row>
    <row r="53" spans="1:8" ht="12">
      <c r="A53" s="278">
        <v>30</v>
      </c>
      <c r="B53" s="390" t="s">
        <v>161</v>
      </c>
      <c r="E53" s="395"/>
      <c r="F53" s="395"/>
      <c r="G53" s="395"/>
      <c r="H53" s="393" t="str">
        <f t="shared" si="1"/>
        <v> </v>
      </c>
    </row>
    <row r="54" spans="1:8" ht="12">
      <c r="A54" s="278">
        <v>31</v>
      </c>
      <c r="B54" s="390" t="s">
        <v>162</v>
      </c>
      <c r="E54" s="395"/>
      <c r="F54" s="395"/>
      <c r="G54" s="395"/>
      <c r="H54" s="393" t="str">
        <f t="shared" si="1"/>
        <v> </v>
      </c>
    </row>
    <row r="55" spans="1:8" ht="12">
      <c r="A55" s="278">
        <v>32</v>
      </c>
      <c r="B55" s="390" t="s">
        <v>163</v>
      </c>
      <c r="E55" s="402"/>
      <c r="F55" s="402"/>
      <c r="G55" s="402"/>
      <c r="H55" s="393" t="str">
        <f t="shared" si="1"/>
        <v> </v>
      </c>
    </row>
    <row r="56" spans="1:8" ht="12">
      <c r="A56" s="278">
        <v>33</v>
      </c>
      <c r="B56" s="390" t="s">
        <v>164</v>
      </c>
      <c r="E56" s="397">
        <f>E51+E52+E53+E54+E55</f>
        <v>0</v>
      </c>
      <c r="F56" s="397">
        <f>F51+F52+F53+F54+F55</f>
        <v>0</v>
      </c>
      <c r="G56" s="397">
        <f>G51+G52+G53+G54+G55</f>
        <v>0</v>
      </c>
      <c r="H56" s="393" t="str">
        <f t="shared" si="1"/>
        <v> </v>
      </c>
    </row>
    <row r="57" spans="1:8" ht="12">
      <c r="A57" s="278">
        <v>34</v>
      </c>
      <c r="B57" s="390" t="s">
        <v>116</v>
      </c>
      <c r="E57" s="395"/>
      <c r="F57" s="395"/>
      <c r="G57" s="395"/>
      <c r="H57" s="393" t="str">
        <f t="shared" si="1"/>
        <v> </v>
      </c>
    </row>
    <row r="58" spans="1:8" ht="12">
      <c r="A58" s="278">
        <v>35</v>
      </c>
      <c r="B58" s="390" t="s">
        <v>117</v>
      </c>
      <c r="E58" s="402"/>
      <c r="F58" s="402"/>
      <c r="G58" s="402"/>
      <c r="H58" s="393" t="str">
        <f t="shared" si="1"/>
        <v> </v>
      </c>
    </row>
    <row r="59" spans="1:8" ht="12">
      <c r="A59" s="278">
        <v>36</v>
      </c>
      <c r="B59" s="390" t="s">
        <v>165</v>
      </c>
      <c r="E59" s="397">
        <f>E57+E58</f>
        <v>0</v>
      </c>
      <c r="F59" s="397">
        <f>F57+F58</f>
        <v>0</v>
      </c>
      <c r="G59" s="397">
        <f>G57+G58</f>
        <v>0</v>
      </c>
      <c r="H59" s="393" t="str">
        <f t="shared" si="1"/>
        <v> </v>
      </c>
    </row>
    <row r="60" spans="1:8" ht="12">
      <c r="A60" s="278">
        <v>37</v>
      </c>
      <c r="B60" s="390" t="s">
        <v>119</v>
      </c>
      <c r="E60" s="395"/>
      <c r="F60" s="395"/>
      <c r="G60" s="395"/>
      <c r="H60" s="393" t="str">
        <f t="shared" si="1"/>
        <v> </v>
      </c>
    </row>
    <row r="61" spans="1:8" ht="12">
      <c r="A61" s="278">
        <v>38</v>
      </c>
      <c r="B61" s="390" t="s">
        <v>120</v>
      </c>
      <c r="E61" s="402"/>
      <c r="F61" s="402"/>
      <c r="G61" s="402"/>
      <c r="H61" s="393" t="str">
        <f t="shared" si="1"/>
        <v> </v>
      </c>
    </row>
    <row r="62" spans="1:8" ht="9" customHeight="1">
      <c r="A62" s="278"/>
      <c r="H62" s="393"/>
    </row>
    <row r="63" spans="1:8" s="393" customFormat="1" ht="12.75" thickBot="1">
      <c r="A63" s="282">
        <v>39</v>
      </c>
      <c r="B63" s="392" t="s">
        <v>121</v>
      </c>
      <c r="E63" s="403">
        <f>E56-E59+E60+E61</f>
        <v>0</v>
      </c>
      <c r="F63" s="403">
        <f>F56-F59+F60+F61</f>
        <v>0</v>
      </c>
      <c r="G63" s="403">
        <f>G56-G59+G60+G61</f>
        <v>0</v>
      </c>
      <c r="H63" s="393" t="str">
        <f>IF(E63=F63+G63," ","ERROR")</f>
        <v> </v>
      </c>
    </row>
    <row r="64" ht="12.75" thickTop="1"/>
    <row r="65" spans="1:8" ht="12">
      <c r="A65" s="382" t="str">
        <f>Inputs!$D$6</f>
        <v>AVISTA UTILITIES</v>
      </c>
      <c r="B65" s="382"/>
      <c r="C65" s="382"/>
      <c r="D65" s="404"/>
      <c r="E65" s="405"/>
      <c r="F65" s="404"/>
      <c r="G65" s="406"/>
      <c r="H65" s="405"/>
    </row>
    <row r="66" spans="1:8" ht="12">
      <c r="A66" s="382" t="s">
        <v>218</v>
      </c>
      <c r="B66" s="382"/>
      <c r="C66" s="382"/>
      <c r="D66" s="404"/>
      <c r="E66" s="405"/>
      <c r="F66" s="404"/>
      <c r="G66" s="406"/>
      <c r="H66" s="405"/>
    </row>
    <row r="67" spans="1:8" ht="12">
      <c r="A67" s="382" t="str">
        <f>A3</f>
        <v>TWELVE MONTHS ENDED DECEMBER 31, 2004</v>
      </c>
      <c r="B67" s="382"/>
      <c r="C67" s="382"/>
      <c r="D67" s="404"/>
      <c r="E67" s="405"/>
      <c r="F67" s="407" t="str">
        <f>F2</f>
        <v>HYDRO RELICENSING</v>
      </c>
      <c r="G67" s="404"/>
      <c r="H67" s="405"/>
    </row>
    <row r="68" spans="1:8" ht="12">
      <c r="A68" s="382" t="s">
        <v>219</v>
      </c>
      <c r="B68" s="382"/>
      <c r="C68" s="382"/>
      <c r="D68" s="404"/>
      <c r="E68" s="405"/>
      <c r="F68" s="407" t="str">
        <f>F3</f>
        <v>ADJUSTMENT</v>
      </c>
      <c r="G68" s="404"/>
      <c r="H68" s="405"/>
    </row>
    <row r="69" spans="2:8" ht="12">
      <c r="B69" s="404"/>
      <c r="C69" s="404"/>
      <c r="D69" s="404"/>
      <c r="E69" s="408"/>
      <c r="F69" s="409" t="str">
        <f>F4</f>
        <v>ELECTRIC</v>
      </c>
      <c r="G69" s="404"/>
      <c r="H69" s="410"/>
    </row>
    <row r="70" spans="2:8" ht="12">
      <c r="B70" s="404"/>
      <c r="C70" s="404"/>
      <c r="D70" s="404"/>
      <c r="E70" s="405"/>
      <c r="F70" s="407"/>
      <c r="G70" s="411"/>
      <c r="H70" s="405"/>
    </row>
    <row r="71" spans="2:8" ht="12">
      <c r="B71" s="412" t="s">
        <v>128</v>
      </c>
      <c r="C71" s="413"/>
      <c r="D71" s="404"/>
      <c r="E71" s="405"/>
      <c r="F71" s="409" t="s">
        <v>123</v>
      </c>
      <c r="G71" s="404"/>
      <c r="H71" s="405"/>
    </row>
    <row r="72" spans="2:8" ht="12">
      <c r="B72" s="390" t="s">
        <v>80</v>
      </c>
      <c r="C72" s="404"/>
      <c r="D72" s="404"/>
      <c r="E72" s="404"/>
      <c r="F72" s="406"/>
      <c r="G72" s="404"/>
      <c r="H72" s="404"/>
    </row>
    <row r="73" spans="2:8" ht="12">
      <c r="B73" s="392" t="s">
        <v>81</v>
      </c>
      <c r="C73" s="404"/>
      <c r="D73" s="404"/>
      <c r="E73" s="404"/>
      <c r="F73" s="414">
        <f>G8</f>
        <v>0</v>
      </c>
      <c r="G73" s="404"/>
      <c r="H73" s="404"/>
    </row>
    <row r="74" spans="2:8" ht="12">
      <c r="B74" s="390" t="s">
        <v>82</v>
      </c>
      <c r="C74" s="404"/>
      <c r="D74" s="404"/>
      <c r="E74" s="404"/>
      <c r="F74" s="397">
        <f>G9</f>
        <v>0</v>
      </c>
      <c r="G74" s="404"/>
      <c r="H74" s="404"/>
    </row>
    <row r="75" spans="2:8" ht="12">
      <c r="B75" s="390" t="s">
        <v>142</v>
      </c>
      <c r="C75" s="404"/>
      <c r="D75" s="404"/>
      <c r="E75" s="404"/>
      <c r="F75" s="400">
        <f>G10</f>
        <v>0</v>
      </c>
      <c r="G75" s="404"/>
      <c r="H75" s="404"/>
    </row>
    <row r="76" spans="2:8" ht="12">
      <c r="B76" s="390" t="s">
        <v>143</v>
      </c>
      <c r="C76" s="404"/>
      <c r="D76" s="404"/>
      <c r="E76" s="404"/>
      <c r="F76" s="397">
        <f>SUM(F73:F75)</f>
        <v>0</v>
      </c>
      <c r="G76" s="404"/>
      <c r="H76" s="404"/>
    </row>
    <row r="77" spans="2:8" ht="12">
      <c r="B77" s="390" t="s">
        <v>85</v>
      </c>
      <c r="C77" s="404"/>
      <c r="D77" s="404"/>
      <c r="E77" s="404"/>
      <c r="F77" s="400">
        <f>G12</f>
        <v>0</v>
      </c>
      <c r="G77" s="404"/>
      <c r="H77" s="404"/>
    </row>
    <row r="78" spans="2:8" ht="12">
      <c r="B78" s="390" t="s">
        <v>144</v>
      </c>
      <c r="C78" s="404"/>
      <c r="D78" s="404"/>
      <c r="E78" s="404"/>
      <c r="F78" s="397">
        <f>F76+F77</f>
        <v>0</v>
      </c>
      <c r="G78" s="404"/>
      <c r="H78" s="404"/>
    </row>
    <row r="79" spans="3:8" ht="12">
      <c r="C79" s="404"/>
      <c r="D79" s="404"/>
      <c r="E79" s="404"/>
      <c r="F79" s="397"/>
      <c r="G79" s="404"/>
      <c r="H79" s="404"/>
    </row>
    <row r="80" spans="2:8" ht="12">
      <c r="B80" s="390" t="s">
        <v>87</v>
      </c>
      <c r="C80" s="404"/>
      <c r="D80" s="404"/>
      <c r="E80" s="404"/>
      <c r="F80" s="397"/>
      <c r="G80" s="404"/>
      <c r="H80" s="404"/>
    </row>
    <row r="81" spans="2:8" ht="12">
      <c r="B81" s="390" t="s">
        <v>88</v>
      </c>
      <c r="C81" s="404"/>
      <c r="D81" s="404"/>
      <c r="E81" s="404"/>
      <c r="F81" s="397"/>
      <c r="G81" s="404"/>
      <c r="H81" s="404"/>
    </row>
    <row r="82" spans="2:8" ht="12">
      <c r="B82" s="390" t="s">
        <v>145</v>
      </c>
      <c r="C82" s="404"/>
      <c r="D82" s="404"/>
      <c r="E82" s="404"/>
      <c r="F82" s="397">
        <f>G17</f>
        <v>-4</v>
      </c>
      <c r="G82" s="404"/>
      <c r="H82" s="404"/>
    </row>
    <row r="83" spans="2:8" ht="12">
      <c r="B83" s="390" t="s">
        <v>146</v>
      </c>
      <c r="C83" s="404"/>
      <c r="D83" s="404"/>
      <c r="E83" s="404"/>
      <c r="F83" s="397">
        <f>G18</f>
        <v>0</v>
      </c>
      <c r="G83" s="404"/>
      <c r="H83" s="404"/>
    </row>
    <row r="84" spans="2:8" ht="12">
      <c r="B84" s="390" t="s">
        <v>147</v>
      </c>
      <c r="C84" s="404"/>
      <c r="D84" s="404"/>
      <c r="E84" s="404"/>
      <c r="F84" s="397">
        <f>G19</f>
        <v>0</v>
      </c>
      <c r="G84" s="404"/>
      <c r="H84" s="404"/>
    </row>
    <row r="85" spans="2:8" ht="12">
      <c r="B85" s="390" t="s">
        <v>148</v>
      </c>
      <c r="C85" s="404"/>
      <c r="D85" s="404"/>
      <c r="E85" s="404"/>
      <c r="F85" s="400">
        <f>G20</f>
        <v>0</v>
      </c>
      <c r="G85" s="404"/>
      <c r="H85" s="404"/>
    </row>
    <row r="86" spans="2:8" ht="12">
      <c r="B86" s="390" t="s">
        <v>149</v>
      </c>
      <c r="C86" s="404"/>
      <c r="D86" s="404"/>
      <c r="E86" s="404"/>
      <c r="F86" s="397">
        <f>SUM(F82:F85)</f>
        <v>-4</v>
      </c>
      <c r="G86" s="404"/>
      <c r="H86" s="404"/>
    </row>
    <row r="87" spans="3:8" ht="12">
      <c r="C87" s="404"/>
      <c r="D87" s="404"/>
      <c r="E87" s="404"/>
      <c r="F87" s="397"/>
      <c r="G87" s="404"/>
      <c r="H87" s="404"/>
    </row>
    <row r="88" spans="2:8" ht="12">
      <c r="B88" s="390" t="s">
        <v>93</v>
      </c>
      <c r="C88" s="404"/>
      <c r="D88" s="404"/>
      <c r="E88" s="404"/>
      <c r="F88" s="397"/>
      <c r="G88" s="404"/>
      <c r="H88" s="404"/>
    </row>
    <row r="89" spans="2:8" ht="12">
      <c r="B89" s="390" t="s">
        <v>145</v>
      </c>
      <c r="C89" s="404"/>
      <c r="D89" s="404"/>
      <c r="E89" s="404"/>
      <c r="F89" s="397">
        <f>G24</f>
        <v>0</v>
      </c>
      <c r="G89" s="404"/>
      <c r="H89" s="404"/>
    </row>
    <row r="90" spans="2:8" ht="12">
      <c r="B90" s="390" t="s">
        <v>150</v>
      </c>
      <c r="C90" s="404"/>
      <c r="D90" s="404"/>
      <c r="E90" s="404"/>
      <c r="F90" s="397">
        <f>G25</f>
        <v>0</v>
      </c>
      <c r="G90" s="404"/>
      <c r="H90" s="404"/>
    </row>
    <row r="91" spans="1:8" ht="12">
      <c r="A91" s="383"/>
      <c r="B91" s="390" t="s">
        <v>148</v>
      </c>
      <c r="C91" s="404"/>
      <c r="D91" s="404"/>
      <c r="E91" s="404"/>
      <c r="F91" s="397"/>
      <c r="G91" s="404"/>
      <c r="H91" s="404"/>
    </row>
    <row r="92" spans="1:8" ht="12">
      <c r="A92" s="383"/>
      <c r="B92" s="390" t="s">
        <v>151</v>
      </c>
      <c r="C92" s="404"/>
      <c r="D92" s="404"/>
      <c r="E92" s="404"/>
      <c r="F92" s="396">
        <f>SUM(F89:F91)</f>
        <v>0</v>
      </c>
      <c r="G92" s="404"/>
      <c r="H92" s="404"/>
    </row>
    <row r="93" spans="1:8" ht="12">
      <c r="A93" s="383"/>
      <c r="C93" s="404"/>
      <c r="D93" s="404"/>
      <c r="E93" s="404"/>
      <c r="F93" s="397"/>
      <c r="G93" s="404"/>
      <c r="H93" s="404"/>
    </row>
    <row r="94" spans="1:8" ht="12">
      <c r="A94" s="383"/>
      <c r="B94" s="390" t="s">
        <v>96</v>
      </c>
      <c r="C94" s="404"/>
      <c r="D94" s="404"/>
      <c r="E94" s="404"/>
      <c r="F94" s="397">
        <f>G29</f>
        <v>0</v>
      </c>
      <c r="G94" s="404"/>
      <c r="H94" s="404"/>
    </row>
    <row r="95" spans="1:8" ht="12">
      <c r="A95" s="383"/>
      <c r="B95" s="390" t="s">
        <v>97</v>
      </c>
      <c r="C95" s="404"/>
      <c r="D95" s="404"/>
      <c r="E95" s="404"/>
      <c r="F95" s="397">
        <f>G30</f>
        <v>0</v>
      </c>
      <c r="G95" s="404"/>
      <c r="H95" s="404"/>
    </row>
    <row r="96" spans="1:8" ht="12">
      <c r="A96" s="383"/>
      <c r="B96" s="390" t="s">
        <v>152</v>
      </c>
      <c r="C96" s="404"/>
      <c r="D96" s="404"/>
      <c r="E96" s="404"/>
      <c r="F96" s="397">
        <f>G31</f>
        <v>0</v>
      </c>
      <c r="G96" s="404"/>
      <c r="H96" s="404"/>
    </row>
    <row r="97" spans="1:8" ht="12">
      <c r="A97" s="383"/>
      <c r="C97" s="404"/>
      <c r="D97" s="404"/>
      <c r="E97" s="404"/>
      <c r="F97" s="397"/>
      <c r="G97" s="404"/>
      <c r="H97" s="404"/>
    </row>
    <row r="98" spans="1:8" ht="12">
      <c r="A98" s="383"/>
      <c r="B98" s="390" t="s">
        <v>99</v>
      </c>
      <c r="C98" s="404"/>
      <c r="D98" s="404"/>
      <c r="E98" s="404"/>
      <c r="F98" s="397"/>
      <c r="G98" s="404"/>
      <c r="H98" s="404"/>
    </row>
    <row r="99" spans="1:8" ht="12">
      <c r="A99" s="383"/>
      <c r="B99" s="390" t="s">
        <v>145</v>
      </c>
      <c r="C99" s="404"/>
      <c r="D99" s="404"/>
      <c r="E99" s="404"/>
      <c r="F99" s="397">
        <f>G34</f>
        <v>0</v>
      </c>
      <c r="G99" s="404"/>
      <c r="H99" s="404"/>
    </row>
    <row r="100" spans="1:8" ht="12">
      <c r="A100" s="383"/>
      <c r="B100" s="390" t="s">
        <v>150</v>
      </c>
      <c r="C100" s="404"/>
      <c r="D100" s="404"/>
      <c r="E100" s="404"/>
      <c r="F100" s="397">
        <f>G35</f>
        <v>0</v>
      </c>
      <c r="G100" s="404"/>
      <c r="H100" s="404"/>
    </row>
    <row r="101" spans="1:8" ht="12">
      <c r="A101" s="383"/>
      <c r="B101" s="390" t="s">
        <v>148</v>
      </c>
      <c r="C101" s="404"/>
      <c r="D101" s="404"/>
      <c r="E101" s="404"/>
      <c r="F101" s="400">
        <f>G36</f>
        <v>0</v>
      </c>
      <c r="G101" s="404"/>
      <c r="H101" s="404"/>
    </row>
    <row r="102" spans="1:8" ht="12">
      <c r="A102" s="383"/>
      <c r="B102" s="390" t="s">
        <v>153</v>
      </c>
      <c r="C102" s="404"/>
      <c r="D102" s="404"/>
      <c r="E102" s="404"/>
      <c r="F102" s="397">
        <f>F99+F100+F101</f>
        <v>0</v>
      </c>
      <c r="G102" s="404"/>
      <c r="H102" s="404"/>
    </row>
    <row r="103" spans="1:8" ht="12">
      <c r="A103" s="383"/>
      <c r="B103" s="404"/>
      <c r="C103" s="404"/>
      <c r="D103" s="404"/>
      <c r="E103" s="404"/>
      <c r="F103" s="397"/>
      <c r="G103" s="404"/>
      <c r="H103" s="404"/>
    </row>
    <row r="104" spans="1:8" ht="12">
      <c r="A104" s="383"/>
      <c r="B104" s="404" t="s">
        <v>101</v>
      </c>
      <c r="C104" s="404"/>
      <c r="D104" s="404"/>
      <c r="E104" s="404"/>
      <c r="F104" s="399">
        <f>F86+F92+F94+F95+F96+F102</f>
        <v>-4</v>
      </c>
      <c r="G104" s="404"/>
      <c r="H104" s="404"/>
    </row>
    <row r="105" spans="1:8" ht="12">
      <c r="A105" s="383"/>
      <c r="B105" s="404"/>
      <c r="C105" s="404"/>
      <c r="D105" s="404"/>
      <c r="E105" s="404"/>
      <c r="F105" s="397"/>
      <c r="G105" s="404"/>
      <c r="H105" s="404"/>
    </row>
    <row r="106" spans="1:8" ht="12">
      <c r="A106" s="383"/>
      <c r="B106" s="404" t="s">
        <v>220</v>
      </c>
      <c r="C106" s="404"/>
      <c r="D106" s="404"/>
      <c r="E106" s="404"/>
      <c r="F106" s="400">
        <f>F78-F104</f>
        <v>4</v>
      </c>
      <c r="G106" s="404"/>
      <c r="H106" s="404"/>
    </row>
    <row r="107" spans="1:8" ht="12">
      <c r="A107" s="383"/>
      <c r="B107" s="404"/>
      <c r="C107" s="404"/>
      <c r="D107" s="404"/>
      <c r="E107" s="404"/>
      <c r="F107" s="397"/>
      <c r="G107" s="404"/>
      <c r="H107" s="404"/>
    </row>
    <row r="108" spans="1:8" ht="12">
      <c r="A108" s="383"/>
      <c r="B108" s="404" t="s">
        <v>221</v>
      </c>
      <c r="C108" s="404"/>
      <c r="D108" s="404"/>
      <c r="E108" s="405"/>
      <c r="F108" s="397"/>
      <c r="G108" s="404"/>
      <c r="H108" s="404"/>
    </row>
    <row r="109" spans="1:8" ht="12.75" thickBot="1">
      <c r="A109" s="383"/>
      <c r="B109" s="415" t="s">
        <v>222</v>
      </c>
      <c r="C109" s="380">
        <f>Inputs!$D$4</f>
        <v>0.01065</v>
      </c>
      <c r="D109" s="404"/>
      <c r="E109" s="405"/>
      <c r="F109" s="416">
        <f>ROUND(F106*C109,0)</f>
        <v>0</v>
      </c>
      <c r="G109" s="404"/>
      <c r="H109" s="404"/>
    </row>
    <row r="110" spans="1:8" ht="12.75" thickTop="1">
      <c r="A110" s="383"/>
      <c r="B110" s="404"/>
      <c r="C110" s="404"/>
      <c r="D110" s="404"/>
      <c r="E110" s="405"/>
      <c r="F110" s="404"/>
      <c r="G110" s="406"/>
      <c r="H110" s="404"/>
    </row>
  </sheetData>
  <printOptions horizontalCentered="1"/>
  <pageMargins left="1" right="1" top="0.5" bottom="0.5" header="0.5" footer="0.5"/>
  <pageSetup horizontalDpi="300" verticalDpi="300" orientation="portrait" scale="90" r:id="rId1"/>
  <rowBreaks count="1" manualBreakCount="1">
    <brk id="64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25">
      <selection activeCell="F92" sqref="F92"/>
    </sheetView>
  </sheetViews>
  <sheetFormatPr defaultColWidth="9.140625" defaultRowHeight="12.75"/>
  <cols>
    <col min="1" max="1" width="5.57421875" style="511" customWidth="1"/>
    <col min="2" max="2" width="26.140625" style="510" customWidth="1"/>
    <col min="3" max="3" width="12.421875" style="510" customWidth="1"/>
    <col min="4" max="4" width="6.7109375" style="510" customWidth="1"/>
    <col min="5" max="16384" width="12.421875" style="510" customWidth="1"/>
  </cols>
  <sheetData>
    <row r="1" spans="1:3" ht="12">
      <c r="A1" s="508" t="str">
        <f>Inputs!$D$6</f>
        <v>AVISTA UTILITIES</v>
      </c>
      <c r="B1" s="509"/>
      <c r="C1" s="508"/>
    </row>
    <row r="2" spans="1:7" ht="12">
      <c r="A2" s="508" t="s">
        <v>134</v>
      </c>
      <c r="B2" s="509"/>
      <c r="C2" s="508"/>
      <c r="E2" s="508"/>
      <c r="F2" s="511" t="s">
        <v>233</v>
      </c>
      <c r="G2" s="508"/>
    </row>
    <row r="3" spans="1:7" ht="12">
      <c r="A3" s="509" t="str">
        <f>WAElec12_04!$A$4</f>
        <v>TWELVE MONTHS ENDED DECEMBER 31, 2004</v>
      </c>
      <c r="B3" s="509"/>
      <c r="C3" s="508"/>
      <c r="E3" s="508"/>
      <c r="F3" s="511" t="s">
        <v>234</v>
      </c>
      <c r="G3" s="508"/>
    </row>
    <row r="4" spans="1:7" ht="12">
      <c r="A4" s="508" t="s">
        <v>1</v>
      </c>
      <c r="B4" s="509"/>
      <c r="C4" s="508"/>
      <c r="E4" s="512"/>
      <c r="F4" s="513" t="s">
        <v>137</v>
      </c>
      <c r="G4" s="514"/>
    </row>
    <row r="5" ht="12">
      <c r="A5" s="511" t="s">
        <v>13</v>
      </c>
    </row>
    <row r="6" spans="1:8" s="511" customFormat="1" ht="12">
      <c r="A6" s="511" t="s">
        <v>138</v>
      </c>
      <c r="B6" s="515" t="s">
        <v>34</v>
      </c>
      <c r="C6" s="515"/>
      <c r="E6" s="515" t="s">
        <v>139</v>
      </c>
      <c r="F6" s="515" t="s">
        <v>140</v>
      </c>
      <c r="G6" s="515" t="s">
        <v>123</v>
      </c>
      <c r="H6" s="516"/>
    </row>
    <row r="7" ht="12">
      <c r="B7" s="517" t="s">
        <v>80</v>
      </c>
    </row>
    <row r="8" spans="1:8" s="520" customFormat="1" ht="12">
      <c r="A8" s="518">
        <v>1</v>
      </c>
      <c r="B8" s="519" t="s">
        <v>81</v>
      </c>
      <c r="E8" s="521">
        <f>F8+G8</f>
        <v>-12610</v>
      </c>
      <c r="F8" s="521">
        <v>-10778</v>
      </c>
      <c r="G8" s="521">
        <v>-1832</v>
      </c>
      <c r="H8" s="520" t="str">
        <f aca="true" t="shared" si="0" ref="H8:H13">IF(E8=F8+G8," ","ERROR")</f>
        <v> </v>
      </c>
    </row>
    <row r="9" spans="1:8" ht="12">
      <c r="A9" s="511">
        <v>2</v>
      </c>
      <c r="B9" s="517" t="s">
        <v>82</v>
      </c>
      <c r="E9" s="522"/>
      <c r="F9" s="522"/>
      <c r="G9" s="522"/>
      <c r="H9" s="520" t="str">
        <f t="shared" si="0"/>
        <v> </v>
      </c>
    </row>
    <row r="10" spans="1:8" ht="12">
      <c r="A10" s="511">
        <v>3</v>
      </c>
      <c r="B10" s="517" t="s">
        <v>142</v>
      </c>
      <c r="E10" s="522"/>
      <c r="F10" s="522"/>
      <c r="G10" s="522"/>
      <c r="H10" s="520" t="str">
        <f t="shared" si="0"/>
        <v> </v>
      </c>
    </row>
    <row r="11" spans="1:8" ht="12">
      <c r="A11" s="511">
        <v>4</v>
      </c>
      <c r="B11" s="517" t="s">
        <v>143</v>
      </c>
      <c r="E11" s="523">
        <f>E8+E9+E10</f>
        <v>-12610</v>
      </c>
      <c r="F11" s="523">
        <f>F8+F9+F10</f>
        <v>-10778</v>
      </c>
      <c r="G11" s="523">
        <f>G8+G9+G10</f>
        <v>-1832</v>
      </c>
      <c r="H11" s="520" t="str">
        <f t="shared" si="0"/>
        <v> </v>
      </c>
    </row>
    <row r="12" spans="1:8" ht="12">
      <c r="A12" s="511">
        <v>5</v>
      </c>
      <c r="B12" s="517" t="s">
        <v>85</v>
      </c>
      <c r="E12" s="522">
        <f>SUM(F12:G12)</f>
        <v>-14</v>
      </c>
      <c r="F12" s="522">
        <v>-14</v>
      </c>
      <c r="G12" s="522">
        <v>0</v>
      </c>
      <c r="H12" s="520" t="str">
        <f t="shared" si="0"/>
        <v> </v>
      </c>
    </row>
    <row r="13" spans="1:8" ht="12">
      <c r="A13" s="511">
        <v>6</v>
      </c>
      <c r="B13" s="517" t="s">
        <v>144</v>
      </c>
      <c r="E13" s="523">
        <f>E11+E12</f>
        <v>-12624</v>
      </c>
      <c r="F13" s="523">
        <f>F11+F12</f>
        <v>-10792</v>
      </c>
      <c r="G13" s="523">
        <f>G11+G12</f>
        <v>-1832</v>
      </c>
      <c r="H13" s="520" t="str">
        <f t="shared" si="0"/>
        <v> </v>
      </c>
    </row>
    <row r="14" spans="5:8" ht="12">
      <c r="E14" s="524"/>
      <c r="F14" s="524"/>
      <c r="G14" s="524"/>
      <c r="H14" s="520"/>
    </row>
    <row r="15" spans="2:8" ht="12">
      <c r="B15" s="517" t="s">
        <v>87</v>
      </c>
      <c r="E15" s="524"/>
      <c r="F15" s="524"/>
      <c r="G15" s="524"/>
      <c r="H15" s="520"/>
    </row>
    <row r="16" spans="2:8" ht="12">
      <c r="B16" s="517" t="s">
        <v>88</v>
      </c>
      <c r="E16" s="524"/>
      <c r="F16" s="524"/>
      <c r="G16" s="524"/>
      <c r="H16" s="520"/>
    </row>
    <row r="17" spans="1:8" ht="12">
      <c r="A17" s="511">
        <v>7</v>
      </c>
      <c r="B17" s="517" t="s">
        <v>145</v>
      </c>
      <c r="E17" s="522"/>
      <c r="F17" s="522"/>
      <c r="G17" s="522"/>
      <c r="H17" s="520" t="str">
        <f>IF(E17=F17+G17," ","ERROR")</f>
        <v> </v>
      </c>
    </row>
    <row r="18" spans="1:8" ht="12">
      <c r="A18" s="511">
        <v>8</v>
      </c>
      <c r="B18" s="517" t="s">
        <v>146</v>
      </c>
      <c r="E18" s="522"/>
      <c r="F18" s="522"/>
      <c r="G18" s="522"/>
      <c r="H18" s="520" t="str">
        <f>IF(E18=F18+G18," ","ERROR")</f>
        <v> </v>
      </c>
    </row>
    <row r="19" spans="1:8" ht="12">
      <c r="A19" s="511">
        <v>9</v>
      </c>
      <c r="B19" s="517" t="s">
        <v>147</v>
      </c>
      <c r="E19" s="522"/>
      <c r="F19" s="522"/>
      <c r="G19" s="522"/>
      <c r="H19" s="520" t="str">
        <f>IF(E19=F19+G19," ","ERROR")</f>
        <v> </v>
      </c>
    </row>
    <row r="20" spans="1:8" ht="12">
      <c r="A20" s="511">
        <v>10</v>
      </c>
      <c r="B20" s="517" t="s">
        <v>148</v>
      </c>
      <c r="E20" s="522"/>
      <c r="F20" s="522"/>
      <c r="G20" s="522"/>
      <c r="H20" s="520" t="str">
        <f>IF(E20=F20+G20," ","ERROR")</f>
        <v> </v>
      </c>
    </row>
    <row r="21" spans="1:8" ht="12">
      <c r="A21" s="511">
        <v>11</v>
      </c>
      <c r="B21" s="517" t="s">
        <v>149</v>
      </c>
      <c r="E21" s="523">
        <f>E17+E18+E19+E20</f>
        <v>0</v>
      </c>
      <c r="F21" s="523">
        <f>F17+F18+F19+F20</f>
        <v>0</v>
      </c>
      <c r="G21" s="523">
        <f>G17+G18+G19+G20</f>
        <v>0</v>
      </c>
      <c r="H21" s="520" t="str">
        <f>IF(E21=F21+G21," ","ERROR")</f>
        <v> </v>
      </c>
    </row>
    <row r="22" spans="5:8" ht="12">
      <c r="E22" s="524"/>
      <c r="F22" s="524"/>
      <c r="G22" s="524"/>
      <c r="H22" s="520"/>
    </row>
    <row r="23" spans="2:8" ht="12">
      <c r="B23" s="517" t="s">
        <v>93</v>
      </c>
      <c r="E23" s="524"/>
      <c r="F23" s="524"/>
      <c r="G23" s="524"/>
      <c r="H23" s="520"/>
    </row>
    <row r="24" spans="1:8" ht="12">
      <c r="A24" s="511">
        <v>12</v>
      </c>
      <c r="B24" s="517" t="s">
        <v>145</v>
      </c>
      <c r="E24" s="522"/>
      <c r="F24" s="522"/>
      <c r="G24" s="522"/>
      <c r="H24" s="520" t="str">
        <f>IF(E24=F24+G24," ","ERROR")</f>
        <v> </v>
      </c>
    </row>
    <row r="25" spans="1:8" ht="12">
      <c r="A25" s="511">
        <v>13</v>
      </c>
      <c r="B25" s="517" t="s">
        <v>150</v>
      </c>
      <c r="E25" s="522"/>
      <c r="F25" s="522"/>
      <c r="G25" s="522"/>
      <c r="H25" s="520" t="str">
        <f>IF(E25=F25+G25," ","ERROR")</f>
        <v> </v>
      </c>
    </row>
    <row r="26" spans="1:8" ht="12">
      <c r="A26" s="511">
        <v>14</v>
      </c>
      <c r="B26" s="517" t="s">
        <v>148</v>
      </c>
      <c r="E26" s="522">
        <f>F26+G26</f>
        <v>-13863</v>
      </c>
      <c r="F26" s="522">
        <v>-11892</v>
      </c>
      <c r="G26" s="948">
        <f>-1972+F109</f>
        <v>-1971</v>
      </c>
      <c r="H26" s="520" t="str">
        <f>IF(E26=F26+G26," ","ERROR")</f>
        <v> </v>
      </c>
    </row>
    <row r="27" spans="1:8" ht="12">
      <c r="A27" s="511">
        <v>15</v>
      </c>
      <c r="B27" s="517" t="s">
        <v>151</v>
      </c>
      <c r="E27" s="523">
        <f>E24+E25+E26</f>
        <v>-13863</v>
      </c>
      <c r="F27" s="523">
        <f>F24+F25+F26</f>
        <v>-11892</v>
      </c>
      <c r="G27" s="523">
        <f>G24+G25+G26</f>
        <v>-1971</v>
      </c>
      <c r="H27" s="520" t="str">
        <f>IF(E27=F27+G27," ","ERROR")</f>
        <v> </v>
      </c>
    </row>
    <row r="28" spans="5:8" ht="12">
      <c r="E28" s="524"/>
      <c r="F28" s="524"/>
      <c r="G28" s="524"/>
      <c r="H28" s="520"/>
    </row>
    <row r="29" spans="1:8" ht="12">
      <c r="A29" s="511">
        <v>16</v>
      </c>
      <c r="B29" s="517" t="s">
        <v>96</v>
      </c>
      <c r="E29" s="522"/>
      <c r="F29" s="522"/>
      <c r="G29" s="522"/>
      <c r="H29" s="520" t="str">
        <f>IF(E29=F29+G29," ","ERROR")</f>
        <v> </v>
      </c>
    </row>
    <row r="30" spans="1:8" ht="12">
      <c r="A30" s="511">
        <v>17</v>
      </c>
      <c r="B30" s="517" t="s">
        <v>97</v>
      </c>
      <c r="E30" s="522"/>
      <c r="F30" s="522"/>
      <c r="G30" s="522"/>
      <c r="H30" s="520" t="str">
        <f>IF(E30=F30+G30," ","ERROR")</f>
        <v> </v>
      </c>
    </row>
    <row r="31" spans="1:8" ht="12">
      <c r="A31" s="511">
        <v>18</v>
      </c>
      <c r="B31" s="517" t="s">
        <v>152</v>
      </c>
      <c r="E31" s="522"/>
      <c r="F31" s="522"/>
      <c r="G31" s="522"/>
      <c r="H31" s="520" t="str">
        <f>IF(E31=F31+G31," ","ERROR")</f>
        <v> </v>
      </c>
    </row>
    <row r="32" spans="5:8" ht="12">
      <c r="E32" s="524"/>
      <c r="F32" s="524"/>
      <c r="G32" s="524"/>
      <c r="H32" s="520"/>
    </row>
    <row r="33" spans="2:8" ht="12">
      <c r="B33" s="517" t="s">
        <v>99</v>
      </c>
      <c r="E33" s="524"/>
      <c r="F33" s="524"/>
      <c r="G33" s="524"/>
      <c r="H33" s="520"/>
    </row>
    <row r="34" spans="1:8" ht="12">
      <c r="A34" s="511">
        <v>19</v>
      </c>
      <c r="B34" s="517" t="s">
        <v>145</v>
      </c>
      <c r="E34" s="522">
        <f>F34+G34</f>
        <v>114</v>
      </c>
      <c r="F34" s="522">
        <v>114</v>
      </c>
      <c r="G34" s="522"/>
      <c r="H34" s="520" t="str">
        <f>IF(E34=F34+G34," ","ERROR")</f>
        <v> </v>
      </c>
    </row>
    <row r="35" spans="1:8" ht="12">
      <c r="A35" s="511">
        <v>20</v>
      </c>
      <c r="B35" s="517" t="s">
        <v>150</v>
      </c>
      <c r="E35" s="522"/>
      <c r="F35" s="522"/>
      <c r="G35" s="522"/>
      <c r="H35" s="520" t="str">
        <f>IF(E35=F35+G35," ","ERROR")</f>
        <v> </v>
      </c>
    </row>
    <row r="36" spans="1:8" ht="12">
      <c r="A36" s="511">
        <v>21</v>
      </c>
      <c r="B36" s="517" t="s">
        <v>148</v>
      </c>
      <c r="E36" s="522"/>
      <c r="F36" s="522"/>
      <c r="G36" s="522"/>
      <c r="H36" s="520" t="str">
        <f>IF(E36=F36+G36," ","ERROR")</f>
        <v> </v>
      </c>
    </row>
    <row r="37" spans="1:8" ht="12">
      <c r="A37" s="511">
        <v>22</v>
      </c>
      <c r="B37" s="517" t="s">
        <v>153</v>
      </c>
      <c r="E37" s="526">
        <f>E34+E35+E36</f>
        <v>114</v>
      </c>
      <c r="F37" s="526">
        <f>F34+F35+F36</f>
        <v>114</v>
      </c>
      <c r="G37" s="526">
        <f>G34+G35+G36</f>
        <v>0</v>
      </c>
      <c r="H37" s="520" t="str">
        <f>IF(E37=F37+G37," ","ERROR")</f>
        <v> </v>
      </c>
    </row>
    <row r="38" spans="1:8" ht="12">
      <c r="A38" s="511">
        <v>23</v>
      </c>
      <c r="B38" s="517" t="s">
        <v>101</v>
      </c>
      <c r="E38" s="527">
        <f>E21+E27+E29+E30+E31+E37</f>
        <v>-13749</v>
      </c>
      <c r="F38" s="527">
        <f>F21+F27+F29+F30+F31+F37</f>
        <v>-11778</v>
      </c>
      <c r="G38" s="527">
        <f>G21+G27+G29+G30+G31+G37</f>
        <v>-1971</v>
      </c>
      <c r="H38" s="520" t="str">
        <f>IF(E38=F38+G38," ","ERROR")</f>
        <v> </v>
      </c>
    </row>
    <row r="39" spans="5:8" ht="12">
      <c r="E39" s="524"/>
      <c r="F39" s="524"/>
      <c r="G39" s="524"/>
      <c r="H39" s="520"/>
    </row>
    <row r="40" spans="1:8" ht="12">
      <c r="A40" s="511">
        <v>24</v>
      </c>
      <c r="B40" s="517" t="s">
        <v>154</v>
      </c>
      <c r="E40" s="524">
        <f>E13-E38</f>
        <v>1125</v>
      </c>
      <c r="F40" s="524">
        <f>F13-F38</f>
        <v>986</v>
      </c>
      <c r="G40" s="524">
        <f>G13-G38</f>
        <v>139</v>
      </c>
      <c r="H40" s="520" t="str">
        <f>IF(E40=F40+G40," ","ERROR")</f>
        <v> </v>
      </c>
    </row>
    <row r="41" spans="2:8" ht="12">
      <c r="B41" s="517"/>
      <c r="E41" s="524"/>
      <c r="F41" s="524"/>
      <c r="G41" s="524"/>
      <c r="H41" s="520"/>
    </row>
    <row r="42" spans="2:8" ht="12">
      <c r="B42" s="517" t="s">
        <v>155</v>
      </c>
      <c r="E42" s="524"/>
      <c r="F42" s="524"/>
      <c r="G42" s="524"/>
      <c r="H42" s="520"/>
    </row>
    <row r="43" spans="1:8" ht="12">
      <c r="A43" s="511">
        <v>25</v>
      </c>
      <c r="B43" s="517" t="s">
        <v>156</v>
      </c>
      <c r="D43" s="528">
        <v>0.35</v>
      </c>
      <c r="E43" s="522">
        <f>F43+G43</f>
        <v>394</v>
      </c>
      <c r="F43" s="522">
        <f>ROUND(F40*D43,0)</f>
        <v>345</v>
      </c>
      <c r="G43" s="522">
        <f>ROUND(G40*D43,0)</f>
        <v>49</v>
      </c>
      <c r="H43" s="520" t="str">
        <f>IF(E43=F43+G43," ","ERROR")</f>
        <v> </v>
      </c>
    </row>
    <row r="44" spans="1:8" ht="12">
      <c r="A44" s="511">
        <v>26</v>
      </c>
      <c r="B44" s="517" t="s">
        <v>157</v>
      </c>
      <c r="E44" s="522"/>
      <c r="F44" s="522"/>
      <c r="G44" s="522"/>
      <c r="H44" s="520" t="str">
        <f>IF(E44=F44+G44," ","ERROR")</f>
        <v> </v>
      </c>
    </row>
    <row r="45" spans="1:8" ht="12.75">
      <c r="A45"/>
      <c r="B45"/>
      <c r="C45"/>
      <c r="D45"/>
      <c r="E45" s="943"/>
      <c r="F45" s="943"/>
      <c r="G45" s="943"/>
      <c r="H45" s="520" t="str">
        <f>IF(E45=F45+G45," ","ERROR")</f>
        <v> </v>
      </c>
    </row>
    <row r="46" spans="1:8" ht="12">
      <c r="A46" s="278"/>
      <c r="B46" s="281"/>
      <c r="C46" s="275"/>
      <c r="D46" s="275"/>
      <c r="E46" s="288"/>
      <c r="F46" s="288"/>
      <c r="G46" s="288"/>
      <c r="H46" s="520"/>
    </row>
    <row r="47" spans="1:8" s="520" customFormat="1" ht="12">
      <c r="A47" s="282">
        <v>27</v>
      </c>
      <c r="B47" s="283" t="s">
        <v>108</v>
      </c>
      <c r="C47" s="284"/>
      <c r="D47" s="284"/>
      <c r="E47" s="292">
        <f>E40-SUM(E43:E44)</f>
        <v>731</v>
      </c>
      <c r="F47" s="292">
        <f>F40-SUM(F43:F44)</f>
        <v>641</v>
      </c>
      <c r="G47" s="292">
        <f>G40-SUM(G43:G44)</f>
        <v>90</v>
      </c>
      <c r="H47" s="520" t="str">
        <f>IF(E47=F47+G47," ","ERROR")</f>
        <v> </v>
      </c>
    </row>
    <row r="48" spans="1:8" ht="12">
      <c r="A48" s="278"/>
      <c r="H48" s="520"/>
    </row>
    <row r="49" spans="1:8" ht="12">
      <c r="A49" s="278"/>
      <c r="B49" s="517" t="s">
        <v>109</v>
      </c>
      <c r="H49" s="520"/>
    </row>
    <row r="50" spans="1:8" ht="12">
      <c r="A50" s="278"/>
      <c r="B50" s="517" t="s">
        <v>110</v>
      </c>
      <c r="H50" s="520"/>
    </row>
    <row r="51" spans="1:8" s="520" customFormat="1" ht="12">
      <c r="A51" s="282">
        <v>28</v>
      </c>
      <c r="B51" s="519" t="s">
        <v>159</v>
      </c>
      <c r="E51" s="521"/>
      <c r="F51" s="521"/>
      <c r="G51" s="521"/>
      <c r="H51" s="520" t="str">
        <f aca="true" t="shared" si="1" ref="H51:H61">IF(E51=F51+G51," ","ERROR")</f>
        <v> </v>
      </c>
    </row>
    <row r="52" spans="1:8" ht="12">
      <c r="A52" s="278">
        <v>29</v>
      </c>
      <c r="B52" s="517" t="s">
        <v>160</v>
      </c>
      <c r="E52" s="522"/>
      <c r="F52" s="522"/>
      <c r="G52" s="522"/>
      <c r="H52" s="520" t="str">
        <f t="shared" si="1"/>
        <v> </v>
      </c>
    </row>
    <row r="53" spans="1:8" ht="12">
      <c r="A53" s="278">
        <v>30</v>
      </c>
      <c r="B53" s="517" t="s">
        <v>161</v>
      </c>
      <c r="E53" s="522"/>
      <c r="F53" s="522"/>
      <c r="G53" s="522"/>
      <c r="H53" s="520" t="str">
        <f t="shared" si="1"/>
        <v> </v>
      </c>
    </row>
    <row r="54" spans="1:8" ht="12">
      <c r="A54" s="278">
        <v>31</v>
      </c>
      <c r="B54" s="517" t="s">
        <v>162</v>
      </c>
      <c r="E54" s="522"/>
      <c r="F54" s="522"/>
      <c r="G54" s="522"/>
      <c r="H54" s="520" t="str">
        <f t="shared" si="1"/>
        <v> </v>
      </c>
    </row>
    <row r="55" spans="1:8" ht="12">
      <c r="A55" s="278">
        <v>32</v>
      </c>
      <c r="B55" s="517" t="s">
        <v>163</v>
      </c>
      <c r="E55" s="529"/>
      <c r="F55" s="529"/>
      <c r="G55" s="529"/>
      <c r="H55" s="520" t="str">
        <f t="shared" si="1"/>
        <v> </v>
      </c>
    </row>
    <row r="56" spans="1:8" ht="12">
      <c r="A56" s="278">
        <v>33</v>
      </c>
      <c r="B56" s="517" t="s">
        <v>164</v>
      </c>
      <c r="E56" s="524">
        <f>E51+E52+E53+E54+E55</f>
        <v>0</v>
      </c>
      <c r="F56" s="524">
        <f>F51+F52+F53+F54+F55</f>
        <v>0</v>
      </c>
      <c r="G56" s="524">
        <f>G51+G52+G53+G54+G55</f>
        <v>0</v>
      </c>
      <c r="H56" s="520" t="str">
        <f t="shared" si="1"/>
        <v> </v>
      </c>
    </row>
    <row r="57" spans="1:8" ht="12">
      <c r="A57" s="278">
        <v>34</v>
      </c>
      <c r="B57" s="517" t="s">
        <v>116</v>
      </c>
      <c r="E57" s="522"/>
      <c r="F57" s="522"/>
      <c r="G57" s="522"/>
      <c r="H57" s="520" t="str">
        <f t="shared" si="1"/>
        <v> </v>
      </c>
    </row>
    <row r="58" spans="1:8" ht="12">
      <c r="A58" s="278">
        <v>35</v>
      </c>
      <c r="B58" s="517" t="s">
        <v>117</v>
      </c>
      <c r="E58" s="529"/>
      <c r="F58" s="529"/>
      <c r="G58" s="529"/>
      <c r="H58" s="520" t="str">
        <f t="shared" si="1"/>
        <v> </v>
      </c>
    </row>
    <row r="59" spans="1:8" ht="12">
      <c r="A59" s="278">
        <v>36</v>
      </c>
      <c r="B59" s="517" t="s">
        <v>165</v>
      </c>
      <c r="E59" s="524">
        <f>E57+E58</f>
        <v>0</v>
      </c>
      <c r="F59" s="524">
        <f>F57+F58</f>
        <v>0</v>
      </c>
      <c r="G59" s="524">
        <f>G57+G58</f>
        <v>0</v>
      </c>
      <c r="H59" s="520" t="str">
        <f t="shared" si="1"/>
        <v> </v>
      </c>
    </row>
    <row r="60" spans="1:8" ht="12">
      <c r="A60" s="278">
        <v>37</v>
      </c>
      <c r="B60" s="517" t="s">
        <v>119</v>
      </c>
      <c r="E60" s="522"/>
      <c r="F60" s="522"/>
      <c r="G60" s="522"/>
      <c r="H60" s="520" t="str">
        <f t="shared" si="1"/>
        <v> </v>
      </c>
    </row>
    <row r="61" spans="1:8" ht="12">
      <c r="A61" s="278">
        <v>38</v>
      </c>
      <c r="B61" s="517" t="s">
        <v>120</v>
      </c>
      <c r="E61" s="529"/>
      <c r="F61" s="529"/>
      <c r="G61" s="529"/>
      <c r="H61" s="520" t="str">
        <f t="shared" si="1"/>
        <v> </v>
      </c>
    </row>
    <row r="62" spans="1:8" ht="9" customHeight="1">
      <c r="A62" s="278"/>
      <c r="H62" s="520"/>
    </row>
    <row r="63" spans="1:8" s="520" customFormat="1" ht="12.75" thickBot="1">
      <c r="A63" s="282">
        <v>39</v>
      </c>
      <c r="B63" s="519" t="s">
        <v>121</v>
      </c>
      <c r="E63" s="530">
        <f>E56-E59+E60+E61</f>
        <v>0</v>
      </c>
      <c r="F63" s="530">
        <f>F56-F59+F60+F61</f>
        <v>0</v>
      </c>
      <c r="G63" s="530">
        <f>G56-G59+G60+G61</f>
        <v>0</v>
      </c>
      <c r="H63" s="520" t="str">
        <f>IF(E63=F63+G63," ","ERROR")</f>
        <v> </v>
      </c>
    </row>
    <row r="64" ht="12.75" thickTop="1"/>
    <row r="65" spans="1:8" ht="12">
      <c r="A65" s="509" t="str">
        <f>Inputs!$D$6</f>
        <v>AVISTA UTILITIES</v>
      </c>
      <c r="B65" s="509"/>
      <c r="C65" s="509"/>
      <c r="D65" s="531"/>
      <c r="E65" s="532"/>
      <c r="F65" s="531"/>
      <c r="G65" s="533"/>
      <c r="H65" s="532"/>
    </row>
    <row r="66" spans="1:8" ht="12">
      <c r="A66" s="509" t="s">
        <v>218</v>
      </c>
      <c r="B66" s="509"/>
      <c r="C66" s="509"/>
      <c r="D66" s="531"/>
      <c r="E66" s="532"/>
      <c r="F66" s="531"/>
      <c r="G66" s="533"/>
      <c r="H66" s="532"/>
    </row>
    <row r="67" spans="1:8" ht="12">
      <c r="A67" s="509" t="str">
        <f>A3</f>
        <v>TWELVE MONTHS ENDED DECEMBER 31, 2004</v>
      </c>
      <c r="B67" s="509"/>
      <c r="C67" s="509"/>
      <c r="D67" s="531"/>
      <c r="E67" s="532"/>
      <c r="F67" s="534" t="str">
        <f>F2</f>
        <v>ELIMINATE</v>
      </c>
      <c r="G67" s="531"/>
      <c r="H67" s="532"/>
    </row>
    <row r="68" spans="1:8" ht="12">
      <c r="A68" s="509" t="s">
        <v>219</v>
      </c>
      <c r="B68" s="509"/>
      <c r="C68" s="509"/>
      <c r="D68" s="531"/>
      <c r="E68" s="532"/>
      <c r="F68" s="534" t="str">
        <f>F3</f>
        <v>B &amp; O TAXES</v>
      </c>
      <c r="G68" s="531"/>
      <c r="H68" s="532"/>
    </row>
    <row r="69" spans="2:8" ht="12">
      <c r="B69" s="531"/>
      <c r="C69" s="531"/>
      <c r="D69" s="531"/>
      <c r="E69" s="535"/>
      <c r="F69" s="536" t="str">
        <f>F4</f>
        <v>ELECTRIC</v>
      </c>
      <c r="G69" s="531"/>
      <c r="H69" s="537"/>
    </row>
    <row r="70" spans="2:8" ht="12">
      <c r="B70" s="531"/>
      <c r="C70" s="531"/>
      <c r="D70" s="531"/>
      <c r="E70" s="532"/>
      <c r="F70" s="534"/>
      <c r="G70" s="538"/>
      <c r="H70" s="532"/>
    </row>
    <row r="71" spans="2:8" ht="12">
      <c r="B71" s="539" t="s">
        <v>128</v>
      </c>
      <c r="C71" s="540"/>
      <c r="D71" s="531"/>
      <c r="E71" s="532"/>
      <c r="F71" s="536" t="s">
        <v>123</v>
      </c>
      <c r="G71" s="531"/>
      <c r="H71" s="532"/>
    </row>
    <row r="72" spans="2:8" ht="12">
      <c r="B72" s="517" t="s">
        <v>80</v>
      </c>
      <c r="C72" s="531"/>
      <c r="D72" s="531"/>
      <c r="E72" s="531"/>
      <c r="F72" s="533"/>
      <c r="G72" s="531"/>
      <c r="H72" s="531"/>
    </row>
    <row r="73" spans="2:8" ht="12">
      <c r="B73" s="519" t="s">
        <v>81</v>
      </c>
      <c r="C73" s="531"/>
      <c r="D73" s="531"/>
      <c r="E73" s="531"/>
      <c r="F73" s="541">
        <f>G8</f>
        <v>-1832</v>
      </c>
      <c r="G73" s="531"/>
      <c r="H73" s="531"/>
    </row>
    <row r="74" spans="2:8" ht="12">
      <c r="B74" s="517" t="s">
        <v>82</v>
      </c>
      <c r="C74" s="531"/>
      <c r="D74" s="531"/>
      <c r="E74" s="531"/>
      <c r="F74" s="524">
        <f>G9</f>
        <v>0</v>
      </c>
      <c r="G74" s="531"/>
      <c r="H74" s="531"/>
    </row>
    <row r="75" spans="2:8" ht="12">
      <c r="B75" s="517" t="s">
        <v>142</v>
      </c>
      <c r="C75" s="531"/>
      <c r="D75" s="531"/>
      <c r="E75" s="531"/>
      <c r="F75" s="527">
        <f>G10</f>
        <v>0</v>
      </c>
      <c r="G75" s="531"/>
      <c r="H75" s="531"/>
    </row>
    <row r="76" spans="2:8" ht="12">
      <c r="B76" s="517" t="s">
        <v>143</v>
      </c>
      <c r="C76" s="531"/>
      <c r="D76" s="531"/>
      <c r="E76" s="531"/>
      <c r="F76" s="524">
        <f>SUM(F73:F75)</f>
        <v>-1832</v>
      </c>
      <c r="G76" s="531"/>
      <c r="H76" s="531"/>
    </row>
    <row r="77" spans="2:8" ht="12">
      <c r="B77" s="517" t="s">
        <v>85</v>
      </c>
      <c r="C77" s="531"/>
      <c r="D77" s="531"/>
      <c r="E77" s="531"/>
      <c r="F77" s="527">
        <f>G12</f>
        <v>0</v>
      </c>
      <c r="G77" s="531"/>
      <c r="H77" s="531"/>
    </row>
    <row r="78" spans="2:8" ht="12">
      <c r="B78" s="517" t="s">
        <v>144</v>
      </c>
      <c r="C78" s="531"/>
      <c r="D78" s="531"/>
      <c r="E78" s="531"/>
      <c r="F78" s="524">
        <f>F76+F77</f>
        <v>-1832</v>
      </c>
      <c r="G78" s="531"/>
      <c r="H78" s="531"/>
    </row>
    <row r="79" spans="3:8" ht="12">
      <c r="C79" s="531"/>
      <c r="D79" s="531"/>
      <c r="E79" s="531"/>
      <c r="F79" s="524"/>
      <c r="G79" s="531"/>
      <c r="H79" s="531"/>
    </row>
    <row r="80" spans="2:8" ht="12">
      <c r="B80" s="517" t="s">
        <v>87</v>
      </c>
      <c r="C80" s="531"/>
      <c r="D80" s="531"/>
      <c r="E80" s="531"/>
      <c r="F80" s="524"/>
      <c r="G80" s="531"/>
      <c r="H80" s="531"/>
    </row>
    <row r="81" spans="2:8" ht="12">
      <c r="B81" s="517" t="s">
        <v>88</v>
      </c>
      <c r="C81" s="531"/>
      <c r="D81" s="531"/>
      <c r="E81" s="531"/>
      <c r="F81" s="524"/>
      <c r="G81" s="531"/>
      <c r="H81" s="531"/>
    </row>
    <row r="82" spans="2:8" ht="12">
      <c r="B82" s="517" t="s">
        <v>145</v>
      </c>
      <c r="C82" s="531"/>
      <c r="D82" s="531"/>
      <c r="E82" s="531"/>
      <c r="F82" s="524">
        <f>G17</f>
        <v>0</v>
      </c>
      <c r="G82" s="531"/>
      <c r="H82" s="531"/>
    </row>
    <row r="83" spans="2:8" ht="12">
      <c r="B83" s="517" t="s">
        <v>146</v>
      </c>
      <c r="C83" s="531"/>
      <c r="D83" s="531"/>
      <c r="E83" s="531"/>
      <c r="F83" s="524">
        <f>G18</f>
        <v>0</v>
      </c>
      <c r="G83" s="531"/>
      <c r="H83" s="531"/>
    </row>
    <row r="84" spans="2:8" ht="12">
      <c r="B84" s="517" t="s">
        <v>147</v>
      </c>
      <c r="C84" s="531"/>
      <c r="D84" s="531"/>
      <c r="E84" s="531"/>
      <c r="F84" s="524">
        <f>G19</f>
        <v>0</v>
      </c>
      <c r="G84" s="531"/>
      <c r="H84" s="531"/>
    </row>
    <row r="85" spans="2:8" ht="12">
      <c r="B85" s="517" t="s">
        <v>148</v>
      </c>
      <c r="C85" s="531"/>
      <c r="D85" s="531"/>
      <c r="E85" s="531"/>
      <c r="F85" s="527">
        <f>G20</f>
        <v>0</v>
      </c>
      <c r="G85" s="531"/>
      <c r="H85" s="531"/>
    </row>
    <row r="86" spans="2:8" ht="12">
      <c r="B86" s="517" t="s">
        <v>149</v>
      </c>
      <c r="C86" s="531"/>
      <c r="D86" s="531"/>
      <c r="E86" s="531"/>
      <c r="F86" s="524">
        <f>SUM(F82:F85)</f>
        <v>0</v>
      </c>
      <c r="G86" s="531"/>
      <c r="H86" s="531"/>
    </row>
    <row r="87" spans="3:8" ht="12">
      <c r="C87" s="531"/>
      <c r="D87" s="531"/>
      <c r="E87" s="531"/>
      <c r="F87" s="524"/>
      <c r="G87" s="531"/>
      <c r="H87" s="531"/>
    </row>
    <row r="88" spans="2:8" ht="12">
      <c r="B88" s="517" t="s">
        <v>93</v>
      </c>
      <c r="C88" s="531"/>
      <c r="D88" s="531"/>
      <c r="E88" s="531"/>
      <c r="F88" s="524"/>
      <c r="G88" s="531"/>
      <c r="H88" s="531"/>
    </row>
    <row r="89" spans="2:8" ht="12">
      <c r="B89" s="517" t="s">
        <v>145</v>
      </c>
      <c r="C89" s="531"/>
      <c r="D89" s="531"/>
      <c r="E89" s="531"/>
      <c r="F89" s="524">
        <f>G24</f>
        <v>0</v>
      </c>
      <c r="G89" s="531"/>
      <c r="H89" s="531"/>
    </row>
    <row r="90" spans="2:8" ht="12">
      <c r="B90" s="517" t="s">
        <v>150</v>
      </c>
      <c r="C90" s="531"/>
      <c r="D90" s="531"/>
      <c r="E90" s="531"/>
      <c r="F90" s="524">
        <f>G25</f>
        <v>0</v>
      </c>
      <c r="G90" s="531"/>
      <c r="H90" s="531"/>
    </row>
    <row r="91" spans="1:8" ht="12">
      <c r="A91" s="510"/>
      <c r="B91" s="517" t="s">
        <v>148</v>
      </c>
      <c r="C91" s="531"/>
      <c r="D91" s="531"/>
      <c r="E91" s="531"/>
      <c r="F91" s="542">
        <v>-1972</v>
      </c>
      <c r="G91" s="531"/>
      <c r="H91" s="531"/>
    </row>
    <row r="92" spans="1:8" ht="12">
      <c r="A92" s="510"/>
      <c r="B92" s="517" t="s">
        <v>151</v>
      </c>
      <c r="C92" s="531"/>
      <c r="D92" s="531"/>
      <c r="E92" s="531"/>
      <c r="F92" s="523">
        <f>SUM(F89:F91)</f>
        <v>-1972</v>
      </c>
      <c r="G92" s="531"/>
      <c r="H92" s="531"/>
    </row>
    <row r="93" spans="1:8" ht="12">
      <c r="A93" s="510"/>
      <c r="C93" s="531"/>
      <c r="D93" s="531"/>
      <c r="E93" s="531"/>
      <c r="F93" s="524"/>
      <c r="G93" s="531"/>
      <c r="H93" s="531"/>
    </row>
    <row r="94" spans="1:8" ht="12">
      <c r="A94" s="510"/>
      <c r="B94" s="517" t="s">
        <v>96</v>
      </c>
      <c r="C94" s="531"/>
      <c r="D94" s="531"/>
      <c r="E94" s="531"/>
      <c r="F94" s="524">
        <f>G29</f>
        <v>0</v>
      </c>
      <c r="G94" s="531"/>
      <c r="H94" s="531"/>
    </row>
    <row r="95" spans="1:8" ht="12">
      <c r="A95" s="510"/>
      <c r="B95" s="517" t="s">
        <v>97</v>
      </c>
      <c r="C95" s="531"/>
      <c r="D95" s="531"/>
      <c r="E95" s="531"/>
      <c r="F95" s="524">
        <f>G30</f>
        <v>0</v>
      </c>
      <c r="G95" s="531"/>
      <c r="H95" s="531"/>
    </row>
    <row r="96" spans="1:8" ht="12">
      <c r="A96" s="510"/>
      <c r="B96" s="517" t="s">
        <v>152</v>
      </c>
      <c r="C96" s="531"/>
      <c r="D96" s="531"/>
      <c r="E96" s="531"/>
      <c r="F96" s="524">
        <f>G31</f>
        <v>0</v>
      </c>
      <c r="G96" s="531"/>
      <c r="H96" s="531"/>
    </row>
    <row r="97" spans="1:8" ht="12">
      <c r="A97" s="510"/>
      <c r="C97" s="531"/>
      <c r="D97" s="531"/>
      <c r="E97" s="531"/>
      <c r="F97" s="524"/>
      <c r="G97" s="531"/>
      <c r="H97" s="531"/>
    </row>
    <row r="98" spans="1:8" ht="12">
      <c r="A98" s="510"/>
      <c r="B98" s="517" t="s">
        <v>99</v>
      </c>
      <c r="C98" s="531"/>
      <c r="D98" s="531"/>
      <c r="E98" s="531"/>
      <c r="F98" s="524"/>
      <c r="G98" s="531"/>
      <c r="H98" s="531"/>
    </row>
    <row r="99" spans="1:8" ht="12">
      <c r="A99" s="510"/>
      <c r="B99" s="517" t="s">
        <v>145</v>
      </c>
      <c r="C99" s="531"/>
      <c r="D99" s="531"/>
      <c r="E99" s="531"/>
      <c r="F99" s="524">
        <f>G34</f>
        <v>0</v>
      </c>
      <c r="G99" s="531"/>
      <c r="H99" s="531"/>
    </row>
    <row r="100" spans="1:8" ht="12">
      <c r="A100" s="510"/>
      <c r="B100" s="517" t="s">
        <v>150</v>
      </c>
      <c r="C100" s="531"/>
      <c r="D100" s="531"/>
      <c r="E100" s="531"/>
      <c r="F100" s="524">
        <f>G35</f>
        <v>0</v>
      </c>
      <c r="G100" s="531"/>
      <c r="H100" s="531"/>
    </row>
    <row r="101" spans="1:8" ht="12">
      <c r="A101" s="510"/>
      <c r="B101" s="517" t="s">
        <v>148</v>
      </c>
      <c r="C101" s="531"/>
      <c r="D101" s="531"/>
      <c r="E101" s="531"/>
      <c r="F101" s="527">
        <f>G36</f>
        <v>0</v>
      </c>
      <c r="G101" s="531"/>
      <c r="H101" s="531"/>
    </row>
    <row r="102" spans="1:8" ht="12">
      <c r="A102" s="510"/>
      <c r="B102" s="517" t="s">
        <v>153</v>
      </c>
      <c r="C102" s="531"/>
      <c r="D102" s="531"/>
      <c r="E102" s="531"/>
      <c r="F102" s="524">
        <f>F99+F100+F101</f>
        <v>0</v>
      </c>
      <c r="G102" s="531"/>
      <c r="H102" s="531"/>
    </row>
    <row r="103" spans="1:8" ht="12">
      <c r="A103" s="510"/>
      <c r="B103" s="531"/>
      <c r="C103" s="531"/>
      <c r="D103" s="531"/>
      <c r="E103" s="531"/>
      <c r="F103" s="524"/>
      <c r="G103" s="531"/>
      <c r="H103" s="531"/>
    </row>
    <row r="104" spans="1:8" ht="12">
      <c r="A104" s="510"/>
      <c r="B104" s="531" t="s">
        <v>101</v>
      </c>
      <c r="C104" s="531"/>
      <c r="D104" s="531"/>
      <c r="E104" s="531"/>
      <c r="F104" s="526">
        <f>F86+F92+F94+F95+F96+F102</f>
        <v>-1972</v>
      </c>
      <c r="G104" s="531"/>
      <c r="H104" s="531"/>
    </row>
    <row r="105" spans="1:8" ht="12">
      <c r="A105" s="510"/>
      <c r="B105" s="531"/>
      <c r="C105" s="531"/>
      <c r="D105" s="531"/>
      <c r="E105" s="531"/>
      <c r="F105" s="524"/>
      <c r="G105" s="531"/>
      <c r="H105" s="531"/>
    </row>
    <row r="106" spans="1:8" ht="12">
      <c r="A106" s="510"/>
      <c r="B106" s="531" t="s">
        <v>220</v>
      </c>
      <c r="C106" s="531"/>
      <c r="D106" s="531"/>
      <c r="E106" s="531"/>
      <c r="F106" s="527">
        <f>F78-F104</f>
        <v>140</v>
      </c>
      <c r="G106" s="531"/>
      <c r="H106" s="531"/>
    </row>
    <row r="107" spans="1:8" ht="12">
      <c r="A107" s="510"/>
      <c r="B107" s="531"/>
      <c r="C107" s="531"/>
      <c r="D107" s="531"/>
      <c r="E107" s="531"/>
      <c r="F107" s="524"/>
      <c r="G107" s="531"/>
      <c r="H107" s="531"/>
    </row>
    <row r="108" spans="1:8" ht="12">
      <c r="A108" s="510"/>
      <c r="B108" s="531" t="s">
        <v>221</v>
      </c>
      <c r="C108" s="531"/>
      <c r="D108" s="531"/>
      <c r="E108" s="532"/>
      <c r="F108" s="524"/>
      <c r="G108" s="531"/>
      <c r="H108" s="531"/>
    </row>
    <row r="109" spans="1:8" ht="12.75" thickBot="1">
      <c r="A109" s="510"/>
      <c r="B109" s="543" t="s">
        <v>222</v>
      </c>
      <c r="C109" s="544">
        <f>Inputs!$D$4</f>
        <v>0.01065</v>
      </c>
      <c r="D109" s="531"/>
      <c r="E109" s="532"/>
      <c r="F109" s="530">
        <f>ROUND(F106*C109,0)</f>
        <v>1</v>
      </c>
      <c r="G109" s="531"/>
      <c r="H109" s="531"/>
    </row>
    <row r="110" spans="1:8" ht="12.75" thickTop="1">
      <c r="A110" s="510"/>
      <c r="B110" s="531"/>
      <c r="C110" s="531"/>
      <c r="D110" s="531"/>
      <c r="E110" s="532"/>
      <c r="F110" s="531"/>
      <c r="G110" s="533"/>
      <c r="H110" s="531"/>
    </row>
  </sheetData>
  <printOptions horizontalCentered="1"/>
  <pageMargins left="1" right="1" top="0.5" bottom="0.5" header="0.5" footer="0.5"/>
  <pageSetup horizontalDpi="300" verticalDpi="300" orientation="portrait" scale="90" r:id="rId1"/>
  <rowBreaks count="1" manualBreakCount="1">
    <brk id="65" max="65535" man="1"/>
  </rowBreaks>
  <colBreaks count="1" manualBreakCount="1">
    <brk id="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110"/>
  <sheetViews>
    <sheetView zoomScale="75" zoomScaleNormal="75" workbookViewId="0" topLeftCell="A55">
      <selection activeCell="F91" sqref="F91"/>
    </sheetView>
  </sheetViews>
  <sheetFormatPr defaultColWidth="9.140625" defaultRowHeight="12.75"/>
  <cols>
    <col min="1" max="1" width="5.57421875" style="550" customWidth="1"/>
    <col min="2" max="2" width="26.140625" style="547" customWidth="1"/>
    <col min="3" max="3" width="12.421875" style="547" customWidth="1"/>
    <col min="4" max="4" width="6.7109375" style="547" customWidth="1"/>
    <col min="5" max="6" width="12.421875" style="547" customWidth="1"/>
    <col min="7" max="7" width="11.7109375" style="547" customWidth="1"/>
    <col min="8" max="8" width="12.421875" style="510" customWidth="1"/>
    <col min="9" max="16384" width="12.421875" style="547" customWidth="1"/>
  </cols>
  <sheetData>
    <row r="1" spans="1:3" ht="12">
      <c r="A1" s="545" t="str">
        <f>Inputs!$D$6</f>
        <v>AVISTA UTILITIES</v>
      </c>
      <c r="B1" s="546"/>
      <c r="C1" s="545"/>
    </row>
    <row r="2" spans="1:7" ht="12">
      <c r="A2" s="545" t="s">
        <v>134</v>
      </c>
      <c r="B2" s="546"/>
      <c r="C2" s="545"/>
      <c r="E2" s="545" t="s">
        <v>235</v>
      </c>
      <c r="F2" s="545"/>
      <c r="G2" s="545"/>
    </row>
    <row r="3" spans="1:7" ht="12">
      <c r="A3" s="546" t="str">
        <f>WAElec12_04!$A$4</f>
        <v>TWELVE MONTHS ENDED DECEMBER 31, 2004</v>
      </c>
      <c r="B3" s="546"/>
      <c r="C3" s="545"/>
      <c r="E3" s="545" t="s">
        <v>232</v>
      </c>
      <c r="F3" s="545"/>
      <c r="G3" s="545"/>
    </row>
    <row r="4" spans="1:7" ht="12">
      <c r="A4" s="545" t="s">
        <v>1</v>
      </c>
      <c r="B4" s="546"/>
      <c r="C4" s="545"/>
      <c r="E4" s="548" t="s">
        <v>137</v>
      </c>
      <c r="F4" s="548"/>
      <c r="G4" s="549"/>
    </row>
    <row r="5" ht="12">
      <c r="A5" s="550" t="s">
        <v>13</v>
      </c>
    </row>
    <row r="6" spans="1:8" s="550" customFormat="1" ht="12">
      <c r="A6" s="550" t="s">
        <v>138</v>
      </c>
      <c r="B6" s="551" t="s">
        <v>34</v>
      </c>
      <c r="C6" s="551"/>
      <c r="E6" s="551" t="s">
        <v>139</v>
      </c>
      <c r="F6" s="551" t="s">
        <v>140</v>
      </c>
      <c r="G6" s="551" t="s">
        <v>123</v>
      </c>
      <c r="H6" s="516"/>
    </row>
    <row r="7" ht="12">
      <c r="B7" s="552" t="s">
        <v>80</v>
      </c>
    </row>
    <row r="8" spans="1:8" s="555" customFormat="1" ht="12">
      <c r="A8" s="553">
        <v>1</v>
      </c>
      <c r="B8" s="554" t="s">
        <v>81</v>
      </c>
      <c r="E8" s="556">
        <f>F8+G8</f>
        <v>0</v>
      </c>
      <c r="F8" s="556"/>
      <c r="G8" s="556"/>
      <c r="H8" s="520" t="str">
        <f aca="true" t="shared" si="0" ref="H8:H13">IF(E8=F8+G8," ","ERROR")</f>
        <v> </v>
      </c>
    </row>
    <row r="9" spans="1:8" ht="12">
      <c r="A9" s="550">
        <v>2</v>
      </c>
      <c r="B9" s="552" t="s">
        <v>82</v>
      </c>
      <c r="E9" s="557"/>
      <c r="F9" s="557"/>
      <c r="G9" s="557"/>
      <c r="H9" s="520" t="str">
        <f t="shared" si="0"/>
        <v> </v>
      </c>
    </row>
    <row r="10" spans="1:8" ht="12">
      <c r="A10" s="550">
        <v>3</v>
      </c>
      <c r="B10" s="552" t="s">
        <v>142</v>
      </c>
      <c r="E10" s="557"/>
      <c r="F10" s="557"/>
      <c r="G10" s="557"/>
      <c r="H10" s="520" t="str">
        <f t="shared" si="0"/>
        <v> </v>
      </c>
    </row>
    <row r="11" spans="1:8" ht="12">
      <c r="A11" s="550">
        <v>4</v>
      </c>
      <c r="B11" s="552" t="s">
        <v>143</v>
      </c>
      <c r="E11" s="558">
        <f>E8+E9+E10</f>
        <v>0</v>
      </c>
      <c r="F11" s="558">
        <f>F8+F9+F10</f>
        <v>0</v>
      </c>
      <c r="G11" s="558">
        <f>G8+G9+G10</f>
        <v>0</v>
      </c>
      <c r="H11" s="520" t="str">
        <f t="shared" si="0"/>
        <v> </v>
      </c>
    </row>
    <row r="12" spans="1:8" ht="12">
      <c r="A12" s="550">
        <v>5</v>
      </c>
      <c r="B12" s="552" t="s">
        <v>85</v>
      </c>
      <c r="E12" s="557"/>
      <c r="F12" s="557"/>
      <c r="G12" s="557"/>
      <c r="H12" s="520" t="str">
        <f t="shared" si="0"/>
        <v> </v>
      </c>
    </row>
    <row r="13" spans="1:8" ht="12">
      <c r="A13" s="550">
        <v>6</v>
      </c>
      <c r="B13" s="552" t="s">
        <v>144</v>
      </c>
      <c r="E13" s="558">
        <f>E11+E12</f>
        <v>0</v>
      </c>
      <c r="F13" s="558">
        <f>F11+F12</f>
        <v>0</v>
      </c>
      <c r="G13" s="558">
        <f>G11+G12</f>
        <v>0</v>
      </c>
      <c r="H13" s="520" t="str">
        <f t="shared" si="0"/>
        <v> </v>
      </c>
    </row>
    <row r="14" spans="5:8" ht="12">
      <c r="E14" s="559"/>
      <c r="F14" s="559"/>
      <c r="G14" s="559"/>
      <c r="H14" s="520"/>
    </row>
    <row r="15" spans="2:8" ht="12">
      <c r="B15" s="552" t="s">
        <v>87</v>
      </c>
      <c r="E15" s="559"/>
      <c r="F15" s="559"/>
      <c r="G15" s="559"/>
      <c r="H15" s="520"/>
    </row>
    <row r="16" spans="2:8" ht="12">
      <c r="B16" s="552" t="s">
        <v>88</v>
      </c>
      <c r="E16" s="559"/>
      <c r="F16" s="559"/>
      <c r="G16" s="559"/>
      <c r="H16" s="520"/>
    </row>
    <row r="17" spans="1:8" ht="12">
      <c r="A17" s="550">
        <v>7</v>
      </c>
      <c r="B17" s="552" t="s">
        <v>145</v>
      </c>
      <c r="E17" s="557"/>
      <c r="F17" s="557"/>
      <c r="G17" s="557"/>
      <c r="H17" s="520" t="str">
        <f>IF(E17=F17+G17," ","ERROR")</f>
        <v> </v>
      </c>
    </row>
    <row r="18" spans="1:8" ht="12">
      <c r="A18" s="550">
        <v>8</v>
      </c>
      <c r="B18" s="552" t="s">
        <v>146</v>
      </c>
      <c r="E18" s="557"/>
      <c r="F18" s="557"/>
      <c r="G18" s="557"/>
      <c r="H18" s="520" t="str">
        <f>IF(E18=F18+G18," ","ERROR")</f>
        <v> </v>
      </c>
    </row>
    <row r="19" spans="1:8" ht="12">
      <c r="A19" s="550">
        <v>9</v>
      </c>
      <c r="B19" s="552" t="s">
        <v>147</v>
      </c>
      <c r="E19" s="557"/>
      <c r="F19" s="557"/>
      <c r="G19" s="557"/>
      <c r="H19" s="520" t="str">
        <f>IF(E19=F19+G19," ","ERROR")</f>
        <v> </v>
      </c>
    </row>
    <row r="20" spans="1:8" ht="12">
      <c r="A20" s="550">
        <v>10</v>
      </c>
      <c r="B20" s="552" t="s">
        <v>148</v>
      </c>
      <c r="E20" s="557">
        <f>F20+G20</f>
        <v>-481</v>
      </c>
      <c r="F20" s="557">
        <v>-313</v>
      </c>
      <c r="G20" s="557">
        <v>-168</v>
      </c>
      <c r="H20" s="520" t="str">
        <f>IF(E20=F20+G20," ","ERROR")</f>
        <v> </v>
      </c>
    </row>
    <row r="21" spans="1:8" ht="12">
      <c r="A21" s="550">
        <v>11</v>
      </c>
      <c r="B21" s="552" t="s">
        <v>149</v>
      </c>
      <c r="E21" s="558">
        <f>E17+E18+E19+E20</f>
        <v>-481</v>
      </c>
      <c r="F21" s="558">
        <f>F17+F18+F19+F20</f>
        <v>-313</v>
      </c>
      <c r="G21" s="558">
        <f>G17+G18+G19+G20</f>
        <v>-168</v>
      </c>
      <c r="H21" s="520" t="str">
        <f>IF(E21=F21+G21," ","ERROR")</f>
        <v> </v>
      </c>
    </row>
    <row r="22" spans="5:8" ht="12">
      <c r="E22" s="559"/>
      <c r="F22" s="559"/>
      <c r="G22" s="559"/>
      <c r="H22" s="520"/>
    </row>
    <row r="23" spans="2:8" ht="12">
      <c r="B23" s="552" t="s">
        <v>93</v>
      </c>
      <c r="E23" s="559"/>
      <c r="F23" s="559"/>
      <c r="G23" s="559"/>
      <c r="H23" s="520"/>
    </row>
    <row r="24" spans="1:8" ht="12">
      <c r="A24" s="550">
        <v>12</v>
      </c>
      <c r="B24" s="552" t="s">
        <v>145</v>
      </c>
      <c r="E24" s="557"/>
      <c r="F24" s="557"/>
      <c r="G24" s="557"/>
      <c r="H24" s="520" t="str">
        <f>IF(E24=F24+G24," ","ERROR")</f>
        <v> </v>
      </c>
    </row>
    <row r="25" spans="1:8" ht="12">
      <c r="A25" s="550">
        <v>13</v>
      </c>
      <c r="B25" s="552" t="s">
        <v>150</v>
      </c>
      <c r="E25" s="557"/>
      <c r="F25" s="557"/>
      <c r="G25" s="557"/>
      <c r="H25" s="520" t="str">
        <f>IF(E25=F25+G25," ","ERROR")</f>
        <v> </v>
      </c>
    </row>
    <row r="26" spans="1:8" ht="12">
      <c r="A26" s="550">
        <v>14</v>
      </c>
      <c r="B26" s="552" t="s">
        <v>148</v>
      </c>
      <c r="E26" s="557">
        <f>F26+G26</f>
        <v>398</v>
      </c>
      <c r="F26" s="557">
        <v>413</v>
      </c>
      <c r="G26" s="560">
        <f>F109-17</f>
        <v>-15</v>
      </c>
      <c r="H26" s="520" t="str">
        <f>IF(E26=F26+G26," ","ERROR")</f>
        <v> </v>
      </c>
    </row>
    <row r="27" spans="1:8" ht="12">
      <c r="A27" s="550">
        <v>15</v>
      </c>
      <c r="B27" s="552" t="s">
        <v>151</v>
      </c>
      <c r="E27" s="558">
        <f>E24+E25+E26</f>
        <v>398</v>
      </c>
      <c r="F27" s="558">
        <f>F24+F25+F26</f>
        <v>413</v>
      </c>
      <c r="G27" s="558">
        <f>G24+G25+G26</f>
        <v>-15</v>
      </c>
      <c r="H27" s="520" t="str">
        <f>IF(E27=F27+G27," ","ERROR")</f>
        <v> </v>
      </c>
    </row>
    <row r="28" spans="5:8" ht="12">
      <c r="E28" s="559"/>
      <c r="F28" s="559"/>
      <c r="G28" s="559"/>
      <c r="H28" s="520"/>
    </row>
    <row r="29" spans="1:8" ht="12">
      <c r="A29" s="550">
        <v>16</v>
      </c>
      <c r="B29" s="552" t="s">
        <v>96</v>
      </c>
      <c r="E29" s="557"/>
      <c r="F29" s="557"/>
      <c r="G29" s="557"/>
      <c r="H29" s="520" t="str">
        <f>IF(E29=F29+G29," ","ERROR")</f>
        <v> </v>
      </c>
    </row>
    <row r="30" spans="1:8" ht="12">
      <c r="A30" s="550">
        <v>17</v>
      </c>
      <c r="B30" s="552" t="s">
        <v>97</v>
      </c>
      <c r="E30" s="557"/>
      <c r="F30" s="557"/>
      <c r="G30" s="557"/>
      <c r="H30" s="520" t="str">
        <f>IF(E30=F30+G30," ","ERROR")</f>
        <v> </v>
      </c>
    </row>
    <row r="31" spans="1:8" ht="12">
      <c r="A31" s="550">
        <v>18</v>
      </c>
      <c r="B31" s="552" t="s">
        <v>152</v>
      </c>
      <c r="E31" s="557"/>
      <c r="F31" s="557"/>
      <c r="G31" s="557"/>
      <c r="H31" s="520" t="str">
        <f>IF(E31=F31+G31," ","ERROR")</f>
        <v> </v>
      </c>
    </row>
    <row r="32" spans="5:8" ht="12">
      <c r="E32" s="559"/>
      <c r="F32" s="559"/>
      <c r="G32" s="559"/>
      <c r="H32" s="520"/>
    </row>
    <row r="33" spans="2:8" ht="12">
      <c r="B33" s="552" t="s">
        <v>99</v>
      </c>
      <c r="E33" s="559"/>
      <c r="F33" s="559"/>
      <c r="G33" s="559"/>
      <c r="H33" s="520"/>
    </row>
    <row r="34" spans="1:8" ht="12">
      <c r="A34" s="550">
        <v>19</v>
      </c>
      <c r="B34" s="552" t="s">
        <v>145</v>
      </c>
      <c r="E34" s="557"/>
      <c r="F34" s="557"/>
      <c r="G34" s="557"/>
      <c r="H34" s="520" t="str">
        <f>IF(E34=F34+G34," ","ERROR")</f>
        <v> </v>
      </c>
    </row>
    <row r="35" spans="1:8" ht="12">
      <c r="A35" s="550">
        <v>20</v>
      </c>
      <c r="B35" s="552" t="s">
        <v>150</v>
      </c>
      <c r="E35" s="557"/>
      <c r="F35" s="557"/>
      <c r="G35" s="557"/>
      <c r="H35" s="520" t="str">
        <f>IF(E35=F35+G35," ","ERROR")</f>
        <v> </v>
      </c>
    </row>
    <row r="36" spans="1:8" ht="12">
      <c r="A36" s="550">
        <v>21</v>
      </c>
      <c r="B36" s="552" t="s">
        <v>148</v>
      </c>
      <c r="E36" s="557">
        <f>F36+G36</f>
        <v>5</v>
      </c>
      <c r="F36" s="557">
        <v>3</v>
      </c>
      <c r="G36" s="557">
        <v>2</v>
      </c>
      <c r="H36" s="520" t="str">
        <f>IF(E36=F36+G36," ","ERROR")</f>
        <v> </v>
      </c>
    </row>
    <row r="37" spans="1:8" ht="12">
      <c r="A37" s="550">
        <v>22</v>
      </c>
      <c r="B37" s="552" t="s">
        <v>153</v>
      </c>
      <c r="E37" s="561">
        <f>E34+E35+E36</f>
        <v>5</v>
      </c>
      <c r="F37" s="561">
        <f>F34+F35+F36</f>
        <v>3</v>
      </c>
      <c r="G37" s="561">
        <f>G34+G35+G36</f>
        <v>2</v>
      </c>
      <c r="H37" s="520" t="str">
        <f>IF(E37=F37+G37," ","ERROR")</f>
        <v> </v>
      </c>
    </row>
    <row r="38" spans="1:8" ht="12">
      <c r="A38" s="550">
        <v>23</v>
      </c>
      <c r="B38" s="552" t="s">
        <v>101</v>
      </c>
      <c r="E38" s="562">
        <f>E21+E27+E29+E30+E31+E37</f>
        <v>-78</v>
      </c>
      <c r="F38" s="562">
        <f>F21+F27+F29+F30+F31+F37</f>
        <v>103</v>
      </c>
      <c r="G38" s="562">
        <f>G21+G27+G29+G30+G31+G37</f>
        <v>-181</v>
      </c>
      <c r="H38" s="520" t="str">
        <f>IF(E38=F38+G38," ","ERROR")</f>
        <v> </v>
      </c>
    </row>
    <row r="39" spans="5:8" ht="12">
      <c r="E39" s="559"/>
      <c r="F39" s="559"/>
      <c r="G39" s="559"/>
      <c r="H39" s="520"/>
    </row>
    <row r="40" spans="1:8" ht="12">
      <c r="A40" s="550">
        <v>24</v>
      </c>
      <c r="B40" s="552" t="s">
        <v>154</v>
      </c>
      <c r="E40" s="559">
        <f>E13-E38</f>
        <v>78</v>
      </c>
      <c r="F40" s="559">
        <f>F13-F38</f>
        <v>-103</v>
      </c>
      <c r="G40" s="559">
        <f>G13-G38</f>
        <v>181</v>
      </c>
      <c r="H40" s="520" t="str">
        <f>IF(E40=F40+G40," ","ERROR")</f>
        <v> </v>
      </c>
    </row>
    <row r="41" spans="2:8" ht="12">
      <c r="B41" s="552"/>
      <c r="E41" s="559"/>
      <c r="F41" s="559"/>
      <c r="G41" s="559"/>
      <c r="H41" s="520"/>
    </row>
    <row r="42" spans="2:8" ht="12">
      <c r="B42" s="552" t="s">
        <v>155</v>
      </c>
      <c r="E42" s="559"/>
      <c r="F42" s="559"/>
      <c r="G42" s="559"/>
      <c r="H42" s="520"/>
    </row>
    <row r="43" spans="1:8" ht="12">
      <c r="A43" s="550">
        <v>25</v>
      </c>
      <c r="B43" s="552" t="s">
        <v>214</v>
      </c>
      <c r="E43" s="557">
        <f>F43+G43</f>
        <v>27</v>
      </c>
      <c r="F43" s="557">
        <f>ROUND(F40*0.35,0)</f>
        <v>-36</v>
      </c>
      <c r="G43" s="557">
        <f>ROUND(G40*0.35,0)</f>
        <v>63</v>
      </c>
      <c r="H43" s="520" t="str">
        <f>IF(E43=F43+G43," ","ERROR")</f>
        <v> </v>
      </c>
    </row>
    <row r="44" spans="1:8" ht="12">
      <c r="A44" s="550">
        <v>26</v>
      </c>
      <c r="B44" s="552" t="s">
        <v>157</v>
      </c>
      <c r="E44" s="557"/>
      <c r="F44" s="557"/>
      <c r="G44" s="557"/>
      <c r="H44" s="520" t="str">
        <f>IF(E44=F44+G44," ","ERROR")</f>
        <v> </v>
      </c>
    </row>
    <row r="45" spans="1:8" ht="12.75">
      <c r="A45"/>
      <c r="B45"/>
      <c r="C45"/>
      <c r="D45"/>
      <c r="E45" s="943"/>
      <c r="F45" s="943"/>
      <c r="G45" s="943"/>
      <c r="H45" s="520" t="str">
        <f>IF(E45=F45+G45," ","ERROR")</f>
        <v> </v>
      </c>
    </row>
    <row r="46" spans="1:8" ht="12">
      <c r="A46" s="278"/>
      <c r="B46" s="281"/>
      <c r="C46" s="275"/>
      <c r="D46" s="275"/>
      <c r="E46" s="288"/>
      <c r="F46" s="288"/>
      <c r="G46" s="288"/>
      <c r="H46" s="520"/>
    </row>
    <row r="47" spans="1:8" s="555" customFormat="1" ht="12">
      <c r="A47" s="282">
        <v>27</v>
      </c>
      <c r="B47" s="283" t="s">
        <v>108</v>
      </c>
      <c r="C47" s="284"/>
      <c r="D47" s="284"/>
      <c r="E47" s="292">
        <f>E40-SUM(E43:E44)</f>
        <v>51</v>
      </c>
      <c r="F47" s="292">
        <f>F40-SUM(F43:F44)</f>
        <v>-67</v>
      </c>
      <c r="G47" s="292">
        <f>G40-SUM(G43:G44)</f>
        <v>118</v>
      </c>
      <c r="H47" s="520" t="str">
        <f>IF(E47=F47+G47," ","ERROR")</f>
        <v> </v>
      </c>
    </row>
    <row r="48" spans="1:8" ht="12">
      <c r="A48" s="278"/>
      <c r="H48" s="520"/>
    </row>
    <row r="49" spans="1:8" ht="12">
      <c r="A49" s="278"/>
      <c r="B49" s="552" t="s">
        <v>109</v>
      </c>
      <c r="H49" s="520"/>
    </row>
    <row r="50" spans="1:8" ht="12">
      <c r="A50" s="278"/>
      <c r="B50" s="552" t="s">
        <v>110</v>
      </c>
      <c r="H50" s="520"/>
    </row>
    <row r="51" spans="1:8" s="555" customFormat="1" ht="12">
      <c r="A51" s="282">
        <v>28</v>
      </c>
      <c r="B51" s="554" t="s">
        <v>159</v>
      </c>
      <c r="E51" s="556"/>
      <c r="F51" s="556"/>
      <c r="G51" s="556"/>
      <c r="H51" s="520" t="str">
        <f aca="true" t="shared" si="1" ref="H51:H61">IF(E51=F51+G51," ","ERROR")</f>
        <v> </v>
      </c>
    </row>
    <row r="52" spans="1:8" ht="12">
      <c r="A52" s="278">
        <v>29</v>
      </c>
      <c r="B52" s="552" t="s">
        <v>160</v>
      </c>
      <c r="E52" s="557"/>
      <c r="F52" s="557"/>
      <c r="G52" s="557"/>
      <c r="H52" s="520" t="str">
        <f t="shared" si="1"/>
        <v> </v>
      </c>
    </row>
    <row r="53" spans="1:8" ht="12">
      <c r="A53" s="278">
        <v>30</v>
      </c>
      <c r="B53" s="552" t="s">
        <v>161</v>
      </c>
      <c r="E53" s="557"/>
      <c r="F53" s="557"/>
      <c r="G53" s="557"/>
      <c r="H53" s="520" t="str">
        <f t="shared" si="1"/>
        <v> </v>
      </c>
    </row>
    <row r="54" spans="1:8" ht="12">
      <c r="A54" s="278">
        <v>31</v>
      </c>
      <c r="B54" s="552" t="s">
        <v>162</v>
      </c>
      <c r="E54" s="557"/>
      <c r="F54" s="557"/>
      <c r="G54" s="557"/>
      <c r="H54" s="520" t="str">
        <f t="shared" si="1"/>
        <v> </v>
      </c>
    </row>
    <row r="55" spans="1:8" ht="12">
      <c r="A55" s="278">
        <v>32</v>
      </c>
      <c r="B55" s="552" t="s">
        <v>163</v>
      </c>
      <c r="E55" s="563"/>
      <c r="F55" s="563"/>
      <c r="G55" s="563"/>
      <c r="H55" s="520" t="str">
        <f t="shared" si="1"/>
        <v> </v>
      </c>
    </row>
    <row r="56" spans="1:8" ht="12">
      <c r="A56" s="278">
        <v>33</v>
      </c>
      <c r="B56" s="552" t="s">
        <v>164</v>
      </c>
      <c r="E56" s="559">
        <f>E51+E52+E53+E54+E55</f>
        <v>0</v>
      </c>
      <c r="F56" s="559">
        <f>F51+F52+F53+F54+F55</f>
        <v>0</v>
      </c>
      <c r="G56" s="559">
        <f>G51+G52+G53+G54+G55</f>
        <v>0</v>
      </c>
      <c r="H56" s="520" t="str">
        <f t="shared" si="1"/>
        <v> </v>
      </c>
    </row>
    <row r="57" spans="1:8" ht="12">
      <c r="A57" s="278">
        <v>34</v>
      </c>
      <c r="B57" s="552" t="s">
        <v>116</v>
      </c>
      <c r="E57" s="557"/>
      <c r="F57" s="557"/>
      <c r="G57" s="557"/>
      <c r="H57" s="520" t="str">
        <f t="shared" si="1"/>
        <v> </v>
      </c>
    </row>
    <row r="58" spans="1:8" ht="12">
      <c r="A58" s="278">
        <v>35</v>
      </c>
      <c r="B58" s="552" t="s">
        <v>117</v>
      </c>
      <c r="E58" s="563"/>
      <c r="F58" s="563"/>
      <c r="G58" s="563"/>
      <c r="H58" s="520" t="str">
        <f t="shared" si="1"/>
        <v> </v>
      </c>
    </row>
    <row r="59" spans="1:8" ht="12">
      <c r="A59" s="278">
        <v>36</v>
      </c>
      <c r="B59" s="552" t="s">
        <v>165</v>
      </c>
      <c r="E59" s="559">
        <f>E57+E58</f>
        <v>0</v>
      </c>
      <c r="F59" s="559">
        <f>F57+F58</f>
        <v>0</v>
      </c>
      <c r="G59" s="559">
        <f>G57+G58</f>
        <v>0</v>
      </c>
      <c r="H59" s="520" t="str">
        <f t="shared" si="1"/>
        <v> </v>
      </c>
    </row>
    <row r="60" spans="1:8" ht="12">
      <c r="A60" s="278">
        <v>37</v>
      </c>
      <c r="B60" s="552" t="s">
        <v>119</v>
      </c>
      <c r="E60" s="557"/>
      <c r="F60" s="557"/>
      <c r="G60" s="557"/>
      <c r="H60" s="520" t="str">
        <f t="shared" si="1"/>
        <v> </v>
      </c>
    </row>
    <row r="61" spans="1:8" ht="12">
      <c r="A61" s="278">
        <v>38</v>
      </c>
      <c r="B61" s="552" t="s">
        <v>120</v>
      </c>
      <c r="E61" s="563"/>
      <c r="F61" s="563"/>
      <c r="G61" s="563"/>
      <c r="H61" s="520" t="str">
        <f t="shared" si="1"/>
        <v> </v>
      </c>
    </row>
    <row r="62" spans="1:8" ht="12">
      <c r="A62" s="278"/>
      <c r="H62" s="520"/>
    </row>
    <row r="63" spans="1:8" s="555" customFormat="1" ht="12.75" thickBot="1">
      <c r="A63" s="282">
        <v>39</v>
      </c>
      <c r="B63" s="554" t="s">
        <v>121</v>
      </c>
      <c r="E63" s="565">
        <f>E56-E59+E60+E61</f>
        <v>0</v>
      </c>
      <c r="F63" s="565">
        <f>F56-F59+F60+F61</f>
        <v>0</v>
      </c>
      <c r="G63" s="565">
        <f>G56-G59+G60+G61</f>
        <v>0</v>
      </c>
      <c r="H63" s="520" t="str">
        <f>IF(E63=F63+G63," ","ERROR")</f>
        <v> </v>
      </c>
    </row>
    <row r="64" ht="12.75" thickTop="1"/>
    <row r="65" spans="1:8" ht="12">
      <c r="A65" s="546" t="str">
        <f>Inputs!$D$6</f>
        <v>AVISTA UTILITIES</v>
      </c>
      <c r="B65" s="546"/>
      <c r="C65" s="546"/>
      <c r="D65" s="566"/>
      <c r="E65" s="567"/>
      <c r="F65" s="568"/>
      <c r="G65" s="566"/>
      <c r="H65" s="532"/>
    </row>
    <row r="66" spans="1:8" ht="12">
      <c r="A66" s="546" t="s">
        <v>218</v>
      </c>
      <c r="B66" s="546"/>
      <c r="C66" s="546"/>
      <c r="D66" s="566"/>
      <c r="E66" s="567"/>
      <c r="F66" s="568"/>
      <c r="G66" s="566"/>
      <c r="H66" s="532"/>
    </row>
    <row r="67" spans="1:8" ht="12">
      <c r="A67" s="546" t="str">
        <f>A3</f>
        <v>TWELVE MONTHS ENDED DECEMBER 31, 2004</v>
      </c>
      <c r="B67" s="546"/>
      <c r="C67" s="546"/>
      <c r="D67" s="566"/>
      <c r="E67" s="567"/>
      <c r="F67" s="569" t="str">
        <f>E2</f>
        <v>PROPERTY TAX</v>
      </c>
      <c r="G67" s="566"/>
      <c r="H67" s="532"/>
    </row>
    <row r="68" spans="1:8" ht="12">
      <c r="A68" s="546" t="s">
        <v>219</v>
      </c>
      <c r="B68" s="546"/>
      <c r="C68" s="546"/>
      <c r="D68" s="566"/>
      <c r="E68" s="567"/>
      <c r="F68" s="569" t="str">
        <f>E3</f>
        <v>ADJUSTMENT</v>
      </c>
      <c r="G68" s="566"/>
      <c r="H68" s="532"/>
    </row>
    <row r="69" spans="2:8" ht="12">
      <c r="B69" s="566"/>
      <c r="C69" s="566"/>
      <c r="D69" s="566"/>
      <c r="E69" s="570"/>
      <c r="F69" s="571" t="str">
        <f>E4</f>
        <v>ELECTRIC</v>
      </c>
      <c r="G69" s="572"/>
      <c r="H69" s="537"/>
    </row>
    <row r="70" spans="2:8" ht="12">
      <c r="B70" s="566"/>
      <c r="C70" s="566"/>
      <c r="D70" s="566"/>
      <c r="E70" s="567"/>
      <c r="F70" s="569"/>
      <c r="G70" s="566"/>
      <c r="H70" s="532"/>
    </row>
    <row r="71" spans="2:8" ht="12">
      <c r="B71" s="573" t="s">
        <v>128</v>
      </c>
      <c r="C71" s="572"/>
      <c r="D71" s="566"/>
      <c r="E71" s="567"/>
      <c r="F71" s="571" t="s">
        <v>123</v>
      </c>
      <c r="G71" s="566"/>
      <c r="H71" s="532"/>
    </row>
    <row r="72" spans="2:8" ht="12">
      <c r="B72" s="552" t="s">
        <v>80</v>
      </c>
      <c r="C72" s="566"/>
      <c r="D72" s="566"/>
      <c r="E72" s="566"/>
      <c r="F72" s="568"/>
      <c r="G72" s="566"/>
      <c r="H72" s="531"/>
    </row>
    <row r="73" spans="2:8" ht="12">
      <c r="B73" s="554" t="s">
        <v>81</v>
      </c>
      <c r="C73" s="566"/>
      <c r="D73" s="566"/>
      <c r="E73" s="566"/>
      <c r="F73" s="564">
        <f>G8</f>
        <v>0</v>
      </c>
      <c r="G73" s="566"/>
      <c r="H73" s="531"/>
    </row>
    <row r="74" spans="2:8" ht="12">
      <c r="B74" s="552" t="s">
        <v>82</v>
      </c>
      <c r="C74" s="566"/>
      <c r="D74" s="566"/>
      <c r="E74" s="566"/>
      <c r="F74" s="559">
        <f>G9</f>
        <v>0</v>
      </c>
      <c r="G74" s="566"/>
      <c r="H74" s="531"/>
    </row>
    <row r="75" spans="2:8" ht="12">
      <c r="B75" s="552" t="s">
        <v>142</v>
      </c>
      <c r="C75" s="566"/>
      <c r="D75" s="566"/>
      <c r="E75" s="566"/>
      <c r="F75" s="562">
        <f>G10</f>
        <v>0</v>
      </c>
      <c r="G75" s="566"/>
      <c r="H75" s="531"/>
    </row>
    <row r="76" spans="2:8" ht="12">
      <c r="B76" s="552" t="s">
        <v>143</v>
      </c>
      <c r="C76" s="566"/>
      <c r="D76" s="566"/>
      <c r="E76" s="566"/>
      <c r="F76" s="559">
        <f>SUM(F73:F75)</f>
        <v>0</v>
      </c>
      <c r="G76" s="566"/>
      <c r="H76" s="531"/>
    </row>
    <row r="77" spans="2:8" ht="12">
      <c r="B77" s="552" t="s">
        <v>85</v>
      </c>
      <c r="C77" s="566"/>
      <c r="D77" s="566"/>
      <c r="E77" s="566"/>
      <c r="F77" s="562">
        <f>G12</f>
        <v>0</v>
      </c>
      <c r="G77" s="566"/>
      <c r="H77" s="531"/>
    </row>
    <row r="78" spans="2:8" ht="12">
      <c r="B78" s="552" t="s">
        <v>144</v>
      </c>
      <c r="C78" s="566"/>
      <c r="D78" s="566"/>
      <c r="E78" s="566"/>
      <c r="F78" s="559">
        <f>F76+F77</f>
        <v>0</v>
      </c>
      <c r="G78" s="566"/>
      <c r="H78" s="531"/>
    </row>
    <row r="79" spans="3:8" ht="12">
      <c r="C79" s="566"/>
      <c r="D79" s="566"/>
      <c r="E79" s="566"/>
      <c r="F79" s="559"/>
      <c r="G79" s="566"/>
      <c r="H79" s="531"/>
    </row>
    <row r="80" spans="2:8" ht="12">
      <c r="B80" s="552" t="s">
        <v>87</v>
      </c>
      <c r="C80" s="566"/>
      <c r="D80" s="566"/>
      <c r="E80" s="566"/>
      <c r="F80" s="559"/>
      <c r="G80" s="566"/>
      <c r="H80" s="531"/>
    </row>
    <row r="81" spans="2:8" ht="12">
      <c r="B81" s="552" t="s">
        <v>88</v>
      </c>
      <c r="C81" s="566"/>
      <c r="D81" s="566"/>
      <c r="E81" s="566"/>
      <c r="F81" s="559"/>
      <c r="G81" s="566"/>
      <c r="H81" s="531"/>
    </row>
    <row r="82" spans="2:8" ht="12">
      <c r="B82" s="552" t="s">
        <v>145</v>
      </c>
      <c r="C82" s="566"/>
      <c r="D82" s="566"/>
      <c r="E82" s="566"/>
      <c r="F82" s="559">
        <f>G17</f>
        <v>0</v>
      </c>
      <c r="G82" s="566"/>
      <c r="H82" s="531"/>
    </row>
    <row r="83" spans="2:8" ht="12">
      <c r="B83" s="552" t="s">
        <v>146</v>
      </c>
      <c r="C83" s="566"/>
      <c r="D83" s="566"/>
      <c r="E83" s="566"/>
      <c r="F83" s="559">
        <f>G18</f>
        <v>0</v>
      </c>
      <c r="G83" s="566"/>
      <c r="H83" s="531"/>
    </row>
    <row r="84" spans="2:8" ht="12">
      <c r="B84" s="552" t="s">
        <v>147</v>
      </c>
      <c r="C84" s="566"/>
      <c r="D84" s="566"/>
      <c r="E84" s="566"/>
      <c r="F84" s="559">
        <f>G19</f>
        <v>0</v>
      </c>
      <c r="G84" s="566"/>
      <c r="H84" s="531"/>
    </row>
    <row r="85" spans="2:8" ht="12">
      <c r="B85" s="552" t="s">
        <v>148</v>
      </c>
      <c r="C85" s="566"/>
      <c r="D85" s="566"/>
      <c r="E85" s="566"/>
      <c r="F85" s="562">
        <f>G20</f>
        <v>-168</v>
      </c>
      <c r="G85" s="566"/>
      <c r="H85" s="531"/>
    </row>
    <row r="86" spans="2:8" ht="12">
      <c r="B86" s="552" t="s">
        <v>149</v>
      </c>
      <c r="C86" s="566"/>
      <c r="D86" s="566"/>
      <c r="E86" s="566"/>
      <c r="F86" s="559">
        <f>SUM(F82:F85)</f>
        <v>-168</v>
      </c>
      <c r="G86" s="566"/>
      <c r="H86" s="531"/>
    </row>
    <row r="87" spans="3:8" ht="12">
      <c r="C87" s="566"/>
      <c r="D87" s="566"/>
      <c r="E87" s="566"/>
      <c r="F87" s="559"/>
      <c r="G87" s="566"/>
      <c r="H87" s="531"/>
    </row>
    <row r="88" spans="2:8" ht="12">
      <c r="B88" s="552" t="s">
        <v>93</v>
      </c>
      <c r="C88" s="566"/>
      <c r="D88" s="566"/>
      <c r="E88" s="566"/>
      <c r="F88" s="559"/>
      <c r="G88" s="566"/>
      <c r="H88" s="531"/>
    </row>
    <row r="89" spans="2:8" ht="12">
      <c r="B89" s="552" t="s">
        <v>145</v>
      </c>
      <c r="C89" s="566"/>
      <c r="D89" s="566"/>
      <c r="E89" s="566"/>
      <c r="F89" s="559">
        <f>G24</f>
        <v>0</v>
      </c>
      <c r="G89" s="566"/>
      <c r="H89" s="531"/>
    </row>
    <row r="90" spans="2:8" ht="12">
      <c r="B90" s="552" t="s">
        <v>150</v>
      </c>
      <c r="C90" s="566"/>
      <c r="D90" s="566"/>
      <c r="E90" s="566"/>
      <c r="F90" s="559">
        <f>G25</f>
        <v>0</v>
      </c>
      <c r="G90" s="566"/>
      <c r="H90" s="531"/>
    </row>
    <row r="91" spans="1:8" ht="12">
      <c r="A91" s="547"/>
      <c r="B91" s="552" t="s">
        <v>148</v>
      </c>
      <c r="C91" s="566"/>
      <c r="D91" s="566"/>
      <c r="E91" s="566"/>
      <c r="F91" s="574">
        <v>-17</v>
      </c>
      <c r="G91" s="566"/>
      <c r="H91" s="531"/>
    </row>
    <row r="92" spans="1:8" ht="12">
      <c r="A92" s="547"/>
      <c r="B92" s="552" t="s">
        <v>151</v>
      </c>
      <c r="C92" s="566"/>
      <c r="D92" s="566"/>
      <c r="E92" s="566"/>
      <c r="F92" s="558">
        <f>SUM(F89:F91)</f>
        <v>-17</v>
      </c>
      <c r="G92" s="566"/>
      <c r="H92" s="531"/>
    </row>
    <row r="93" spans="1:8" ht="12">
      <c r="A93" s="547"/>
      <c r="C93" s="566"/>
      <c r="D93" s="566"/>
      <c r="E93" s="566"/>
      <c r="F93" s="559"/>
      <c r="G93" s="566"/>
      <c r="H93" s="531"/>
    </row>
    <row r="94" spans="1:8" ht="12">
      <c r="A94" s="547"/>
      <c r="B94" s="552" t="s">
        <v>96</v>
      </c>
      <c r="C94" s="566"/>
      <c r="D94" s="566"/>
      <c r="E94" s="566"/>
      <c r="F94" s="559">
        <f>G29</f>
        <v>0</v>
      </c>
      <c r="G94" s="566"/>
      <c r="H94" s="531"/>
    </row>
    <row r="95" spans="1:8" ht="12">
      <c r="A95" s="547"/>
      <c r="B95" s="552" t="s">
        <v>97</v>
      </c>
      <c r="C95" s="566"/>
      <c r="D95" s="566"/>
      <c r="E95" s="566"/>
      <c r="F95" s="559">
        <f>G30</f>
        <v>0</v>
      </c>
      <c r="G95" s="566"/>
      <c r="H95" s="531"/>
    </row>
    <row r="96" spans="1:8" ht="12">
      <c r="A96" s="547"/>
      <c r="B96" s="552" t="s">
        <v>152</v>
      </c>
      <c r="C96" s="566"/>
      <c r="D96" s="566"/>
      <c r="E96" s="566"/>
      <c r="F96" s="559">
        <f>G31</f>
        <v>0</v>
      </c>
      <c r="G96" s="566"/>
      <c r="H96" s="531"/>
    </row>
    <row r="97" spans="1:8" ht="12">
      <c r="A97" s="547"/>
      <c r="C97" s="566"/>
      <c r="D97" s="566"/>
      <c r="E97" s="566"/>
      <c r="F97" s="559"/>
      <c r="G97" s="566"/>
      <c r="H97" s="531"/>
    </row>
    <row r="98" spans="1:8" ht="12">
      <c r="A98" s="547"/>
      <c r="B98" s="552" t="s">
        <v>99</v>
      </c>
      <c r="C98" s="566"/>
      <c r="D98" s="566"/>
      <c r="E98" s="566"/>
      <c r="F98" s="559"/>
      <c r="G98" s="566"/>
      <c r="H98" s="531"/>
    </row>
    <row r="99" spans="1:8" ht="12">
      <c r="A99" s="547"/>
      <c r="B99" s="552" t="s">
        <v>145</v>
      </c>
      <c r="C99" s="566"/>
      <c r="D99" s="566"/>
      <c r="E99" s="566"/>
      <c r="F99" s="559">
        <f>G34</f>
        <v>0</v>
      </c>
      <c r="G99" s="566"/>
      <c r="H99" s="531"/>
    </row>
    <row r="100" spans="1:8" ht="12">
      <c r="A100" s="547"/>
      <c r="B100" s="552" t="s">
        <v>150</v>
      </c>
      <c r="C100" s="566"/>
      <c r="D100" s="566"/>
      <c r="E100" s="566"/>
      <c r="F100" s="559">
        <f>G35</f>
        <v>0</v>
      </c>
      <c r="G100" s="566"/>
      <c r="H100" s="531"/>
    </row>
    <row r="101" spans="1:8" ht="12">
      <c r="A101" s="547"/>
      <c r="B101" s="552" t="s">
        <v>148</v>
      </c>
      <c r="C101" s="566"/>
      <c r="D101" s="566"/>
      <c r="E101" s="566"/>
      <c r="F101" s="562">
        <f>G36</f>
        <v>2</v>
      </c>
      <c r="G101" s="566"/>
      <c r="H101" s="531"/>
    </row>
    <row r="102" spans="1:8" ht="12">
      <c r="A102" s="547"/>
      <c r="B102" s="552" t="s">
        <v>153</v>
      </c>
      <c r="C102" s="566"/>
      <c r="D102" s="566"/>
      <c r="E102" s="566"/>
      <c r="F102" s="559">
        <f>F99+F100+F101</f>
        <v>2</v>
      </c>
      <c r="G102" s="566"/>
      <c r="H102" s="531"/>
    </row>
    <row r="103" spans="1:8" ht="12">
      <c r="A103" s="547"/>
      <c r="B103" s="566"/>
      <c r="C103" s="566"/>
      <c r="D103" s="566"/>
      <c r="E103" s="566"/>
      <c r="F103" s="559"/>
      <c r="G103" s="566"/>
      <c r="H103" s="531"/>
    </row>
    <row r="104" spans="1:8" ht="12">
      <c r="A104" s="547"/>
      <c r="B104" s="566" t="s">
        <v>101</v>
      </c>
      <c r="C104" s="566"/>
      <c r="D104" s="566"/>
      <c r="E104" s="566"/>
      <c r="F104" s="561">
        <f>F86+F92+F94+F95+F96+F102</f>
        <v>-183</v>
      </c>
      <c r="G104" s="566"/>
      <c r="H104" s="531"/>
    </row>
    <row r="105" spans="1:8" ht="12">
      <c r="A105" s="547"/>
      <c r="B105" s="566"/>
      <c r="C105" s="566"/>
      <c r="D105" s="566"/>
      <c r="E105" s="566"/>
      <c r="F105" s="559"/>
      <c r="G105" s="566"/>
      <c r="H105" s="531"/>
    </row>
    <row r="106" spans="1:8" ht="12">
      <c r="A106" s="547"/>
      <c r="B106" s="566" t="s">
        <v>220</v>
      </c>
      <c r="C106" s="566"/>
      <c r="D106" s="566"/>
      <c r="E106" s="566"/>
      <c r="F106" s="562">
        <f>F78-F104</f>
        <v>183</v>
      </c>
      <c r="G106" s="566"/>
      <c r="H106" s="531"/>
    </row>
    <row r="107" spans="1:8" ht="12">
      <c r="A107" s="547"/>
      <c r="B107" s="566"/>
      <c r="C107" s="566"/>
      <c r="D107" s="566"/>
      <c r="E107" s="566"/>
      <c r="F107" s="559"/>
      <c r="G107" s="566"/>
      <c r="H107" s="531"/>
    </row>
    <row r="108" spans="1:8" ht="12">
      <c r="A108" s="547"/>
      <c r="B108" s="566" t="s">
        <v>221</v>
      </c>
      <c r="C108" s="566"/>
      <c r="D108" s="566"/>
      <c r="E108" s="567"/>
      <c r="F108" s="559"/>
      <c r="G108" s="566"/>
      <c r="H108" s="531"/>
    </row>
    <row r="109" spans="1:8" ht="12.75" thickBot="1">
      <c r="A109" s="547"/>
      <c r="B109" s="575" t="s">
        <v>222</v>
      </c>
      <c r="C109" s="576">
        <f>Inputs!$D$4</f>
        <v>0.01065</v>
      </c>
      <c r="D109" s="566"/>
      <c r="E109" s="567"/>
      <c r="F109" s="565">
        <f>ROUND(F106*C109,0)</f>
        <v>2</v>
      </c>
      <c r="G109" s="566"/>
      <c r="H109" s="531"/>
    </row>
    <row r="110" spans="1:8" ht="12.75" thickTop="1">
      <c r="A110" s="547"/>
      <c r="B110" s="566"/>
      <c r="C110" s="566"/>
      <c r="D110" s="566"/>
      <c r="E110" s="567"/>
      <c r="F110" s="568"/>
      <c r="G110" s="566"/>
      <c r="H110" s="531"/>
    </row>
  </sheetData>
  <printOptions horizontalCentered="1"/>
  <pageMargins left="1" right="1" top="0.5" bottom="0.5" header="0.5" footer="0.5"/>
  <pageSetup horizontalDpi="300" verticalDpi="300" orientation="portrait" scale="90" r:id="rId1"/>
  <rowBreaks count="1" manualBreakCount="1">
    <brk id="65" max="65535" man="1"/>
  </rowBreaks>
  <colBreaks count="1" manualBreakCount="1">
    <brk id="7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110"/>
  <sheetViews>
    <sheetView zoomScale="75" zoomScaleNormal="75" workbookViewId="0" topLeftCell="A71">
      <selection activeCell="C109" sqref="C109"/>
    </sheetView>
  </sheetViews>
  <sheetFormatPr defaultColWidth="9.140625" defaultRowHeight="12.75"/>
  <cols>
    <col min="1" max="1" width="5.57421875" style="550" customWidth="1"/>
    <col min="2" max="2" width="26.140625" style="547" customWidth="1"/>
    <col min="3" max="3" width="12.421875" style="547" customWidth="1"/>
    <col min="4" max="4" width="6.7109375" style="547" customWidth="1"/>
    <col min="5" max="6" width="12.421875" style="547" customWidth="1"/>
    <col min="7" max="7" width="11.7109375" style="547" customWidth="1"/>
    <col min="8" max="8" width="12.421875" style="510" customWidth="1"/>
    <col min="9" max="16384" width="12.421875" style="547" customWidth="1"/>
  </cols>
  <sheetData>
    <row r="1" spans="1:3" ht="12">
      <c r="A1" s="545" t="str">
        <f>Inputs!$D$6</f>
        <v>AVISTA UTILITIES</v>
      </c>
      <c r="B1" s="546"/>
      <c r="C1" s="545"/>
    </row>
    <row r="2" spans="1:7" ht="12">
      <c r="A2" s="545" t="s">
        <v>134</v>
      </c>
      <c r="B2" s="546"/>
      <c r="C2" s="545"/>
      <c r="E2" s="545" t="s">
        <v>236</v>
      </c>
      <c r="F2" s="545"/>
      <c r="G2" s="545"/>
    </row>
    <row r="3" spans="1:7" ht="12">
      <c r="A3" s="546" t="str">
        <f>WAElec12_04!$A$4</f>
        <v>TWELVE MONTHS ENDED DECEMBER 31, 2004</v>
      </c>
      <c r="B3" s="546"/>
      <c r="C3" s="545"/>
      <c r="E3" s="545" t="s">
        <v>237</v>
      </c>
      <c r="F3" s="545"/>
      <c r="G3" s="545"/>
    </row>
    <row r="4" spans="1:7" ht="12">
      <c r="A4" s="545" t="s">
        <v>1</v>
      </c>
      <c r="B4" s="546"/>
      <c r="C4" s="545"/>
      <c r="E4" s="548" t="s">
        <v>137</v>
      </c>
      <c r="F4" s="548"/>
      <c r="G4" s="549"/>
    </row>
    <row r="5" ht="12">
      <c r="A5" s="550" t="s">
        <v>13</v>
      </c>
    </row>
    <row r="6" spans="1:8" s="550" customFormat="1" ht="12">
      <c r="A6" s="550" t="s">
        <v>138</v>
      </c>
      <c r="B6" s="551" t="s">
        <v>34</v>
      </c>
      <c r="C6" s="551"/>
      <c r="E6" s="551" t="s">
        <v>139</v>
      </c>
      <c r="F6" s="551" t="s">
        <v>140</v>
      </c>
      <c r="G6" s="551" t="s">
        <v>123</v>
      </c>
      <c r="H6" s="516"/>
    </row>
    <row r="7" ht="12">
      <c r="B7" s="552" t="s">
        <v>80</v>
      </c>
    </row>
    <row r="8" spans="1:8" s="555" customFormat="1" ht="12">
      <c r="A8" s="553">
        <v>1</v>
      </c>
      <c r="B8" s="554" t="s">
        <v>81</v>
      </c>
      <c r="E8" s="556">
        <f>F8+G8</f>
        <v>0</v>
      </c>
      <c r="F8" s="556"/>
      <c r="G8" s="556"/>
      <c r="H8" s="520" t="str">
        <f aca="true" t="shared" si="0" ref="H8:H13">IF(E8=F8+G8," ","ERROR")</f>
        <v> </v>
      </c>
    </row>
    <row r="9" spans="1:8" ht="12">
      <c r="A9" s="550">
        <v>2</v>
      </c>
      <c r="B9" s="552" t="s">
        <v>82</v>
      </c>
      <c r="E9" s="557"/>
      <c r="F9" s="557"/>
      <c r="G9" s="557"/>
      <c r="H9" s="520" t="str">
        <f t="shared" si="0"/>
        <v> </v>
      </c>
    </row>
    <row r="10" spans="1:8" ht="12">
      <c r="A10" s="550">
        <v>3</v>
      </c>
      <c r="B10" s="552" t="s">
        <v>142</v>
      </c>
      <c r="E10" s="557"/>
      <c r="F10" s="557"/>
      <c r="G10" s="557"/>
      <c r="H10" s="520" t="str">
        <f t="shared" si="0"/>
        <v> </v>
      </c>
    </row>
    <row r="11" spans="1:8" ht="12">
      <c r="A11" s="550">
        <v>4</v>
      </c>
      <c r="B11" s="552" t="s">
        <v>143</v>
      </c>
      <c r="E11" s="558">
        <f>E8+E9+E10</f>
        <v>0</v>
      </c>
      <c r="F11" s="558">
        <f>F8+F9+F10</f>
        <v>0</v>
      </c>
      <c r="G11" s="558">
        <f>G8+G9+G10</f>
        <v>0</v>
      </c>
      <c r="H11" s="520" t="str">
        <f t="shared" si="0"/>
        <v> </v>
      </c>
    </row>
    <row r="12" spans="1:8" ht="12">
      <c r="A12" s="550">
        <v>5</v>
      </c>
      <c r="B12" s="552" t="s">
        <v>85</v>
      </c>
      <c r="E12" s="557"/>
      <c r="F12" s="557"/>
      <c r="G12" s="557"/>
      <c r="H12" s="520" t="str">
        <f t="shared" si="0"/>
        <v> </v>
      </c>
    </row>
    <row r="13" spans="1:8" ht="12">
      <c r="A13" s="550">
        <v>6</v>
      </c>
      <c r="B13" s="552" t="s">
        <v>144</v>
      </c>
      <c r="E13" s="558">
        <f>E11+E12</f>
        <v>0</v>
      </c>
      <c r="F13" s="558">
        <f>F11+F12</f>
        <v>0</v>
      </c>
      <c r="G13" s="558">
        <f>G11+G12</f>
        <v>0</v>
      </c>
      <c r="H13" s="520" t="str">
        <f t="shared" si="0"/>
        <v> </v>
      </c>
    </row>
    <row r="14" spans="5:8" ht="12">
      <c r="E14" s="559"/>
      <c r="F14" s="559"/>
      <c r="G14" s="559"/>
      <c r="H14" s="520"/>
    </row>
    <row r="15" spans="2:8" ht="12">
      <c r="B15" s="552" t="s">
        <v>87</v>
      </c>
      <c r="E15" s="559"/>
      <c r="F15" s="559"/>
      <c r="G15" s="559"/>
      <c r="H15" s="520"/>
    </row>
    <row r="16" spans="2:8" ht="12">
      <c r="B16" s="552" t="s">
        <v>88</v>
      </c>
      <c r="E16" s="559"/>
      <c r="F16" s="559"/>
      <c r="G16" s="559"/>
      <c r="H16" s="520"/>
    </row>
    <row r="17" spans="1:8" ht="12">
      <c r="A17" s="550">
        <v>7</v>
      </c>
      <c r="B17" s="552" t="s">
        <v>145</v>
      </c>
      <c r="E17" s="557"/>
      <c r="F17" s="557"/>
      <c r="G17" s="557"/>
      <c r="H17" s="520" t="str">
        <f>IF(E17=F17+G17," ","ERROR")</f>
        <v> </v>
      </c>
    </row>
    <row r="18" spans="1:8" ht="12">
      <c r="A18" s="550">
        <v>8</v>
      </c>
      <c r="B18" s="552" t="s">
        <v>146</v>
      </c>
      <c r="E18" s="557"/>
      <c r="F18" s="557"/>
      <c r="G18" s="557"/>
      <c r="H18" s="520" t="str">
        <f>IF(E18=F18+G18," ","ERROR")</f>
        <v> </v>
      </c>
    </row>
    <row r="19" spans="1:8" ht="12">
      <c r="A19" s="550">
        <v>9</v>
      </c>
      <c r="B19" s="552" t="s">
        <v>147</v>
      </c>
      <c r="E19" s="557"/>
      <c r="F19" s="557"/>
      <c r="G19" s="557"/>
      <c r="H19" s="520" t="str">
        <f>IF(E19=F19+G19," ","ERROR")</f>
        <v> </v>
      </c>
    </row>
    <row r="20" spans="1:8" ht="12">
      <c r="A20" s="550">
        <v>10</v>
      </c>
      <c r="B20" s="552" t="s">
        <v>148</v>
      </c>
      <c r="E20" s="557"/>
      <c r="F20" s="557"/>
      <c r="G20" s="557"/>
      <c r="H20" s="520" t="str">
        <f>IF(E20=F20+G20," ","ERROR")</f>
        <v> </v>
      </c>
    </row>
    <row r="21" spans="1:8" ht="12">
      <c r="A21" s="550">
        <v>11</v>
      </c>
      <c r="B21" s="552" t="s">
        <v>149</v>
      </c>
      <c r="E21" s="558">
        <f>E17+E18+E19+E20</f>
        <v>0</v>
      </c>
      <c r="F21" s="558">
        <f>F17+F18+F19+F20</f>
        <v>0</v>
      </c>
      <c r="G21" s="558">
        <f>G17+G18+G19+G20</f>
        <v>0</v>
      </c>
      <c r="H21" s="520" t="str">
        <f>IF(E21=F21+G21," ","ERROR")</f>
        <v> </v>
      </c>
    </row>
    <row r="22" spans="5:8" ht="12">
      <c r="E22" s="559"/>
      <c r="F22" s="559"/>
      <c r="G22" s="559"/>
      <c r="H22" s="520"/>
    </row>
    <row r="23" spans="2:8" ht="12">
      <c r="B23" s="552" t="s">
        <v>93</v>
      </c>
      <c r="E23" s="559"/>
      <c r="F23" s="559"/>
      <c r="G23" s="559"/>
      <c r="H23" s="520"/>
    </row>
    <row r="24" spans="1:8" ht="12">
      <c r="A24" s="550">
        <v>12</v>
      </c>
      <c r="B24" s="552" t="s">
        <v>145</v>
      </c>
      <c r="E24" s="557"/>
      <c r="F24" s="557"/>
      <c r="G24" s="557"/>
      <c r="H24" s="520" t="str">
        <f>IF(E24=F24+G24," ","ERROR")</f>
        <v> </v>
      </c>
    </row>
    <row r="25" spans="1:8" ht="12">
      <c r="A25" s="550">
        <v>13</v>
      </c>
      <c r="B25" s="552" t="s">
        <v>150</v>
      </c>
      <c r="E25" s="557"/>
      <c r="F25" s="557"/>
      <c r="G25" s="557"/>
      <c r="H25" s="520" t="str">
        <f>IF(E25=F25+G25," ","ERROR")</f>
        <v> </v>
      </c>
    </row>
    <row r="26" spans="1:8" ht="12">
      <c r="A26" s="550">
        <v>14</v>
      </c>
      <c r="B26" s="552" t="s">
        <v>148</v>
      </c>
      <c r="E26" s="557">
        <f>F26+G26</f>
        <v>1</v>
      </c>
      <c r="F26" s="557"/>
      <c r="G26" s="560">
        <f>0+F109</f>
        <v>1</v>
      </c>
      <c r="H26" s="520" t="str">
        <f>IF(E26=F26+G26," ","ERROR")</f>
        <v> </v>
      </c>
    </row>
    <row r="27" spans="1:8" ht="12">
      <c r="A27" s="550">
        <v>15</v>
      </c>
      <c r="B27" s="552" t="s">
        <v>151</v>
      </c>
      <c r="E27" s="558">
        <f>E24+E25+E26</f>
        <v>1</v>
      </c>
      <c r="F27" s="558">
        <f>F24+F25+F26</f>
        <v>0</v>
      </c>
      <c r="G27" s="558">
        <f>G24+G25+G26</f>
        <v>1</v>
      </c>
      <c r="H27" s="520" t="str">
        <f>IF(E27=F27+G27," ","ERROR")</f>
        <v> </v>
      </c>
    </row>
    <row r="28" spans="5:8" ht="12">
      <c r="E28" s="559"/>
      <c r="F28" s="559"/>
      <c r="G28" s="559"/>
      <c r="H28" s="520"/>
    </row>
    <row r="29" spans="1:8" ht="12">
      <c r="A29" s="550">
        <v>16</v>
      </c>
      <c r="B29" s="552" t="s">
        <v>96</v>
      </c>
      <c r="E29" s="557">
        <f>F29+G29</f>
        <v>-229</v>
      </c>
      <c r="F29" s="934">
        <v>-135</v>
      </c>
      <c r="G29" s="934">
        <v>-94</v>
      </c>
      <c r="H29" s="520" t="str">
        <f>IF(E29=F29+G29," ","ERROR")</f>
        <v> </v>
      </c>
    </row>
    <row r="30" spans="1:8" ht="12">
      <c r="A30" s="550">
        <v>17</v>
      </c>
      <c r="B30" s="552" t="s">
        <v>97</v>
      </c>
      <c r="E30" s="557"/>
      <c r="F30" s="557"/>
      <c r="G30" s="557"/>
      <c r="H30" s="520" t="str">
        <f>IF(E30=F30+G30," ","ERROR")</f>
        <v> </v>
      </c>
    </row>
    <row r="31" spans="1:8" ht="12">
      <c r="A31" s="550">
        <v>18</v>
      </c>
      <c r="B31" s="552" t="s">
        <v>152</v>
      </c>
      <c r="E31" s="557"/>
      <c r="F31" s="557"/>
      <c r="G31" s="557"/>
      <c r="H31" s="520" t="str">
        <f>IF(E31=F31+G31," ","ERROR")</f>
        <v> </v>
      </c>
    </row>
    <row r="32" spans="5:8" ht="12">
      <c r="E32" s="559"/>
      <c r="F32" s="559"/>
      <c r="G32" s="559"/>
      <c r="H32" s="520"/>
    </row>
    <row r="33" spans="2:8" ht="12">
      <c r="B33" s="552" t="s">
        <v>99</v>
      </c>
      <c r="E33" s="559"/>
      <c r="F33" s="559"/>
      <c r="G33" s="559"/>
      <c r="H33" s="520"/>
    </row>
    <row r="34" spans="1:8" ht="12">
      <c r="A34" s="550">
        <v>19</v>
      </c>
      <c r="B34" s="552" t="s">
        <v>145</v>
      </c>
      <c r="E34" s="557"/>
      <c r="F34" s="557"/>
      <c r="G34" s="557"/>
      <c r="H34" s="520" t="str">
        <f>IF(E34=F34+G34," ","ERROR")</f>
        <v> </v>
      </c>
    </row>
    <row r="35" spans="1:8" ht="12">
      <c r="A35" s="550">
        <v>20</v>
      </c>
      <c r="B35" s="552" t="s">
        <v>150</v>
      </c>
      <c r="E35" s="557"/>
      <c r="F35" s="557"/>
      <c r="G35" s="557"/>
      <c r="H35" s="520" t="str">
        <f>IF(E35=F35+G35," ","ERROR")</f>
        <v> </v>
      </c>
    </row>
    <row r="36" spans="1:8" ht="12">
      <c r="A36" s="550">
        <v>21</v>
      </c>
      <c r="B36" s="552" t="s">
        <v>148</v>
      </c>
      <c r="E36" s="557"/>
      <c r="F36" s="557"/>
      <c r="G36" s="557"/>
      <c r="H36" s="520" t="str">
        <f>IF(E36=F36+G36," ","ERROR")</f>
        <v> </v>
      </c>
    </row>
    <row r="37" spans="1:8" ht="12">
      <c r="A37" s="550">
        <v>22</v>
      </c>
      <c r="B37" s="552" t="s">
        <v>153</v>
      </c>
      <c r="E37" s="561">
        <f>E34+E35+E36</f>
        <v>0</v>
      </c>
      <c r="F37" s="561">
        <f>F34+F35+F36</f>
        <v>0</v>
      </c>
      <c r="G37" s="561">
        <f>G34+G35+G36</f>
        <v>0</v>
      </c>
      <c r="H37" s="520" t="str">
        <f>IF(E37=F37+G37," ","ERROR")</f>
        <v> </v>
      </c>
    </row>
    <row r="38" spans="1:8" ht="12">
      <c r="A38" s="550">
        <v>23</v>
      </c>
      <c r="B38" s="552" t="s">
        <v>101</v>
      </c>
      <c r="E38" s="562">
        <f>E21+E27+E29+E30+E31+E37</f>
        <v>-228</v>
      </c>
      <c r="F38" s="562">
        <f>F21+F27+F29+F30+F31+F37</f>
        <v>-135</v>
      </c>
      <c r="G38" s="562">
        <f>G21+G27+G29+G30+G31+G37</f>
        <v>-93</v>
      </c>
      <c r="H38" s="520" t="str">
        <f>IF(E38=F38+G38," ","ERROR")</f>
        <v> </v>
      </c>
    </row>
    <row r="39" spans="5:8" ht="12">
      <c r="E39" s="559"/>
      <c r="F39" s="559"/>
      <c r="G39" s="559"/>
      <c r="H39" s="520"/>
    </row>
    <row r="40" spans="1:8" ht="12">
      <c r="A40" s="550">
        <v>24</v>
      </c>
      <c r="B40" s="552" t="s">
        <v>154</v>
      </c>
      <c r="E40" s="559">
        <f>E13-E38</f>
        <v>228</v>
      </c>
      <c r="F40" s="559">
        <f>F13-F38</f>
        <v>135</v>
      </c>
      <c r="G40" s="559">
        <f>G13-G38</f>
        <v>93</v>
      </c>
      <c r="H40" s="520" t="str">
        <f>IF(E40=F40+G40," ","ERROR")</f>
        <v> </v>
      </c>
    </row>
    <row r="41" spans="2:8" ht="12">
      <c r="B41" s="552"/>
      <c r="E41" s="559"/>
      <c r="F41" s="559"/>
      <c r="G41" s="559"/>
      <c r="H41" s="520"/>
    </row>
    <row r="42" spans="2:8" ht="12">
      <c r="B42" s="552" t="s">
        <v>155</v>
      </c>
      <c r="E42" s="559"/>
      <c r="F42" s="559"/>
      <c r="G42" s="559"/>
      <c r="H42" s="520"/>
    </row>
    <row r="43" spans="1:8" ht="12">
      <c r="A43" s="550">
        <v>25</v>
      </c>
      <c r="B43" s="552" t="s">
        <v>214</v>
      </c>
      <c r="E43" s="557">
        <f>F43+G43</f>
        <v>80</v>
      </c>
      <c r="F43" s="557">
        <f>ROUND(F40*0.35,0)</f>
        <v>47</v>
      </c>
      <c r="G43" s="557">
        <f>ROUND(G40*0.35,0)</f>
        <v>33</v>
      </c>
      <c r="H43" s="520" t="str">
        <f>IF(E43=F43+G43," ","ERROR")</f>
        <v> </v>
      </c>
    </row>
    <row r="44" spans="1:8" ht="12">
      <c r="A44" s="550">
        <v>26</v>
      </c>
      <c r="B44" s="552" t="s">
        <v>157</v>
      </c>
      <c r="E44" s="557"/>
      <c r="F44" s="557"/>
      <c r="G44" s="557"/>
      <c r="H44" s="520" t="str">
        <f>IF(E44=F44+G44," ","ERROR")</f>
        <v> </v>
      </c>
    </row>
    <row r="45" spans="1:8" ht="12.75">
      <c r="A45"/>
      <c r="B45"/>
      <c r="C45"/>
      <c r="D45"/>
      <c r="E45" s="943"/>
      <c r="F45" s="943"/>
      <c r="G45" s="943"/>
      <c r="H45" s="520" t="str">
        <f>IF(E45=F45+G45," ","ERROR")</f>
        <v> </v>
      </c>
    </row>
    <row r="46" spans="1:8" ht="12">
      <c r="A46" s="278"/>
      <c r="B46" s="281"/>
      <c r="C46" s="275"/>
      <c r="D46" s="275"/>
      <c r="E46" s="288"/>
      <c r="F46" s="288"/>
      <c r="G46" s="288"/>
      <c r="H46" s="520"/>
    </row>
    <row r="47" spans="1:8" s="555" customFormat="1" ht="12">
      <c r="A47" s="282">
        <v>27</v>
      </c>
      <c r="B47" s="283" t="s">
        <v>108</v>
      </c>
      <c r="C47" s="284"/>
      <c r="D47" s="284"/>
      <c r="E47" s="292">
        <f>E40-SUM(E43:E44)</f>
        <v>148</v>
      </c>
      <c r="F47" s="292">
        <f>F40-SUM(F43:F44)</f>
        <v>88</v>
      </c>
      <c r="G47" s="292">
        <f>G40-SUM(G43:G44)</f>
        <v>60</v>
      </c>
      <c r="H47" s="520" t="str">
        <f>IF(E47=F47+G47," ","ERROR")</f>
        <v> </v>
      </c>
    </row>
    <row r="48" spans="1:8" ht="12">
      <c r="A48" s="278"/>
      <c r="H48" s="520"/>
    </row>
    <row r="49" spans="1:8" ht="12">
      <c r="A49" s="278"/>
      <c r="B49" s="552" t="s">
        <v>109</v>
      </c>
      <c r="H49" s="520"/>
    </row>
    <row r="50" spans="1:8" ht="12">
      <c r="A50" s="278"/>
      <c r="B50" s="552" t="s">
        <v>110</v>
      </c>
      <c r="H50" s="520"/>
    </row>
    <row r="51" spans="1:8" s="555" customFormat="1" ht="12">
      <c r="A51" s="282">
        <v>28</v>
      </c>
      <c r="B51" s="554" t="s">
        <v>159</v>
      </c>
      <c r="E51" s="556"/>
      <c r="F51" s="556"/>
      <c r="G51" s="556"/>
      <c r="H51" s="520" t="str">
        <f aca="true" t="shared" si="1" ref="H51:H61">IF(E51=F51+G51," ","ERROR")</f>
        <v> </v>
      </c>
    </row>
    <row r="52" spans="1:8" ht="12">
      <c r="A52" s="278">
        <v>29</v>
      </c>
      <c r="B52" s="552" t="s">
        <v>160</v>
      </c>
      <c r="E52" s="557"/>
      <c r="F52" s="557"/>
      <c r="G52" s="557"/>
      <c r="H52" s="520" t="str">
        <f t="shared" si="1"/>
        <v> </v>
      </c>
    </row>
    <row r="53" spans="1:8" ht="12">
      <c r="A53" s="278">
        <v>30</v>
      </c>
      <c r="B53" s="552" t="s">
        <v>161</v>
      </c>
      <c r="E53" s="557"/>
      <c r="F53" s="557"/>
      <c r="G53" s="557"/>
      <c r="H53" s="520" t="str">
        <f t="shared" si="1"/>
        <v> </v>
      </c>
    </row>
    <row r="54" spans="1:8" ht="12">
      <c r="A54" s="278">
        <v>31</v>
      </c>
      <c r="B54" s="552" t="s">
        <v>162</v>
      </c>
      <c r="E54" s="557"/>
      <c r="F54" s="557"/>
      <c r="G54" s="557"/>
      <c r="H54" s="520" t="str">
        <f t="shared" si="1"/>
        <v> </v>
      </c>
    </row>
    <row r="55" spans="1:8" ht="12">
      <c r="A55" s="278">
        <v>32</v>
      </c>
      <c r="B55" s="552" t="s">
        <v>163</v>
      </c>
      <c r="E55" s="563"/>
      <c r="F55" s="563"/>
      <c r="G55" s="563"/>
      <c r="H55" s="520" t="str">
        <f t="shared" si="1"/>
        <v> </v>
      </c>
    </row>
    <row r="56" spans="1:8" ht="12">
      <c r="A56" s="278">
        <v>33</v>
      </c>
      <c r="B56" s="552" t="s">
        <v>164</v>
      </c>
      <c r="E56" s="559">
        <f>E51+E52+E53+E54+E55</f>
        <v>0</v>
      </c>
      <c r="F56" s="559">
        <f>F51+F52+F53+F54+F55</f>
        <v>0</v>
      </c>
      <c r="G56" s="559">
        <f>G51+G52+G53+G54+G55</f>
        <v>0</v>
      </c>
      <c r="H56" s="520" t="str">
        <f t="shared" si="1"/>
        <v> </v>
      </c>
    </row>
    <row r="57" spans="1:8" ht="12">
      <c r="A57" s="278">
        <v>34</v>
      </c>
      <c r="B57" s="552" t="s">
        <v>116</v>
      </c>
      <c r="E57" s="557"/>
      <c r="F57" s="557"/>
      <c r="G57" s="557"/>
      <c r="H57" s="520" t="str">
        <f t="shared" si="1"/>
        <v> </v>
      </c>
    </row>
    <row r="58" spans="1:8" ht="12">
      <c r="A58" s="278">
        <v>35</v>
      </c>
      <c r="B58" s="552" t="s">
        <v>117</v>
      </c>
      <c r="E58" s="563"/>
      <c r="F58" s="563"/>
      <c r="G58" s="563"/>
      <c r="H58" s="520" t="str">
        <f t="shared" si="1"/>
        <v> </v>
      </c>
    </row>
    <row r="59" spans="1:8" ht="12">
      <c r="A59" s="278">
        <v>36</v>
      </c>
      <c r="B59" s="552" t="s">
        <v>165</v>
      </c>
      <c r="E59" s="559">
        <f>E57+E58</f>
        <v>0</v>
      </c>
      <c r="F59" s="559">
        <f>F57+F58</f>
        <v>0</v>
      </c>
      <c r="G59" s="559">
        <f>G57+G58</f>
        <v>0</v>
      </c>
      <c r="H59" s="520" t="str">
        <f t="shared" si="1"/>
        <v> </v>
      </c>
    </row>
    <row r="60" spans="1:8" ht="12">
      <c r="A60" s="278">
        <v>37</v>
      </c>
      <c r="B60" s="552" t="s">
        <v>119</v>
      </c>
      <c r="E60" s="557"/>
      <c r="F60" s="557"/>
      <c r="G60" s="557"/>
      <c r="H60" s="520" t="str">
        <f t="shared" si="1"/>
        <v> </v>
      </c>
    </row>
    <row r="61" spans="1:8" ht="12">
      <c r="A61" s="278">
        <v>38</v>
      </c>
      <c r="B61" s="552" t="s">
        <v>120</v>
      </c>
      <c r="E61" s="563"/>
      <c r="F61" s="563"/>
      <c r="G61" s="563"/>
      <c r="H61" s="520" t="str">
        <f t="shared" si="1"/>
        <v> </v>
      </c>
    </row>
    <row r="62" spans="1:8" ht="12">
      <c r="A62" s="278"/>
      <c r="H62" s="520"/>
    </row>
    <row r="63" spans="1:8" s="555" customFormat="1" ht="12.75" thickBot="1">
      <c r="A63" s="282">
        <v>39</v>
      </c>
      <c r="B63" s="554" t="s">
        <v>121</v>
      </c>
      <c r="E63" s="565">
        <f>E56-E59+E60+E61</f>
        <v>0</v>
      </c>
      <c r="F63" s="565">
        <f>F56-F59+F60+F61</f>
        <v>0</v>
      </c>
      <c r="G63" s="565">
        <f>G56-G59+G60+G61</f>
        <v>0</v>
      </c>
      <c r="H63" s="520" t="str">
        <f>IF(E63=F63+G63," ","ERROR")</f>
        <v> </v>
      </c>
    </row>
    <row r="64" ht="12.75" thickTop="1"/>
    <row r="65" spans="1:8" ht="12">
      <c r="A65" s="546" t="str">
        <f>Inputs!$D$6</f>
        <v>AVISTA UTILITIES</v>
      </c>
      <c r="B65" s="546"/>
      <c r="C65" s="546"/>
      <c r="D65" s="566"/>
      <c r="E65" s="567"/>
      <c r="F65" s="568"/>
      <c r="G65" s="566"/>
      <c r="H65" s="532"/>
    </row>
    <row r="66" spans="1:8" ht="12">
      <c r="A66" s="546" t="s">
        <v>218</v>
      </c>
      <c r="B66" s="546"/>
      <c r="C66" s="546"/>
      <c r="D66" s="566"/>
      <c r="E66" s="567"/>
      <c r="F66" s="568"/>
      <c r="G66" s="566"/>
      <c r="H66" s="532"/>
    </row>
    <row r="67" spans="1:8" ht="12">
      <c r="A67" s="546" t="str">
        <f>A3</f>
        <v>TWELVE MONTHS ENDED DECEMBER 31, 2004</v>
      </c>
      <c r="B67" s="546"/>
      <c r="C67" s="546"/>
      <c r="D67" s="566"/>
      <c r="E67" s="567"/>
      <c r="F67" s="569" t="str">
        <f>E2</f>
        <v>UNCOLLECTIBLE</v>
      </c>
      <c r="G67" s="566"/>
      <c r="H67" s="532"/>
    </row>
    <row r="68" spans="1:8" ht="12">
      <c r="A68" s="546" t="s">
        <v>219</v>
      </c>
      <c r="B68" s="546"/>
      <c r="C68" s="546"/>
      <c r="D68" s="566"/>
      <c r="E68" s="567"/>
      <c r="F68" s="569" t="str">
        <f>E3</f>
        <v>EXPENSE</v>
      </c>
      <c r="G68" s="566"/>
      <c r="H68" s="532"/>
    </row>
    <row r="69" spans="2:8" ht="12">
      <c r="B69" s="566"/>
      <c r="C69" s="566"/>
      <c r="D69" s="566"/>
      <c r="E69" s="570"/>
      <c r="F69" s="571" t="str">
        <f>E4</f>
        <v>ELECTRIC</v>
      </c>
      <c r="G69" s="572"/>
      <c r="H69" s="537"/>
    </row>
    <row r="70" spans="2:8" ht="12">
      <c r="B70" s="566"/>
      <c r="C70" s="566"/>
      <c r="D70" s="566"/>
      <c r="E70" s="567"/>
      <c r="F70" s="569"/>
      <c r="G70" s="566"/>
      <c r="H70" s="532"/>
    </row>
    <row r="71" spans="2:8" ht="12">
      <c r="B71" s="573" t="s">
        <v>128</v>
      </c>
      <c r="C71" s="572"/>
      <c r="D71" s="566"/>
      <c r="E71" s="567"/>
      <c r="F71" s="571" t="s">
        <v>123</v>
      </c>
      <c r="G71" s="566"/>
      <c r="H71" s="532"/>
    </row>
    <row r="72" spans="2:8" ht="12">
      <c r="B72" s="552" t="s">
        <v>80</v>
      </c>
      <c r="C72" s="566"/>
      <c r="D72" s="566"/>
      <c r="E72" s="566"/>
      <c r="F72" s="568"/>
      <c r="G72" s="566"/>
      <c r="H72" s="531"/>
    </row>
    <row r="73" spans="2:8" ht="12">
      <c r="B73" s="554" t="s">
        <v>81</v>
      </c>
      <c r="C73" s="566"/>
      <c r="D73" s="566"/>
      <c r="E73" s="566"/>
      <c r="F73" s="564">
        <f>G8</f>
        <v>0</v>
      </c>
      <c r="G73" s="566"/>
      <c r="H73" s="531"/>
    </row>
    <row r="74" spans="2:8" ht="12">
      <c r="B74" s="552" t="s">
        <v>82</v>
      </c>
      <c r="C74" s="566"/>
      <c r="D74" s="566"/>
      <c r="E74" s="566"/>
      <c r="F74" s="559">
        <f>G9</f>
        <v>0</v>
      </c>
      <c r="G74" s="566"/>
      <c r="H74" s="531"/>
    </row>
    <row r="75" spans="2:8" ht="12">
      <c r="B75" s="552" t="s">
        <v>142</v>
      </c>
      <c r="C75" s="566"/>
      <c r="D75" s="566"/>
      <c r="E75" s="566"/>
      <c r="F75" s="562">
        <f>G10</f>
        <v>0</v>
      </c>
      <c r="G75" s="566"/>
      <c r="H75" s="531"/>
    </row>
    <row r="76" spans="2:8" ht="12">
      <c r="B76" s="552" t="s">
        <v>143</v>
      </c>
      <c r="C76" s="566"/>
      <c r="D76" s="566"/>
      <c r="E76" s="566"/>
      <c r="F76" s="559">
        <f>SUM(F73:F75)</f>
        <v>0</v>
      </c>
      <c r="G76" s="566"/>
      <c r="H76" s="531"/>
    </row>
    <row r="77" spans="2:8" ht="12">
      <c r="B77" s="552" t="s">
        <v>85</v>
      </c>
      <c r="C77" s="566"/>
      <c r="D77" s="566"/>
      <c r="E77" s="566"/>
      <c r="F77" s="562">
        <f>G12</f>
        <v>0</v>
      </c>
      <c r="G77" s="566"/>
      <c r="H77" s="531"/>
    </row>
    <row r="78" spans="2:8" ht="12">
      <c r="B78" s="552" t="s">
        <v>144</v>
      </c>
      <c r="C78" s="566"/>
      <c r="D78" s="566"/>
      <c r="E78" s="566"/>
      <c r="F78" s="559">
        <f>F76+F77</f>
        <v>0</v>
      </c>
      <c r="G78" s="566"/>
      <c r="H78" s="531"/>
    </row>
    <row r="79" spans="3:8" ht="12">
      <c r="C79" s="566"/>
      <c r="D79" s="566"/>
      <c r="E79" s="566"/>
      <c r="F79" s="559"/>
      <c r="G79" s="566"/>
      <c r="H79" s="531"/>
    </row>
    <row r="80" spans="2:8" ht="12">
      <c r="B80" s="552" t="s">
        <v>87</v>
      </c>
      <c r="C80" s="566"/>
      <c r="D80" s="566"/>
      <c r="E80" s="566"/>
      <c r="F80" s="559"/>
      <c r="G80" s="566"/>
      <c r="H80" s="531"/>
    </row>
    <row r="81" spans="2:8" ht="12">
      <c r="B81" s="552" t="s">
        <v>88</v>
      </c>
      <c r="C81" s="566"/>
      <c r="D81" s="566"/>
      <c r="E81" s="566"/>
      <c r="F81" s="559"/>
      <c r="G81" s="566"/>
      <c r="H81" s="531"/>
    </row>
    <row r="82" spans="2:8" ht="12">
      <c r="B82" s="552" t="s">
        <v>145</v>
      </c>
      <c r="C82" s="566"/>
      <c r="D82" s="566"/>
      <c r="E82" s="566"/>
      <c r="F82" s="559">
        <f>G17</f>
        <v>0</v>
      </c>
      <c r="G82" s="566"/>
      <c r="H82" s="531"/>
    </row>
    <row r="83" spans="2:8" ht="12">
      <c r="B83" s="552" t="s">
        <v>146</v>
      </c>
      <c r="C83" s="566"/>
      <c r="D83" s="566"/>
      <c r="E83" s="566"/>
      <c r="F83" s="559">
        <f>G18</f>
        <v>0</v>
      </c>
      <c r="G83" s="566"/>
      <c r="H83" s="531"/>
    </row>
    <row r="84" spans="2:8" ht="12">
      <c r="B84" s="552" t="s">
        <v>147</v>
      </c>
      <c r="C84" s="566"/>
      <c r="D84" s="566"/>
      <c r="E84" s="566"/>
      <c r="F84" s="559">
        <f>G19</f>
        <v>0</v>
      </c>
      <c r="G84" s="566"/>
      <c r="H84" s="531"/>
    </row>
    <row r="85" spans="2:8" ht="12">
      <c r="B85" s="552" t="s">
        <v>148</v>
      </c>
      <c r="C85" s="566"/>
      <c r="D85" s="566"/>
      <c r="E85" s="566"/>
      <c r="F85" s="562">
        <f>G20</f>
        <v>0</v>
      </c>
      <c r="G85" s="566"/>
      <c r="H85" s="531"/>
    </row>
    <row r="86" spans="2:8" ht="12">
      <c r="B86" s="552" t="s">
        <v>149</v>
      </c>
      <c r="C86" s="566"/>
      <c r="D86" s="566"/>
      <c r="E86" s="566"/>
      <c r="F86" s="559">
        <f>SUM(F82:F85)</f>
        <v>0</v>
      </c>
      <c r="G86" s="566"/>
      <c r="H86" s="531"/>
    </row>
    <row r="87" spans="3:8" ht="12">
      <c r="C87" s="566"/>
      <c r="D87" s="566"/>
      <c r="E87" s="566"/>
      <c r="F87" s="559"/>
      <c r="G87" s="566"/>
      <c r="H87" s="531"/>
    </row>
    <row r="88" spans="2:8" ht="12">
      <c r="B88" s="552" t="s">
        <v>93</v>
      </c>
      <c r="C88" s="566"/>
      <c r="D88" s="566"/>
      <c r="E88" s="566"/>
      <c r="F88" s="559"/>
      <c r="G88" s="566"/>
      <c r="H88" s="531"/>
    </row>
    <row r="89" spans="2:8" ht="12">
      <c r="B89" s="552" t="s">
        <v>145</v>
      </c>
      <c r="C89" s="566"/>
      <c r="D89" s="566"/>
      <c r="E89" s="566"/>
      <c r="F89" s="559">
        <f>G24</f>
        <v>0</v>
      </c>
      <c r="G89" s="566"/>
      <c r="H89" s="531"/>
    </row>
    <row r="90" spans="2:8" ht="12">
      <c r="B90" s="552" t="s">
        <v>150</v>
      </c>
      <c r="C90" s="566"/>
      <c r="D90" s="566"/>
      <c r="E90" s="566"/>
      <c r="F90" s="559">
        <f>G25</f>
        <v>0</v>
      </c>
      <c r="G90" s="566"/>
      <c r="H90" s="531"/>
    </row>
    <row r="91" spans="1:8" ht="12">
      <c r="A91" s="547"/>
      <c r="B91" s="552" t="s">
        <v>148</v>
      </c>
      <c r="C91" s="566"/>
      <c r="D91" s="566"/>
      <c r="E91" s="566"/>
      <c r="F91" s="574">
        <v>0</v>
      </c>
      <c r="G91" s="566"/>
      <c r="H91" s="531"/>
    </row>
    <row r="92" spans="1:8" ht="12">
      <c r="A92" s="547"/>
      <c r="B92" s="552" t="s">
        <v>151</v>
      </c>
      <c r="C92" s="566"/>
      <c r="D92" s="566"/>
      <c r="E92" s="566"/>
      <c r="F92" s="558">
        <f>SUM(F89:F91)</f>
        <v>0</v>
      </c>
      <c r="G92" s="566"/>
      <c r="H92" s="531"/>
    </row>
    <row r="93" spans="1:8" ht="12">
      <c r="A93" s="547"/>
      <c r="C93" s="566"/>
      <c r="D93" s="566"/>
      <c r="E93" s="566"/>
      <c r="F93" s="559"/>
      <c r="G93" s="566"/>
      <c r="H93" s="531"/>
    </row>
    <row r="94" spans="1:8" ht="12">
      <c r="A94" s="547"/>
      <c r="B94" s="552" t="s">
        <v>96</v>
      </c>
      <c r="C94" s="566"/>
      <c r="D94" s="566"/>
      <c r="E94" s="566"/>
      <c r="F94" s="559">
        <f>G29</f>
        <v>-94</v>
      </c>
      <c r="G94" s="566"/>
      <c r="H94" s="531"/>
    </row>
    <row r="95" spans="1:8" ht="12">
      <c r="A95" s="547"/>
      <c r="B95" s="552" t="s">
        <v>97</v>
      </c>
      <c r="C95" s="566"/>
      <c r="D95" s="566"/>
      <c r="E95" s="566"/>
      <c r="F95" s="559">
        <f>G30</f>
        <v>0</v>
      </c>
      <c r="G95" s="566"/>
      <c r="H95" s="531"/>
    </row>
    <row r="96" spans="1:8" ht="12">
      <c r="A96" s="547"/>
      <c r="B96" s="552" t="s">
        <v>152</v>
      </c>
      <c r="C96" s="566"/>
      <c r="D96" s="566"/>
      <c r="E96" s="566"/>
      <c r="F96" s="559">
        <f>G31</f>
        <v>0</v>
      </c>
      <c r="G96" s="566"/>
      <c r="H96" s="531"/>
    </row>
    <row r="97" spans="1:8" ht="12">
      <c r="A97" s="547"/>
      <c r="C97" s="566"/>
      <c r="D97" s="566"/>
      <c r="E97" s="566"/>
      <c r="F97" s="559"/>
      <c r="G97" s="566"/>
      <c r="H97" s="531"/>
    </row>
    <row r="98" spans="1:8" ht="12">
      <c r="A98" s="547"/>
      <c r="B98" s="552" t="s">
        <v>99</v>
      </c>
      <c r="C98" s="566"/>
      <c r="D98" s="566"/>
      <c r="E98" s="566"/>
      <c r="F98" s="559"/>
      <c r="G98" s="566"/>
      <c r="H98" s="531"/>
    </row>
    <row r="99" spans="1:8" ht="12">
      <c r="A99" s="547"/>
      <c r="B99" s="552" t="s">
        <v>145</v>
      </c>
      <c r="C99" s="566"/>
      <c r="D99" s="566"/>
      <c r="E99" s="566"/>
      <c r="F99" s="559">
        <f>G34</f>
        <v>0</v>
      </c>
      <c r="G99" s="566"/>
      <c r="H99" s="531"/>
    </row>
    <row r="100" spans="1:8" ht="12">
      <c r="A100" s="547"/>
      <c r="B100" s="552" t="s">
        <v>150</v>
      </c>
      <c r="C100" s="566"/>
      <c r="D100" s="566"/>
      <c r="E100" s="566"/>
      <c r="F100" s="559">
        <f>G35</f>
        <v>0</v>
      </c>
      <c r="G100" s="566"/>
      <c r="H100" s="531"/>
    </row>
    <row r="101" spans="1:8" ht="12">
      <c r="A101" s="547"/>
      <c r="B101" s="552" t="s">
        <v>148</v>
      </c>
      <c r="C101" s="566"/>
      <c r="D101" s="566"/>
      <c r="E101" s="566"/>
      <c r="F101" s="562">
        <f>G36</f>
        <v>0</v>
      </c>
      <c r="G101" s="566"/>
      <c r="H101" s="531"/>
    </row>
    <row r="102" spans="1:8" ht="12">
      <c r="A102" s="547"/>
      <c r="B102" s="552" t="s">
        <v>153</v>
      </c>
      <c r="C102" s="566"/>
      <c r="D102" s="566"/>
      <c r="E102" s="566"/>
      <c r="F102" s="559">
        <f>F99+F100+F101</f>
        <v>0</v>
      </c>
      <c r="G102" s="566"/>
      <c r="H102" s="531"/>
    </row>
    <row r="103" spans="1:8" ht="12">
      <c r="A103" s="547"/>
      <c r="B103" s="566"/>
      <c r="C103" s="566"/>
      <c r="D103" s="566"/>
      <c r="E103" s="566"/>
      <c r="F103" s="559"/>
      <c r="G103" s="566"/>
      <c r="H103" s="531"/>
    </row>
    <row r="104" spans="1:8" ht="12">
      <c r="A104" s="547"/>
      <c r="B104" s="566" t="s">
        <v>101</v>
      </c>
      <c r="C104" s="566"/>
      <c r="D104" s="566"/>
      <c r="E104" s="566"/>
      <c r="F104" s="561">
        <f>F86+F92+F94+F95+F96+F102</f>
        <v>-94</v>
      </c>
      <c r="G104" s="566"/>
      <c r="H104" s="531"/>
    </row>
    <row r="105" spans="1:8" ht="12">
      <c r="A105" s="547"/>
      <c r="B105" s="566"/>
      <c r="C105" s="566"/>
      <c r="D105" s="566"/>
      <c r="E105" s="566"/>
      <c r="F105" s="559"/>
      <c r="G105" s="566"/>
      <c r="H105" s="531"/>
    </row>
    <row r="106" spans="1:8" ht="12">
      <c r="A106" s="547"/>
      <c r="B106" s="566" t="s">
        <v>220</v>
      </c>
      <c r="C106" s="566"/>
      <c r="D106" s="566"/>
      <c r="E106" s="566"/>
      <c r="F106" s="562">
        <f>F78-F104</f>
        <v>94</v>
      </c>
      <c r="G106" s="566"/>
      <c r="H106" s="531"/>
    </row>
    <row r="107" spans="1:8" ht="12">
      <c r="A107" s="547"/>
      <c r="B107" s="566"/>
      <c r="C107" s="566"/>
      <c r="D107" s="566"/>
      <c r="E107" s="566"/>
      <c r="F107" s="559"/>
      <c r="G107" s="566"/>
      <c r="H107" s="531"/>
    </row>
    <row r="108" spans="1:8" ht="12">
      <c r="A108" s="547"/>
      <c r="B108" s="566" t="s">
        <v>221</v>
      </c>
      <c r="C108" s="566"/>
      <c r="D108" s="566"/>
      <c r="E108" s="567"/>
      <c r="F108" s="559"/>
      <c r="G108" s="566"/>
      <c r="H108" s="531"/>
    </row>
    <row r="109" spans="1:8" ht="12.75" thickBot="1">
      <c r="A109" s="547"/>
      <c r="B109" s="575" t="s">
        <v>222</v>
      </c>
      <c r="C109" s="576">
        <f>Inputs!$D$4</f>
        <v>0.01065</v>
      </c>
      <c r="D109" s="566"/>
      <c r="E109" s="567"/>
      <c r="F109" s="565">
        <f>ROUND(F106*C109,0)</f>
        <v>1</v>
      </c>
      <c r="G109" s="566"/>
      <c r="H109" s="531"/>
    </row>
    <row r="110" spans="1:8" ht="12.75" thickTop="1">
      <c r="A110" s="547"/>
      <c r="B110" s="566"/>
      <c r="C110" s="566"/>
      <c r="D110" s="566"/>
      <c r="E110" s="567"/>
      <c r="F110" s="568"/>
      <c r="G110" s="566"/>
      <c r="H110" s="531"/>
    </row>
  </sheetData>
  <printOptions horizontalCentered="1"/>
  <pageMargins left="1" right="1" top="0.5" bottom="0.5" header="0.5" footer="0.5"/>
  <pageSetup horizontalDpi="300" verticalDpi="300" orientation="portrait" scale="90" r:id="rId1"/>
  <rowBreaks count="1" manualBreakCount="1">
    <brk id="65" max="65535" man="1"/>
  </rowBreaks>
  <colBreaks count="1" manualBreakCount="1">
    <brk id="7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17">
      <selection activeCell="G34" sqref="G34"/>
    </sheetView>
  </sheetViews>
  <sheetFormatPr defaultColWidth="9.140625" defaultRowHeight="12.75"/>
  <cols>
    <col min="1" max="1" width="6.421875" style="580" customWidth="1"/>
    <col min="2" max="2" width="26.140625" style="579" customWidth="1"/>
    <col min="3" max="3" width="12.421875" style="579" customWidth="1"/>
    <col min="4" max="4" width="6.7109375" style="579" customWidth="1"/>
    <col min="5" max="16384" width="12.421875" style="579" customWidth="1"/>
  </cols>
  <sheetData>
    <row r="1" spans="1:3" ht="12">
      <c r="A1" s="577" t="str">
        <f>Inputs!$D$6</f>
        <v>AVISTA UTILITIES</v>
      </c>
      <c r="B1" s="578"/>
      <c r="C1" s="577"/>
    </row>
    <row r="2" spans="1:7" ht="12">
      <c r="A2" s="577" t="s">
        <v>134</v>
      </c>
      <c r="B2" s="578"/>
      <c r="C2" s="577"/>
      <c r="E2" s="577"/>
      <c r="F2" s="580" t="s">
        <v>238</v>
      </c>
      <c r="G2" s="577"/>
    </row>
    <row r="3" spans="1:7" ht="12">
      <c r="A3" s="578" t="str">
        <f>WAElec12_04!$A$4</f>
        <v>TWELVE MONTHS ENDED DECEMBER 31, 2004</v>
      </c>
      <c r="B3" s="578"/>
      <c r="C3" s="577"/>
      <c r="E3" s="577"/>
      <c r="F3" s="580" t="s">
        <v>232</v>
      </c>
      <c r="G3" s="577"/>
    </row>
    <row r="4" spans="1:7" ht="12">
      <c r="A4" s="577" t="s">
        <v>1</v>
      </c>
      <c r="B4" s="578"/>
      <c r="C4" s="577"/>
      <c r="E4" s="581"/>
      <c r="F4" s="582" t="s">
        <v>137</v>
      </c>
      <c r="G4" s="583"/>
    </row>
    <row r="5" ht="12">
      <c r="A5" s="580" t="s">
        <v>13</v>
      </c>
    </row>
    <row r="6" spans="1:8" s="580" customFormat="1" ht="12">
      <c r="A6" s="580" t="s">
        <v>138</v>
      </c>
      <c r="B6" s="584" t="s">
        <v>34</v>
      </c>
      <c r="C6" s="584"/>
      <c r="E6" s="584" t="s">
        <v>139</v>
      </c>
      <c r="F6" s="584" t="s">
        <v>140</v>
      </c>
      <c r="G6" s="584" t="s">
        <v>123</v>
      </c>
      <c r="H6" s="585" t="s">
        <v>141</v>
      </c>
    </row>
    <row r="7" ht="12">
      <c r="B7" s="586" t="s">
        <v>80</v>
      </c>
    </row>
    <row r="8" spans="1:8" s="589" customFormat="1" ht="12">
      <c r="A8" s="587">
        <v>1</v>
      </c>
      <c r="B8" s="588" t="s">
        <v>81</v>
      </c>
      <c r="E8" s="590">
        <f>F8+G8</f>
        <v>0</v>
      </c>
      <c r="F8" s="590"/>
      <c r="G8" s="590"/>
      <c r="H8" s="589" t="str">
        <f aca="true" t="shared" si="0" ref="H8:H13">IF(E8=F8+G8," ","ERROR")</f>
        <v> </v>
      </c>
    </row>
    <row r="9" spans="1:8" ht="12">
      <c r="A9" s="580">
        <v>2</v>
      </c>
      <c r="B9" s="586" t="s">
        <v>82</v>
      </c>
      <c r="E9" s="591"/>
      <c r="F9" s="591"/>
      <c r="G9" s="591"/>
      <c r="H9" s="589" t="str">
        <f t="shared" si="0"/>
        <v> </v>
      </c>
    </row>
    <row r="10" spans="1:8" ht="12">
      <c r="A10" s="580">
        <v>3</v>
      </c>
      <c r="B10" s="586" t="s">
        <v>142</v>
      </c>
      <c r="E10" s="591"/>
      <c r="F10" s="591"/>
      <c r="G10" s="591"/>
      <c r="H10" s="589" t="str">
        <f t="shared" si="0"/>
        <v> </v>
      </c>
    </row>
    <row r="11" spans="1:8" ht="12">
      <c r="A11" s="580">
        <v>4</v>
      </c>
      <c r="B11" s="586" t="s">
        <v>143</v>
      </c>
      <c r="E11" s="592">
        <f>E8+E9+E10</f>
        <v>0</v>
      </c>
      <c r="F11" s="592">
        <f>F8+F9+F10</f>
        <v>0</v>
      </c>
      <c r="G11" s="592">
        <f>G8+G9+G10</f>
        <v>0</v>
      </c>
      <c r="H11" s="589" t="str">
        <f t="shared" si="0"/>
        <v> </v>
      </c>
    </row>
    <row r="12" spans="1:8" ht="12">
      <c r="A12" s="580">
        <v>5</v>
      </c>
      <c r="B12" s="586" t="s">
        <v>85</v>
      </c>
      <c r="E12" s="591"/>
      <c r="F12" s="591"/>
      <c r="G12" s="591"/>
      <c r="H12" s="589" t="str">
        <f t="shared" si="0"/>
        <v> </v>
      </c>
    </row>
    <row r="13" spans="1:8" ht="12">
      <c r="A13" s="580">
        <v>6</v>
      </c>
      <c r="B13" s="586" t="s">
        <v>144</v>
      </c>
      <c r="E13" s="592">
        <f>E11+E12</f>
        <v>0</v>
      </c>
      <c r="F13" s="592">
        <f>F11+F12</f>
        <v>0</v>
      </c>
      <c r="G13" s="592">
        <f>G11+G12</f>
        <v>0</v>
      </c>
      <c r="H13" s="589" t="str">
        <f t="shared" si="0"/>
        <v> </v>
      </c>
    </row>
    <row r="14" spans="5:8" ht="12">
      <c r="E14" s="593"/>
      <c r="F14" s="593"/>
      <c r="G14" s="593"/>
      <c r="H14" s="589"/>
    </row>
    <row r="15" spans="2:8" ht="12">
      <c r="B15" s="586" t="s">
        <v>87</v>
      </c>
      <c r="E15" s="593"/>
      <c r="F15" s="593"/>
      <c r="G15" s="593"/>
      <c r="H15" s="589"/>
    </row>
    <row r="16" spans="2:8" ht="12">
      <c r="B16" s="586" t="s">
        <v>88</v>
      </c>
      <c r="E16" s="593"/>
      <c r="F16" s="593"/>
      <c r="G16" s="593"/>
      <c r="H16" s="589"/>
    </row>
    <row r="17" spans="1:8" ht="12">
      <c r="A17" s="580">
        <v>7</v>
      </c>
      <c r="B17" s="586" t="s">
        <v>145</v>
      </c>
      <c r="E17" s="591"/>
      <c r="F17" s="591"/>
      <c r="G17" s="591"/>
      <c r="H17" s="589" t="str">
        <f>IF(E17=F17+G17," ","ERROR")</f>
        <v> </v>
      </c>
    </row>
    <row r="18" spans="1:8" ht="12">
      <c r="A18" s="580">
        <v>8</v>
      </c>
      <c r="B18" s="586" t="s">
        <v>146</v>
      </c>
      <c r="E18" s="591"/>
      <c r="F18" s="591"/>
      <c r="G18" s="591"/>
      <c r="H18" s="589" t="str">
        <f>IF(E18=F18+G18," ","ERROR")</f>
        <v> </v>
      </c>
    </row>
    <row r="19" spans="1:8" ht="12">
      <c r="A19" s="580">
        <v>9</v>
      </c>
      <c r="B19" s="586" t="s">
        <v>147</v>
      </c>
      <c r="E19" s="591"/>
      <c r="F19" s="591"/>
      <c r="G19" s="591"/>
      <c r="H19" s="589" t="str">
        <f>IF(E19=F19+G19," ","ERROR")</f>
        <v> </v>
      </c>
    </row>
    <row r="20" spans="1:8" ht="12">
      <c r="A20" s="580">
        <v>10</v>
      </c>
      <c r="B20" s="586" t="s">
        <v>148</v>
      </c>
      <c r="E20" s="591"/>
      <c r="F20" s="591"/>
      <c r="G20" s="591"/>
      <c r="H20" s="589" t="str">
        <f>IF(E20=F20+G20," ","ERROR")</f>
        <v> </v>
      </c>
    </row>
    <row r="21" spans="1:8" ht="12">
      <c r="A21" s="580">
        <v>11</v>
      </c>
      <c r="B21" s="586" t="s">
        <v>149</v>
      </c>
      <c r="E21" s="592">
        <f>E17+E18+E19+E20</f>
        <v>0</v>
      </c>
      <c r="F21" s="592">
        <f>F17+F18+F19+F20</f>
        <v>0</v>
      </c>
      <c r="G21" s="592">
        <f>G17+G18+G19+G20</f>
        <v>0</v>
      </c>
      <c r="H21" s="589" t="str">
        <f>IF(E21=F21+G21," ","ERROR")</f>
        <v> </v>
      </c>
    </row>
    <row r="22" spans="5:8" ht="12">
      <c r="E22" s="593"/>
      <c r="F22" s="593"/>
      <c r="G22" s="593"/>
      <c r="H22" s="589"/>
    </row>
    <row r="23" spans="2:8" ht="12">
      <c r="B23" s="586" t="s">
        <v>93</v>
      </c>
      <c r="E23" s="593"/>
      <c r="F23" s="593"/>
      <c r="G23" s="593"/>
      <c r="H23" s="589"/>
    </row>
    <row r="24" spans="1:8" ht="12">
      <c r="A24" s="580">
        <v>12</v>
      </c>
      <c r="B24" s="586" t="s">
        <v>145</v>
      </c>
      <c r="E24" s="591"/>
      <c r="F24" s="591"/>
      <c r="G24" s="591"/>
      <c r="H24" s="589" t="str">
        <f>IF(E24=F24+G24," ","ERROR")</f>
        <v> </v>
      </c>
    </row>
    <row r="25" spans="1:8" ht="12">
      <c r="A25" s="580">
        <v>13</v>
      </c>
      <c r="B25" s="586" t="s">
        <v>150</v>
      </c>
      <c r="E25" s="591"/>
      <c r="F25" s="591"/>
      <c r="G25" s="591"/>
      <c r="H25" s="589" t="str">
        <f>IF(E25=F25+G25," ","ERROR")</f>
        <v> </v>
      </c>
    </row>
    <row r="26" spans="1:8" ht="12">
      <c r="A26" s="580">
        <v>14</v>
      </c>
      <c r="B26" s="586" t="s">
        <v>148</v>
      </c>
      <c r="E26" s="591">
        <f>F26+G26</f>
        <v>0</v>
      </c>
      <c r="F26" s="591"/>
      <c r="G26" s="594">
        <f>0+F109</f>
        <v>0</v>
      </c>
      <c r="H26" s="589" t="str">
        <f>IF(E26=F26+G26," ","ERROR")</f>
        <v> </v>
      </c>
    </row>
    <row r="27" spans="1:8" ht="12">
      <c r="A27" s="580">
        <v>15</v>
      </c>
      <c r="B27" s="586" t="s">
        <v>151</v>
      </c>
      <c r="E27" s="592">
        <f>E24+E25+E26</f>
        <v>0</v>
      </c>
      <c r="F27" s="592">
        <f>F24+F25+F26</f>
        <v>0</v>
      </c>
      <c r="G27" s="592">
        <f>G24+G25+G26</f>
        <v>0</v>
      </c>
      <c r="H27" s="589" t="str">
        <f>IF(E27=F27+G27," ","ERROR")</f>
        <v> </v>
      </c>
    </row>
    <row r="28" spans="5:8" ht="12">
      <c r="E28" s="593"/>
      <c r="F28" s="593"/>
      <c r="G28" s="593"/>
      <c r="H28" s="589"/>
    </row>
    <row r="29" spans="1:8" ht="12">
      <c r="A29" s="580">
        <v>16</v>
      </c>
      <c r="B29" s="586" t="s">
        <v>96</v>
      </c>
      <c r="E29" s="591"/>
      <c r="F29" s="591"/>
      <c r="G29" s="591"/>
      <c r="H29" s="589" t="str">
        <f>IF(E29=F29+G29," ","ERROR")</f>
        <v> </v>
      </c>
    </row>
    <row r="30" spans="1:8" ht="12">
      <c r="A30" s="580">
        <v>17</v>
      </c>
      <c r="B30" s="586" t="s">
        <v>97</v>
      </c>
      <c r="E30" s="591"/>
      <c r="F30" s="591"/>
      <c r="G30" s="591"/>
      <c r="H30" s="589" t="str">
        <f>IF(E30=F30+G30," ","ERROR")</f>
        <v> </v>
      </c>
    </row>
    <row r="31" spans="1:8" ht="12">
      <c r="A31" s="580">
        <v>18</v>
      </c>
      <c r="B31" s="586" t="s">
        <v>152</v>
      </c>
      <c r="E31" s="591"/>
      <c r="F31" s="591"/>
      <c r="G31" s="591"/>
      <c r="H31" s="589" t="str">
        <f>IF(E31=F31+G31," ","ERROR")</f>
        <v> </v>
      </c>
    </row>
    <row r="32" spans="5:8" ht="12">
      <c r="E32" s="593"/>
      <c r="F32" s="593"/>
      <c r="G32" s="593"/>
      <c r="H32" s="589"/>
    </row>
    <row r="33" spans="2:8" ht="12">
      <c r="B33" s="586" t="s">
        <v>99</v>
      </c>
      <c r="E33" s="593"/>
      <c r="F33" s="593"/>
      <c r="G33" s="593"/>
      <c r="H33" s="589"/>
    </row>
    <row r="34" spans="1:8" ht="12">
      <c r="A34" s="580">
        <v>19</v>
      </c>
      <c r="B34" s="586" t="s">
        <v>145</v>
      </c>
      <c r="E34" s="591">
        <f>SUM(F34:G34)</f>
        <v>-312</v>
      </c>
      <c r="F34" s="591">
        <v>-312</v>
      </c>
      <c r="G34" s="591"/>
      <c r="H34" s="589" t="str">
        <f>IF(E34=F34+G34," ","ERROR")</f>
        <v> </v>
      </c>
    </row>
    <row r="35" spans="1:8" ht="12">
      <c r="A35" s="580">
        <v>20</v>
      </c>
      <c r="B35" s="586" t="s">
        <v>150</v>
      </c>
      <c r="E35" s="591"/>
      <c r="F35" s="591"/>
      <c r="G35" s="591"/>
      <c r="H35" s="589" t="str">
        <f>IF(E35=F35+G35," ","ERROR")</f>
        <v> </v>
      </c>
    </row>
    <row r="36" spans="1:8" ht="12">
      <c r="A36" s="580">
        <v>21</v>
      </c>
      <c r="B36" s="586" t="s">
        <v>148</v>
      </c>
      <c r="E36" s="591"/>
      <c r="F36" s="591"/>
      <c r="G36" s="591"/>
      <c r="H36" s="589" t="str">
        <f>IF(E36=F36+G36," ","ERROR")</f>
        <v> </v>
      </c>
    </row>
    <row r="37" spans="1:8" ht="12">
      <c r="A37" s="580">
        <v>22</v>
      </c>
      <c r="B37" s="586" t="s">
        <v>153</v>
      </c>
      <c r="E37" s="595">
        <f>E34+E35+E36</f>
        <v>-312</v>
      </c>
      <c r="F37" s="595">
        <f>F34+F35+F36</f>
        <v>-312</v>
      </c>
      <c r="G37" s="595">
        <f>G34+G35+G36</f>
        <v>0</v>
      </c>
      <c r="H37" s="589" t="str">
        <f>IF(E37=F37+G37," ","ERROR")</f>
        <v> </v>
      </c>
    </row>
    <row r="38" spans="1:8" ht="12">
      <c r="A38" s="580">
        <v>23</v>
      </c>
      <c r="B38" s="586" t="s">
        <v>101</v>
      </c>
      <c r="E38" s="596">
        <f>E21+E27+E29+E30+E31+E37</f>
        <v>-312</v>
      </c>
      <c r="F38" s="596">
        <f>F21+F27+F29+F30+F31+F37</f>
        <v>-312</v>
      </c>
      <c r="G38" s="596">
        <f>G21+G27+G29+G30+G31+G37</f>
        <v>0</v>
      </c>
      <c r="H38" s="589" t="str">
        <f>IF(E38=F38+G38," ","ERROR")</f>
        <v> </v>
      </c>
    </row>
    <row r="39" spans="5:8" ht="12">
      <c r="E39" s="593"/>
      <c r="F39" s="593"/>
      <c r="G39" s="593"/>
      <c r="H39" s="589"/>
    </row>
    <row r="40" spans="1:8" ht="12">
      <c r="A40" s="580">
        <v>24</v>
      </c>
      <c r="B40" s="586" t="s">
        <v>154</v>
      </c>
      <c r="E40" s="593">
        <f>E13-E38</f>
        <v>312</v>
      </c>
      <c r="F40" s="593">
        <f>F13-F38</f>
        <v>312</v>
      </c>
      <c r="G40" s="593">
        <f>G13-G38</f>
        <v>0</v>
      </c>
      <c r="H40" s="589" t="str">
        <f>IF(E40=F40+G40," ","ERROR")</f>
        <v> </v>
      </c>
    </row>
    <row r="41" spans="2:8" ht="12">
      <c r="B41" s="586"/>
      <c r="E41" s="593"/>
      <c r="F41" s="593"/>
      <c r="G41" s="593"/>
      <c r="H41" s="589"/>
    </row>
    <row r="42" spans="2:8" ht="12">
      <c r="B42" s="586" t="s">
        <v>155</v>
      </c>
      <c r="E42" s="593"/>
      <c r="F42" s="593"/>
      <c r="G42" s="593"/>
      <c r="H42" s="589"/>
    </row>
    <row r="43" spans="1:8" ht="12">
      <c r="A43" s="580">
        <v>25</v>
      </c>
      <c r="B43" s="586" t="s">
        <v>156</v>
      </c>
      <c r="D43" s="597">
        <v>0.35</v>
      </c>
      <c r="E43" s="591">
        <f>F43+G43</f>
        <v>109</v>
      </c>
      <c r="F43" s="591">
        <f>ROUND(F40*D43,0)</f>
        <v>109</v>
      </c>
      <c r="G43" s="591">
        <f>ROUND(G40*D43,0)</f>
        <v>0</v>
      </c>
      <c r="H43" s="589" t="str">
        <f>IF(E43=F43+G43," ","ERROR")</f>
        <v> </v>
      </c>
    </row>
    <row r="44" spans="1:8" ht="12">
      <c r="A44" s="580">
        <v>26</v>
      </c>
      <c r="B44" s="586" t="s">
        <v>157</v>
      </c>
      <c r="E44" s="591"/>
      <c r="F44" s="591"/>
      <c r="G44" s="591"/>
      <c r="H44" s="589" t="str">
        <f>IF(E44=F44+G44," ","ERROR")</f>
        <v> </v>
      </c>
    </row>
    <row r="45" spans="1:8" ht="12.75">
      <c r="A45"/>
      <c r="B45"/>
      <c r="C45"/>
      <c r="D45"/>
      <c r="E45" s="943"/>
      <c r="F45" s="943"/>
      <c r="G45" s="943"/>
      <c r="H45" s="589" t="str">
        <f>IF(E45=F45+G45," ","ERROR")</f>
        <v> </v>
      </c>
    </row>
    <row r="46" spans="1:8" ht="12">
      <c r="A46" s="278"/>
      <c r="B46" s="281"/>
      <c r="C46" s="275"/>
      <c r="D46" s="275"/>
      <c r="E46" s="288"/>
      <c r="F46" s="288"/>
      <c r="G46" s="288"/>
      <c r="H46" s="589"/>
    </row>
    <row r="47" spans="1:8" s="589" customFormat="1" ht="12">
      <c r="A47" s="282">
        <v>27</v>
      </c>
      <c r="B47" s="283" t="s">
        <v>108</v>
      </c>
      <c r="C47" s="284"/>
      <c r="D47" s="284"/>
      <c r="E47" s="292">
        <f>E40-SUM(E43:E44)</f>
        <v>203</v>
      </c>
      <c r="F47" s="292">
        <f>F40-SUM(F43:F44)</f>
        <v>203</v>
      </c>
      <c r="G47" s="292">
        <f>G40-SUM(G43:G44)</f>
        <v>0</v>
      </c>
      <c r="H47" s="589" t="str">
        <f>IF(E47=F47+G47," ","ERROR")</f>
        <v> </v>
      </c>
    </row>
    <row r="48" spans="1:8" ht="12">
      <c r="A48" s="278"/>
      <c r="H48" s="589"/>
    </row>
    <row r="49" spans="1:8" ht="12">
      <c r="A49" s="278"/>
      <c r="B49" s="586" t="s">
        <v>109</v>
      </c>
      <c r="H49" s="589"/>
    </row>
    <row r="50" spans="1:8" ht="12">
      <c r="A50" s="278"/>
      <c r="B50" s="586" t="s">
        <v>110</v>
      </c>
      <c r="H50" s="589"/>
    </row>
    <row r="51" spans="1:8" s="589" customFormat="1" ht="12">
      <c r="A51" s="282">
        <v>28</v>
      </c>
      <c r="B51" s="588" t="s">
        <v>159</v>
      </c>
      <c r="E51" s="590"/>
      <c r="F51" s="590"/>
      <c r="G51" s="590"/>
      <c r="H51" s="589" t="str">
        <f aca="true" t="shared" si="1" ref="H51:H61">IF(E51=F51+G51," ","ERROR")</f>
        <v> </v>
      </c>
    </row>
    <row r="52" spans="1:8" ht="12">
      <c r="A52" s="278">
        <v>29</v>
      </c>
      <c r="B52" s="586" t="s">
        <v>160</v>
      </c>
      <c r="E52" s="591"/>
      <c r="F52" s="591"/>
      <c r="G52" s="591"/>
      <c r="H52" s="589" t="str">
        <f t="shared" si="1"/>
        <v> </v>
      </c>
    </row>
    <row r="53" spans="1:8" ht="12">
      <c r="A53" s="278">
        <v>30</v>
      </c>
      <c r="B53" s="586" t="s">
        <v>161</v>
      </c>
      <c r="E53" s="591"/>
      <c r="F53" s="591"/>
      <c r="G53" s="591"/>
      <c r="H53" s="589" t="str">
        <f t="shared" si="1"/>
        <v> </v>
      </c>
    </row>
    <row r="54" spans="1:8" ht="12">
      <c r="A54" s="278">
        <v>31</v>
      </c>
      <c r="B54" s="586" t="s">
        <v>162</v>
      </c>
      <c r="E54" s="591"/>
      <c r="F54" s="591"/>
      <c r="G54" s="591"/>
      <c r="H54" s="589" t="str">
        <f t="shared" si="1"/>
        <v> </v>
      </c>
    </row>
    <row r="55" spans="1:8" ht="12">
      <c r="A55" s="278">
        <v>32</v>
      </c>
      <c r="B55" s="586" t="s">
        <v>163</v>
      </c>
      <c r="E55" s="598"/>
      <c r="F55" s="598"/>
      <c r="G55" s="598"/>
      <c r="H55" s="589" t="str">
        <f t="shared" si="1"/>
        <v> </v>
      </c>
    </row>
    <row r="56" spans="1:8" ht="12">
      <c r="A56" s="278">
        <v>33</v>
      </c>
      <c r="B56" s="586" t="s">
        <v>164</v>
      </c>
      <c r="E56" s="593">
        <f>E51+E52+E53+E54+E55</f>
        <v>0</v>
      </c>
      <c r="F56" s="593">
        <f>F51+F52+F53+F54+F55</f>
        <v>0</v>
      </c>
      <c r="G56" s="593">
        <f>G51+G52+G53+G54+G55</f>
        <v>0</v>
      </c>
      <c r="H56" s="589" t="str">
        <f t="shared" si="1"/>
        <v> </v>
      </c>
    </row>
    <row r="57" spans="1:8" ht="12">
      <c r="A57" s="278">
        <v>34</v>
      </c>
      <c r="B57" s="586" t="s">
        <v>116</v>
      </c>
      <c r="E57" s="591"/>
      <c r="F57" s="591"/>
      <c r="G57" s="591"/>
      <c r="H57" s="589" t="str">
        <f t="shared" si="1"/>
        <v> </v>
      </c>
    </row>
    <row r="58" spans="1:8" ht="12">
      <c r="A58" s="278">
        <v>35</v>
      </c>
      <c r="B58" s="586" t="s">
        <v>117</v>
      </c>
      <c r="E58" s="598"/>
      <c r="F58" s="598"/>
      <c r="G58" s="598"/>
      <c r="H58" s="589" t="str">
        <f t="shared" si="1"/>
        <v> </v>
      </c>
    </row>
    <row r="59" spans="1:8" ht="12">
      <c r="A59" s="278">
        <v>36</v>
      </c>
      <c r="B59" s="586" t="s">
        <v>165</v>
      </c>
      <c r="E59" s="593">
        <f>E57+E58</f>
        <v>0</v>
      </c>
      <c r="F59" s="593">
        <f>F57+F58</f>
        <v>0</v>
      </c>
      <c r="G59" s="593">
        <f>G57+G58</f>
        <v>0</v>
      </c>
      <c r="H59" s="589" t="str">
        <f t="shared" si="1"/>
        <v> </v>
      </c>
    </row>
    <row r="60" spans="1:8" ht="12">
      <c r="A60" s="278">
        <v>37</v>
      </c>
      <c r="B60" s="586" t="s">
        <v>119</v>
      </c>
      <c r="E60" s="591"/>
      <c r="F60" s="591"/>
      <c r="G60" s="591"/>
      <c r="H60" s="589" t="str">
        <f t="shared" si="1"/>
        <v> </v>
      </c>
    </row>
    <row r="61" spans="1:8" ht="12">
      <c r="A61" s="278">
        <v>38</v>
      </c>
      <c r="B61" s="586" t="s">
        <v>120</v>
      </c>
      <c r="E61" s="598"/>
      <c r="F61" s="598"/>
      <c r="G61" s="598"/>
      <c r="H61" s="589" t="str">
        <f t="shared" si="1"/>
        <v> </v>
      </c>
    </row>
    <row r="62" spans="1:8" ht="9" customHeight="1">
      <c r="A62" s="278"/>
      <c r="H62" s="589"/>
    </row>
    <row r="63" spans="1:8" s="589" customFormat="1" ht="12.75" thickBot="1">
      <c r="A63" s="282">
        <v>39</v>
      </c>
      <c r="B63" s="588" t="s">
        <v>121</v>
      </c>
      <c r="E63" s="599">
        <f>E56-E59+E60+E61</f>
        <v>0</v>
      </c>
      <c r="F63" s="599">
        <f>F56-F59+F60+F61</f>
        <v>0</v>
      </c>
      <c r="G63" s="599">
        <f>G56-G59+G60+G61</f>
        <v>0</v>
      </c>
      <c r="H63" s="589" t="str">
        <f>IF(E63=F63+G63," ","ERROR")</f>
        <v> </v>
      </c>
    </row>
    <row r="64" ht="12.75" thickTop="1"/>
    <row r="65" spans="1:8" ht="12">
      <c r="A65" s="578" t="str">
        <f>Inputs!$D$6</f>
        <v>AVISTA UTILITIES</v>
      </c>
      <c r="B65" s="578"/>
      <c r="C65" s="578"/>
      <c r="D65" s="600"/>
      <c r="E65" s="601"/>
      <c r="F65" s="600"/>
      <c r="G65" s="602"/>
      <c r="H65" s="601"/>
    </row>
    <row r="66" spans="1:8" ht="12">
      <c r="A66" s="578" t="s">
        <v>218</v>
      </c>
      <c r="B66" s="578"/>
      <c r="C66" s="578"/>
      <c r="D66" s="600"/>
      <c r="E66" s="601"/>
      <c r="F66" s="600"/>
      <c r="G66" s="602"/>
      <c r="H66" s="601"/>
    </row>
    <row r="67" spans="1:8" ht="12">
      <c r="A67" s="578" t="str">
        <f>A3</f>
        <v>TWELVE MONTHS ENDED DECEMBER 31, 2004</v>
      </c>
      <c r="B67" s="578"/>
      <c r="C67" s="578"/>
      <c r="D67" s="600"/>
      <c r="E67" s="601"/>
      <c r="F67" s="603" t="str">
        <f>F2</f>
        <v>REGULATORY EXPENSE</v>
      </c>
      <c r="G67" s="600"/>
      <c r="H67" s="601"/>
    </row>
    <row r="68" spans="1:8" ht="12">
      <c r="A68" s="578" t="s">
        <v>219</v>
      </c>
      <c r="B68" s="578"/>
      <c r="C68" s="578"/>
      <c r="D68" s="600"/>
      <c r="E68" s="601"/>
      <c r="F68" s="603" t="str">
        <f>F3</f>
        <v>ADJUSTMENT</v>
      </c>
      <c r="G68" s="600"/>
      <c r="H68" s="601"/>
    </row>
    <row r="69" spans="2:8" ht="12">
      <c r="B69" s="600"/>
      <c r="C69" s="600"/>
      <c r="D69" s="600"/>
      <c r="E69" s="604"/>
      <c r="F69" s="605" t="str">
        <f>F4</f>
        <v>ELECTRIC</v>
      </c>
      <c r="G69" s="600"/>
      <c r="H69" s="606"/>
    </row>
    <row r="70" spans="2:8" ht="12">
      <c r="B70" s="600"/>
      <c r="C70" s="600"/>
      <c r="D70" s="600"/>
      <c r="E70" s="601"/>
      <c r="F70" s="603"/>
      <c r="G70" s="607"/>
      <c r="H70" s="601"/>
    </row>
    <row r="71" spans="2:8" ht="12">
      <c r="B71" s="608" t="s">
        <v>128</v>
      </c>
      <c r="C71" s="609"/>
      <c r="D71" s="600"/>
      <c r="E71" s="601"/>
      <c r="F71" s="605" t="s">
        <v>123</v>
      </c>
      <c r="G71" s="600"/>
      <c r="H71" s="601"/>
    </row>
    <row r="72" spans="2:8" ht="12">
      <c r="B72" s="586" t="s">
        <v>80</v>
      </c>
      <c r="C72" s="600"/>
      <c r="D72" s="600"/>
      <c r="E72" s="600"/>
      <c r="F72" s="602"/>
      <c r="G72" s="600"/>
      <c r="H72" s="600"/>
    </row>
    <row r="73" spans="2:8" ht="12">
      <c r="B73" s="588" t="s">
        <v>81</v>
      </c>
      <c r="C73" s="600"/>
      <c r="D73" s="600"/>
      <c r="E73" s="600"/>
      <c r="F73" s="610">
        <f>G8</f>
        <v>0</v>
      </c>
      <c r="G73" s="600"/>
      <c r="H73" s="600"/>
    </row>
    <row r="74" spans="2:8" ht="12">
      <c r="B74" s="586" t="s">
        <v>82</v>
      </c>
      <c r="C74" s="600"/>
      <c r="D74" s="600"/>
      <c r="E74" s="600"/>
      <c r="F74" s="593">
        <f>G9</f>
        <v>0</v>
      </c>
      <c r="G74" s="600"/>
      <c r="H74" s="600"/>
    </row>
    <row r="75" spans="2:8" ht="12">
      <c r="B75" s="586" t="s">
        <v>142</v>
      </c>
      <c r="C75" s="600"/>
      <c r="D75" s="600"/>
      <c r="E75" s="600"/>
      <c r="F75" s="596">
        <f>G10</f>
        <v>0</v>
      </c>
      <c r="G75" s="600"/>
      <c r="H75" s="600"/>
    </row>
    <row r="76" spans="2:8" ht="12">
      <c r="B76" s="586" t="s">
        <v>143</v>
      </c>
      <c r="C76" s="600"/>
      <c r="D76" s="600"/>
      <c r="E76" s="600"/>
      <c r="F76" s="593">
        <f>SUM(F73:F75)</f>
        <v>0</v>
      </c>
      <c r="G76" s="600"/>
      <c r="H76" s="600"/>
    </row>
    <row r="77" spans="2:8" ht="12">
      <c r="B77" s="586" t="s">
        <v>85</v>
      </c>
      <c r="C77" s="600"/>
      <c r="D77" s="600"/>
      <c r="E77" s="600"/>
      <c r="F77" s="596">
        <f>G12</f>
        <v>0</v>
      </c>
      <c r="G77" s="600"/>
      <c r="H77" s="600"/>
    </row>
    <row r="78" spans="2:8" ht="12">
      <c r="B78" s="586" t="s">
        <v>144</v>
      </c>
      <c r="C78" s="600"/>
      <c r="D78" s="600"/>
      <c r="E78" s="600"/>
      <c r="F78" s="593">
        <f>F76+F77</f>
        <v>0</v>
      </c>
      <c r="G78" s="600"/>
      <c r="H78" s="600"/>
    </row>
    <row r="79" spans="3:8" ht="12">
      <c r="C79" s="600"/>
      <c r="D79" s="600"/>
      <c r="E79" s="600"/>
      <c r="F79" s="593"/>
      <c r="G79" s="600"/>
      <c r="H79" s="600"/>
    </row>
    <row r="80" spans="2:8" ht="12">
      <c r="B80" s="586" t="s">
        <v>87</v>
      </c>
      <c r="C80" s="600"/>
      <c r="D80" s="600"/>
      <c r="E80" s="600"/>
      <c r="F80" s="593"/>
      <c r="G80" s="600"/>
      <c r="H80" s="600"/>
    </row>
    <row r="81" spans="2:8" ht="12">
      <c r="B81" s="586" t="s">
        <v>88</v>
      </c>
      <c r="C81" s="600"/>
      <c r="D81" s="600"/>
      <c r="E81" s="600"/>
      <c r="F81" s="593"/>
      <c r="G81" s="600"/>
      <c r="H81" s="600"/>
    </row>
    <row r="82" spans="2:8" ht="12">
      <c r="B82" s="586" t="s">
        <v>145</v>
      </c>
      <c r="C82" s="600"/>
      <c r="D82" s="600"/>
      <c r="E82" s="600"/>
      <c r="F82" s="593">
        <f>G17</f>
        <v>0</v>
      </c>
      <c r="G82" s="600"/>
      <c r="H82" s="600"/>
    </row>
    <row r="83" spans="2:8" ht="12">
      <c r="B83" s="586" t="s">
        <v>146</v>
      </c>
      <c r="C83" s="600"/>
      <c r="D83" s="600"/>
      <c r="E83" s="600"/>
      <c r="F83" s="593">
        <f>G18</f>
        <v>0</v>
      </c>
      <c r="G83" s="600"/>
      <c r="H83" s="600"/>
    </row>
    <row r="84" spans="2:8" ht="12">
      <c r="B84" s="586" t="s">
        <v>147</v>
      </c>
      <c r="C84" s="600"/>
      <c r="D84" s="600"/>
      <c r="E84" s="600"/>
      <c r="F84" s="593">
        <f>G19</f>
        <v>0</v>
      </c>
      <c r="G84" s="600"/>
      <c r="H84" s="600"/>
    </row>
    <row r="85" spans="2:8" ht="12">
      <c r="B85" s="586" t="s">
        <v>148</v>
      </c>
      <c r="C85" s="600"/>
      <c r="D85" s="600"/>
      <c r="E85" s="600"/>
      <c r="F85" s="596">
        <f>G20</f>
        <v>0</v>
      </c>
      <c r="G85" s="600"/>
      <c r="H85" s="600"/>
    </row>
    <row r="86" spans="2:8" ht="12">
      <c r="B86" s="586" t="s">
        <v>149</v>
      </c>
      <c r="C86" s="600"/>
      <c r="D86" s="600"/>
      <c r="E86" s="600"/>
      <c r="F86" s="593">
        <f>SUM(F82:F85)</f>
        <v>0</v>
      </c>
      <c r="G86" s="600"/>
      <c r="H86" s="600"/>
    </row>
    <row r="87" spans="3:8" ht="12">
      <c r="C87" s="600"/>
      <c r="D87" s="600"/>
      <c r="E87" s="600"/>
      <c r="F87" s="593"/>
      <c r="G87" s="600"/>
      <c r="H87" s="600"/>
    </row>
    <row r="88" spans="2:8" ht="12">
      <c r="B88" s="586" t="s">
        <v>93</v>
      </c>
      <c r="C88" s="600"/>
      <c r="D88" s="600"/>
      <c r="E88" s="600"/>
      <c r="F88" s="593"/>
      <c r="G88" s="600"/>
      <c r="H88" s="600"/>
    </row>
    <row r="89" spans="2:8" ht="12">
      <c r="B89" s="586" t="s">
        <v>145</v>
      </c>
      <c r="C89" s="600"/>
      <c r="D89" s="600"/>
      <c r="E89" s="600"/>
      <c r="F89" s="593">
        <f>G24</f>
        <v>0</v>
      </c>
      <c r="G89" s="600"/>
      <c r="H89" s="600"/>
    </row>
    <row r="90" spans="2:8" ht="12">
      <c r="B90" s="586" t="s">
        <v>150</v>
      </c>
      <c r="C90" s="600"/>
      <c r="D90" s="600"/>
      <c r="E90" s="600"/>
      <c r="F90" s="593">
        <f>G25</f>
        <v>0</v>
      </c>
      <c r="G90" s="600"/>
      <c r="H90" s="600"/>
    </row>
    <row r="91" spans="1:8" ht="12">
      <c r="A91" s="579"/>
      <c r="B91" s="586" t="s">
        <v>148</v>
      </c>
      <c r="C91" s="600"/>
      <c r="D91" s="600"/>
      <c r="E91" s="600"/>
      <c r="F91" s="593"/>
      <c r="G91" s="600"/>
      <c r="H91" s="600"/>
    </row>
    <row r="92" spans="1:8" ht="12">
      <c r="A92" s="579"/>
      <c r="B92" s="586" t="s">
        <v>151</v>
      </c>
      <c r="C92" s="600"/>
      <c r="D92" s="600"/>
      <c r="E92" s="600"/>
      <c r="F92" s="592">
        <f>SUM(F89:F91)</f>
        <v>0</v>
      </c>
      <c r="G92" s="600"/>
      <c r="H92" s="600"/>
    </row>
    <row r="93" spans="1:8" ht="12">
      <c r="A93" s="579"/>
      <c r="C93" s="600"/>
      <c r="D93" s="600"/>
      <c r="E93" s="600"/>
      <c r="F93" s="593"/>
      <c r="G93" s="600"/>
      <c r="H93" s="600"/>
    </row>
    <row r="94" spans="1:8" ht="12">
      <c r="A94" s="579"/>
      <c r="B94" s="586" t="s">
        <v>96</v>
      </c>
      <c r="C94" s="600"/>
      <c r="D94" s="600"/>
      <c r="E94" s="600"/>
      <c r="F94" s="593">
        <f>G29</f>
        <v>0</v>
      </c>
      <c r="G94" s="600"/>
      <c r="H94" s="600"/>
    </row>
    <row r="95" spans="1:8" ht="12">
      <c r="A95" s="579"/>
      <c r="B95" s="586" t="s">
        <v>97</v>
      </c>
      <c r="C95" s="600"/>
      <c r="D95" s="600"/>
      <c r="E95" s="600"/>
      <c r="F95" s="593">
        <f>G30</f>
        <v>0</v>
      </c>
      <c r="G95" s="600"/>
      <c r="H95" s="600"/>
    </row>
    <row r="96" spans="1:8" ht="12">
      <c r="A96" s="579"/>
      <c r="B96" s="586" t="s">
        <v>152</v>
      </c>
      <c r="C96" s="600"/>
      <c r="D96" s="600"/>
      <c r="E96" s="600"/>
      <c r="F96" s="593">
        <f>G31</f>
        <v>0</v>
      </c>
      <c r="G96" s="600"/>
      <c r="H96" s="600"/>
    </row>
    <row r="97" spans="1:8" ht="12">
      <c r="A97" s="579"/>
      <c r="C97" s="600"/>
      <c r="D97" s="600"/>
      <c r="E97" s="600"/>
      <c r="F97" s="593"/>
      <c r="G97" s="600"/>
      <c r="H97" s="600"/>
    </row>
    <row r="98" spans="1:8" ht="12">
      <c r="A98" s="579"/>
      <c r="B98" s="586" t="s">
        <v>99</v>
      </c>
      <c r="C98" s="600"/>
      <c r="D98" s="600"/>
      <c r="E98" s="600"/>
      <c r="F98" s="593"/>
      <c r="G98" s="600"/>
      <c r="H98" s="600"/>
    </row>
    <row r="99" spans="1:8" ht="12">
      <c r="A99" s="579"/>
      <c r="B99" s="586" t="s">
        <v>145</v>
      </c>
      <c r="C99" s="600"/>
      <c r="D99" s="600"/>
      <c r="E99" s="600"/>
      <c r="F99" s="593">
        <f>G34</f>
        <v>0</v>
      </c>
      <c r="G99" s="600"/>
      <c r="H99" s="600"/>
    </row>
    <row r="100" spans="1:8" ht="12">
      <c r="A100" s="579"/>
      <c r="B100" s="586" t="s">
        <v>150</v>
      </c>
      <c r="C100" s="600"/>
      <c r="D100" s="600"/>
      <c r="E100" s="600"/>
      <c r="F100" s="593">
        <f>G35</f>
        <v>0</v>
      </c>
      <c r="G100" s="600"/>
      <c r="H100" s="600"/>
    </row>
    <row r="101" spans="1:8" ht="12">
      <c r="A101" s="579"/>
      <c r="B101" s="586" t="s">
        <v>148</v>
      </c>
      <c r="C101" s="600"/>
      <c r="D101" s="600"/>
      <c r="E101" s="600"/>
      <c r="F101" s="596">
        <f>G36</f>
        <v>0</v>
      </c>
      <c r="G101" s="600"/>
      <c r="H101" s="600"/>
    </row>
    <row r="102" spans="1:8" ht="12">
      <c r="A102" s="579"/>
      <c r="B102" s="586" t="s">
        <v>153</v>
      </c>
      <c r="C102" s="600"/>
      <c r="D102" s="600"/>
      <c r="E102" s="600"/>
      <c r="F102" s="593">
        <f>F99+F100+F101</f>
        <v>0</v>
      </c>
      <c r="G102" s="600"/>
      <c r="H102" s="600"/>
    </row>
    <row r="103" spans="1:8" ht="12">
      <c r="A103" s="579"/>
      <c r="B103" s="600"/>
      <c r="C103" s="600"/>
      <c r="D103" s="600"/>
      <c r="E103" s="600"/>
      <c r="F103" s="593"/>
      <c r="G103" s="600"/>
      <c r="H103" s="600"/>
    </row>
    <row r="104" spans="1:8" ht="12">
      <c r="A104" s="579"/>
      <c r="B104" s="600" t="s">
        <v>101</v>
      </c>
      <c r="C104" s="600"/>
      <c r="D104" s="600"/>
      <c r="E104" s="600"/>
      <c r="F104" s="595">
        <f>F86+F92+F94+F95+F96+F102</f>
        <v>0</v>
      </c>
      <c r="G104" s="600"/>
      <c r="H104" s="600"/>
    </row>
    <row r="105" spans="1:8" ht="12">
      <c r="A105" s="579"/>
      <c r="B105" s="600"/>
      <c r="C105" s="600"/>
      <c r="D105" s="600"/>
      <c r="E105" s="600"/>
      <c r="F105" s="593"/>
      <c r="G105" s="600"/>
      <c r="H105" s="600"/>
    </row>
    <row r="106" spans="1:8" ht="12">
      <c r="A106" s="579"/>
      <c r="B106" s="600" t="s">
        <v>220</v>
      </c>
      <c r="C106" s="600"/>
      <c r="D106" s="600"/>
      <c r="E106" s="600"/>
      <c r="F106" s="596">
        <f>F78-F104</f>
        <v>0</v>
      </c>
      <c r="G106" s="600"/>
      <c r="H106" s="600"/>
    </row>
    <row r="107" spans="1:8" ht="12">
      <c r="A107" s="579"/>
      <c r="B107" s="600"/>
      <c r="C107" s="600"/>
      <c r="D107" s="600"/>
      <c r="E107" s="600"/>
      <c r="F107" s="593"/>
      <c r="G107" s="600"/>
      <c r="H107" s="600"/>
    </row>
    <row r="108" spans="1:8" ht="12">
      <c r="A108" s="579"/>
      <c r="B108" s="600" t="s">
        <v>221</v>
      </c>
      <c r="C108" s="600"/>
      <c r="D108" s="600"/>
      <c r="E108" s="601"/>
      <c r="F108" s="593"/>
      <c r="G108" s="600"/>
      <c r="H108" s="600"/>
    </row>
    <row r="109" spans="1:8" ht="12.75" thickBot="1">
      <c r="A109" s="579"/>
      <c r="B109" s="611" t="s">
        <v>222</v>
      </c>
      <c r="C109" s="612">
        <f>Inputs!$D$4</f>
        <v>0.01065</v>
      </c>
      <c r="D109" s="600"/>
      <c r="E109" s="601"/>
      <c r="F109" s="613">
        <f>ROUND(F106*C109,0)</f>
        <v>0</v>
      </c>
      <c r="G109" s="600"/>
      <c r="H109" s="600"/>
    </row>
    <row r="110" spans="1:8" ht="12.75" thickTop="1">
      <c r="A110" s="579"/>
      <c r="B110" s="600"/>
      <c r="C110" s="600"/>
      <c r="D110" s="600"/>
      <c r="E110" s="601"/>
      <c r="F110" s="600"/>
      <c r="G110" s="602"/>
      <c r="H110" s="600"/>
    </row>
  </sheetData>
  <printOptions horizontalCentered="1"/>
  <pageMargins left="1" right="1" top="0.5" bottom="0.5" header="0.5" footer="0.5"/>
  <pageSetup horizontalDpi="300" verticalDpi="300" orientation="portrait" scale="90" r:id="rId1"/>
  <rowBreaks count="1" manualBreakCount="1">
    <brk id="65" max="6553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88">
      <selection activeCell="F35" sqref="F35"/>
    </sheetView>
  </sheetViews>
  <sheetFormatPr defaultColWidth="9.140625" defaultRowHeight="12.75"/>
  <cols>
    <col min="1" max="1" width="5.57421875" style="622" customWidth="1"/>
    <col min="2" max="2" width="26.140625" style="616" customWidth="1"/>
    <col min="3" max="3" width="12.421875" style="616" customWidth="1"/>
    <col min="4" max="4" width="6.7109375" style="616" customWidth="1"/>
    <col min="5" max="8" width="12.421875" style="616" customWidth="1"/>
    <col min="9" max="16384" width="9.140625" style="617" customWidth="1"/>
  </cols>
  <sheetData>
    <row r="1" spans="1:3" ht="12" customHeight="1">
      <c r="A1" s="614" t="str">
        <f>Inputs!$D$6</f>
        <v>AVISTA UTILITIES</v>
      </c>
      <c r="B1" s="615"/>
      <c r="C1" s="614"/>
    </row>
    <row r="2" spans="1:7" ht="12" customHeight="1">
      <c r="A2" s="614" t="s">
        <v>134</v>
      </c>
      <c r="B2" s="615"/>
      <c r="C2" s="614"/>
      <c r="E2" s="614"/>
      <c r="F2" s="618" t="s">
        <v>239</v>
      </c>
      <c r="G2" s="614"/>
    </row>
    <row r="3" spans="1:7" ht="12" customHeight="1">
      <c r="A3" s="615" t="str">
        <f>WAElec12_04!$A$4</f>
        <v>TWELVE MONTHS ENDED DECEMBER 31, 2004</v>
      </c>
      <c r="B3" s="615"/>
      <c r="C3" s="614"/>
      <c r="E3" s="614"/>
      <c r="F3" s="618" t="s">
        <v>240</v>
      </c>
      <c r="G3" s="614"/>
    </row>
    <row r="4" spans="1:7" ht="12" customHeight="1">
      <c r="A4" s="614" t="s">
        <v>1</v>
      </c>
      <c r="B4" s="615"/>
      <c r="C4" s="614"/>
      <c r="E4" s="619"/>
      <c r="F4" s="620" t="s">
        <v>137</v>
      </c>
      <c r="G4" s="621"/>
    </row>
    <row r="5" ht="12" customHeight="1">
      <c r="A5" s="622" t="s">
        <v>13</v>
      </c>
    </row>
    <row r="6" spans="1:8" ht="12" customHeight="1">
      <c r="A6" s="622" t="s">
        <v>138</v>
      </c>
      <c r="B6" s="623" t="s">
        <v>34</v>
      </c>
      <c r="C6" s="623"/>
      <c r="D6" s="622"/>
      <c r="E6" s="623" t="s">
        <v>139</v>
      </c>
      <c r="F6" s="623" t="s">
        <v>140</v>
      </c>
      <c r="G6" s="623" t="s">
        <v>123</v>
      </c>
      <c r="H6" s="624" t="s">
        <v>141</v>
      </c>
    </row>
    <row r="7" ht="12" customHeight="1">
      <c r="B7" s="625" t="s">
        <v>80</v>
      </c>
    </row>
    <row r="8" spans="1:8" ht="12" customHeight="1">
      <c r="A8" s="626">
        <v>1</v>
      </c>
      <c r="B8" s="627" t="s">
        <v>81</v>
      </c>
      <c r="C8" s="628"/>
      <c r="D8" s="628"/>
      <c r="E8" s="629">
        <f>F8+G8</f>
        <v>0</v>
      </c>
      <c r="F8" s="629"/>
      <c r="G8" s="629"/>
      <c r="H8" s="628" t="str">
        <f aca="true" t="shared" si="0" ref="H8:H13">IF(E8=F8+G8," ","ERROR")</f>
        <v> </v>
      </c>
    </row>
    <row r="9" spans="1:8" ht="12" customHeight="1">
      <c r="A9" s="622">
        <v>2</v>
      </c>
      <c r="B9" s="625" t="s">
        <v>82</v>
      </c>
      <c r="E9" s="630"/>
      <c r="F9" s="630"/>
      <c r="G9" s="630"/>
      <c r="H9" s="628" t="str">
        <f t="shared" si="0"/>
        <v> </v>
      </c>
    </row>
    <row r="10" spans="1:8" ht="12" customHeight="1">
      <c r="A10" s="622">
        <v>3</v>
      </c>
      <c r="B10" s="625" t="s">
        <v>142</v>
      </c>
      <c r="E10" s="630">
        <f>F10+G10</f>
        <v>0</v>
      </c>
      <c r="F10" s="630"/>
      <c r="G10" s="630"/>
      <c r="H10" s="628" t="str">
        <f t="shared" si="0"/>
        <v> </v>
      </c>
    </row>
    <row r="11" spans="1:8" ht="12" customHeight="1">
      <c r="A11" s="622">
        <v>4</v>
      </c>
      <c r="B11" s="625" t="s">
        <v>143</v>
      </c>
      <c r="E11" s="631">
        <f>E8+E9+E10</f>
        <v>0</v>
      </c>
      <c r="F11" s="631">
        <f>F8+F9+F10</f>
        <v>0</v>
      </c>
      <c r="G11" s="631">
        <f>G8+G9+G10</f>
        <v>0</v>
      </c>
      <c r="H11" s="628" t="str">
        <f t="shared" si="0"/>
        <v> </v>
      </c>
    </row>
    <row r="12" spans="1:8" ht="12" customHeight="1">
      <c r="A12" s="622">
        <v>5</v>
      </c>
      <c r="B12" s="625" t="s">
        <v>85</v>
      </c>
      <c r="E12" s="630"/>
      <c r="F12" s="630"/>
      <c r="G12" s="630"/>
      <c r="H12" s="628" t="str">
        <f t="shared" si="0"/>
        <v> </v>
      </c>
    </row>
    <row r="13" spans="1:8" ht="12" customHeight="1">
      <c r="A13" s="622">
        <v>6</v>
      </c>
      <c r="B13" s="625" t="s">
        <v>144</v>
      </c>
      <c r="E13" s="631">
        <f>E11+E12</f>
        <v>0</v>
      </c>
      <c r="F13" s="631">
        <f>F11+F12</f>
        <v>0</v>
      </c>
      <c r="G13" s="631">
        <f>G11+G12</f>
        <v>0</v>
      </c>
      <c r="H13" s="628" t="str">
        <f t="shared" si="0"/>
        <v> </v>
      </c>
    </row>
    <row r="14" spans="5:8" ht="12" customHeight="1">
      <c r="E14" s="632"/>
      <c r="F14" s="632"/>
      <c r="G14" s="632"/>
      <c r="H14" s="628"/>
    </row>
    <row r="15" spans="2:8" ht="12" customHeight="1">
      <c r="B15" s="625" t="s">
        <v>87</v>
      </c>
      <c r="E15" s="632"/>
      <c r="F15" s="632"/>
      <c r="G15" s="632"/>
      <c r="H15" s="628"/>
    </row>
    <row r="16" spans="2:8" ht="12" customHeight="1">
      <c r="B16" s="625" t="s">
        <v>88</v>
      </c>
      <c r="E16" s="632"/>
      <c r="F16" s="632"/>
      <c r="G16" s="632"/>
      <c r="H16" s="628"/>
    </row>
    <row r="17" spans="1:8" ht="12" customHeight="1">
      <c r="A17" s="622">
        <v>7</v>
      </c>
      <c r="B17" s="625" t="s">
        <v>145</v>
      </c>
      <c r="E17" s="630"/>
      <c r="F17" s="630"/>
      <c r="G17" s="630"/>
      <c r="H17" s="628" t="str">
        <f>IF(E17=F17+G17," ","ERROR")</f>
        <v> </v>
      </c>
    </row>
    <row r="18" spans="1:8" ht="12" customHeight="1">
      <c r="A18" s="622">
        <v>8</v>
      </c>
      <c r="B18" s="625" t="s">
        <v>146</v>
      </c>
      <c r="E18" s="630"/>
      <c r="F18" s="630"/>
      <c r="G18" s="630"/>
      <c r="H18" s="628" t="str">
        <f>IF(E18=F18+G18," ","ERROR")</f>
        <v> </v>
      </c>
    </row>
    <row r="19" spans="1:8" ht="12" customHeight="1">
      <c r="A19" s="622">
        <v>9</v>
      </c>
      <c r="B19" s="625" t="s">
        <v>147</v>
      </c>
      <c r="E19" s="630"/>
      <c r="F19" s="630"/>
      <c r="G19" s="630"/>
      <c r="H19" s="628" t="str">
        <f>IF(E19=F19+G19," ","ERROR")</f>
        <v> </v>
      </c>
    </row>
    <row r="20" spans="1:8" ht="12" customHeight="1">
      <c r="A20" s="622">
        <v>10</v>
      </c>
      <c r="B20" s="625" t="s">
        <v>148</v>
      </c>
      <c r="E20" s="630"/>
      <c r="F20" s="630"/>
      <c r="G20" s="630"/>
      <c r="H20" s="628" t="str">
        <f>IF(E20=F20+G20," ","ERROR")</f>
        <v> </v>
      </c>
    </row>
    <row r="21" spans="1:8" ht="12" customHeight="1">
      <c r="A21" s="622">
        <v>11</v>
      </c>
      <c r="B21" s="625" t="s">
        <v>149</v>
      </c>
      <c r="E21" s="631">
        <f>E17+E18+E19+E20</f>
        <v>0</v>
      </c>
      <c r="F21" s="631">
        <f>F17+F18+F19+F20</f>
        <v>0</v>
      </c>
      <c r="G21" s="631">
        <f>G17+G18+G19+G20</f>
        <v>0</v>
      </c>
      <c r="H21" s="628" t="str">
        <f>IF(E21=F21+G21," ","ERROR")</f>
        <v> </v>
      </c>
    </row>
    <row r="22" spans="5:8" ht="12" customHeight="1">
      <c r="E22" s="632"/>
      <c r="F22" s="632"/>
      <c r="G22" s="632"/>
      <c r="H22" s="628"/>
    </row>
    <row r="23" spans="2:8" ht="12" customHeight="1">
      <c r="B23" s="625" t="s">
        <v>93</v>
      </c>
      <c r="E23" s="632"/>
      <c r="F23" s="632"/>
      <c r="G23" s="632"/>
      <c r="H23" s="628"/>
    </row>
    <row r="24" spans="1:8" ht="12" customHeight="1">
      <c r="A24" s="622">
        <v>12</v>
      </c>
      <c r="B24" s="625" t="s">
        <v>145</v>
      </c>
      <c r="E24" s="630"/>
      <c r="F24" s="630"/>
      <c r="G24" s="630"/>
      <c r="H24" s="628" t="str">
        <f>IF(E24=F24+G24," ","ERROR")</f>
        <v> </v>
      </c>
    </row>
    <row r="25" spans="1:8" ht="12" customHeight="1">
      <c r="A25" s="622">
        <v>13</v>
      </c>
      <c r="B25" s="625" t="s">
        <v>150</v>
      </c>
      <c r="E25" s="630"/>
      <c r="F25" s="630"/>
      <c r="G25" s="630"/>
      <c r="H25" s="628" t="str">
        <f>IF(E25=F25+G25," ","ERROR")</f>
        <v> </v>
      </c>
    </row>
    <row r="26" spans="1:8" ht="12" customHeight="1">
      <c r="A26" s="622">
        <v>14</v>
      </c>
      <c r="B26" s="625" t="s">
        <v>148</v>
      </c>
      <c r="E26" s="630">
        <f>F26+G26</f>
        <v>0</v>
      </c>
      <c r="F26" s="630"/>
      <c r="G26" s="633">
        <f>F109</f>
        <v>0</v>
      </c>
      <c r="H26" s="628" t="str">
        <f>IF(E26=F26+G26," ","ERROR")</f>
        <v> </v>
      </c>
    </row>
    <row r="27" spans="1:8" ht="12" customHeight="1">
      <c r="A27" s="622">
        <v>15</v>
      </c>
      <c r="B27" s="625" t="s">
        <v>151</v>
      </c>
      <c r="E27" s="631">
        <f>E24+E25+E26</f>
        <v>0</v>
      </c>
      <c r="F27" s="631">
        <f>F24+F25+F26</f>
        <v>0</v>
      </c>
      <c r="G27" s="631">
        <f>G24+G25+G26</f>
        <v>0</v>
      </c>
      <c r="H27" s="628" t="str">
        <f>IF(E27=F27+G27," ","ERROR")</f>
        <v> </v>
      </c>
    </row>
    <row r="28" spans="5:8" ht="12" customHeight="1">
      <c r="E28" s="632"/>
      <c r="F28" s="632"/>
      <c r="G28" s="632"/>
      <c r="H28" s="628"/>
    </row>
    <row r="29" spans="1:8" ht="12" customHeight="1">
      <c r="A29" s="622">
        <v>16</v>
      </c>
      <c r="B29" s="625" t="s">
        <v>96</v>
      </c>
      <c r="E29" s="630">
        <f>F29+G29</f>
        <v>0</v>
      </c>
      <c r="F29" s="630"/>
      <c r="G29" s="630"/>
      <c r="H29" s="628" t="str">
        <f>IF(E29=F29+G29," ","ERROR")</f>
        <v> </v>
      </c>
    </row>
    <row r="30" spans="1:8" ht="12" customHeight="1">
      <c r="A30" s="622">
        <v>17</v>
      </c>
      <c r="B30" s="625" t="s">
        <v>97</v>
      </c>
      <c r="E30" s="630"/>
      <c r="F30" s="630"/>
      <c r="G30" s="630"/>
      <c r="H30" s="628" t="str">
        <f>IF(E30=F30+G30," ","ERROR")</f>
        <v> </v>
      </c>
    </row>
    <row r="31" spans="1:8" ht="12" customHeight="1">
      <c r="A31" s="622">
        <v>18</v>
      </c>
      <c r="B31" s="625" t="s">
        <v>152</v>
      </c>
      <c r="E31" s="630"/>
      <c r="F31" s="630"/>
      <c r="G31" s="630"/>
      <c r="H31" s="628" t="str">
        <f>IF(E31=F31+G31," ","ERROR")</f>
        <v> </v>
      </c>
    </row>
    <row r="32" spans="5:8" ht="12" customHeight="1">
      <c r="E32" s="632"/>
      <c r="F32" s="632"/>
      <c r="G32" s="632"/>
      <c r="H32" s="628"/>
    </row>
    <row r="33" spans="2:8" ht="12" customHeight="1">
      <c r="B33" s="625" t="s">
        <v>99</v>
      </c>
      <c r="E33" s="632"/>
      <c r="F33" s="632"/>
      <c r="G33" s="632"/>
      <c r="H33" s="628"/>
    </row>
    <row r="34" spans="1:8" ht="12" customHeight="1">
      <c r="A34" s="622">
        <v>19</v>
      </c>
      <c r="B34" s="625" t="s">
        <v>145</v>
      </c>
      <c r="E34" s="630">
        <f>SUM(F34:G34)</f>
        <v>108</v>
      </c>
      <c r="F34" s="632">
        <v>108</v>
      </c>
      <c r="G34" s="632">
        <v>0</v>
      </c>
      <c r="H34" s="628" t="str">
        <f>IF(E34=F34+G34," ","ERROR")</f>
        <v> </v>
      </c>
    </row>
    <row r="35" spans="1:8" ht="12" customHeight="1">
      <c r="A35" s="622">
        <v>20</v>
      </c>
      <c r="B35" s="625" t="s">
        <v>150</v>
      </c>
      <c r="E35" s="630"/>
      <c r="F35" s="630"/>
      <c r="G35" s="630"/>
      <c r="H35" s="628" t="str">
        <f>IF(E35=F35+G35," ","ERROR")</f>
        <v> </v>
      </c>
    </row>
    <row r="36" spans="1:8" ht="12" customHeight="1">
      <c r="A36" s="622">
        <v>21</v>
      </c>
      <c r="B36" s="625" t="s">
        <v>148</v>
      </c>
      <c r="E36" s="630"/>
      <c r="F36" s="630"/>
      <c r="G36" s="630"/>
      <c r="H36" s="628" t="str">
        <f>IF(E36=F36+G36," ","ERROR")</f>
        <v> </v>
      </c>
    </row>
    <row r="37" spans="1:8" ht="12" customHeight="1">
      <c r="A37" s="622">
        <v>22</v>
      </c>
      <c r="B37" s="625" t="s">
        <v>153</v>
      </c>
      <c r="E37" s="634">
        <f>E34+E35+E36</f>
        <v>108</v>
      </c>
      <c r="F37" s="634">
        <f>F34+F35+F36</f>
        <v>108</v>
      </c>
      <c r="G37" s="634">
        <f>G34+G35+G36</f>
        <v>0</v>
      </c>
      <c r="H37" s="628" t="str">
        <f>IF(E37=F37+G37," ","ERROR")</f>
        <v> </v>
      </c>
    </row>
    <row r="38" spans="1:8" ht="12" customHeight="1">
      <c r="A38" s="622">
        <v>23</v>
      </c>
      <c r="B38" s="625" t="s">
        <v>101</v>
      </c>
      <c r="E38" s="635">
        <f>E21+E27+E29+E30+E31+E37</f>
        <v>108</v>
      </c>
      <c r="F38" s="635">
        <f>F21+F27+F29+F30+F31+F37</f>
        <v>108</v>
      </c>
      <c r="G38" s="635">
        <f>G21+G27+G29+G30+G31+G37</f>
        <v>0</v>
      </c>
      <c r="H38" s="628" t="str">
        <f>IF(E38=F38+G38," ","ERROR")</f>
        <v> </v>
      </c>
    </row>
    <row r="39" spans="5:8" ht="12" customHeight="1">
      <c r="E39" s="632"/>
      <c r="F39" s="632"/>
      <c r="G39" s="632"/>
      <c r="H39" s="628"/>
    </row>
    <row r="40" spans="1:8" ht="12" customHeight="1">
      <c r="A40" s="622">
        <v>24</v>
      </c>
      <c r="B40" s="625" t="s">
        <v>154</v>
      </c>
      <c r="E40" s="632">
        <f>E13-E38</f>
        <v>-108</v>
      </c>
      <c r="F40" s="632">
        <f>F13-F38</f>
        <v>-108</v>
      </c>
      <c r="G40" s="632">
        <f>G13-G38</f>
        <v>0</v>
      </c>
      <c r="H40" s="628" t="str">
        <f>IF(E40=F40+G40," ","ERROR")</f>
        <v> </v>
      </c>
    </row>
    <row r="41" spans="2:8" ht="12" customHeight="1">
      <c r="B41" s="625"/>
      <c r="E41" s="632"/>
      <c r="F41" s="632"/>
      <c r="G41" s="632"/>
      <c r="H41" s="628"/>
    </row>
    <row r="42" spans="2:8" ht="12" customHeight="1">
      <c r="B42" s="625" t="s">
        <v>155</v>
      </c>
      <c r="E42" s="632"/>
      <c r="F42" s="632"/>
      <c r="G42" s="632"/>
      <c r="H42" s="628"/>
    </row>
    <row r="43" spans="1:8" ht="12" customHeight="1">
      <c r="A43" s="622">
        <v>25</v>
      </c>
      <c r="B43" s="625" t="s">
        <v>156</v>
      </c>
      <c r="D43" s="636">
        <v>0.35</v>
      </c>
      <c r="E43" s="630">
        <f>F43+G43</f>
        <v>-38</v>
      </c>
      <c r="F43" s="630">
        <f>ROUND(F40*D43,0)</f>
        <v>-38</v>
      </c>
      <c r="G43" s="630">
        <f>ROUND(G40*D43,0)</f>
        <v>0</v>
      </c>
      <c r="H43" s="628" t="str">
        <f>IF(E43=F43+G43," ","ERROR")</f>
        <v> </v>
      </c>
    </row>
    <row r="44" spans="1:8" ht="12" customHeight="1">
      <c r="A44" s="622">
        <v>26</v>
      </c>
      <c r="B44" s="625" t="s">
        <v>157</v>
      </c>
      <c r="E44" s="630"/>
      <c r="F44" s="630"/>
      <c r="G44" s="630"/>
      <c r="H44" s="628" t="str">
        <f>IF(E44=F44+G44," ","ERROR")</f>
        <v> </v>
      </c>
    </row>
    <row r="45" spans="1:8" ht="12" customHeight="1">
      <c r="A45"/>
      <c r="B45"/>
      <c r="C45"/>
      <c r="D45"/>
      <c r="E45" s="943"/>
      <c r="F45" s="943"/>
      <c r="G45" s="943"/>
      <c r="H45" s="628" t="str">
        <f>IF(E45=F45+G45," ","ERROR")</f>
        <v> </v>
      </c>
    </row>
    <row r="46" spans="1:8" ht="12" customHeight="1">
      <c r="A46" s="278"/>
      <c r="B46" s="281"/>
      <c r="C46" s="275"/>
      <c r="D46" s="275"/>
      <c r="E46" s="288"/>
      <c r="F46" s="288"/>
      <c r="G46" s="288"/>
      <c r="H46" s="628"/>
    </row>
    <row r="47" spans="1:8" ht="12" customHeight="1">
      <c r="A47" s="282">
        <v>27</v>
      </c>
      <c r="B47" s="283" t="s">
        <v>108</v>
      </c>
      <c r="C47" s="284"/>
      <c r="D47" s="284"/>
      <c r="E47" s="292">
        <f>E40-SUM(E43:E44)</f>
        <v>-70</v>
      </c>
      <c r="F47" s="292">
        <f>F40-SUM(F43:F44)</f>
        <v>-70</v>
      </c>
      <c r="G47" s="292">
        <f>G40-SUM(G43:G44)</f>
        <v>0</v>
      </c>
      <c r="H47" s="628" t="str">
        <f>IF(E47=F47+G47," ","ERROR")</f>
        <v> </v>
      </c>
    </row>
    <row r="48" spans="1:8" ht="12" customHeight="1">
      <c r="A48" s="278"/>
      <c r="H48" s="628"/>
    </row>
    <row r="49" spans="1:8" ht="12" customHeight="1">
      <c r="A49" s="278"/>
      <c r="B49" s="625" t="s">
        <v>109</v>
      </c>
      <c r="H49" s="628"/>
    </row>
    <row r="50" spans="1:8" ht="12" customHeight="1">
      <c r="A50" s="278"/>
      <c r="B50" s="625" t="s">
        <v>110</v>
      </c>
      <c r="H50" s="628"/>
    </row>
    <row r="51" spans="1:8" ht="12" customHeight="1">
      <c r="A51" s="282">
        <v>28</v>
      </c>
      <c r="B51" s="627" t="s">
        <v>159</v>
      </c>
      <c r="C51" s="628"/>
      <c r="D51" s="628"/>
      <c r="E51" s="629"/>
      <c r="F51" s="629"/>
      <c r="G51" s="629"/>
      <c r="H51" s="628" t="str">
        <f aca="true" t="shared" si="1" ref="H51:H61">IF(E51=F51+G51," ","ERROR")</f>
        <v> </v>
      </c>
    </row>
    <row r="52" spans="1:8" ht="12" customHeight="1">
      <c r="A52" s="278">
        <v>29</v>
      </c>
      <c r="B52" s="625" t="s">
        <v>160</v>
      </c>
      <c r="E52" s="630"/>
      <c r="F52" s="630"/>
      <c r="G52" s="630"/>
      <c r="H52" s="628" t="str">
        <f t="shared" si="1"/>
        <v> </v>
      </c>
    </row>
    <row r="53" spans="1:8" ht="12" customHeight="1">
      <c r="A53" s="278">
        <v>30</v>
      </c>
      <c r="B53" s="625" t="s">
        <v>161</v>
      </c>
      <c r="E53" s="630"/>
      <c r="F53" s="630"/>
      <c r="G53" s="630"/>
      <c r="H53" s="628" t="str">
        <f t="shared" si="1"/>
        <v> </v>
      </c>
    </row>
    <row r="54" spans="1:8" ht="12" customHeight="1">
      <c r="A54" s="278">
        <v>31</v>
      </c>
      <c r="B54" s="625" t="s">
        <v>162</v>
      </c>
      <c r="E54" s="630"/>
      <c r="F54" s="630"/>
      <c r="G54" s="630"/>
      <c r="H54" s="628" t="str">
        <f t="shared" si="1"/>
        <v> </v>
      </c>
    </row>
    <row r="55" spans="1:8" ht="12" customHeight="1">
      <c r="A55" s="278">
        <v>32</v>
      </c>
      <c r="B55" s="625" t="s">
        <v>163</v>
      </c>
      <c r="E55" s="637"/>
      <c r="F55" s="637"/>
      <c r="G55" s="637"/>
      <c r="H55" s="628" t="str">
        <f t="shared" si="1"/>
        <v> </v>
      </c>
    </row>
    <row r="56" spans="1:8" ht="12" customHeight="1">
      <c r="A56" s="278">
        <v>33</v>
      </c>
      <c r="B56" s="625" t="s">
        <v>164</v>
      </c>
      <c r="E56" s="632">
        <f>E51+E52+E53+E54+E55</f>
        <v>0</v>
      </c>
      <c r="F56" s="632">
        <f>F51+F52+F53+F54+F55</f>
        <v>0</v>
      </c>
      <c r="G56" s="632">
        <f>G51+G52+G53+G54+G55</f>
        <v>0</v>
      </c>
      <c r="H56" s="628" t="str">
        <f t="shared" si="1"/>
        <v> </v>
      </c>
    </row>
    <row r="57" spans="1:8" ht="12" customHeight="1">
      <c r="A57" s="278">
        <v>34</v>
      </c>
      <c r="B57" s="625" t="s">
        <v>116</v>
      </c>
      <c r="E57" s="630"/>
      <c r="F57" s="630"/>
      <c r="G57" s="630"/>
      <c r="H57" s="628" t="str">
        <f t="shared" si="1"/>
        <v> </v>
      </c>
    </row>
    <row r="58" spans="1:8" ht="12" customHeight="1">
      <c r="A58" s="278">
        <v>35</v>
      </c>
      <c r="B58" s="625" t="s">
        <v>117</v>
      </c>
      <c r="E58" s="637"/>
      <c r="F58" s="637"/>
      <c r="G58" s="637"/>
      <c r="H58" s="628" t="str">
        <f t="shared" si="1"/>
        <v> </v>
      </c>
    </row>
    <row r="59" spans="1:8" ht="12" customHeight="1">
      <c r="A59" s="278">
        <v>36</v>
      </c>
      <c r="B59" s="625" t="s">
        <v>165</v>
      </c>
      <c r="E59" s="632">
        <f>E57+E58</f>
        <v>0</v>
      </c>
      <c r="F59" s="632">
        <f>F57+F58</f>
        <v>0</v>
      </c>
      <c r="G59" s="632">
        <f>G57+G58</f>
        <v>0</v>
      </c>
      <c r="H59" s="628" t="str">
        <f t="shared" si="1"/>
        <v> </v>
      </c>
    </row>
    <row r="60" spans="1:8" ht="12" customHeight="1">
      <c r="A60" s="278">
        <v>37</v>
      </c>
      <c r="B60" s="625" t="s">
        <v>119</v>
      </c>
      <c r="E60" s="630"/>
      <c r="F60" s="630"/>
      <c r="G60" s="630"/>
      <c r="H60" s="628" t="str">
        <f t="shared" si="1"/>
        <v> </v>
      </c>
    </row>
    <row r="61" spans="1:8" ht="12" customHeight="1">
      <c r="A61" s="278">
        <v>38</v>
      </c>
      <c r="B61" s="625" t="s">
        <v>120</v>
      </c>
      <c r="E61" s="637"/>
      <c r="F61" s="637"/>
      <c r="G61" s="637"/>
      <c r="H61" s="628" t="str">
        <f t="shared" si="1"/>
        <v> </v>
      </c>
    </row>
    <row r="62" spans="1:8" ht="12" customHeight="1">
      <c r="A62" s="278"/>
      <c r="H62" s="628"/>
    </row>
    <row r="63" spans="1:8" ht="12" customHeight="1" thickBot="1">
      <c r="A63" s="282">
        <v>39</v>
      </c>
      <c r="B63" s="627" t="s">
        <v>121</v>
      </c>
      <c r="C63" s="628"/>
      <c r="D63" s="628"/>
      <c r="E63" s="638">
        <f>E56-E59+E60+E61</f>
        <v>0</v>
      </c>
      <c r="F63" s="638">
        <f>F56-F59+F60+F61</f>
        <v>0</v>
      </c>
      <c r="G63" s="638">
        <f>G56-G59+G60+G61</f>
        <v>0</v>
      </c>
      <c r="H63" s="628" t="str">
        <f>IF(E63=F63+G63," ","ERROR")</f>
        <v> </v>
      </c>
    </row>
    <row r="64" ht="12" customHeight="1" thickTop="1"/>
    <row r="65" spans="1:8" ht="12" customHeight="1">
      <c r="A65" s="615" t="str">
        <f>Inputs!$D$6</f>
        <v>AVISTA UTILITIES</v>
      </c>
      <c r="B65" s="615"/>
      <c r="C65" s="615"/>
      <c r="D65" s="639"/>
      <c r="E65" s="640"/>
      <c r="F65" s="639"/>
      <c r="G65" s="641"/>
      <c r="H65" s="640"/>
    </row>
    <row r="66" spans="1:8" ht="12" customHeight="1">
      <c r="A66" s="615" t="s">
        <v>218</v>
      </c>
      <c r="B66" s="615"/>
      <c r="C66" s="615"/>
      <c r="D66" s="639"/>
      <c r="E66" s="640"/>
      <c r="F66" s="639"/>
      <c r="G66" s="641"/>
      <c r="H66" s="640"/>
    </row>
    <row r="67" spans="1:8" ht="12" customHeight="1">
      <c r="A67" s="615" t="str">
        <f>A3</f>
        <v>TWELVE MONTHS ENDED DECEMBER 31, 2004</v>
      </c>
      <c r="B67" s="615"/>
      <c r="C67" s="615"/>
      <c r="D67" s="639"/>
      <c r="E67" s="640"/>
      <c r="F67" s="618" t="str">
        <f>F2</f>
        <v>INJURIES</v>
      </c>
      <c r="G67" s="639"/>
      <c r="H67" s="640"/>
    </row>
    <row r="68" spans="1:8" ht="12" customHeight="1">
      <c r="A68" s="615" t="s">
        <v>219</v>
      </c>
      <c r="B68" s="615"/>
      <c r="C68" s="615"/>
      <c r="D68" s="639"/>
      <c r="E68" s="640"/>
      <c r="F68" s="618" t="str">
        <f>F3</f>
        <v>AND DAMAGES</v>
      </c>
      <c r="G68" s="639"/>
      <c r="H68" s="640"/>
    </row>
    <row r="69" spans="2:8" ht="12" customHeight="1">
      <c r="B69" s="639"/>
      <c r="C69" s="639"/>
      <c r="D69" s="639"/>
      <c r="E69" s="642"/>
      <c r="F69" s="643" t="str">
        <f>F4</f>
        <v>ELECTRIC</v>
      </c>
      <c r="G69" s="639"/>
      <c r="H69" s="644"/>
    </row>
    <row r="70" spans="2:8" ht="12" customHeight="1">
      <c r="B70" s="639"/>
      <c r="C70" s="639"/>
      <c r="D70" s="639"/>
      <c r="E70" s="640"/>
      <c r="F70" s="618"/>
      <c r="G70" s="645"/>
      <c r="H70" s="640"/>
    </row>
    <row r="71" spans="2:8" ht="12" customHeight="1">
      <c r="B71" s="646" t="s">
        <v>128</v>
      </c>
      <c r="C71" s="647"/>
      <c r="D71" s="639"/>
      <c r="E71" s="640"/>
      <c r="F71" s="643" t="s">
        <v>123</v>
      </c>
      <c r="G71" s="639"/>
      <c r="H71" s="640"/>
    </row>
    <row r="72" spans="2:8" ht="12" customHeight="1">
      <c r="B72" s="625" t="s">
        <v>80</v>
      </c>
      <c r="C72" s="639"/>
      <c r="D72" s="639"/>
      <c r="E72" s="639"/>
      <c r="F72" s="641"/>
      <c r="G72" s="639"/>
      <c r="H72" s="639"/>
    </row>
    <row r="73" spans="2:8" ht="12" customHeight="1">
      <c r="B73" s="627" t="s">
        <v>81</v>
      </c>
      <c r="C73" s="639"/>
      <c r="D73" s="639"/>
      <c r="E73" s="639"/>
      <c r="F73" s="648">
        <f>G8</f>
        <v>0</v>
      </c>
      <c r="G73" s="639"/>
      <c r="H73" s="639"/>
    </row>
    <row r="74" spans="2:8" ht="12" customHeight="1">
      <c r="B74" s="625" t="s">
        <v>82</v>
      </c>
      <c r="C74" s="639"/>
      <c r="D74" s="639"/>
      <c r="E74" s="639"/>
      <c r="F74" s="632">
        <f>G9</f>
        <v>0</v>
      </c>
      <c r="G74" s="639"/>
      <c r="H74" s="639"/>
    </row>
    <row r="75" spans="2:8" ht="12" customHeight="1">
      <c r="B75" s="625" t="s">
        <v>142</v>
      </c>
      <c r="C75" s="639"/>
      <c r="D75" s="639"/>
      <c r="E75" s="639"/>
      <c r="F75" s="635">
        <f>G10</f>
        <v>0</v>
      </c>
      <c r="G75" s="639"/>
      <c r="H75" s="639"/>
    </row>
    <row r="76" spans="2:8" ht="12" customHeight="1">
      <c r="B76" s="625" t="s">
        <v>143</v>
      </c>
      <c r="C76" s="639"/>
      <c r="D76" s="639"/>
      <c r="E76" s="639"/>
      <c r="F76" s="632">
        <f>SUM(F73:F75)</f>
        <v>0</v>
      </c>
      <c r="G76" s="639"/>
      <c r="H76" s="639"/>
    </row>
    <row r="77" spans="2:8" ht="12" customHeight="1">
      <c r="B77" s="625" t="s">
        <v>85</v>
      </c>
      <c r="C77" s="639"/>
      <c r="D77" s="639"/>
      <c r="E77" s="639"/>
      <c r="F77" s="635">
        <f>G12</f>
        <v>0</v>
      </c>
      <c r="G77" s="639"/>
      <c r="H77" s="639"/>
    </row>
    <row r="78" spans="2:8" ht="12" customHeight="1">
      <c r="B78" s="625" t="s">
        <v>144</v>
      </c>
      <c r="C78" s="639"/>
      <c r="D78" s="639"/>
      <c r="E78" s="639"/>
      <c r="F78" s="632">
        <f>F76+F77</f>
        <v>0</v>
      </c>
      <c r="G78" s="639"/>
      <c r="H78" s="639"/>
    </row>
    <row r="79" spans="3:8" ht="12" customHeight="1">
      <c r="C79" s="639"/>
      <c r="D79" s="639"/>
      <c r="E79" s="639"/>
      <c r="F79" s="632"/>
      <c r="G79" s="639"/>
      <c r="H79" s="639"/>
    </row>
    <row r="80" spans="2:8" ht="12" customHeight="1">
      <c r="B80" s="625" t="s">
        <v>87</v>
      </c>
      <c r="C80" s="639"/>
      <c r="D80" s="639"/>
      <c r="E80" s="639"/>
      <c r="F80" s="632"/>
      <c r="G80" s="639"/>
      <c r="H80" s="639"/>
    </row>
    <row r="81" spans="2:8" ht="12" customHeight="1">
      <c r="B81" s="625" t="s">
        <v>88</v>
      </c>
      <c r="C81" s="639"/>
      <c r="D81" s="639"/>
      <c r="E81" s="639"/>
      <c r="F81" s="632"/>
      <c r="G81" s="639"/>
      <c r="H81" s="639"/>
    </row>
    <row r="82" spans="2:8" ht="12" customHeight="1">
      <c r="B82" s="625" t="s">
        <v>145</v>
      </c>
      <c r="C82" s="639"/>
      <c r="D82" s="639"/>
      <c r="E82" s="639"/>
      <c r="F82" s="632">
        <f>G17</f>
        <v>0</v>
      </c>
      <c r="G82" s="639"/>
      <c r="H82" s="639"/>
    </row>
    <row r="83" spans="2:8" ht="12" customHeight="1">
      <c r="B83" s="625" t="s">
        <v>146</v>
      </c>
      <c r="C83" s="639"/>
      <c r="D83" s="639"/>
      <c r="E83" s="639"/>
      <c r="F83" s="632">
        <f>G18</f>
        <v>0</v>
      </c>
      <c r="G83" s="639"/>
      <c r="H83" s="639"/>
    </row>
    <row r="84" spans="2:8" ht="12" customHeight="1">
      <c r="B84" s="625" t="s">
        <v>147</v>
      </c>
      <c r="C84" s="639"/>
      <c r="D84" s="639"/>
      <c r="E84" s="639"/>
      <c r="F84" s="632">
        <f>G19</f>
        <v>0</v>
      </c>
      <c r="G84" s="639"/>
      <c r="H84" s="639"/>
    </row>
    <row r="85" spans="2:8" ht="12" customHeight="1">
      <c r="B85" s="625" t="s">
        <v>148</v>
      </c>
      <c r="C85" s="639"/>
      <c r="D85" s="639"/>
      <c r="E85" s="639"/>
      <c r="F85" s="635">
        <f>G20</f>
        <v>0</v>
      </c>
      <c r="G85" s="639"/>
      <c r="H85" s="639"/>
    </row>
    <row r="86" spans="2:8" ht="12" customHeight="1">
      <c r="B86" s="625" t="s">
        <v>149</v>
      </c>
      <c r="C86" s="639"/>
      <c r="D86" s="639"/>
      <c r="E86" s="639"/>
      <c r="F86" s="632">
        <f>SUM(F82:F85)</f>
        <v>0</v>
      </c>
      <c r="G86" s="639"/>
      <c r="H86" s="639"/>
    </row>
    <row r="87" spans="3:8" ht="12" customHeight="1">
      <c r="C87" s="639"/>
      <c r="D87" s="639"/>
      <c r="E87" s="639"/>
      <c r="F87" s="632"/>
      <c r="G87" s="639"/>
      <c r="H87" s="639"/>
    </row>
    <row r="88" spans="2:8" ht="12" customHeight="1">
      <c r="B88" s="625" t="s">
        <v>93</v>
      </c>
      <c r="C88" s="639"/>
      <c r="D88" s="639"/>
      <c r="E88" s="639"/>
      <c r="F88" s="632"/>
      <c r="G88" s="639"/>
      <c r="H88" s="639"/>
    </row>
    <row r="89" spans="2:8" ht="12" customHeight="1">
      <c r="B89" s="625" t="s">
        <v>145</v>
      </c>
      <c r="C89" s="639"/>
      <c r="D89" s="639"/>
      <c r="E89" s="639"/>
      <c r="F89" s="632">
        <f>G24</f>
        <v>0</v>
      </c>
      <c r="G89" s="639"/>
      <c r="H89" s="639"/>
    </row>
    <row r="90" spans="2:8" ht="12" customHeight="1">
      <c r="B90" s="625" t="s">
        <v>150</v>
      </c>
      <c r="C90" s="639"/>
      <c r="D90" s="639"/>
      <c r="E90" s="639"/>
      <c r="F90" s="632">
        <f>G25</f>
        <v>0</v>
      </c>
      <c r="G90" s="639"/>
      <c r="H90" s="639"/>
    </row>
    <row r="91" spans="1:8" ht="12" customHeight="1">
      <c r="A91" s="616"/>
      <c r="B91" s="625" t="s">
        <v>148</v>
      </c>
      <c r="C91" s="639"/>
      <c r="D91" s="639"/>
      <c r="E91" s="639"/>
      <c r="F91" s="632"/>
      <c r="G91" s="639"/>
      <c r="H91" s="639"/>
    </row>
    <row r="92" spans="1:8" ht="12" customHeight="1">
      <c r="A92" s="616"/>
      <c r="B92" s="625" t="s">
        <v>151</v>
      </c>
      <c r="C92" s="639"/>
      <c r="D92" s="639"/>
      <c r="E92" s="639"/>
      <c r="F92" s="631">
        <f>SUM(F89:F91)</f>
        <v>0</v>
      </c>
      <c r="G92" s="639"/>
      <c r="H92" s="639"/>
    </row>
    <row r="93" spans="1:8" ht="12" customHeight="1">
      <c r="A93" s="616"/>
      <c r="C93" s="639"/>
      <c r="D93" s="639"/>
      <c r="E93" s="639"/>
      <c r="F93" s="632"/>
      <c r="G93" s="639"/>
      <c r="H93" s="639"/>
    </row>
    <row r="94" spans="1:8" ht="12" customHeight="1">
      <c r="A94" s="616"/>
      <c r="B94" s="625" t="s">
        <v>96</v>
      </c>
      <c r="C94" s="639"/>
      <c r="D94" s="639"/>
      <c r="E94" s="639"/>
      <c r="F94" s="632">
        <f>G29</f>
        <v>0</v>
      </c>
      <c r="G94" s="639"/>
      <c r="H94" s="639"/>
    </row>
    <row r="95" spans="1:8" ht="12" customHeight="1">
      <c r="A95" s="616"/>
      <c r="B95" s="625" t="s">
        <v>97</v>
      </c>
      <c r="C95" s="639"/>
      <c r="D95" s="639"/>
      <c r="E95" s="639"/>
      <c r="F95" s="632">
        <f>G30</f>
        <v>0</v>
      </c>
      <c r="G95" s="639"/>
      <c r="H95" s="639"/>
    </row>
    <row r="96" spans="1:8" ht="12" customHeight="1">
      <c r="A96" s="616"/>
      <c r="B96" s="625" t="s">
        <v>152</v>
      </c>
      <c r="C96" s="639"/>
      <c r="D96" s="639"/>
      <c r="E96" s="639"/>
      <c r="F96" s="632">
        <f>G31</f>
        <v>0</v>
      </c>
      <c r="G96" s="639"/>
      <c r="H96" s="639"/>
    </row>
    <row r="97" spans="1:8" ht="12" customHeight="1">
      <c r="A97" s="616"/>
      <c r="C97" s="639"/>
      <c r="D97" s="639"/>
      <c r="E97" s="639"/>
      <c r="F97" s="632"/>
      <c r="G97" s="639"/>
      <c r="H97" s="639"/>
    </row>
    <row r="98" spans="1:8" ht="12" customHeight="1">
      <c r="A98" s="616"/>
      <c r="B98" s="625" t="s">
        <v>99</v>
      </c>
      <c r="C98" s="639"/>
      <c r="D98" s="639"/>
      <c r="E98" s="639"/>
      <c r="F98" s="632"/>
      <c r="G98" s="639"/>
      <c r="H98" s="639"/>
    </row>
    <row r="99" spans="1:8" ht="12" customHeight="1">
      <c r="A99" s="616"/>
      <c r="B99" s="625" t="s">
        <v>145</v>
      </c>
      <c r="C99" s="639"/>
      <c r="D99" s="639"/>
      <c r="E99" s="639"/>
      <c r="F99" s="632">
        <f>G34</f>
        <v>0</v>
      </c>
      <c r="G99" s="639"/>
      <c r="H99" s="639"/>
    </row>
    <row r="100" spans="1:8" ht="12" customHeight="1">
      <c r="A100" s="616"/>
      <c r="B100" s="625" t="s">
        <v>150</v>
      </c>
      <c r="C100" s="639"/>
      <c r="D100" s="639"/>
      <c r="E100" s="639"/>
      <c r="F100" s="632">
        <f>G35</f>
        <v>0</v>
      </c>
      <c r="G100" s="639"/>
      <c r="H100" s="639"/>
    </row>
    <row r="101" spans="1:8" ht="12" customHeight="1">
      <c r="A101" s="616"/>
      <c r="B101" s="625" t="s">
        <v>148</v>
      </c>
      <c r="C101" s="639"/>
      <c r="D101" s="639"/>
      <c r="E101" s="639"/>
      <c r="F101" s="635">
        <f>G36</f>
        <v>0</v>
      </c>
      <c r="G101" s="639"/>
      <c r="H101" s="639"/>
    </row>
    <row r="102" spans="1:8" ht="12" customHeight="1">
      <c r="A102" s="616"/>
      <c r="B102" s="625" t="s">
        <v>153</v>
      </c>
      <c r="C102" s="639"/>
      <c r="D102" s="639"/>
      <c r="E102" s="639"/>
      <c r="F102" s="632">
        <f>F99+F100+F101</f>
        <v>0</v>
      </c>
      <c r="G102" s="639"/>
      <c r="H102" s="639"/>
    </row>
    <row r="103" spans="1:8" ht="12" customHeight="1">
      <c r="A103" s="616"/>
      <c r="B103" s="639"/>
      <c r="C103" s="639"/>
      <c r="D103" s="639"/>
      <c r="E103" s="639"/>
      <c r="F103" s="632"/>
      <c r="G103" s="639"/>
      <c r="H103" s="639"/>
    </row>
    <row r="104" spans="1:8" ht="12" customHeight="1">
      <c r="A104" s="616"/>
      <c r="B104" s="639" t="s">
        <v>101</v>
      </c>
      <c r="C104" s="639"/>
      <c r="D104" s="639"/>
      <c r="E104" s="639"/>
      <c r="F104" s="634">
        <f>F86+F92+F94+F95+F96+F102</f>
        <v>0</v>
      </c>
      <c r="G104" s="639"/>
      <c r="H104" s="639"/>
    </row>
    <row r="105" spans="1:8" ht="12" customHeight="1">
      <c r="A105" s="616"/>
      <c r="B105" s="639"/>
      <c r="C105" s="639"/>
      <c r="D105" s="639"/>
      <c r="E105" s="639"/>
      <c r="F105" s="632"/>
      <c r="G105" s="639"/>
      <c r="H105" s="639"/>
    </row>
    <row r="106" spans="1:8" ht="12" customHeight="1">
      <c r="A106" s="616"/>
      <c r="B106" s="639" t="s">
        <v>220</v>
      </c>
      <c r="C106" s="639"/>
      <c r="D106" s="639"/>
      <c r="E106" s="639"/>
      <c r="F106" s="635">
        <f>F78-F104</f>
        <v>0</v>
      </c>
      <c r="G106" s="639"/>
      <c r="H106" s="639"/>
    </row>
    <row r="107" spans="1:8" ht="12" customHeight="1">
      <c r="A107" s="616"/>
      <c r="B107" s="639"/>
      <c r="C107" s="639"/>
      <c r="D107" s="639"/>
      <c r="E107" s="639"/>
      <c r="F107" s="632"/>
      <c r="G107" s="639"/>
      <c r="H107" s="639"/>
    </row>
    <row r="108" spans="1:8" ht="12" customHeight="1">
      <c r="A108" s="616"/>
      <c r="B108" s="639" t="s">
        <v>221</v>
      </c>
      <c r="C108" s="639"/>
      <c r="D108" s="639"/>
      <c r="E108" s="640"/>
      <c r="F108" s="632"/>
      <c r="G108" s="639"/>
      <c r="H108" s="639"/>
    </row>
    <row r="109" spans="1:8" ht="12" customHeight="1" thickBot="1">
      <c r="A109" s="616"/>
      <c r="B109" s="649" t="s">
        <v>222</v>
      </c>
      <c r="C109" s="650">
        <f>Inputs!$D$4</f>
        <v>0.01065</v>
      </c>
      <c r="D109" s="639"/>
      <c r="E109" s="640"/>
      <c r="F109" s="651">
        <f>ROUND(F106*C109,0)</f>
        <v>0</v>
      </c>
      <c r="G109" s="639"/>
      <c r="H109" s="639"/>
    </row>
    <row r="110" spans="1:8" ht="12" customHeight="1" thickTop="1">
      <c r="A110" s="616"/>
      <c r="B110" s="639"/>
      <c r="C110" s="639"/>
      <c r="D110" s="639"/>
      <c r="E110" s="640"/>
      <c r="F110" s="639"/>
      <c r="G110" s="641"/>
      <c r="H110" s="639"/>
    </row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</sheetData>
  <printOptions/>
  <pageMargins left="1" right="0.75" top="0.5" bottom="0.5" header="0.5" footer="0.5"/>
  <pageSetup horizontalDpi="300" verticalDpi="300" orientation="portrait" scale="90" r:id="rId1"/>
  <rowBreaks count="1" manualBreakCount="1">
    <brk id="64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111"/>
  <sheetViews>
    <sheetView workbookViewId="0" topLeftCell="A1">
      <selection activeCell="G44" sqref="G44"/>
    </sheetView>
  </sheetViews>
  <sheetFormatPr defaultColWidth="9.140625" defaultRowHeight="12.75"/>
  <cols>
    <col min="1" max="1" width="5.57421875" style="657" customWidth="1"/>
    <col min="2" max="2" width="31.28125" style="654" customWidth="1"/>
    <col min="3" max="3" width="12.421875" style="654" customWidth="1"/>
    <col min="4" max="4" width="6.7109375" style="654" customWidth="1"/>
    <col min="5" max="6" width="12.421875" style="654" customWidth="1"/>
    <col min="7" max="7" width="11.7109375" style="654" customWidth="1"/>
    <col min="8" max="8" width="12.421875" style="616" customWidth="1"/>
    <col min="9" max="16384" width="12.421875" style="654" customWidth="1"/>
  </cols>
  <sheetData>
    <row r="1" spans="1:3" ht="12">
      <c r="A1" s="652" t="str">
        <f>Inputs!$D$6</f>
        <v>AVISTA UTILITIES</v>
      </c>
      <c r="B1" s="653"/>
      <c r="C1" s="652"/>
    </row>
    <row r="2" spans="1:7" ht="12">
      <c r="A2" s="652" t="s">
        <v>134</v>
      </c>
      <c r="B2" s="653"/>
      <c r="C2" s="652"/>
      <c r="E2" s="652" t="s">
        <v>241</v>
      </c>
      <c r="F2" s="652"/>
      <c r="G2" s="652"/>
    </row>
    <row r="3" spans="1:7" ht="12">
      <c r="A3" s="653" t="str">
        <f>WAElec12_04!$A$4</f>
        <v>TWELVE MONTHS ENDED DECEMBER 31, 2004</v>
      </c>
      <c r="B3" s="653"/>
      <c r="C3" s="652"/>
      <c r="E3" s="652" t="s">
        <v>242</v>
      </c>
      <c r="F3" s="652"/>
      <c r="G3" s="652"/>
    </row>
    <row r="4" spans="1:7" ht="12">
      <c r="A4" s="652" t="s">
        <v>1</v>
      </c>
      <c r="B4" s="653"/>
      <c r="C4" s="652"/>
      <c r="E4" s="655" t="s">
        <v>137</v>
      </c>
      <c r="F4" s="655"/>
      <c r="G4" s="656"/>
    </row>
    <row r="5" ht="12">
      <c r="A5" s="657" t="s">
        <v>13</v>
      </c>
    </row>
    <row r="6" spans="1:8" s="657" customFormat="1" ht="12">
      <c r="A6" s="657" t="s">
        <v>138</v>
      </c>
      <c r="B6" s="659" t="s">
        <v>34</v>
      </c>
      <c r="C6" s="659"/>
      <c r="E6" s="659" t="s">
        <v>139</v>
      </c>
      <c r="F6" s="659" t="s">
        <v>140</v>
      </c>
      <c r="G6" s="659" t="s">
        <v>123</v>
      </c>
      <c r="H6" s="624" t="s">
        <v>141</v>
      </c>
    </row>
    <row r="7" ht="12">
      <c r="B7" s="661" t="s">
        <v>80</v>
      </c>
    </row>
    <row r="8" spans="1:8" s="664" customFormat="1" ht="12">
      <c r="A8" s="662">
        <v>1</v>
      </c>
      <c r="B8" s="663" t="s">
        <v>81</v>
      </c>
      <c r="E8" s="665">
        <f>F8+G8</f>
        <v>0</v>
      </c>
      <c r="F8" s="665"/>
      <c r="G8" s="665"/>
      <c r="H8" s="628" t="str">
        <f aca="true" t="shared" si="0" ref="H8:H13">IF(E8=F8+G8," ","ERROR")</f>
        <v> </v>
      </c>
    </row>
    <row r="9" spans="1:8" ht="12">
      <c r="A9" s="657">
        <v>2</v>
      </c>
      <c r="B9" s="661" t="s">
        <v>82</v>
      </c>
      <c r="E9" s="666"/>
      <c r="F9" s="666"/>
      <c r="G9" s="666"/>
      <c r="H9" s="628" t="str">
        <f t="shared" si="0"/>
        <v> </v>
      </c>
    </row>
    <row r="10" spans="1:8" ht="12">
      <c r="A10" s="657">
        <v>3</v>
      </c>
      <c r="B10" s="661" t="s">
        <v>142</v>
      </c>
      <c r="E10" s="666"/>
      <c r="F10" s="666"/>
      <c r="G10" s="666"/>
      <c r="H10" s="628" t="str">
        <f t="shared" si="0"/>
        <v> </v>
      </c>
    </row>
    <row r="11" spans="1:8" ht="12">
      <c r="A11" s="657">
        <v>4</v>
      </c>
      <c r="B11" s="661" t="s">
        <v>143</v>
      </c>
      <c r="E11" s="667">
        <f>E8+E9+E10</f>
        <v>0</v>
      </c>
      <c r="F11" s="667">
        <f>F8+F9+F10</f>
        <v>0</v>
      </c>
      <c r="G11" s="667">
        <f>G8+G9+G10</f>
        <v>0</v>
      </c>
      <c r="H11" s="628" t="str">
        <f t="shared" si="0"/>
        <v> </v>
      </c>
    </row>
    <row r="12" spans="1:8" ht="12">
      <c r="A12" s="657">
        <v>5</v>
      </c>
      <c r="B12" s="661" t="s">
        <v>85</v>
      </c>
      <c r="E12" s="666"/>
      <c r="F12" s="666"/>
      <c r="G12" s="666"/>
      <c r="H12" s="628" t="str">
        <f t="shared" si="0"/>
        <v> </v>
      </c>
    </row>
    <row r="13" spans="1:8" ht="12">
      <c r="A13" s="657">
        <v>6</v>
      </c>
      <c r="B13" s="661" t="s">
        <v>144</v>
      </c>
      <c r="E13" s="667">
        <f>E11+E12</f>
        <v>0</v>
      </c>
      <c r="F13" s="667">
        <f>F11+F12</f>
        <v>0</v>
      </c>
      <c r="G13" s="667">
        <f>G11+G12</f>
        <v>0</v>
      </c>
      <c r="H13" s="628" t="str">
        <f t="shared" si="0"/>
        <v> </v>
      </c>
    </row>
    <row r="14" spans="5:8" ht="12">
      <c r="E14" s="669"/>
      <c r="F14" s="669"/>
      <c r="G14" s="669"/>
      <c r="H14" s="628"/>
    </row>
    <row r="15" spans="2:8" ht="12">
      <c r="B15" s="661" t="s">
        <v>87</v>
      </c>
      <c r="E15" s="669"/>
      <c r="F15" s="669"/>
      <c r="G15" s="669"/>
      <c r="H15" s="628"/>
    </row>
    <row r="16" spans="2:8" ht="12">
      <c r="B16" s="661" t="s">
        <v>88</v>
      </c>
      <c r="E16" s="669"/>
      <c r="F16" s="669"/>
      <c r="G16" s="669"/>
      <c r="H16" s="628"/>
    </row>
    <row r="17" spans="1:8" ht="12">
      <c r="A17" s="657">
        <v>7</v>
      </c>
      <c r="B17" s="661" t="s">
        <v>145</v>
      </c>
      <c r="E17" s="666"/>
      <c r="F17" s="666"/>
      <c r="G17" s="666"/>
      <c r="H17" s="628" t="str">
        <f>IF(E17=F17+G17," ","ERROR")</f>
        <v> </v>
      </c>
    </row>
    <row r="18" spans="1:8" ht="12">
      <c r="A18" s="657">
        <v>8</v>
      </c>
      <c r="B18" s="661" t="s">
        <v>146</v>
      </c>
      <c r="E18" s="666"/>
      <c r="F18" s="666"/>
      <c r="G18" s="666"/>
      <c r="H18" s="628" t="str">
        <f>IF(E18=F18+G18," ","ERROR")</f>
        <v> </v>
      </c>
    </row>
    <row r="19" spans="1:8" ht="12">
      <c r="A19" s="657">
        <v>9</v>
      </c>
      <c r="B19" s="661" t="s">
        <v>147</v>
      </c>
      <c r="E19" s="666"/>
      <c r="F19" s="666"/>
      <c r="G19" s="666"/>
      <c r="H19" s="628" t="str">
        <f>IF(E19=F19+G19," ","ERROR")</f>
        <v> </v>
      </c>
    </row>
    <row r="20" spans="1:8" ht="12">
      <c r="A20" s="657">
        <v>10</v>
      </c>
      <c r="B20" s="661" t="s">
        <v>148</v>
      </c>
      <c r="E20" s="666"/>
      <c r="F20" s="666"/>
      <c r="G20" s="666"/>
      <c r="H20" s="628" t="str">
        <f>IF(E20=F20+G20," ","ERROR")</f>
        <v> </v>
      </c>
    </row>
    <row r="21" spans="1:8" ht="12">
      <c r="A21" s="657">
        <v>11</v>
      </c>
      <c r="B21" s="661" t="s">
        <v>149</v>
      </c>
      <c r="E21" s="667">
        <f>E17+E18+E19+E20</f>
        <v>0</v>
      </c>
      <c r="F21" s="667">
        <f>F17+F18+F19+F20</f>
        <v>0</v>
      </c>
      <c r="G21" s="667">
        <f>G17+G18+G19+G20</f>
        <v>0</v>
      </c>
      <c r="H21" s="628" t="str">
        <f>IF(E21=F21+G21," ","ERROR")</f>
        <v> </v>
      </c>
    </row>
    <row r="22" spans="5:8" ht="12">
      <c r="E22" s="669"/>
      <c r="F22" s="669"/>
      <c r="G22" s="669"/>
      <c r="H22" s="628"/>
    </row>
    <row r="23" spans="2:8" ht="12">
      <c r="B23" s="661" t="s">
        <v>93</v>
      </c>
      <c r="E23" s="669"/>
      <c r="F23" s="669"/>
      <c r="G23" s="669"/>
      <c r="H23" s="628"/>
    </row>
    <row r="24" spans="1:8" ht="12">
      <c r="A24" s="657">
        <v>12</v>
      </c>
      <c r="B24" s="661" t="s">
        <v>145</v>
      </c>
      <c r="E24" s="666"/>
      <c r="F24" s="666"/>
      <c r="G24" s="666"/>
      <c r="H24" s="628" t="str">
        <f>IF(E24=F24+G24," ","ERROR")</f>
        <v> </v>
      </c>
    </row>
    <row r="25" spans="1:8" ht="12">
      <c r="A25" s="657">
        <v>13</v>
      </c>
      <c r="B25" s="661" t="s">
        <v>150</v>
      </c>
      <c r="E25" s="666"/>
      <c r="F25" s="666"/>
      <c r="G25" s="666"/>
      <c r="H25" s="628" t="str">
        <f>IF(E25=F25+G25," ","ERROR")</f>
        <v> </v>
      </c>
    </row>
    <row r="26" spans="1:8" ht="12">
      <c r="A26" s="657">
        <v>14</v>
      </c>
      <c r="B26" s="661" t="s">
        <v>148</v>
      </c>
      <c r="E26" s="666">
        <f>F26+G26</f>
        <v>0</v>
      </c>
      <c r="F26" s="666"/>
      <c r="G26" s="949">
        <f>G109</f>
        <v>0</v>
      </c>
      <c r="H26" s="628" t="str">
        <f>IF(E26=F26+G26," ","ERROR")</f>
        <v> </v>
      </c>
    </row>
    <row r="27" spans="1:8" ht="12">
      <c r="A27" s="657">
        <v>15</v>
      </c>
      <c r="B27" s="661" t="s">
        <v>151</v>
      </c>
      <c r="E27" s="667">
        <f>E24+E25+E26</f>
        <v>0</v>
      </c>
      <c r="F27" s="667">
        <f>F24+F25+F26</f>
        <v>0</v>
      </c>
      <c r="G27" s="667">
        <f>G24+G25+G26</f>
        <v>0</v>
      </c>
      <c r="H27" s="628" t="str">
        <f>IF(E27=F27+G27," ","ERROR")</f>
        <v> </v>
      </c>
    </row>
    <row r="28" spans="5:8" ht="12">
      <c r="E28" s="669"/>
      <c r="F28" s="669"/>
      <c r="G28" s="669"/>
      <c r="H28" s="628"/>
    </row>
    <row r="29" spans="1:8" ht="12">
      <c r="A29" s="657">
        <v>16</v>
      </c>
      <c r="B29" s="661" t="s">
        <v>96</v>
      </c>
      <c r="E29" s="666"/>
      <c r="F29" s="666"/>
      <c r="G29" s="666"/>
      <c r="H29" s="628" t="str">
        <f>IF(E29=F29+G29," ","ERROR")</f>
        <v> </v>
      </c>
    </row>
    <row r="30" spans="1:8" ht="12">
      <c r="A30" s="657">
        <v>17</v>
      </c>
      <c r="B30" s="661" t="s">
        <v>97</v>
      </c>
      <c r="E30" s="666"/>
      <c r="F30" s="666"/>
      <c r="G30" s="666"/>
      <c r="H30" s="628" t="str">
        <f>IF(E30=F30+G30," ","ERROR")</f>
        <v> </v>
      </c>
    </row>
    <row r="31" spans="1:8" ht="12">
      <c r="A31" s="657">
        <v>18</v>
      </c>
      <c r="B31" s="661" t="s">
        <v>152</v>
      </c>
      <c r="E31" s="666"/>
      <c r="F31" s="666"/>
      <c r="G31" s="666"/>
      <c r="H31" s="628" t="str">
        <f>IF(E31=F31+G31," ","ERROR")</f>
        <v> </v>
      </c>
    </row>
    <row r="32" spans="5:8" ht="12">
      <c r="E32" s="669"/>
      <c r="F32" s="669"/>
      <c r="G32" s="669"/>
      <c r="H32" s="628"/>
    </row>
    <row r="33" spans="2:8" ht="12">
      <c r="B33" s="661" t="s">
        <v>99</v>
      </c>
      <c r="E33" s="669"/>
      <c r="F33" s="669"/>
      <c r="G33" s="669"/>
      <c r="H33" s="628"/>
    </row>
    <row r="34" spans="1:8" ht="12">
      <c r="A34" s="657">
        <v>19</v>
      </c>
      <c r="B34" s="661" t="s">
        <v>145</v>
      </c>
      <c r="E34" s="666"/>
      <c r="F34" s="666"/>
      <c r="G34" s="666"/>
      <c r="H34" s="628" t="str">
        <f>IF(E34=F34+G34," ","ERROR")</f>
        <v> </v>
      </c>
    </row>
    <row r="35" spans="1:8" ht="12">
      <c r="A35" s="657">
        <v>20</v>
      </c>
      <c r="B35" s="661" t="s">
        <v>150</v>
      </c>
      <c r="E35" s="666"/>
      <c r="F35" s="666"/>
      <c r="G35" s="666"/>
      <c r="H35" s="628" t="str">
        <f>IF(E35=F35+G35," ","ERROR")</f>
        <v> </v>
      </c>
    </row>
    <row r="36" spans="1:8" ht="12">
      <c r="A36" s="657">
        <v>21</v>
      </c>
      <c r="B36" s="661" t="s">
        <v>148</v>
      </c>
      <c r="E36" s="666"/>
      <c r="F36" s="666"/>
      <c r="G36" s="666"/>
      <c r="H36" s="628" t="str">
        <f>IF(E36=F36+G36," ","ERROR")</f>
        <v> </v>
      </c>
    </row>
    <row r="37" spans="1:8" ht="12">
      <c r="A37" s="657">
        <v>22</v>
      </c>
      <c r="B37" s="661" t="s">
        <v>153</v>
      </c>
      <c r="E37" s="670">
        <f>E34+E35+E36</f>
        <v>0</v>
      </c>
      <c r="F37" s="670">
        <f>F34+F35+F36</f>
        <v>0</v>
      </c>
      <c r="G37" s="670">
        <f>G34+G35+G36</f>
        <v>0</v>
      </c>
      <c r="H37" s="628" t="str">
        <f>IF(E37=F37+G37," ","ERROR")</f>
        <v> </v>
      </c>
    </row>
    <row r="38" spans="1:8" ht="12">
      <c r="A38" s="657">
        <v>23</v>
      </c>
      <c r="B38" s="661" t="s">
        <v>101</v>
      </c>
      <c r="E38" s="671">
        <f>E21+E27+E29+E30+E31+E37</f>
        <v>0</v>
      </c>
      <c r="F38" s="671">
        <f>F21+F27+F29+F30+F31+F37</f>
        <v>0</v>
      </c>
      <c r="G38" s="671">
        <f>G21+G27+G29+G30+G31+G37</f>
        <v>0</v>
      </c>
      <c r="H38" s="628" t="str">
        <f>IF(E38=F38+G38," ","ERROR")</f>
        <v> </v>
      </c>
    </row>
    <row r="39" spans="5:8" ht="12">
      <c r="E39" s="669"/>
      <c r="F39" s="669"/>
      <c r="G39" s="669"/>
      <c r="H39" s="628"/>
    </row>
    <row r="40" spans="1:8" ht="12">
      <c r="A40" s="657">
        <v>24</v>
      </c>
      <c r="B40" s="661" t="s">
        <v>154</v>
      </c>
      <c r="E40" s="669">
        <f>E13-E38</f>
        <v>0</v>
      </c>
      <c r="F40" s="669">
        <f>F13-F38</f>
        <v>0</v>
      </c>
      <c r="G40" s="669">
        <f>G13-G38</f>
        <v>0</v>
      </c>
      <c r="H40" s="628" t="str">
        <f>IF(E40=F40+G40," ","ERROR")</f>
        <v> </v>
      </c>
    </row>
    <row r="41" spans="2:8" ht="12">
      <c r="B41" s="661"/>
      <c r="E41" s="669"/>
      <c r="F41" s="669"/>
      <c r="G41" s="669"/>
      <c r="H41" s="628"/>
    </row>
    <row r="42" spans="2:8" ht="12">
      <c r="B42" s="661" t="s">
        <v>155</v>
      </c>
      <c r="E42" s="669"/>
      <c r="F42" s="669"/>
      <c r="G42" s="669"/>
      <c r="H42" s="628"/>
    </row>
    <row r="43" spans="1:8" ht="12">
      <c r="A43" s="657">
        <v>25</v>
      </c>
      <c r="B43" s="661" t="s">
        <v>214</v>
      </c>
      <c r="E43" s="666">
        <f>F43+G43</f>
        <v>6520</v>
      </c>
      <c r="F43" s="666">
        <v>4597</v>
      </c>
      <c r="G43" s="666">
        <v>1923</v>
      </c>
      <c r="H43" s="628" t="str">
        <f>IF(E43=F43+G43," ","ERROR")</f>
        <v> </v>
      </c>
    </row>
    <row r="44" spans="1:8" ht="12">
      <c r="A44" s="657">
        <v>26</v>
      </c>
      <c r="B44" s="661" t="s">
        <v>157</v>
      </c>
      <c r="E44" s="666">
        <f>F44+G44</f>
        <v>-8459</v>
      </c>
      <c r="F44" s="666">
        <v>-5416</v>
      </c>
      <c r="G44" s="666">
        <v>-3043</v>
      </c>
      <c r="H44" s="628" t="str">
        <f>IF(E44=F44+G44," ","ERROR")</f>
        <v> </v>
      </c>
    </row>
    <row r="45" spans="1:8" ht="12.75">
      <c r="A45"/>
      <c r="B45"/>
      <c r="C45"/>
      <c r="D45"/>
      <c r="E45" s="943"/>
      <c r="F45" s="943"/>
      <c r="G45" s="943"/>
      <c r="H45" s="628" t="str">
        <f>IF(E45=F45+G45," ","ERROR")</f>
        <v> </v>
      </c>
    </row>
    <row r="46" spans="1:8" ht="12">
      <c r="A46" s="278"/>
      <c r="B46" s="281"/>
      <c r="C46" s="275"/>
      <c r="D46" s="275"/>
      <c r="E46" s="288"/>
      <c r="F46" s="288"/>
      <c r="G46" s="288"/>
      <c r="H46" s="628"/>
    </row>
    <row r="47" spans="1:8" s="664" customFormat="1" ht="12">
      <c r="A47" s="282">
        <v>27</v>
      </c>
      <c r="B47" s="283" t="s">
        <v>108</v>
      </c>
      <c r="C47" s="284"/>
      <c r="D47" s="284"/>
      <c r="E47" s="292">
        <f>E40-SUM(E43:E44)</f>
        <v>1939</v>
      </c>
      <c r="F47" s="292">
        <f>F40-SUM(F43:F44)</f>
        <v>819</v>
      </c>
      <c r="G47" s="292">
        <f>G40-SUM(G43:G44)</f>
        <v>1120</v>
      </c>
      <c r="H47" s="628" t="str">
        <f>IF(E47=F47+G47," ","ERROR")</f>
        <v> </v>
      </c>
    </row>
    <row r="48" spans="1:8" ht="12">
      <c r="A48" s="278"/>
      <c r="H48" s="628"/>
    </row>
    <row r="49" spans="1:8" ht="12">
      <c r="A49" s="278"/>
      <c r="B49" s="661" t="s">
        <v>109</v>
      </c>
      <c r="H49" s="628"/>
    </row>
    <row r="50" spans="1:8" ht="12">
      <c r="A50" s="278"/>
      <c r="B50" s="661" t="s">
        <v>110</v>
      </c>
      <c r="H50" s="628"/>
    </row>
    <row r="51" spans="1:8" s="664" customFormat="1" ht="12">
      <c r="A51" s="282">
        <v>28</v>
      </c>
      <c r="B51" s="663" t="s">
        <v>159</v>
      </c>
      <c r="E51" s="665"/>
      <c r="F51" s="665"/>
      <c r="G51" s="665"/>
      <c r="H51" s="628" t="str">
        <f aca="true" t="shared" si="1" ref="H51:H61">IF(E51=F51+G51," ","ERROR")</f>
        <v> </v>
      </c>
    </row>
    <row r="52" spans="1:8" ht="12">
      <c r="A52" s="278">
        <v>29</v>
      </c>
      <c r="B52" s="661" t="s">
        <v>160</v>
      </c>
      <c r="E52" s="666"/>
      <c r="F52" s="666"/>
      <c r="G52" s="666"/>
      <c r="H52" s="628" t="str">
        <f t="shared" si="1"/>
        <v> </v>
      </c>
    </row>
    <row r="53" spans="1:8" ht="12">
      <c r="A53" s="278">
        <v>30</v>
      </c>
      <c r="B53" s="661" t="s">
        <v>161</v>
      </c>
      <c r="E53" s="666"/>
      <c r="F53" s="666"/>
      <c r="G53" s="666"/>
      <c r="H53" s="628" t="str">
        <f t="shared" si="1"/>
        <v> </v>
      </c>
    </row>
    <row r="54" spans="1:8" ht="12">
      <c r="A54" s="278">
        <v>31</v>
      </c>
      <c r="B54" s="661" t="s">
        <v>162</v>
      </c>
      <c r="E54" s="666"/>
      <c r="F54" s="666"/>
      <c r="G54" s="666"/>
      <c r="H54" s="628" t="str">
        <f t="shared" si="1"/>
        <v> </v>
      </c>
    </row>
    <row r="55" spans="1:8" ht="12">
      <c r="A55" s="278">
        <v>32</v>
      </c>
      <c r="B55" s="661" t="s">
        <v>163</v>
      </c>
      <c r="E55" s="672"/>
      <c r="F55" s="672"/>
      <c r="G55" s="672"/>
      <c r="H55" s="628" t="str">
        <f t="shared" si="1"/>
        <v> </v>
      </c>
    </row>
    <row r="56" spans="1:8" ht="12">
      <c r="A56" s="278">
        <v>33</v>
      </c>
      <c r="B56" s="661" t="s">
        <v>164</v>
      </c>
      <c r="E56" s="669">
        <f>E51+E52+E53+E54+E55</f>
        <v>0</v>
      </c>
      <c r="F56" s="669">
        <f>F51+F52+F53+F54+F55</f>
        <v>0</v>
      </c>
      <c r="G56" s="669">
        <f>G51+G52+G53+G54+G55</f>
        <v>0</v>
      </c>
      <c r="H56" s="628" t="str">
        <f t="shared" si="1"/>
        <v> </v>
      </c>
    </row>
    <row r="57" spans="1:8" ht="12">
      <c r="A57" s="278">
        <v>34</v>
      </c>
      <c r="B57" s="661" t="s">
        <v>116</v>
      </c>
      <c r="E57" s="666"/>
      <c r="F57" s="666"/>
      <c r="G57" s="666"/>
      <c r="H57" s="628" t="str">
        <f t="shared" si="1"/>
        <v> </v>
      </c>
    </row>
    <row r="58" spans="1:8" ht="12">
      <c r="A58" s="278">
        <v>35</v>
      </c>
      <c r="B58" s="661" t="s">
        <v>117</v>
      </c>
      <c r="E58" s="672"/>
      <c r="F58" s="672"/>
      <c r="G58" s="672"/>
      <c r="H58" s="628" t="str">
        <f t="shared" si="1"/>
        <v> </v>
      </c>
    </row>
    <row r="59" spans="1:8" ht="12">
      <c r="A59" s="278">
        <v>36</v>
      </c>
      <c r="B59" s="661" t="s">
        <v>165</v>
      </c>
      <c r="E59" s="669">
        <f>E57+E58</f>
        <v>0</v>
      </c>
      <c r="F59" s="669">
        <f>F57+F58</f>
        <v>0</v>
      </c>
      <c r="G59" s="669">
        <f>G57+G58</f>
        <v>0</v>
      </c>
      <c r="H59" s="628" t="str">
        <f t="shared" si="1"/>
        <v> </v>
      </c>
    </row>
    <row r="60" spans="1:8" ht="12">
      <c r="A60" s="278">
        <v>37</v>
      </c>
      <c r="B60" s="661" t="s">
        <v>119</v>
      </c>
      <c r="E60" s="666"/>
      <c r="F60" s="666"/>
      <c r="G60" s="666"/>
      <c r="H60" s="628" t="str">
        <f t="shared" si="1"/>
        <v> </v>
      </c>
    </row>
    <row r="61" spans="1:8" ht="12">
      <c r="A61" s="278">
        <v>38</v>
      </c>
      <c r="B61" s="661" t="s">
        <v>120</v>
      </c>
      <c r="E61" s="672"/>
      <c r="F61" s="672"/>
      <c r="G61" s="672"/>
      <c r="H61" s="628" t="str">
        <f t="shared" si="1"/>
        <v> </v>
      </c>
    </row>
    <row r="62" spans="1:8" ht="12">
      <c r="A62" s="278"/>
      <c r="H62" s="628"/>
    </row>
    <row r="63" spans="1:8" s="664" customFormat="1" ht="12.75" thickBot="1">
      <c r="A63" s="282">
        <v>39</v>
      </c>
      <c r="B63" s="663" t="s">
        <v>121</v>
      </c>
      <c r="E63" s="674">
        <f>E56-E59+E60+E61</f>
        <v>0</v>
      </c>
      <c r="F63" s="674">
        <f>F56-F59+F60+F61</f>
        <v>0</v>
      </c>
      <c r="G63" s="674">
        <f>G56-G59+G60+G61</f>
        <v>0</v>
      </c>
      <c r="H63" s="628" t="str">
        <f>IF(E63=F63+G63," ","ERROR")</f>
        <v> </v>
      </c>
    </row>
    <row r="64" spans="1:7" ht="12.75" thickTop="1">
      <c r="A64" s="660"/>
      <c r="B64" s="658"/>
      <c r="C64" s="658"/>
      <c r="D64" s="658"/>
      <c r="E64" s="658"/>
      <c r="F64" s="658"/>
      <c r="G64" s="658"/>
    </row>
    <row r="65" spans="1:8" ht="12">
      <c r="A65" s="675"/>
      <c r="B65" s="675"/>
      <c r="C65" s="675"/>
      <c r="D65" s="676"/>
      <c r="E65" s="677"/>
      <c r="F65" s="676"/>
      <c r="G65" s="678"/>
      <c r="H65" s="640"/>
    </row>
    <row r="66" spans="1:8" ht="12">
      <c r="A66" s="675"/>
      <c r="B66" s="675"/>
      <c r="C66" s="675"/>
      <c r="D66" s="676"/>
      <c r="E66" s="677"/>
      <c r="F66" s="676"/>
      <c r="G66" s="678"/>
      <c r="H66" s="640"/>
    </row>
    <row r="67" spans="1:8" ht="12">
      <c r="A67" s="675"/>
      <c r="B67" s="675"/>
      <c r="C67" s="675"/>
      <c r="D67" s="676"/>
      <c r="E67" s="677"/>
      <c r="F67" s="676"/>
      <c r="G67" s="679"/>
      <c r="H67" s="640"/>
    </row>
    <row r="68" spans="1:8" ht="12">
      <c r="A68" s="675"/>
      <c r="B68" s="675"/>
      <c r="C68" s="675"/>
      <c r="D68" s="676"/>
      <c r="E68" s="677"/>
      <c r="F68" s="676"/>
      <c r="G68" s="679"/>
      <c r="H68" s="640"/>
    </row>
    <row r="69" spans="1:8" ht="12">
      <c r="A69" s="660"/>
      <c r="B69" s="676"/>
      <c r="C69" s="676"/>
      <c r="D69" s="676"/>
      <c r="E69" s="677"/>
      <c r="F69" s="676"/>
      <c r="G69" s="679"/>
      <c r="H69" s="644"/>
    </row>
    <row r="70" spans="1:8" ht="12">
      <c r="A70" s="660"/>
      <c r="B70" s="676"/>
      <c r="C70" s="676"/>
      <c r="D70" s="676"/>
      <c r="E70" s="677"/>
      <c r="F70" s="676"/>
      <c r="G70" s="679"/>
      <c r="H70" s="640"/>
    </row>
    <row r="71" spans="1:8" ht="12">
      <c r="A71" s="660"/>
      <c r="B71" s="680"/>
      <c r="C71" s="676"/>
      <c r="D71" s="676"/>
      <c r="E71" s="677"/>
      <c r="F71" s="676"/>
      <c r="G71" s="679"/>
      <c r="H71" s="640"/>
    </row>
    <row r="72" spans="1:8" ht="12">
      <c r="A72" s="660"/>
      <c r="B72" s="681"/>
      <c r="C72" s="676"/>
      <c r="D72" s="676"/>
      <c r="E72" s="676"/>
      <c r="F72" s="676"/>
      <c r="G72" s="678"/>
      <c r="H72" s="639"/>
    </row>
    <row r="73" spans="1:8" ht="12">
      <c r="A73" s="660"/>
      <c r="B73" s="682"/>
      <c r="C73" s="676"/>
      <c r="D73" s="676"/>
      <c r="E73" s="676"/>
      <c r="F73" s="676"/>
      <c r="G73" s="673"/>
      <c r="H73" s="639"/>
    </row>
    <row r="74" spans="1:8" ht="12">
      <c r="A74" s="660"/>
      <c r="B74" s="681"/>
      <c r="C74" s="676"/>
      <c r="D74" s="676"/>
      <c r="E74" s="676"/>
      <c r="F74" s="676"/>
      <c r="G74" s="668"/>
      <c r="H74" s="639"/>
    </row>
    <row r="75" spans="1:8" ht="12">
      <c r="A75" s="660"/>
      <c r="B75" s="681"/>
      <c r="C75" s="676"/>
      <c r="D75" s="676"/>
      <c r="E75" s="676"/>
      <c r="F75" s="676"/>
      <c r="G75" s="668"/>
      <c r="H75" s="639"/>
    </row>
    <row r="76" spans="1:8" ht="12">
      <c r="A76" s="660"/>
      <c r="B76" s="681"/>
      <c r="C76" s="676"/>
      <c r="D76" s="676"/>
      <c r="E76" s="676"/>
      <c r="F76" s="676"/>
      <c r="G76" s="668"/>
      <c r="H76" s="639"/>
    </row>
    <row r="77" spans="1:8" ht="12">
      <c r="A77" s="660"/>
      <c r="B77" s="681"/>
      <c r="C77" s="676"/>
      <c r="D77" s="676"/>
      <c r="E77" s="676"/>
      <c r="F77" s="676"/>
      <c r="G77" s="668"/>
      <c r="H77" s="639"/>
    </row>
    <row r="78" spans="1:8" ht="12">
      <c r="A78" s="660"/>
      <c r="B78" s="681"/>
      <c r="C78" s="676"/>
      <c r="D78" s="676"/>
      <c r="E78" s="676"/>
      <c r="F78" s="676"/>
      <c r="G78" s="668"/>
      <c r="H78" s="639"/>
    </row>
    <row r="79" spans="1:8" ht="12">
      <c r="A79" s="660"/>
      <c r="B79" s="658"/>
      <c r="C79" s="676"/>
      <c r="D79" s="676"/>
      <c r="E79" s="676"/>
      <c r="F79" s="676"/>
      <c r="G79" s="668"/>
      <c r="H79" s="639"/>
    </row>
    <row r="80" spans="1:8" ht="12">
      <c r="A80" s="660"/>
      <c r="B80" s="681"/>
      <c r="C80" s="676"/>
      <c r="D80" s="676"/>
      <c r="E80" s="676"/>
      <c r="F80" s="676"/>
      <c r="G80" s="668"/>
      <c r="H80" s="639"/>
    </row>
    <row r="81" spans="1:8" ht="12">
      <c r="A81" s="660"/>
      <c r="B81" s="681"/>
      <c r="C81" s="676"/>
      <c r="D81" s="676"/>
      <c r="E81" s="676"/>
      <c r="F81" s="676"/>
      <c r="G81" s="668"/>
      <c r="H81" s="639"/>
    </row>
    <row r="82" spans="1:8" ht="12">
      <c r="A82" s="660"/>
      <c r="B82" s="681"/>
      <c r="C82" s="676"/>
      <c r="D82" s="676"/>
      <c r="E82" s="676"/>
      <c r="F82" s="676"/>
      <c r="G82" s="668"/>
      <c r="H82" s="639"/>
    </row>
    <row r="83" spans="1:8" ht="12">
      <c r="A83" s="660"/>
      <c r="B83" s="681"/>
      <c r="C83" s="676"/>
      <c r="D83" s="676"/>
      <c r="E83" s="676"/>
      <c r="F83" s="676"/>
      <c r="G83" s="668"/>
      <c r="H83" s="639"/>
    </row>
    <row r="84" spans="1:8" ht="12">
      <c r="A84" s="660"/>
      <c r="B84" s="681"/>
      <c r="C84" s="676"/>
      <c r="D84" s="676"/>
      <c r="E84" s="676"/>
      <c r="F84" s="676"/>
      <c r="G84" s="668"/>
      <c r="H84" s="639"/>
    </row>
    <row r="85" spans="1:8" ht="12">
      <c r="A85" s="660"/>
      <c r="B85" s="681"/>
      <c r="C85" s="676"/>
      <c r="D85" s="676"/>
      <c r="E85" s="676"/>
      <c r="F85" s="676"/>
      <c r="G85" s="668"/>
      <c r="H85" s="639"/>
    </row>
    <row r="86" spans="1:8" ht="12">
      <c r="A86" s="660"/>
      <c r="B86" s="681"/>
      <c r="C86" s="676"/>
      <c r="D86" s="676"/>
      <c r="E86" s="676"/>
      <c r="F86" s="676"/>
      <c r="G86" s="668"/>
      <c r="H86" s="639"/>
    </row>
    <row r="87" spans="1:8" ht="12">
      <c r="A87" s="660"/>
      <c r="B87" s="658"/>
      <c r="C87" s="676"/>
      <c r="D87" s="676"/>
      <c r="E87" s="676"/>
      <c r="F87" s="676"/>
      <c r="G87" s="668"/>
      <c r="H87" s="639"/>
    </row>
    <row r="88" spans="1:8" ht="12">
      <c r="A88" s="660"/>
      <c r="B88" s="681"/>
      <c r="C88" s="676"/>
      <c r="D88" s="676"/>
      <c r="E88" s="676"/>
      <c r="F88" s="676"/>
      <c r="G88" s="668"/>
      <c r="H88" s="639"/>
    </row>
    <row r="89" spans="1:8" ht="12">
      <c r="A89" s="660"/>
      <c r="B89" s="681"/>
      <c r="C89" s="676"/>
      <c r="D89" s="676"/>
      <c r="E89" s="676"/>
      <c r="F89" s="676"/>
      <c r="G89" s="668"/>
      <c r="H89" s="639"/>
    </row>
    <row r="90" spans="1:8" ht="12">
      <c r="A90" s="660"/>
      <c r="B90" s="681"/>
      <c r="C90" s="676"/>
      <c r="D90" s="676"/>
      <c r="E90" s="676"/>
      <c r="F90" s="676"/>
      <c r="G90" s="668"/>
      <c r="H90" s="639"/>
    </row>
    <row r="91" spans="1:8" ht="12">
      <c r="A91" s="658"/>
      <c r="B91" s="681"/>
      <c r="C91" s="676"/>
      <c r="D91" s="676"/>
      <c r="E91" s="676"/>
      <c r="F91" s="676"/>
      <c r="G91" s="668"/>
      <c r="H91" s="639"/>
    </row>
    <row r="92" spans="1:8" ht="12">
      <c r="A92" s="658"/>
      <c r="B92" s="681"/>
      <c r="C92" s="676"/>
      <c r="D92" s="676"/>
      <c r="E92" s="676"/>
      <c r="F92" s="676"/>
      <c r="G92" s="668"/>
      <c r="H92" s="639"/>
    </row>
    <row r="93" spans="1:8" ht="12">
      <c r="A93" s="658"/>
      <c r="B93" s="658"/>
      <c r="C93" s="676"/>
      <c r="D93" s="676"/>
      <c r="E93" s="676"/>
      <c r="F93" s="676"/>
      <c r="G93" s="668"/>
      <c r="H93" s="639"/>
    </row>
    <row r="94" spans="1:8" ht="12">
      <c r="A94" s="658"/>
      <c r="B94" s="681"/>
      <c r="C94" s="676"/>
      <c r="D94" s="676"/>
      <c r="E94" s="676"/>
      <c r="F94" s="676"/>
      <c r="G94" s="668"/>
      <c r="H94" s="639"/>
    </row>
    <row r="95" spans="1:8" ht="12">
      <c r="A95" s="658"/>
      <c r="B95" s="681"/>
      <c r="C95" s="676"/>
      <c r="D95" s="676"/>
      <c r="E95" s="676"/>
      <c r="F95" s="676"/>
      <c r="G95" s="668"/>
      <c r="H95" s="639"/>
    </row>
    <row r="96" spans="1:8" ht="12">
      <c r="A96" s="658"/>
      <c r="B96" s="681"/>
      <c r="C96" s="676"/>
      <c r="D96" s="676"/>
      <c r="E96" s="676"/>
      <c r="F96" s="676"/>
      <c r="G96" s="668"/>
      <c r="H96" s="639"/>
    </row>
    <row r="97" spans="1:8" ht="12">
      <c r="A97" s="658"/>
      <c r="B97" s="658"/>
      <c r="C97" s="676"/>
      <c r="D97" s="676"/>
      <c r="E97" s="676"/>
      <c r="F97" s="676"/>
      <c r="G97" s="668"/>
      <c r="H97" s="639"/>
    </row>
    <row r="98" spans="1:8" ht="12">
      <c r="A98" s="658"/>
      <c r="B98" s="681"/>
      <c r="C98" s="676"/>
      <c r="D98" s="676"/>
      <c r="E98" s="676"/>
      <c r="F98" s="676"/>
      <c r="G98" s="668"/>
      <c r="H98" s="639"/>
    </row>
    <row r="99" spans="1:8" ht="12">
      <c r="A99" s="658"/>
      <c r="B99" s="681"/>
      <c r="C99" s="676"/>
      <c r="D99" s="676"/>
      <c r="E99" s="676"/>
      <c r="F99" s="676"/>
      <c r="G99" s="668"/>
      <c r="H99" s="639"/>
    </row>
    <row r="100" spans="1:8" ht="12">
      <c r="A100" s="658"/>
      <c r="B100" s="681"/>
      <c r="C100" s="676"/>
      <c r="D100" s="676"/>
      <c r="E100" s="676"/>
      <c r="F100" s="676"/>
      <c r="G100" s="668"/>
      <c r="H100" s="639"/>
    </row>
    <row r="101" spans="1:8" ht="12">
      <c r="A101" s="658"/>
      <c r="B101" s="681"/>
      <c r="C101" s="676"/>
      <c r="D101" s="676"/>
      <c r="E101" s="676"/>
      <c r="F101" s="676"/>
      <c r="G101" s="668"/>
      <c r="H101" s="639"/>
    </row>
    <row r="102" spans="1:8" ht="12">
      <c r="A102" s="658"/>
      <c r="B102" s="681"/>
      <c r="C102" s="676"/>
      <c r="D102" s="676"/>
      <c r="E102" s="676"/>
      <c r="F102" s="676"/>
      <c r="G102" s="668"/>
      <c r="H102" s="639"/>
    </row>
    <row r="103" spans="1:8" ht="12">
      <c r="A103" s="658"/>
      <c r="B103" s="676"/>
      <c r="C103" s="676"/>
      <c r="D103" s="676"/>
      <c r="E103" s="676"/>
      <c r="F103" s="676"/>
      <c r="G103" s="668"/>
      <c r="H103" s="639"/>
    </row>
    <row r="104" spans="1:8" ht="12">
      <c r="A104" s="658"/>
      <c r="B104" s="676"/>
      <c r="C104" s="676"/>
      <c r="D104" s="676"/>
      <c r="E104" s="676"/>
      <c r="F104" s="676"/>
      <c r="G104" s="668"/>
      <c r="H104" s="639"/>
    </row>
    <row r="105" spans="1:8" ht="12">
      <c r="A105" s="658"/>
      <c r="B105" s="676"/>
      <c r="C105" s="676"/>
      <c r="D105" s="676"/>
      <c r="E105" s="676"/>
      <c r="F105" s="676"/>
      <c r="G105" s="668"/>
      <c r="H105" s="639"/>
    </row>
    <row r="106" spans="1:8" ht="12">
      <c r="A106" s="658"/>
      <c r="B106" s="676"/>
      <c r="C106" s="676"/>
      <c r="D106" s="676"/>
      <c r="E106" s="676"/>
      <c r="F106" s="676"/>
      <c r="G106" s="668"/>
      <c r="H106" s="639"/>
    </row>
    <row r="107" spans="1:8" ht="12">
      <c r="A107" s="658"/>
      <c r="B107" s="676"/>
      <c r="C107" s="676"/>
      <c r="D107" s="676"/>
      <c r="E107" s="676"/>
      <c r="F107" s="676"/>
      <c r="G107" s="668"/>
      <c r="H107" s="639"/>
    </row>
    <row r="108" spans="1:8" ht="12">
      <c r="A108" s="658"/>
      <c r="B108" s="676"/>
      <c r="C108" s="676"/>
      <c r="D108" s="676"/>
      <c r="E108" s="677"/>
      <c r="F108" s="676"/>
      <c r="G108" s="668"/>
      <c r="H108" s="639"/>
    </row>
    <row r="109" spans="1:8" ht="12">
      <c r="A109" s="658"/>
      <c r="B109" s="680"/>
      <c r="C109" s="683"/>
      <c r="D109" s="676"/>
      <c r="E109" s="677"/>
      <c r="F109" s="676"/>
      <c r="G109" s="673"/>
      <c r="H109" s="639"/>
    </row>
    <row r="110" spans="1:8" ht="12">
      <c r="A110" s="658"/>
      <c r="B110" s="676"/>
      <c r="C110" s="676"/>
      <c r="D110" s="676"/>
      <c r="E110" s="677"/>
      <c r="F110" s="676"/>
      <c r="G110" s="678"/>
      <c r="H110" s="639"/>
    </row>
    <row r="111" spans="1:7" ht="12">
      <c r="A111" s="660"/>
      <c r="B111" s="658"/>
      <c r="C111" s="658"/>
      <c r="D111" s="658"/>
      <c r="E111" s="658"/>
      <c r="F111" s="658"/>
      <c r="G111" s="658"/>
    </row>
  </sheetData>
  <printOptions horizontalCentered="1"/>
  <pageMargins left="0.75" right="0.75" top="0.5" bottom="0.5" header="0.5" footer="0.5"/>
  <pageSetup horizontalDpi="300" verticalDpi="300" orientation="portrait" scale="90" r:id="rId1"/>
  <rowBreaks count="1" manualBreakCount="1">
    <brk id="65" max="6553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34">
      <selection activeCell="K34" sqref="K1:K16384"/>
    </sheetView>
  </sheetViews>
  <sheetFormatPr defaultColWidth="9.140625" defaultRowHeight="12.75"/>
  <cols>
    <col min="1" max="1" width="6.421875" style="717" customWidth="1"/>
    <col min="2" max="2" width="11.421875" style="717" customWidth="1"/>
    <col min="3" max="3" width="16.00390625" style="717" customWidth="1"/>
    <col min="4" max="4" width="6.140625" style="717" customWidth="1"/>
    <col min="5" max="5" width="5.140625" style="717" customWidth="1"/>
    <col min="6" max="7" width="11.421875" style="717" customWidth="1"/>
    <col min="8" max="8" width="8.00390625" style="787" customWidth="1"/>
    <col min="9" max="9" width="5.7109375" style="733" bestFit="1" customWidth="1"/>
    <col min="10" max="10" width="10.7109375" style="733" customWidth="1"/>
    <col min="11" max="11" width="26.8515625" style="717" customWidth="1"/>
    <col min="12" max="12" width="11.421875" style="717" customWidth="1"/>
    <col min="13" max="13" width="5.8515625" style="717" customWidth="1"/>
    <col min="14" max="14" width="9.00390625" style="717" customWidth="1"/>
    <col min="15" max="17" width="11.421875" style="717" customWidth="1"/>
    <col min="18" max="18" width="3.00390625" style="717" customWidth="1"/>
    <col min="19" max="16384" width="11.421875" style="717" customWidth="1"/>
  </cols>
  <sheetData>
    <row r="1" spans="1:18" ht="12.75">
      <c r="A1" s="717" t="s">
        <v>124</v>
      </c>
      <c r="D1" s="730" t="str">
        <f>Inputs!$D$6</f>
        <v>AVISTA UTILITIES</v>
      </c>
      <c r="J1" s="734"/>
      <c r="K1" s="731"/>
      <c r="L1" s="731"/>
      <c r="M1" s="732"/>
      <c r="N1" s="731"/>
      <c r="O1" s="731"/>
      <c r="P1" s="731"/>
      <c r="Q1" s="731"/>
      <c r="R1" s="730"/>
    </row>
    <row r="2" spans="4:18" ht="12.75">
      <c r="D2" s="733"/>
      <c r="J2" s="734"/>
      <c r="K2" s="731"/>
      <c r="L2" s="731"/>
      <c r="M2" s="734"/>
      <c r="N2" s="731"/>
      <c r="O2" s="731"/>
      <c r="P2" s="731"/>
      <c r="Q2" s="731"/>
      <c r="R2" s="730"/>
    </row>
    <row r="3" spans="4:18" ht="12.75">
      <c r="D3" s="733" t="s">
        <v>125</v>
      </c>
      <c r="J3" s="734"/>
      <c r="K3" s="731"/>
      <c r="L3" s="731"/>
      <c r="M3" s="734"/>
      <c r="N3" s="731"/>
      <c r="O3" s="731"/>
      <c r="P3" s="731"/>
      <c r="Q3" s="731"/>
      <c r="R3" s="730"/>
    </row>
    <row r="4" spans="4:18" ht="12.75">
      <c r="D4" s="733" t="s">
        <v>126</v>
      </c>
      <c r="J4" s="734"/>
      <c r="K4" s="731"/>
      <c r="L4" s="731"/>
      <c r="M4" s="734"/>
      <c r="N4" s="731"/>
      <c r="O4" s="731"/>
      <c r="P4" s="731"/>
      <c r="Q4" s="731"/>
      <c r="R4" s="730"/>
    </row>
    <row r="5" spans="4:18" ht="12.75">
      <c r="D5" s="735" t="str">
        <f>Inputs!D2</f>
        <v>TWELVE MONTHS ENDED DECEMBER 31, 2004</v>
      </c>
      <c r="J5" s="734"/>
      <c r="K5" s="731"/>
      <c r="L5" s="731"/>
      <c r="M5" s="736"/>
      <c r="N5" s="731"/>
      <c r="O5" s="731"/>
      <c r="P5" s="731"/>
      <c r="Q5" s="731"/>
      <c r="R5" s="730"/>
    </row>
    <row r="6" spans="10:18" ht="12.75">
      <c r="J6" s="734"/>
      <c r="K6" s="731"/>
      <c r="L6" s="731"/>
      <c r="M6" s="731"/>
      <c r="N6" s="731"/>
      <c r="O6" s="731"/>
      <c r="P6" s="731"/>
      <c r="Q6" s="731"/>
      <c r="R6" s="730"/>
    </row>
    <row r="7" spans="10:18" ht="12.75">
      <c r="J7" s="734"/>
      <c r="K7" s="731"/>
      <c r="L7" s="731"/>
      <c r="M7" s="731"/>
      <c r="N7" s="731"/>
      <c r="O7" s="731"/>
      <c r="P7" s="731"/>
      <c r="Q7" s="731"/>
      <c r="R7" s="730"/>
    </row>
    <row r="8" spans="6:18" ht="12.75">
      <c r="F8" s="737"/>
      <c r="G8" s="738" t="s">
        <v>126</v>
      </c>
      <c r="H8" s="788"/>
      <c r="J8" s="734"/>
      <c r="K8" s="731"/>
      <c r="L8" s="731"/>
      <c r="M8" s="731"/>
      <c r="N8" s="731"/>
      <c r="O8" s="731"/>
      <c r="P8" s="734"/>
      <c r="Q8" s="731"/>
      <c r="R8" s="730"/>
    </row>
    <row r="9" spans="1:18" ht="12.75">
      <c r="A9" s="738" t="s">
        <v>127</v>
      </c>
      <c r="B9" s="788" t="s">
        <v>286</v>
      </c>
      <c r="C9" s="738"/>
      <c r="D9" s="733"/>
      <c r="F9" s="738" t="s">
        <v>129</v>
      </c>
      <c r="G9" s="738" t="s">
        <v>36</v>
      </c>
      <c r="H9" s="788" t="s">
        <v>130</v>
      </c>
      <c r="I9" s="738"/>
      <c r="J9" s="738"/>
      <c r="K9" s="734"/>
      <c r="L9" s="734"/>
      <c r="M9" s="734"/>
      <c r="N9" s="731"/>
      <c r="O9" s="734"/>
      <c r="P9" s="734"/>
      <c r="Q9" s="734"/>
      <c r="R9" s="730"/>
    </row>
    <row r="10" spans="1:18" ht="12.75">
      <c r="A10" s="739" t="str">
        <f>WAElec12_04!E$10</f>
        <v>b</v>
      </c>
      <c r="B10" s="769" t="str">
        <f>TRIM(CONCATENATE(WAElec12_04!E$7," ",WAElec12_04!E$8," ",WAElec12_04!E$9))</f>
        <v>Per Results Report</v>
      </c>
      <c r="C10" s="770"/>
      <c r="D10" s="770"/>
      <c r="E10" s="770"/>
      <c r="F10" s="771">
        <f>WAElec12_04!E$52</f>
        <v>65796</v>
      </c>
      <c r="G10" s="771">
        <f>WAElec12_04!E$68</f>
        <v>867289</v>
      </c>
      <c r="K10" s="731"/>
      <c r="L10" s="731"/>
      <c r="M10" s="731"/>
      <c r="N10" s="731"/>
      <c r="O10" s="740"/>
      <c r="P10" s="740"/>
      <c r="Q10" s="731"/>
      <c r="R10" s="730"/>
    </row>
    <row r="11" spans="1:18" s="754" customFormat="1" ht="12.75">
      <c r="A11" s="753" t="str">
        <f>WAElec12_04!F$10</f>
        <v>c</v>
      </c>
      <c r="B11" s="769" t="str">
        <f>TRIM(CONCATENATE(WAElec12_04!F$7," ",WAElec12_04!F$8," ",WAElec12_04!F$9))</f>
        <v>Deferred FIT Rate Base</v>
      </c>
      <c r="C11" s="770"/>
      <c r="D11" s="770"/>
      <c r="E11" s="770"/>
      <c r="F11" s="772">
        <f>WAElec12_04!F$52</f>
        <v>0</v>
      </c>
      <c r="G11" s="772">
        <f>WAElec12_04!F$68</f>
        <v>-150785</v>
      </c>
      <c r="H11" s="787"/>
      <c r="I11" s="733"/>
      <c r="K11" s="756"/>
      <c r="L11" s="756"/>
      <c r="M11" s="756"/>
      <c r="N11" s="756"/>
      <c r="O11" s="757"/>
      <c r="P11" s="757"/>
      <c r="Q11" s="756"/>
      <c r="R11" s="755"/>
    </row>
    <row r="12" spans="1:18" s="754" customFormat="1" ht="12.75">
      <c r="A12" s="753" t="str">
        <f>WAElec12_04!G$10</f>
        <v>d</v>
      </c>
      <c r="B12" s="769" t="str">
        <f>TRIM(CONCATENATE(WAElec12_04!G$7," ",WAElec12_04!G$8," ",WAElec12_04!G$9))</f>
        <v>Deferred Gain on Office Building</v>
      </c>
      <c r="C12" s="770"/>
      <c r="D12" s="770"/>
      <c r="E12" s="770"/>
      <c r="F12" s="772">
        <f>WAElec12_04!G$52</f>
        <v>0</v>
      </c>
      <c r="G12" s="772">
        <f>WAElec12_04!G$68</f>
        <v>-465</v>
      </c>
      <c r="H12" s="787"/>
      <c r="I12" s="733"/>
      <c r="J12" s="970"/>
      <c r="K12" s="756"/>
      <c r="L12" s="756"/>
      <c r="M12" s="756"/>
      <c r="N12" s="756"/>
      <c r="O12" s="757"/>
      <c r="P12" s="757"/>
      <c r="Q12" s="756"/>
      <c r="R12" s="755"/>
    </row>
    <row r="13" spans="1:18" s="754" customFormat="1" ht="12.75">
      <c r="A13" s="753" t="str">
        <f>WAElec12_04!H$10</f>
        <v>e</v>
      </c>
      <c r="B13" s="769" t="str">
        <f>TRIM(CONCATENATE(WAElec12_04!H$7," ",WAElec12_04!H$8," ",WAElec12_04!H$9))</f>
        <v>Colstrip 3 AFUDC Elimination</v>
      </c>
      <c r="C13" s="770"/>
      <c r="D13" s="770"/>
      <c r="E13" s="770"/>
      <c r="F13" s="772">
        <f>WAElec12_04!H$52</f>
        <v>221</v>
      </c>
      <c r="G13" s="772">
        <f>WAElec12_04!H$68</f>
        <v>-2302</v>
      </c>
      <c r="H13" s="787"/>
      <c r="I13" s="733"/>
      <c r="J13" s="970"/>
      <c r="K13" s="756"/>
      <c r="L13" s="756"/>
      <c r="M13" s="756"/>
      <c r="N13" s="756"/>
      <c r="O13" s="757"/>
      <c r="P13" s="757"/>
      <c r="Q13" s="756"/>
      <c r="R13" s="755"/>
    </row>
    <row r="14" spans="1:18" s="754" customFormat="1" ht="12.75">
      <c r="A14" s="753" t="str">
        <f>WAElec12_04!I$10</f>
        <v>f</v>
      </c>
      <c r="B14" s="769" t="str">
        <f>TRIM(CONCATENATE(WAElec12_04!I$7," ",WAElec12_04!I$8," ",WAElec12_04!I$9))</f>
        <v>Colstrip Common AFUDC</v>
      </c>
      <c r="C14" s="770"/>
      <c r="D14" s="770"/>
      <c r="E14" s="770"/>
      <c r="F14" s="772">
        <f>WAElec12_04!I$52</f>
        <v>0</v>
      </c>
      <c r="G14" s="772">
        <f>WAElec12_04!I$68</f>
        <v>492</v>
      </c>
      <c r="H14" s="787"/>
      <c r="I14" s="733"/>
      <c r="J14" s="970"/>
      <c r="K14" s="756"/>
      <c r="L14" s="756"/>
      <c r="M14" s="756"/>
      <c r="N14" s="756"/>
      <c r="O14" s="757"/>
      <c r="P14" s="757"/>
      <c r="Q14" s="756"/>
      <c r="R14" s="755"/>
    </row>
    <row r="15" spans="1:18" s="754" customFormat="1" ht="12.75">
      <c r="A15" s="753" t="str">
        <f>WAElec12_04!J$10</f>
        <v>g</v>
      </c>
      <c r="B15" s="769" t="str">
        <f>TRIM(CONCATENATE(WAElec12_04!J$7," ",WAElec12_04!J$8," ",WAElec12_04!J$9))</f>
        <v>Kettle Falls Disallow.</v>
      </c>
      <c r="C15" s="770"/>
      <c r="D15" s="770"/>
      <c r="E15" s="770"/>
      <c r="F15" s="772">
        <f>WAElec12_04!J$52</f>
        <v>79</v>
      </c>
      <c r="G15" s="772">
        <f>WAElec12_04!J$68</f>
        <v>-1021</v>
      </c>
      <c r="H15" s="787"/>
      <c r="I15" s="733"/>
      <c r="J15" s="733"/>
      <c r="K15" s="756"/>
      <c r="L15" s="756"/>
      <c r="M15" s="756"/>
      <c r="N15" s="756"/>
      <c r="O15" s="757"/>
      <c r="P15" s="757"/>
      <c r="Q15" s="756"/>
      <c r="R15" s="755"/>
    </row>
    <row r="16" spans="1:18" s="754" customFormat="1" ht="12.75">
      <c r="A16" s="753" t="str">
        <f>WAElec12_04!K$10</f>
        <v>h</v>
      </c>
      <c r="B16" s="769" t="str">
        <f>TRIM(CONCATENATE(WAElec12_04!K$7," ",WAElec12_04!K$8," ",WAElec12_04!K$9))</f>
        <v>Customer Advances</v>
      </c>
      <c r="C16" s="770"/>
      <c r="D16" s="770"/>
      <c r="E16" s="770"/>
      <c r="F16" s="772">
        <f>WAElec12_04!K$52</f>
        <v>0</v>
      </c>
      <c r="G16" s="772">
        <f>WAElec12_04!K$68</f>
        <v>-223</v>
      </c>
      <c r="H16" s="787"/>
      <c r="I16" s="733"/>
      <c r="K16" s="756"/>
      <c r="L16" s="756"/>
      <c r="M16" s="756"/>
      <c r="N16" s="756"/>
      <c r="O16" s="757"/>
      <c r="P16" s="757"/>
      <c r="Q16" s="756"/>
      <c r="R16" s="755"/>
    </row>
    <row r="17" spans="1:18" s="754" customFormat="1" ht="12.75">
      <c r="A17" s="753" t="str">
        <f>WAElec12_04!L$10</f>
        <v>i</v>
      </c>
      <c r="B17" s="769" t="str">
        <f>TRIM(CONCATENATE(WAElec12_04!L$7," ",WAElec12_04!L$8," ",WAElec12_04!L$9))</f>
        <v>Settlement Exchange Power</v>
      </c>
      <c r="C17" s="770"/>
      <c r="D17" s="770"/>
      <c r="E17" s="770"/>
      <c r="F17" s="772">
        <f>WAElec12_04!L$52</f>
        <v>0</v>
      </c>
      <c r="G17" s="772">
        <f>WAElec12_04!L$68</f>
        <v>26681</v>
      </c>
      <c r="H17" s="787"/>
      <c r="I17" s="733"/>
      <c r="J17" s="733"/>
      <c r="K17" s="756"/>
      <c r="L17" s="756"/>
      <c r="M17" s="756"/>
      <c r="N17" s="756"/>
      <c r="O17" s="757"/>
      <c r="P17" s="757"/>
      <c r="Q17" s="756"/>
      <c r="R17" s="755"/>
    </row>
    <row r="18" spans="1:18" ht="5.25" customHeight="1">
      <c r="A18" s="742"/>
      <c r="B18" s="743"/>
      <c r="F18" s="744"/>
      <c r="G18" s="744"/>
      <c r="K18" s="731"/>
      <c r="L18" s="731"/>
      <c r="M18" s="731"/>
      <c r="N18" s="731"/>
      <c r="O18" s="741"/>
      <c r="P18" s="741"/>
      <c r="Q18" s="731"/>
      <c r="R18" s="730"/>
    </row>
    <row r="19" spans="2:18" ht="12.75">
      <c r="B19" s="717" t="s">
        <v>131</v>
      </c>
      <c r="F19" s="745">
        <f>SUM(F10:F18)</f>
        <v>66096</v>
      </c>
      <c r="G19" s="745">
        <f>SUM(G10:G18)</f>
        <v>739666</v>
      </c>
      <c r="H19" s="789">
        <f>F19/G19</f>
        <v>0.08935925133776597</v>
      </c>
      <c r="I19" s="958"/>
      <c r="J19" s="958"/>
      <c r="K19" s="747"/>
      <c r="L19" s="731"/>
      <c r="M19" s="731"/>
      <c r="N19" s="731"/>
      <c r="O19" s="741"/>
      <c r="P19" s="741"/>
      <c r="Q19" s="731"/>
      <c r="R19" s="730"/>
    </row>
    <row r="20" spans="1:18" ht="12.75">
      <c r="A20" s="733"/>
      <c r="F20" s="746"/>
      <c r="G20" s="746"/>
      <c r="K20" s="731"/>
      <c r="L20" s="731"/>
      <c r="M20" s="731"/>
      <c r="N20" s="731"/>
      <c r="O20" s="741"/>
      <c r="P20" s="741"/>
      <c r="Q20" s="747"/>
      <c r="R20" s="730"/>
    </row>
    <row r="21" spans="1:18" s="754" customFormat="1" ht="12.75">
      <c r="A21" s="753" t="str">
        <f>WAElec12_04!N$10</f>
        <v>j</v>
      </c>
      <c r="B21" s="769" t="str">
        <f>TRIM(CONCATENATE(WAElec12_04!N$7," ",WAElec12_04!N$8," ",WAElec12_04!N$9))</f>
        <v>Hydro Relicensing Adj</v>
      </c>
      <c r="C21" s="770"/>
      <c r="D21" s="770"/>
      <c r="E21" s="770"/>
      <c r="F21" s="772">
        <f>WAElec12_04!N$52</f>
        <v>-3</v>
      </c>
      <c r="G21" s="772">
        <f>WAElec12_04!N$68</f>
        <v>0</v>
      </c>
      <c r="H21" s="787"/>
      <c r="I21" s="733"/>
      <c r="J21" s="733"/>
      <c r="K21" s="756"/>
      <c r="L21" s="756"/>
      <c r="M21" s="756"/>
      <c r="N21" s="756"/>
      <c r="O21" s="757"/>
      <c r="P21" s="757"/>
      <c r="Q21" s="756"/>
      <c r="R21" s="755"/>
    </row>
    <row r="22" spans="1:18" s="754" customFormat="1" ht="12.75">
      <c r="A22" s="753" t="str">
        <f>WAElec12_04!O$10</f>
        <v>k</v>
      </c>
      <c r="B22" s="769" t="str">
        <f>TRIM(CONCATENATE(WAElec12_04!O$7," ",WAElec12_04!O$8," ",WAElec12_04!O$9))</f>
        <v>Eliminate B &amp; O Taxes</v>
      </c>
      <c r="C22" s="770"/>
      <c r="D22" s="770"/>
      <c r="E22" s="770"/>
      <c r="F22" s="772">
        <f>WAElec12_04!O$52</f>
        <v>641</v>
      </c>
      <c r="G22" s="772">
        <f>WAElec12_04!O$68</f>
        <v>0</v>
      </c>
      <c r="H22" s="787"/>
      <c r="I22" s="733"/>
      <c r="J22" s="733"/>
      <c r="K22" s="756"/>
      <c r="L22" s="756"/>
      <c r="M22" s="756"/>
      <c r="N22" s="756"/>
      <c r="O22" s="757"/>
      <c r="P22" s="757"/>
      <c r="Q22" s="756"/>
      <c r="R22" s="755"/>
    </row>
    <row r="23" spans="1:18" s="754" customFormat="1" ht="12.75">
      <c r="A23" s="753" t="str">
        <f>WAElec12_04!P$10</f>
        <v>l</v>
      </c>
      <c r="B23" s="769" t="str">
        <f>TRIM(CONCATENATE(WAElec12_04!P$7," ",WAElec12_04!P$8," ",WAElec12_04!P$9))</f>
        <v>Property Tax</v>
      </c>
      <c r="C23" s="770"/>
      <c r="D23" s="770"/>
      <c r="E23" s="770"/>
      <c r="F23" s="772">
        <f>WAElec12_04!P$52</f>
        <v>-67</v>
      </c>
      <c r="G23" s="772">
        <f>WAElec12_04!P$68</f>
        <v>0</v>
      </c>
      <c r="H23" s="787"/>
      <c r="I23" s="733"/>
      <c r="J23" s="733"/>
      <c r="K23" s="756"/>
      <c r="L23" s="756"/>
      <c r="M23" s="756"/>
      <c r="N23" s="756"/>
      <c r="O23" s="757"/>
      <c r="P23" s="757"/>
      <c r="Q23" s="756"/>
      <c r="R23" s="755"/>
    </row>
    <row r="24" spans="1:18" s="754" customFormat="1" ht="12.75">
      <c r="A24" s="753" t="str">
        <f>WAElec12_04!Q$10</f>
        <v>m</v>
      </c>
      <c r="B24" s="769" t="str">
        <f>TRIM(CONCATENATE(WAElec12_04!Q$7," ",WAElec12_04!Q$8," ",WAElec12_04!Q$9))</f>
        <v>Uncollect. Expense</v>
      </c>
      <c r="C24" s="770"/>
      <c r="D24" s="770"/>
      <c r="E24" s="770"/>
      <c r="F24" s="772">
        <f>WAElec12_04!Q$52</f>
        <v>88</v>
      </c>
      <c r="G24" s="772">
        <f>WAElec12_04!Q$68</f>
        <v>0</v>
      </c>
      <c r="H24" s="787"/>
      <c r="I24" s="733"/>
      <c r="J24" s="971"/>
      <c r="K24" s="756"/>
      <c r="L24" s="756"/>
      <c r="M24" s="756"/>
      <c r="N24" s="756"/>
      <c r="O24" s="757"/>
      <c r="P24" s="757"/>
      <c r="Q24" s="756"/>
      <c r="R24" s="755"/>
    </row>
    <row r="25" spans="1:18" s="754" customFormat="1" ht="12.75">
      <c r="A25" s="753" t="str">
        <f>WAElec12_04!R$10</f>
        <v>n</v>
      </c>
      <c r="B25" s="769" t="str">
        <f>TRIM(CONCATENATE(WAElec12_04!R$7," ",WAElec12_04!R$8," ",WAElec12_04!R$9))</f>
        <v>Regulatory Expense</v>
      </c>
      <c r="C25" s="770"/>
      <c r="D25" s="770"/>
      <c r="E25" s="770"/>
      <c r="F25" s="772">
        <f>WAElec12_04!R$52</f>
        <v>203</v>
      </c>
      <c r="G25" s="772">
        <f>WAElec12_04!R$68</f>
        <v>0</v>
      </c>
      <c r="H25" s="787"/>
      <c r="I25" s="733"/>
      <c r="K25" s="756"/>
      <c r="L25" s="756"/>
      <c r="M25" s="756"/>
      <c r="N25" s="756"/>
      <c r="O25" s="757"/>
      <c r="P25" s="757"/>
      <c r="Q25" s="756"/>
      <c r="R25" s="755"/>
    </row>
    <row r="26" spans="1:18" s="754" customFormat="1" ht="12.75">
      <c r="A26" s="753" t="str">
        <f>WAElec12_04!S$10</f>
        <v>o</v>
      </c>
      <c r="B26" s="769" t="str">
        <f>TRIM(CONCATENATE(WAElec12_04!S$7," ",WAElec12_04!S$8," ",WAElec12_04!S$9))</f>
        <v>Injuries and Damages</v>
      </c>
      <c r="C26" s="770"/>
      <c r="D26" s="770"/>
      <c r="E26" s="770"/>
      <c r="F26" s="772">
        <f>WAElec12_04!S$52</f>
        <v>-70</v>
      </c>
      <c r="G26" s="772">
        <f>WAElec12_04!S$68</f>
        <v>0</v>
      </c>
      <c r="H26" s="787"/>
      <c r="I26" s="733"/>
      <c r="K26" s="756"/>
      <c r="L26" s="756"/>
      <c r="M26" s="756"/>
      <c r="N26" s="756"/>
      <c r="O26" s="757"/>
      <c r="P26" s="757"/>
      <c r="Q26" s="756"/>
      <c r="R26" s="755"/>
    </row>
    <row r="27" spans="1:18" s="754" customFormat="1" ht="12.75">
      <c r="A27" s="753" t="str">
        <f>WAElec12_04!T$10</f>
        <v>p</v>
      </c>
      <c r="B27" s="769" t="str">
        <f>TRIM(CONCATENATE(WAElec12_04!T$7," ",WAElec12_04!T$8," ",WAElec12_04!T$9))</f>
        <v>FIT</v>
      </c>
      <c r="C27" s="770"/>
      <c r="D27" s="770"/>
      <c r="E27" s="770"/>
      <c r="F27" s="772">
        <f>WAElec12_04!T$52</f>
        <v>819</v>
      </c>
      <c r="G27" s="772">
        <f>WAElec12_04!T$68</f>
        <v>0</v>
      </c>
      <c r="H27" s="787"/>
      <c r="I27" s="733"/>
      <c r="K27" s="756"/>
      <c r="L27" s="756"/>
      <c r="M27" s="756"/>
      <c r="N27" s="756"/>
      <c r="O27" s="757"/>
      <c r="P27" s="757"/>
      <c r="Q27" s="756"/>
      <c r="R27" s="755"/>
    </row>
    <row r="28" spans="1:18" s="754" customFormat="1" ht="12.75">
      <c r="A28" s="753" t="str">
        <f>WAElec12_04!U$10</f>
        <v>q</v>
      </c>
      <c r="B28" s="769" t="str">
        <f>TRIM(CONCATENATE(WAElec12_04!U$7," ",WAElec12_04!U$8," ",WAElec12_04!U$9))</f>
        <v>Eliminate WA ERM Surcharge &amp; Deferrals</v>
      </c>
      <c r="C28" s="770"/>
      <c r="D28" s="770"/>
      <c r="E28" s="770"/>
      <c r="F28" s="772">
        <f>WAElec12_04!U$52</f>
        <v>-4909</v>
      </c>
      <c r="G28" s="772">
        <f>WAElec12_04!U$68</f>
        <v>0</v>
      </c>
      <c r="H28" s="787"/>
      <c r="I28" s="733"/>
      <c r="J28" s="733"/>
      <c r="K28" s="756"/>
      <c r="L28" s="756"/>
      <c r="M28" s="756"/>
      <c r="N28" s="756"/>
      <c r="O28" s="757"/>
      <c r="P28" s="757"/>
      <c r="Q28" s="756"/>
      <c r="R28" s="755"/>
    </row>
    <row r="29" spans="1:18" s="754" customFormat="1" ht="12.75">
      <c r="A29" s="753" t="str">
        <f>WAElec12_04!V$10</f>
        <v>r</v>
      </c>
      <c r="B29" s="769" t="str">
        <f>TRIM(CONCATENATE(WAElec12_04!V$7," ",WAElec12_04!V$8," ",WAElec12_04!V$9))</f>
        <v>Nez Perce Settlement Adjustment</v>
      </c>
      <c r="C29" s="770"/>
      <c r="D29" s="770"/>
      <c r="E29" s="770"/>
      <c r="F29" s="772">
        <f>WAElec12_04!V$52</f>
        <v>-8</v>
      </c>
      <c r="G29" s="772">
        <f>WAElec12_04!V$68</f>
        <v>0</v>
      </c>
      <c r="H29" s="787"/>
      <c r="I29" s="733"/>
      <c r="J29" s="733"/>
      <c r="K29" s="756"/>
      <c r="L29" s="756"/>
      <c r="M29" s="756"/>
      <c r="N29" s="756"/>
      <c r="O29" s="757"/>
      <c r="P29" s="757"/>
      <c r="Q29" s="756"/>
      <c r="R29" s="755"/>
    </row>
    <row r="30" spans="1:18" s="754" customFormat="1" ht="12.75" hidden="1">
      <c r="A30" s="795"/>
      <c r="B30" s="769"/>
      <c r="C30" s="770"/>
      <c r="D30" s="770"/>
      <c r="E30" s="770"/>
      <c r="F30" s="772"/>
      <c r="G30" s="772"/>
      <c r="H30" s="787"/>
      <c r="I30" s="959"/>
      <c r="J30" s="959"/>
      <c r="K30" s="756"/>
      <c r="L30" s="756"/>
      <c r="M30" s="756"/>
      <c r="N30" s="756"/>
      <c r="O30" s="757"/>
      <c r="P30" s="757"/>
      <c r="Q30" s="756"/>
      <c r="R30" s="755"/>
    </row>
    <row r="31" spans="1:18" s="754" customFormat="1" ht="12.75" hidden="1">
      <c r="A31" s="795"/>
      <c r="B31" s="769"/>
      <c r="C31" s="770"/>
      <c r="D31" s="770"/>
      <c r="E31" s="770"/>
      <c r="F31" s="772"/>
      <c r="G31" s="772"/>
      <c r="H31" s="787"/>
      <c r="I31" s="959"/>
      <c r="J31" s="959"/>
      <c r="K31" s="756"/>
      <c r="L31" s="756"/>
      <c r="M31" s="756"/>
      <c r="N31" s="756"/>
      <c r="O31" s="757"/>
      <c r="P31" s="757"/>
      <c r="Q31" s="756"/>
      <c r="R31" s="755"/>
    </row>
    <row r="32" spans="1:18" ht="12.75">
      <c r="A32" s="795" t="str">
        <f>WAElec12_04!W$10</f>
        <v>s</v>
      </c>
      <c r="B32" s="769" t="str">
        <f>TRIM(CONCATENATE(WAElec12_04!W$7," ",WAElec12_04!W$8," ",WAElec12_04!W$9))</f>
        <v>Payroll Clearing Adjustment</v>
      </c>
      <c r="C32" s="770"/>
      <c r="D32" s="770"/>
      <c r="E32" s="770"/>
      <c r="F32" s="772">
        <f>WAElec12_04!W$52</f>
        <v>1055</v>
      </c>
      <c r="G32" s="772">
        <f>WAElec12_04!W$68</f>
        <v>0</v>
      </c>
      <c r="K32" s="731"/>
      <c r="L32" s="731"/>
      <c r="M32" s="731"/>
      <c r="N32" s="731"/>
      <c r="O32" s="741"/>
      <c r="P32" s="741"/>
      <c r="Q32" s="731"/>
      <c r="R32" s="730"/>
    </row>
    <row r="33" spans="1:18" ht="12.75">
      <c r="A33" s="795" t="str">
        <f>WAElec12_04!X$10</f>
        <v>t</v>
      </c>
      <c r="B33" s="769" t="str">
        <f>TRIM(CONCATENATE(WAElec12_04!X$7," ",WAElec12_04!X$8," ",WAElec12_04!X$9))</f>
        <v>Coyote Springs</v>
      </c>
      <c r="C33" s="770"/>
      <c r="D33" s="770"/>
      <c r="E33" s="770"/>
      <c r="F33" s="772">
        <f>WAElec12_04!X$52</f>
        <v>-2505</v>
      </c>
      <c r="G33" s="772">
        <f>WAElec12_04!X$68</f>
        <v>41001</v>
      </c>
      <c r="K33" s="731"/>
      <c r="L33" s="731"/>
      <c r="M33" s="731"/>
      <c r="N33" s="731"/>
      <c r="O33" s="741"/>
      <c r="P33" s="741"/>
      <c r="Q33" s="731"/>
      <c r="R33" s="730"/>
    </row>
    <row r="34" spans="1:18" ht="12.75">
      <c r="A34" s="795" t="str">
        <f>WAElec12_04!Y$10</f>
        <v>u</v>
      </c>
      <c r="B34" s="769" t="str">
        <f>TRIM(CONCATENATE(WAElec12_04!Y$7," ",WAElec12_04!Y$8," ",WAElec12_04!Y$9))</f>
        <v>PGE Monetization</v>
      </c>
      <c r="C34" s="770"/>
      <c r="D34" s="770"/>
      <c r="E34" s="770"/>
      <c r="F34" s="772">
        <f>WAElec12_04!Y$52</f>
        <v>1154</v>
      </c>
      <c r="G34" s="772">
        <f>WAElec12_04!Y$68</f>
        <v>-2907</v>
      </c>
      <c r="K34" s="731"/>
      <c r="L34" s="731"/>
      <c r="M34" s="731"/>
      <c r="N34" s="731"/>
      <c r="O34" s="741"/>
      <c r="P34" s="741"/>
      <c r="Q34" s="731"/>
      <c r="R34" s="730"/>
    </row>
    <row r="35" spans="1:18" ht="12.75">
      <c r="A35" s="795" t="str">
        <f>WAElec12_04!Z$10</f>
        <v>v</v>
      </c>
      <c r="B35" s="769" t="str">
        <f>TRIM(CONCATENATE(WAElec12_04!Z$7," ",WAElec12_04!Z$8," ",WAElec12_04!Z$9))</f>
        <v>Eliminate A/R Expenses</v>
      </c>
      <c r="C35" s="770"/>
      <c r="D35" s="770"/>
      <c r="E35" s="770"/>
      <c r="F35" s="772">
        <f>WAElec12_04!Z$52</f>
        <v>472</v>
      </c>
      <c r="G35" s="772">
        <f>WAElec12_04!Z$68</f>
        <v>0</v>
      </c>
      <c r="K35" s="731"/>
      <c r="L35" s="731"/>
      <c r="M35" s="731"/>
      <c r="N35" s="731"/>
      <c r="O35" s="741"/>
      <c r="P35" s="741"/>
      <c r="Q35" s="731"/>
      <c r="R35" s="730"/>
    </row>
    <row r="36" spans="1:18" ht="12.75">
      <c r="A36" s="795" t="str">
        <f>WAElec12_04!AA$10</f>
        <v>w</v>
      </c>
      <c r="B36" s="769" t="str">
        <f>TRIM(CONCATENATE(WAElec12_04!AA$7," ",WAElec12_04!AA$8," ",WAElec12_04!AA$9))</f>
        <v>Office Space Charges to Susidiaries</v>
      </c>
      <c r="C36" s="770"/>
      <c r="D36" s="770"/>
      <c r="E36" s="770"/>
      <c r="F36" s="772">
        <f>WAElec12_04!AA$52</f>
        <v>16</v>
      </c>
      <c r="G36" s="772">
        <f>WAElec12_04!AA$68</f>
        <v>0</v>
      </c>
      <c r="K36" s="731"/>
      <c r="L36" s="731"/>
      <c r="M36" s="731"/>
      <c r="N36" s="731"/>
      <c r="O36" s="741"/>
      <c r="P36" s="741"/>
      <c r="Q36" s="731"/>
      <c r="R36" s="730"/>
    </row>
    <row r="37" spans="1:18" ht="12.75">
      <c r="A37" s="795" t="str">
        <f>WAElec12_04!AB$10</f>
        <v>x</v>
      </c>
      <c r="B37" s="769" t="str">
        <f>TRIM(CONCATENATE(WAElec12_04!AB$7," ",WAElec12_04!AB$8," ",WAElec12_04!AB$9))</f>
        <v>Restate Excise/Franchise Taxes</v>
      </c>
      <c r="C37" s="770"/>
      <c r="D37" s="770"/>
      <c r="E37" s="770"/>
      <c r="F37" s="772">
        <f>WAElec12_04!AB$52</f>
        <v>39</v>
      </c>
      <c r="G37" s="772">
        <f>WAElec12_04!AB$68</f>
        <v>0</v>
      </c>
      <c r="K37" s="731"/>
      <c r="L37" s="731"/>
      <c r="M37" s="731"/>
      <c r="N37" s="731"/>
      <c r="O37" s="741"/>
      <c r="P37" s="741"/>
      <c r="Q37" s="731"/>
      <c r="R37" s="730"/>
    </row>
    <row r="38" spans="1:18" ht="12.75">
      <c r="A38" s="795" t="str">
        <f>WAElec12_04!AC$10</f>
        <v>y</v>
      </c>
      <c r="B38" s="769" t="str">
        <f>TRIM(CONCATENATE(WAElec12_04!AC$7," ",WAElec12_04!AC$8," ",WAElec12_04!AC$9))</f>
        <v>Revenue Adjustment</v>
      </c>
      <c r="C38" s="770"/>
      <c r="D38" s="770"/>
      <c r="E38" s="770"/>
      <c r="F38" s="772">
        <f>WAElec12_04!AC$52</f>
        <v>921</v>
      </c>
      <c r="G38" s="772">
        <f>WAElec12_04!AC$68</f>
        <v>0</v>
      </c>
      <c r="K38" s="731"/>
      <c r="L38" s="731"/>
      <c r="M38" s="731"/>
      <c r="N38" s="731"/>
      <c r="O38" s="741"/>
      <c r="P38" s="741"/>
      <c r="Q38" s="731"/>
      <c r="R38" s="730"/>
    </row>
    <row r="39" spans="1:18" ht="12.75">
      <c r="A39" s="795" t="str">
        <f>WAElec12_04!AD$10</f>
        <v>z</v>
      </c>
      <c r="B39" s="769" t="str">
        <f>TRIM(CONCATENATE(WAElec12_04!AD$7," ",WAElec12_04!AD$8," ",WAElec12_04!AD$9))</f>
        <v>Remove Misc Tariffs Adjustment</v>
      </c>
      <c r="C39" s="770"/>
      <c r="D39" s="770"/>
      <c r="E39" s="770"/>
      <c r="F39" s="772">
        <f>WAElec12_04!AD$52</f>
        <v>-5</v>
      </c>
      <c r="G39" s="772">
        <f>WAElec12_04!AD$68</f>
        <v>0</v>
      </c>
      <c r="I39" s="787"/>
      <c r="J39" s="787"/>
      <c r="K39" s="731"/>
      <c r="L39" s="731"/>
      <c r="M39" s="731"/>
      <c r="N39" s="731"/>
      <c r="O39" s="741"/>
      <c r="P39" s="741"/>
      <c r="Q39" s="731"/>
      <c r="R39" s="730"/>
    </row>
    <row r="40" spans="1:7" ht="12.75">
      <c r="A40" s="795" t="str">
        <f>WAElec12_04!AE$10</f>
        <v>aa</v>
      </c>
      <c r="B40" s="769" t="str">
        <f>TRIM(CONCATENATE(WAElec12_04!AE$7," ",WAElec12_04!AE$8," ",WAElec12_04!AE$9))</f>
        <v>Depreciation Adjustment</v>
      </c>
      <c r="C40" s="770"/>
      <c r="D40" s="770"/>
      <c r="E40" s="770"/>
      <c r="F40" s="772">
        <f>WAElec12_04!AE$52</f>
        <v>-1048</v>
      </c>
      <c r="G40" s="772">
        <f>WAElec12_04!AE$68</f>
        <v>251</v>
      </c>
    </row>
    <row r="41" spans="1:7" ht="12.75">
      <c r="A41" s="795" t="str">
        <f>WAElec12_04!AF$10</f>
        <v>ab</v>
      </c>
      <c r="B41" s="769" t="str">
        <f>TRIM(CONCATENATE(WAElec12_04!AF$7," ",WAElec12_04!AF$8," ",WAElec12_04!AF$9))</f>
        <v>Incentives and Other Adjustment</v>
      </c>
      <c r="C41" s="770"/>
      <c r="D41" s="770"/>
      <c r="E41" s="770"/>
      <c r="F41" s="772">
        <f>WAElec12_04!AF$52</f>
        <v>-33</v>
      </c>
      <c r="G41" s="772">
        <f>WAElec12_04!AF$68</f>
        <v>0</v>
      </c>
    </row>
    <row r="42" spans="1:7" ht="12.75">
      <c r="A42" s="795" t="str">
        <f>WAElec12_04!AG$10</f>
        <v>ac</v>
      </c>
      <c r="B42" s="769" t="str">
        <f>TRIM(CONCATENATE(WAElec12_04!AG$7," ",WAElec12_04!AG$8," ",WAElec12_04!AG$9))</f>
        <v>Restate Debt Interest</v>
      </c>
      <c r="C42" s="770"/>
      <c r="D42" s="770"/>
      <c r="E42" s="770"/>
      <c r="F42" s="772">
        <f>WAElec12_04!AG$52</f>
        <v>-2661.236242108256</v>
      </c>
      <c r="G42" s="772">
        <f>WAElec12_04!AG$68</f>
        <v>0</v>
      </c>
    </row>
    <row r="43" spans="1:18" ht="3.75" customHeight="1">
      <c r="A43" s="795"/>
      <c r="B43" s="769"/>
      <c r="C43" s="770"/>
      <c r="D43" s="770"/>
      <c r="E43" s="770"/>
      <c r="F43" s="772"/>
      <c r="G43" s="772"/>
      <c r="I43" s="787"/>
      <c r="K43" s="731"/>
      <c r="L43" s="731"/>
      <c r="M43" s="731"/>
      <c r="N43" s="731"/>
      <c r="O43" s="741"/>
      <c r="P43" s="741"/>
      <c r="Q43" s="731"/>
      <c r="R43" s="730"/>
    </row>
    <row r="44" spans="1:18" s="919" customFormat="1" ht="12.75">
      <c r="A44" s="795"/>
      <c r="B44" s="769"/>
      <c r="C44" s="770"/>
      <c r="D44" s="770"/>
      <c r="E44" s="770"/>
      <c r="F44" s="942"/>
      <c r="G44" s="942"/>
      <c r="H44" s="787"/>
      <c r="I44" s="920"/>
      <c r="J44" s="920"/>
      <c r="K44" s="921"/>
      <c r="L44" s="921"/>
      <c r="M44" s="921"/>
      <c r="N44" s="921"/>
      <c r="O44" s="922"/>
      <c r="P44" s="922"/>
      <c r="Q44" s="921"/>
      <c r="R44" s="923"/>
    </row>
    <row r="45" spans="1:18" ht="13.5" thickBot="1">
      <c r="A45" s="748"/>
      <c r="B45" s="717" t="s">
        <v>132</v>
      </c>
      <c r="F45" s="750">
        <f>SUM(F19:F43)</f>
        <v>60194.76375789174</v>
      </c>
      <c r="G45" s="750">
        <f>SUM(G19:G43)</f>
        <v>778011</v>
      </c>
      <c r="H45" s="793">
        <f>F45/G45</f>
        <v>0.07737006772126839</v>
      </c>
      <c r="I45" s="961"/>
      <c r="K45" s="747"/>
      <c r="L45" s="731"/>
      <c r="M45" s="731"/>
      <c r="N45" s="731"/>
      <c r="O45" s="741"/>
      <c r="P45" s="741"/>
      <c r="Q45" s="731"/>
      <c r="R45" s="730"/>
    </row>
    <row r="46" spans="1:18" ht="13.5" thickTop="1">
      <c r="A46" s="748"/>
      <c r="F46" s="740"/>
      <c r="G46" s="740"/>
      <c r="H46" s="790"/>
      <c r="I46" s="960"/>
      <c r="K46" s="731"/>
      <c r="L46" s="731"/>
      <c r="M46" s="731"/>
      <c r="N46" s="731"/>
      <c r="O46" s="741"/>
      <c r="P46" s="741"/>
      <c r="Q46" s="731"/>
      <c r="R46" s="730"/>
    </row>
    <row r="47" spans="1:18" ht="12.75">
      <c r="A47" s="794" t="str">
        <f>WAElec12_04!AJ$10</f>
        <v>PF1</v>
      </c>
      <c r="B47" s="769" t="str">
        <f>TRIM(CONCATENATE(WAElec12_04!AJ$7," ",WAElec12_04!AJ$8," ",WAElec12_04!AJ$9))</f>
        <v>Pro Forma Power Supply</v>
      </c>
      <c r="C47" s="770"/>
      <c r="D47" s="770"/>
      <c r="E47" s="770"/>
      <c r="F47" s="771">
        <f>WAElec12_04!AJ$52</f>
        <v>-4465</v>
      </c>
      <c r="G47" s="771">
        <f>WAElec12_04!AJ$68</f>
        <v>0</v>
      </c>
      <c r="H47" s="791"/>
      <c r="J47" s="959"/>
      <c r="K47" s="731"/>
      <c r="L47" s="731"/>
      <c r="M47" s="731"/>
      <c r="N47" s="731"/>
      <c r="O47" s="741"/>
      <c r="P47" s="741"/>
      <c r="Q47" s="731"/>
      <c r="R47" s="730"/>
    </row>
    <row r="48" spans="1:18" ht="12.75">
      <c r="A48" s="794" t="str">
        <f>WAElec12_04!AK$10</f>
        <v>PF2</v>
      </c>
      <c r="B48" s="769" t="str">
        <f>TRIM(CONCATENATE(WAElec12_04!AK$7," ",WAElec12_04!AK$8," ",WAElec12_04!AK$9))</f>
        <v>Pro Forma Pension</v>
      </c>
      <c r="C48" s="770"/>
      <c r="D48" s="770"/>
      <c r="E48" s="770"/>
      <c r="F48" s="771">
        <f>WAElec12_04!AK$52</f>
        <v>377</v>
      </c>
      <c r="G48" s="771">
        <f>WAElec12_04!AK$68</f>
        <v>0</v>
      </c>
      <c r="H48" s="791"/>
      <c r="K48" s="731"/>
      <c r="L48" s="731"/>
      <c r="M48" s="731"/>
      <c r="N48" s="731"/>
      <c r="O48" s="741"/>
      <c r="P48" s="741"/>
      <c r="Q48" s="731"/>
      <c r="R48" s="730"/>
    </row>
    <row r="49" spans="1:18" ht="12.75">
      <c r="A49" s="794" t="str">
        <f>WAElec12_04!AL$10</f>
        <v>PF 3</v>
      </c>
      <c r="B49" s="769" t="str">
        <f>TRIM(CONCATENATE(WAElec12_04!AL$7," ",WAElec12_04!AL$8," ",WAElec12_04!AL$9))</f>
        <v>Pro Forma Insurance</v>
      </c>
      <c r="C49" s="770"/>
      <c r="D49" s="770"/>
      <c r="E49" s="770"/>
      <c r="F49" s="771">
        <f>WAElec12_04!AL$52</f>
        <v>244</v>
      </c>
      <c r="G49" s="771">
        <f>WAElec12_04!AL$68</f>
        <v>0</v>
      </c>
      <c r="H49" s="791"/>
      <c r="I49" s="959"/>
      <c r="K49" s="731"/>
      <c r="L49" s="731"/>
      <c r="M49" s="731"/>
      <c r="N49" s="731"/>
      <c r="O49" s="741"/>
      <c r="P49" s="741"/>
      <c r="Q49" s="731"/>
      <c r="R49" s="730"/>
    </row>
    <row r="50" spans="1:18" ht="12.75">
      <c r="A50" s="794" t="str">
        <f>WAElec12_04!AM$10</f>
        <v>PF 4</v>
      </c>
      <c r="B50" s="769" t="str">
        <f>TRIM(CONCATENATE(WAElec12_04!AM$7," ",WAElec12_04!AM$8," ",WAElec12_04!AM$9))</f>
        <v>Pro Forma Labor Non-Exec</v>
      </c>
      <c r="C50" s="770"/>
      <c r="D50" s="770"/>
      <c r="E50" s="770"/>
      <c r="F50" s="771">
        <f>WAElec12_04!AM$52</f>
        <v>-1326</v>
      </c>
      <c r="G50" s="771">
        <f>WAElec12_04!AM$68</f>
        <v>0</v>
      </c>
      <c r="K50" s="731"/>
      <c r="L50" s="731"/>
      <c r="M50" s="731"/>
      <c r="N50" s="731"/>
      <c r="O50" s="741"/>
      <c r="P50" s="741"/>
      <c r="Q50" s="731"/>
      <c r="R50" s="730"/>
    </row>
    <row r="51" spans="1:18" ht="12.75">
      <c r="A51" s="794" t="str">
        <f>WAElec12_04!AN$10</f>
        <v>PF 5</v>
      </c>
      <c r="B51" s="769" t="str">
        <f>TRIM(CONCATENATE(WAElec12_04!AN$7," ",WAElec12_04!AN$8," ",WAElec12_04!AN$9))</f>
        <v>Pro Forma Labor Executive</v>
      </c>
      <c r="C51" s="770"/>
      <c r="D51" s="770"/>
      <c r="E51" s="770"/>
      <c r="F51" s="771">
        <f>WAElec12_04!AN$52</f>
        <v>-36</v>
      </c>
      <c r="G51" s="771">
        <f>WAElec12_04!AN$68</f>
        <v>0</v>
      </c>
      <c r="K51" s="731"/>
      <c r="L51" s="731"/>
      <c r="M51" s="731"/>
      <c r="N51" s="731"/>
      <c r="O51" s="741"/>
      <c r="P51" s="741"/>
      <c r="Q51" s="731"/>
      <c r="R51" s="730"/>
    </row>
    <row r="52" spans="1:18" ht="12.75">
      <c r="A52" s="794" t="str">
        <f>WAElec12_04!AO$10</f>
        <v>PF 6</v>
      </c>
      <c r="B52" s="769" t="str">
        <f>TRIM(CONCATENATE(WAElec12_04!AO$7," ",WAElec12_04!AO$8," ",WAElec12_04!AO$9))</f>
        <v>Pro Forma Vegetation Management</v>
      </c>
      <c r="C52" s="770"/>
      <c r="D52" s="770"/>
      <c r="E52" s="770"/>
      <c r="F52" s="771">
        <f>WAElec12_04!AO$52</f>
        <v>-320</v>
      </c>
      <c r="G52" s="771">
        <f>WAElec12_04!AO$68</f>
        <v>0</v>
      </c>
      <c r="K52" s="731"/>
      <c r="L52" s="731"/>
      <c r="M52" s="731"/>
      <c r="N52" s="731"/>
      <c r="O52" s="741"/>
      <c r="P52" s="741"/>
      <c r="Q52" s="731"/>
      <c r="R52" s="730"/>
    </row>
    <row r="53" spans="1:18" ht="12.75">
      <c r="A53" s="794" t="str">
        <f>WAElec12_04!AP$10</f>
        <v>PF 7</v>
      </c>
      <c r="B53" s="769" t="str">
        <f>TRIM(CONCATENATE(WAElec12_04!AP$7," ",WAElec12_04!AP$8," ",WAElec12_04!AP$9))</f>
        <v>Pro Forma Transmission Project</v>
      </c>
      <c r="C53" s="770"/>
      <c r="D53" s="770"/>
      <c r="E53" s="770"/>
      <c r="F53" s="771">
        <f>WAElec12_04!AP$52</f>
        <v>-463</v>
      </c>
      <c r="G53" s="771">
        <f>WAElec12_04!AP$68</f>
        <v>17997</v>
      </c>
      <c r="K53" s="731"/>
      <c r="L53" s="731"/>
      <c r="M53" s="731"/>
      <c r="N53" s="731"/>
      <c r="O53" s="741"/>
      <c r="P53" s="741"/>
      <c r="Q53" s="731"/>
      <c r="R53" s="730"/>
    </row>
    <row r="54" spans="1:7" ht="12.75">
      <c r="A54" s="794" t="str">
        <f>WAElec12_04!AQ$10</f>
        <v>PF 8</v>
      </c>
      <c r="B54" s="769" t="str">
        <f>TRIM(CONCATENATE(WAElec12_04!AQ$7," ",WAElec12_04!AQ$8," ",WAElec12_04!AQ$9))</f>
        <v>Sale of Skookumchuck Hydro</v>
      </c>
      <c r="C54" s="770"/>
      <c r="D54" s="770"/>
      <c r="E54" s="770"/>
      <c r="F54" s="771">
        <f>WAElec12_04!AQ$52</f>
        <v>32</v>
      </c>
      <c r="G54" s="771">
        <f>WAElec12_04!AQ$68</f>
        <v>-163</v>
      </c>
    </row>
    <row r="55" spans="1:7" ht="12.75">
      <c r="A55" s="794" t="str">
        <f>WAElec12_04!AR$10</f>
        <v>PF 9</v>
      </c>
      <c r="B55" s="769" t="str">
        <f>TRIM(CONCATENATE(WAElec12_04!AR$7," ",WAElec12_04!AR$8," ",WAElec12_04!AR$9))</f>
        <v>Cancelled Small Generation</v>
      </c>
      <c r="C55" s="770"/>
      <c r="D55" s="770"/>
      <c r="E55" s="770"/>
      <c r="F55" s="771">
        <f>WAElec12_04!AR$52</f>
        <v>-199</v>
      </c>
      <c r="G55" s="771">
        <f>WAElec12_04!AR$68</f>
        <v>0</v>
      </c>
    </row>
    <row r="56" spans="1:7" ht="12.75">
      <c r="A56" s="794" t="str">
        <f>WAElec12_04!AS$10</f>
        <v>PF10</v>
      </c>
      <c r="B56" s="769" t="str">
        <f>TRIM(CONCATENATE(WAElec12_04!AS$7," ",WAElec12_04!AS$8," ",WAElec12_04!AS$9))</f>
        <v>Pro Forma Production Tax Credit</v>
      </c>
      <c r="C56" s="770"/>
      <c r="D56" s="770"/>
      <c r="E56" s="770"/>
      <c r="F56" s="771">
        <f>WAElec12_04!AS$52</f>
        <v>992</v>
      </c>
      <c r="G56" s="771">
        <f>WAElec12_04!AS$68</f>
        <v>0</v>
      </c>
    </row>
    <row r="57" spans="1:7" ht="12.75">
      <c r="A57" s="794" t="str">
        <f>WAElec12_04!AT$10</f>
        <v>PF11</v>
      </c>
      <c r="B57" s="769" t="str">
        <f>TRIM(CONCATENATE(WAElec12_04!AT$7," ",WAElec12_04!AT$8," ",WAElec12_04!AT$9))</f>
        <v>Pro Forma Allocation Adjustment</v>
      </c>
      <c r="C57" s="770"/>
      <c r="D57" s="770"/>
      <c r="E57" s="770"/>
      <c r="F57" s="771">
        <f>WAElec12_04!AT$52</f>
        <v>-347</v>
      </c>
      <c r="G57" s="771">
        <f>WAElec12_04!AT$68</f>
        <v>0</v>
      </c>
    </row>
    <row r="58" ht="3.75" customHeight="1"/>
    <row r="59" spans="1:18" ht="12.75">
      <c r="A59" s="733"/>
      <c r="B59" s="876"/>
      <c r="C59" s="731"/>
      <c r="D59" s="731"/>
      <c r="E59" s="749"/>
      <c r="F59" s="745"/>
      <c r="G59" s="745"/>
      <c r="H59" s="792"/>
      <c r="I59" s="734"/>
      <c r="J59" s="734"/>
      <c r="K59" s="731"/>
      <c r="L59" s="731"/>
      <c r="M59" s="731"/>
      <c r="N59" s="731"/>
      <c r="O59" s="741"/>
      <c r="P59" s="741"/>
      <c r="Q59" s="731"/>
      <c r="R59" s="730"/>
    </row>
    <row r="60" spans="1:18" ht="13.5" thickBot="1">
      <c r="A60" s="733"/>
      <c r="B60" s="731" t="s">
        <v>415</v>
      </c>
      <c r="C60" s="731"/>
      <c r="D60" s="731"/>
      <c r="E60" s="749"/>
      <c r="F60" s="750">
        <f>SUM(F45:F59)</f>
        <v>54683.76375789174</v>
      </c>
      <c r="G60" s="750">
        <f>SUM(G45:G59)</f>
        <v>795845</v>
      </c>
      <c r="H60" s="793">
        <f>F60/G60</f>
        <v>0.06871157544231822</v>
      </c>
      <c r="I60" s="961"/>
      <c r="J60" s="734"/>
      <c r="K60" s="747"/>
      <c r="L60" s="731"/>
      <c r="M60" s="731"/>
      <c r="N60" s="731"/>
      <c r="O60" s="740"/>
      <c r="P60" s="740"/>
      <c r="Q60" s="751"/>
      <c r="R60" s="730"/>
    </row>
    <row r="61" spans="1:18" ht="13.5" thickTop="1">
      <c r="A61" s="733"/>
      <c r="B61" s="731"/>
      <c r="C61" s="731"/>
      <c r="D61" s="731"/>
      <c r="E61" s="749"/>
      <c r="F61" s="940"/>
      <c r="G61" s="940"/>
      <c r="H61" s="941"/>
      <c r="I61" s="961"/>
      <c r="J61" s="734"/>
      <c r="K61" s="731"/>
      <c r="L61" s="731"/>
      <c r="M61" s="731"/>
      <c r="N61" s="731"/>
      <c r="O61" s="740"/>
      <c r="P61" s="740"/>
      <c r="Q61" s="751"/>
      <c r="R61" s="730"/>
    </row>
    <row r="62" spans="1:18" ht="12.75">
      <c r="A62" s="733"/>
      <c r="B62" s="731"/>
      <c r="C62" s="731"/>
      <c r="D62" s="731"/>
      <c r="E62" s="749"/>
      <c r="F62" s="940"/>
      <c r="G62" s="940"/>
      <c r="H62" s="941"/>
      <c r="I62" s="961"/>
      <c r="J62" s="734"/>
      <c r="K62" s="731"/>
      <c r="L62" s="731"/>
      <c r="M62" s="731"/>
      <c r="N62" s="731"/>
      <c r="O62" s="740"/>
      <c r="P62" s="740"/>
      <c r="Q62" s="751"/>
      <c r="R62" s="730"/>
    </row>
  </sheetData>
  <printOptions/>
  <pageMargins left="0.75" right="0.75" top="0.81" bottom="0.75" header="0.5" footer="0.5"/>
  <pageSetup horizontalDpi="300" verticalDpi="300" orientation="portrait" scale="75" r:id="rId1"/>
  <headerFooter alignWithMargins="0">
    <oddHeader>&amp;C
</oddHeader>
    <oddFooter>&amp;C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5">
      <selection activeCell="F45" sqref="F45"/>
    </sheetView>
  </sheetViews>
  <sheetFormatPr defaultColWidth="9.140625" defaultRowHeight="12.75"/>
  <cols>
    <col min="1" max="1" width="5.57421875" style="44" customWidth="1"/>
    <col min="2" max="2" width="26.140625" style="41" customWidth="1"/>
    <col min="3" max="3" width="12.421875" style="41" customWidth="1"/>
    <col min="4" max="4" width="6.7109375" style="41" customWidth="1"/>
    <col min="5" max="16384" width="12.421875" style="41" customWidth="1"/>
  </cols>
  <sheetData>
    <row r="1" spans="1:3" ht="12">
      <c r="A1" s="39" t="str">
        <f>Inputs!$D$6</f>
        <v>AVISTA UTILITIES</v>
      </c>
      <c r="B1" s="40"/>
      <c r="C1" s="39"/>
    </row>
    <row r="2" spans="1:7" ht="12">
      <c r="A2" s="39" t="s">
        <v>134</v>
      </c>
      <c r="B2" s="40"/>
      <c r="C2" s="39"/>
      <c r="E2" s="39"/>
      <c r="F2" s="44" t="s">
        <v>521</v>
      </c>
      <c r="G2" s="39"/>
    </row>
    <row r="3" spans="1:7" ht="12">
      <c r="A3" s="40" t="str">
        <f>WAElec12_04!$A$4</f>
        <v>TWELVE MONTHS ENDED DECEMBER 31, 2004</v>
      </c>
      <c r="B3" s="40"/>
      <c r="C3" s="39"/>
      <c r="E3" s="39"/>
      <c r="F3" s="44" t="s">
        <v>532</v>
      </c>
      <c r="G3" s="39"/>
    </row>
    <row r="4" spans="1:7" ht="12">
      <c r="A4" s="39" t="s">
        <v>1</v>
      </c>
      <c r="B4" s="40"/>
      <c r="C4" s="39"/>
      <c r="E4" s="42"/>
      <c r="F4" s="718" t="s">
        <v>137</v>
      </c>
      <c r="G4" s="43"/>
    </row>
    <row r="5" ht="12">
      <c r="A5" s="44" t="s">
        <v>13</v>
      </c>
    </row>
    <row r="6" spans="1:8" s="44" customFormat="1" ht="12">
      <c r="A6" s="44" t="s">
        <v>138</v>
      </c>
      <c r="B6" s="45" t="s">
        <v>34</v>
      </c>
      <c r="C6" s="45"/>
      <c r="E6" s="45" t="s">
        <v>139</v>
      </c>
      <c r="F6" s="45" t="s">
        <v>140</v>
      </c>
      <c r="G6" s="45" t="s">
        <v>123</v>
      </c>
      <c r="H6" s="46" t="s">
        <v>141</v>
      </c>
    </row>
    <row r="7" ht="12">
      <c r="B7" s="47" t="s">
        <v>80</v>
      </c>
    </row>
    <row r="8" spans="1:8" s="50" customFormat="1" ht="12">
      <c r="A8" s="48">
        <v>1</v>
      </c>
      <c r="B8" s="49" t="s">
        <v>81</v>
      </c>
      <c r="E8" s="51">
        <f>F8+G8</f>
        <v>-27408</v>
      </c>
      <c r="F8" s="51">
        <v>-27408</v>
      </c>
      <c r="G8" s="51"/>
      <c r="H8" s="50" t="str">
        <f aca="true" t="shared" si="0" ref="H8:H13">IF(E8=F8+G8," ","ERROR")</f>
        <v> </v>
      </c>
    </row>
    <row r="9" spans="1:8" ht="12">
      <c r="A9" s="44">
        <v>2</v>
      </c>
      <c r="B9" s="47" t="s">
        <v>82</v>
      </c>
      <c r="E9" s="52"/>
      <c r="F9" s="52"/>
      <c r="G9" s="52"/>
      <c r="H9" s="50" t="str">
        <f t="shared" si="0"/>
        <v> </v>
      </c>
    </row>
    <row r="10" spans="1:8" ht="12">
      <c r="A10" s="44">
        <v>3</v>
      </c>
      <c r="B10" s="47" t="s">
        <v>142</v>
      </c>
      <c r="E10" s="52">
        <f>F10+G10</f>
        <v>0</v>
      </c>
      <c r="F10" s="52"/>
      <c r="G10" s="52"/>
      <c r="H10" s="50" t="str">
        <f t="shared" si="0"/>
        <v> </v>
      </c>
    </row>
    <row r="11" spans="1:8" ht="12">
      <c r="A11" s="44">
        <v>4</v>
      </c>
      <c r="B11" s="47" t="s">
        <v>143</v>
      </c>
      <c r="E11" s="53">
        <f>E8+E9+E10</f>
        <v>-27408</v>
      </c>
      <c r="F11" s="53">
        <f>F8+F9+F10</f>
        <v>-27408</v>
      </c>
      <c r="G11" s="53">
        <f>G8+G9+G10</f>
        <v>0</v>
      </c>
      <c r="H11" s="50" t="str">
        <f t="shared" si="0"/>
        <v> </v>
      </c>
    </row>
    <row r="12" spans="1:8" ht="12">
      <c r="A12" s="44">
        <v>5</v>
      </c>
      <c r="B12" s="47" t="s">
        <v>85</v>
      </c>
      <c r="E12" s="52"/>
      <c r="F12" s="52"/>
      <c r="G12" s="52"/>
      <c r="H12" s="50" t="str">
        <f t="shared" si="0"/>
        <v> </v>
      </c>
    </row>
    <row r="13" spans="1:8" ht="12">
      <c r="A13" s="44">
        <v>6</v>
      </c>
      <c r="B13" s="47" t="s">
        <v>144</v>
      </c>
      <c r="E13" s="53">
        <f>E11+E12</f>
        <v>-27408</v>
      </c>
      <c r="F13" s="53">
        <f>F11+F12</f>
        <v>-27408</v>
      </c>
      <c r="G13" s="53">
        <f>G11+G12</f>
        <v>0</v>
      </c>
      <c r="H13" s="50" t="str">
        <f t="shared" si="0"/>
        <v> </v>
      </c>
    </row>
    <row r="14" spans="5:8" ht="12">
      <c r="E14" s="55"/>
      <c r="F14" s="55"/>
      <c r="G14" s="55"/>
      <c r="H14" s="50"/>
    </row>
    <row r="15" spans="2:8" ht="12">
      <c r="B15" s="47" t="s">
        <v>87</v>
      </c>
      <c r="E15" s="55"/>
      <c r="F15" s="55"/>
      <c r="G15" s="55"/>
      <c r="H15" s="50"/>
    </row>
    <row r="16" spans="2:8" ht="12">
      <c r="B16" s="47" t="s">
        <v>88</v>
      </c>
      <c r="E16" s="55"/>
      <c r="F16" s="55"/>
      <c r="G16" s="55"/>
      <c r="H16" s="50"/>
    </row>
    <row r="17" spans="1:8" ht="12">
      <c r="A17" s="44">
        <v>7</v>
      </c>
      <c r="B17" s="47" t="s">
        <v>145</v>
      </c>
      <c r="E17" s="52">
        <f>F17+G17</f>
        <v>-18659</v>
      </c>
      <c r="F17" s="52">
        <v>-18659</v>
      </c>
      <c r="G17" s="52"/>
      <c r="H17" s="50" t="str">
        <f>IF(E17=F17+G17," ","ERROR")</f>
        <v> </v>
      </c>
    </row>
    <row r="18" spans="1:8" ht="12">
      <c r="A18" s="44">
        <v>8</v>
      </c>
      <c r="B18" s="47" t="s">
        <v>146</v>
      </c>
      <c r="E18" s="52">
        <f>F18+G18</f>
        <v>0</v>
      </c>
      <c r="F18" s="52">
        <v>0</v>
      </c>
      <c r="G18" s="52">
        <v>0</v>
      </c>
      <c r="H18" s="50" t="str">
        <f>IF(E18=F18+G18," ","ERROR")</f>
        <v> </v>
      </c>
    </row>
    <row r="19" spans="1:8" ht="12">
      <c r="A19" s="44">
        <v>9</v>
      </c>
      <c r="B19" s="47" t="s">
        <v>147</v>
      </c>
      <c r="E19" s="52"/>
      <c r="F19" s="52"/>
      <c r="G19" s="52"/>
      <c r="H19" s="50" t="str">
        <f>IF(E19=F19+G19," ","ERROR")</f>
        <v> </v>
      </c>
    </row>
    <row r="20" spans="1:8" ht="12">
      <c r="A20" s="44">
        <v>10</v>
      </c>
      <c r="B20" s="47" t="s">
        <v>148</v>
      </c>
      <c r="E20" s="52"/>
      <c r="F20" s="52"/>
      <c r="G20" s="52"/>
      <c r="H20" s="50" t="str">
        <f>IF(E20=F20+G20," ","ERROR")</f>
        <v> </v>
      </c>
    </row>
    <row r="21" spans="1:8" ht="12">
      <c r="A21" s="44">
        <v>11</v>
      </c>
      <c r="B21" s="47" t="s">
        <v>149</v>
      </c>
      <c r="E21" s="53">
        <f>E17+E18+E19+E20</f>
        <v>-18659</v>
      </c>
      <c r="F21" s="53">
        <f>F17+F18+F19+F20</f>
        <v>-18659</v>
      </c>
      <c r="G21" s="53">
        <f>G17+G18+G19+G20</f>
        <v>0</v>
      </c>
      <c r="H21" s="50" t="str">
        <f>IF(E21=F21+G21," ","ERROR")</f>
        <v> </v>
      </c>
    </row>
    <row r="22" spans="5:8" ht="12">
      <c r="E22" s="55"/>
      <c r="F22" s="55"/>
      <c r="G22" s="55"/>
      <c r="H22" s="50"/>
    </row>
    <row r="23" spans="2:8" ht="12">
      <c r="B23" s="47" t="s">
        <v>93</v>
      </c>
      <c r="E23" s="55"/>
      <c r="F23" s="55"/>
      <c r="G23" s="55"/>
      <c r="H23" s="50"/>
    </row>
    <row r="24" spans="1:8" ht="12">
      <c r="A24" s="44">
        <v>12</v>
      </c>
      <c r="B24" s="47" t="s">
        <v>145</v>
      </c>
      <c r="E24" s="52"/>
      <c r="F24" s="52"/>
      <c r="G24" s="52"/>
      <c r="H24" s="50" t="str">
        <f>IF(E24=F24+G24," ","ERROR")</f>
        <v> </v>
      </c>
    </row>
    <row r="25" spans="1:8" ht="12">
      <c r="A25" s="44">
        <v>13</v>
      </c>
      <c r="B25" s="47" t="s">
        <v>150</v>
      </c>
      <c r="E25" s="52"/>
      <c r="F25" s="52"/>
      <c r="G25" s="52"/>
      <c r="H25" s="50" t="str">
        <f>IF(E25=F25+G25," ","ERROR")</f>
        <v> </v>
      </c>
    </row>
    <row r="26" spans="1:8" ht="12">
      <c r="A26" s="44">
        <v>14</v>
      </c>
      <c r="B26" s="47" t="s">
        <v>148</v>
      </c>
      <c r="E26" s="52">
        <f>F26+G26</f>
        <v>-1058</v>
      </c>
      <c r="F26" s="52">
        <v>-1058</v>
      </c>
      <c r="G26" s="52"/>
      <c r="H26" s="50" t="str">
        <f>IF(E26=F26+G26," ","ERROR")</f>
        <v> </v>
      </c>
    </row>
    <row r="27" spans="1:8" ht="12">
      <c r="A27" s="44">
        <v>15</v>
      </c>
      <c r="B27" s="47" t="s">
        <v>151</v>
      </c>
      <c r="E27" s="53">
        <f>E24+E25+E26</f>
        <v>-1058</v>
      </c>
      <c r="F27" s="53">
        <f>F24+F25+F26</f>
        <v>-1058</v>
      </c>
      <c r="G27" s="53">
        <f>G24+G25+G26</f>
        <v>0</v>
      </c>
      <c r="H27" s="50" t="str">
        <f>IF(E27=F27+G27," ","ERROR")</f>
        <v> </v>
      </c>
    </row>
    <row r="28" spans="5:8" ht="12">
      <c r="E28" s="55"/>
      <c r="F28" s="55"/>
      <c r="G28" s="55"/>
      <c r="H28" s="50"/>
    </row>
    <row r="29" spans="1:8" ht="12">
      <c r="A29" s="44">
        <v>16</v>
      </c>
      <c r="B29" s="47" t="s">
        <v>96</v>
      </c>
      <c r="E29" s="52">
        <f>F29+G29</f>
        <v>-87</v>
      </c>
      <c r="F29" s="52">
        <v>-87</v>
      </c>
      <c r="G29" s="52"/>
      <c r="H29" s="50" t="str">
        <f>IF(E29=F29+G29," ","ERROR")</f>
        <v> </v>
      </c>
    </row>
    <row r="30" spans="1:8" ht="12">
      <c r="A30" s="44">
        <v>17</v>
      </c>
      <c r="B30" s="47" t="s">
        <v>97</v>
      </c>
      <c r="E30" s="52"/>
      <c r="F30" s="52"/>
      <c r="G30" s="52"/>
      <c r="H30" s="50" t="str">
        <f>IF(E30=F30+G30," ","ERROR")</f>
        <v> </v>
      </c>
    </row>
    <row r="31" spans="1:8" ht="12">
      <c r="A31" s="44">
        <v>18</v>
      </c>
      <c r="B31" s="47" t="s">
        <v>152</v>
      </c>
      <c r="E31" s="52"/>
      <c r="F31" s="52"/>
      <c r="G31" s="52"/>
      <c r="H31" s="50" t="str">
        <f>IF(E31=F31+G31," ","ERROR")</f>
        <v> </v>
      </c>
    </row>
    <row r="32" spans="5:8" ht="12">
      <c r="E32" s="55"/>
      <c r="F32" s="55"/>
      <c r="G32" s="55"/>
      <c r="H32" s="50"/>
    </row>
    <row r="33" spans="2:8" ht="12">
      <c r="B33" s="47" t="s">
        <v>99</v>
      </c>
      <c r="E33" s="55"/>
      <c r="F33" s="55"/>
      <c r="G33" s="55"/>
      <c r="H33" s="50"/>
    </row>
    <row r="34" spans="1:8" ht="12">
      <c r="A34" s="44">
        <v>19</v>
      </c>
      <c r="B34" s="47" t="s">
        <v>145</v>
      </c>
      <c r="E34" s="52">
        <f>SUM(F34:G34)</f>
        <v>-52</v>
      </c>
      <c r="F34" s="52">
        <v>-52</v>
      </c>
      <c r="G34" s="52"/>
      <c r="H34" s="50" t="str">
        <f>IF(E34=F34+G34," ","ERROR")</f>
        <v> </v>
      </c>
    </row>
    <row r="35" spans="1:8" ht="12">
      <c r="A35" s="44">
        <v>20</v>
      </c>
      <c r="B35" s="47" t="s">
        <v>150</v>
      </c>
      <c r="E35" s="52"/>
      <c r="F35" s="52"/>
      <c r="G35" s="52"/>
      <c r="H35" s="50" t="str">
        <f>IF(E35=F35+G35," ","ERROR")</f>
        <v> </v>
      </c>
    </row>
    <row r="36" spans="1:8" ht="12">
      <c r="A36" s="44">
        <v>21</v>
      </c>
      <c r="B36" s="47" t="s">
        <v>148</v>
      </c>
      <c r="E36" s="52"/>
      <c r="F36" s="52"/>
      <c r="G36" s="52"/>
      <c r="H36" s="50" t="str">
        <f>IF(E36=F36+G36," ","ERROR")</f>
        <v> </v>
      </c>
    </row>
    <row r="37" spans="1:8" ht="12">
      <c r="A37" s="44">
        <v>22</v>
      </c>
      <c r="B37" s="47" t="s">
        <v>153</v>
      </c>
      <c r="E37" s="57">
        <f>E34+E35+E36</f>
        <v>-52</v>
      </c>
      <c r="F37" s="57">
        <f>F34+F35+F36</f>
        <v>-52</v>
      </c>
      <c r="G37" s="57">
        <f>G34+G35+G36</f>
        <v>0</v>
      </c>
      <c r="H37" s="50" t="str">
        <f>IF(E37=F37+G37," ","ERROR")</f>
        <v> </v>
      </c>
    </row>
    <row r="38" spans="1:8" ht="12">
      <c r="A38" s="44">
        <v>23</v>
      </c>
      <c r="B38" s="47" t="s">
        <v>101</v>
      </c>
      <c r="E38" s="58">
        <f>E21+E27+E29+E30+E31+E37</f>
        <v>-19856</v>
      </c>
      <c r="F38" s="58">
        <f>F21+F27+F29+F30+F31+F37</f>
        <v>-19856</v>
      </c>
      <c r="G38" s="58">
        <f>G21+G27+G29+G30+G31+G37</f>
        <v>0</v>
      </c>
      <c r="H38" s="50" t="str">
        <f>IF(E38=F38+G38," ","ERROR")</f>
        <v> </v>
      </c>
    </row>
    <row r="39" spans="5:8" ht="12">
      <c r="E39" s="55"/>
      <c r="F39" s="55"/>
      <c r="G39" s="55"/>
      <c r="H39" s="50"/>
    </row>
    <row r="40" spans="1:8" ht="12">
      <c r="A40" s="44">
        <v>24</v>
      </c>
      <c r="B40" s="47" t="s">
        <v>154</v>
      </c>
      <c r="E40" s="55">
        <f>E13-E38</f>
        <v>-7552</v>
      </c>
      <c r="F40" s="55">
        <f>F13-F38</f>
        <v>-7552</v>
      </c>
      <c r="G40" s="55">
        <f>G13-G38</f>
        <v>0</v>
      </c>
      <c r="H40" s="50" t="str">
        <f>IF(E40=F40+G40," ","ERROR")</f>
        <v> </v>
      </c>
    </row>
    <row r="41" spans="2:8" ht="12">
      <c r="B41" s="47"/>
      <c r="E41" s="55"/>
      <c r="F41" s="55"/>
      <c r="G41" s="55"/>
      <c r="H41" s="50"/>
    </row>
    <row r="42" spans="2:8" ht="12">
      <c r="B42" s="47" t="s">
        <v>155</v>
      </c>
      <c r="E42" s="55"/>
      <c r="F42" s="55"/>
      <c r="G42" s="55"/>
      <c r="H42" s="50"/>
    </row>
    <row r="43" spans="1:8" ht="12">
      <c r="A43" s="44">
        <v>25</v>
      </c>
      <c r="B43" s="47" t="s">
        <v>156</v>
      </c>
      <c r="D43" s="59">
        <v>0.35</v>
      </c>
      <c r="E43" s="52">
        <f>F43+G43</f>
        <v>-8266</v>
      </c>
      <c r="F43" s="52">
        <f>-9174+908</f>
        <v>-8266</v>
      </c>
      <c r="G43" s="52"/>
      <c r="H43" s="50" t="str">
        <f>IF(E43=F43+G43," ","ERROR")</f>
        <v> </v>
      </c>
    </row>
    <row r="44" spans="1:8" ht="12">
      <c r="A44" s="44">
        <v>26</v>
      </c>
      <c r="B44" s="47" t="s">
        <v>157</v>
      </c>
      <c r="E44" s="52">
        <f>F44+G44</f>
        <v>5623</v>
      </c>
      <c r="F44" s="52">
        <f>5500+123</f>
        <v>5623</v>
      </c>
      <c r="G44" s="52"/>
      <c r="H44" s="50" t="str">
        <f>IF(E44=F44+G44," ","ERROR")</f>
        <v> </v>
      </c>
    </row>
    <row r="45" spans="1:8" ht="12.75">
      <c r="A45"/>
      <c r="B45"/>
      <c r="C45"/>
      <c r="D45"/>
      <c r="E45" s="943"/>
      <c r="F45" s="943"/>
      <c r="G45" s="943"/>
      <c r="H45" s="50" t="str">
        <f>IF(E45=F45+G45," ","ERROR")</f>
        <v> </v>
      </c>
    </row>
    <row r="46" spans="1:8" ht="12">
      <c r="A46" s="278"/>
      <c r="B46" s="281"/>
      <c r="C46" s="275"/>
      <c r="D46" s="275"/>
      <c r="E46" s="288"/>
      <c r="F46" s="288"/>
      <c r="G46" s="288"/>
      <c r="H46" s="50"/>
    </row>
    <row r="47" spans="1:8" s="50" customFormat="1" ht="12">
      <c r="A47" s="282">
        <v>27</v>
      </c>
      <c r="B47" s="283" t="s">
        <v>108</v>
      </c>
      <c r="C47" s="284"/>
      <c r="D47" s="284"/>
      <c r="E47" s="292">
        <f>E40-SUM(E43:E44)</f>
        <v>-4909</v>
      </c>
      <c r="F47" s="292">
        <f>F40-SUM(F43:F44)</f>
        <v>-4909</v>
      </c>
      <c r="G47" s="292">
        <f>G40-SUM(G43:G44)</f>
        <v>0</v>
      </c>
      <c r="H47" s="50" t="str">
        <f>IF(E47=F47+G47," ","ERROR")</f>
        <v> </v>
      </c>
    </row>
    <row r="48" spans="1:8" ht="12">
      <c r="A48" s="278"/>
      <c r="H48" s="50"/>
    </row>
    <row r="49" spans="1:8" ht="12">
      <c r="A49" s="278"/>
      <c r="B49" s="47" t="s">
        <v>109</v>
      </c>
      <c r="H49" s="50"/>
    </row>
    <row r="50" spans="1:8" ht="12">
      <c r="A50" s="278"/>
      <c r="B50" s="47" t="s">
        <v>110</v>
      </c>
      <c r="H50" s="50"/>
    </row>
    <row r="51" spans="1:8" s="50" customFormat="1" ht="12">
      <c r="A51" s="282">
        <v>28</v>
      </c>
      <c r="B51" s="49" t="s">
        <v>159</v>
      </c>
      <c r="E51" s="51"/>
      <c r="F51" s="51"/>
      <c r="G51" s="51"/>
      <c r="H51" s="50" t="str">
        <f aca="true" t="shared" si="1" ref="H51:H61">IF(E51=F51+G51," ","ERROR")</f>
        <v> </v>
      </c>
    </row>
    <row r="52" spans="1:8" ht="12">
      <c r="A52" s="278">
        <v>29</v>
      </c>
      <c r="B52" s="47" t="s">
        <v>160</v>
      </c>
      <c r="E52" s="52"/>
      <c r="F52" s="52"/>
      <c r="G52" s="52"/>
      <c r="H52" s="50" t="str">
        <f t="shared" si="1"/>
        <v> </v>
      </c>
    </row>
    <row r="53" spans="1:8" ht="12">
      <c r="A53" s="278">
        <v>30</v>
      </c>
      <c r="B53" s="47" t="s">
        <v>161</v>
      </c>
      <c r="E53" s="52"/>
      <c r="F53" s="52"/>
      <c r="G53" s="52"/>
      <c r="H53" s="50" t="str">
        <f t="shared" si="1"/>
        <v> </v>
      </c>
    </row>
    <row r="54" spans="1:8" ht="12">
      <c r="A54" s="278">
        <v>31</v>
      </c>
      <c r="B54" s="47" t="s">
        <v>162</v>
      </c>
      <c r="E54" s="52"/>
      <c r="F54" s="52"/>
      <c r="G54" s="52"/>
      <c r="H54" s="50" t="str">
        <f t="shared" si="1"/>
        <v> </v>
      </c>
    </row>
    <row r="55" spans="1:8" ht="12">
      <c r="A55" s="278">
        <v>32</v>
      </c>
      <c r="B55" s="47" t="s">
        <v>163</v>
      </c>
      <c r="E55" s="56"/>
      <c r="F55" s="56"/>
      <c r="G55" s="56"/>
      <c r="H55" s="50" t="str">
        <f t="shared" si="1"/>
        <v> </v>
      </c>
    </row>
    <row r="56" spans="1:8" ht="12">
      <c r="A56" s="278">
        <v>33</v>
      </c>
      <c r="B56" s="47" t="s">
        <v>164</v>
      </c>
      <c r="E56" s="55">
        <f>E51+E52+E53+E54+E55</f>
        <v>0</v>
      </c>
      <c r="F56" s="55">
        <f>F51+F52+F53+F54+F55</f>
        <v>0</v>
      </c>
      <c r="G56" s="55">
        <f>G51+G52+G53+G54+G55</f>
        <v>0</v>
      </c>
      <c r="H56" s="50" t="str">
        <f t="shared" si="1"/>
        <v> </v>
      </c>
    </row>
    <row r="57" spans="1:8" ht="12">
      <c r="A57" s="278">
        <v>34</v>
      </c>
      <c r="B57" s="47" t="s">
        <v>116</v>
      </c>
      <c r="E57" s="52"/>
      <c r="F57" s="52"/>
      <c r="G57" s="52"/>
      <c r="H57" s="50" t="str">
        <f t="shared" si="1"/>
        <v> </v>
      </c>
    </row>
    <row r="58" spans="1:8" ht="12">
      <c r="A58" s="278">
        <v>35</v>
      </c>
      <c r="B58" s="47" t="s">
        <v>117</v>
      </c>
      <c r="E58" s="56"/>
      <c r="F58" s="56"/>
      <c r="G58" s="56"/>
      <c r="H58" s="50" t="str">
        <f t="shared" si="1"/>
        <v> </v>
      </c>
    </row>
    <row r="59" spans="1:8" ht="12">
      <c r="A59" s="278">
        <v>36</v>
      </c>
      <c r="B59" s="47" t="s">
        <v>165</v>
      </c>
      <c r="E59" s="55">
        <f>E57+E58</f>
        <v>0</v>
      </c>
      <c r="F59" s="55">
        <f>F57+F58</f>
        <v>0</v>
      </c>
      <c r="G59" s="55">
        <f>G57+G58</f>
        <v>0</v>
      </c>
      <c r="H59" s="50" t="str">
        <f t="shared" si="1"/>
        <v> </v>
      </c>
    </row>
    <row r="60" spans="1:8" ht="12">
      <c r="A60" s="278">
        <v>37</v>
      </c>
      <c r="B60" s="47" t="s">
        <v>119</v>
      </c>
      <c r="E60" s="52"/>
      <c r="F60" s="52"/>
      <c r="G60" s="52"/>
      <c r="H60" s="50" t="str">
        <f t="shared" si="1"/>
        <v> </v>
      </c>
    </row>
    <row r="61" spans="1:8" ht="12">
      <c r="A61" s="278">
        <v>38</v>
      </c>
      <c r="B61" s="47" t="s">
        <v>120</v>
      </c>
      <c r="E61" s="56"/>
      <c r="F61" s="56"/>
      <c r="G61" s="56"/>
      <c r="H61" s="50" t="str">
        <f t="shared" si="1"/>
        <v> </v>
      </c>
    </row>
    <row r="62" spans="1:8" ht="9" customHeight="1">
      <c r="A62" s="278"/>
      <c r="H62" s="50"/>
    </row>
    <row r="63" spans="1:8" s="50" customFormat="1" ht="12.75" thickBot="1">
      <c r="A63" s="282">
        <v>39</v>
      </c>
      <c r="B63" s="49" t="s">
        <v>121</v>
      </c>
      <c r="E63" s="60">
        <f>E56-E59+E60+E61</f>
        <v>0</v>
      </c>
      <c r="F63" s="60">
        <f>F56-F59+F60+F61</f>
        <v>0</v>
      </c>
      <c r="G63" s="60">
        <f>G56-G59+G60+G61</f>
        <v>0</v>
      </c>
      <c r="H63" s="50" t="str">
        <f>IF(E63=F63+G63," ","ERROR")</f>
        <v> </v>
      </c>
    </row>
    <row r="64" ht="12.75" thickTop="1"/>
  </sheetData>
  <printOptions/>
  <pageMargins left="1" right="0.75" top="0.75" bottom="0.5" header="0.5" footer="0.5"/>
  <pageSetup horizontalDpi="300" verticalDpi="300" orientation="portrait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37">
      <selection activeCell="D70" sqref="D70"/>
    </sheetView>
  </sheetViews>
  <sheetFormatPr defaultColWidth="9.140625" defaultRowHeight="12.75"/>
  <cols>
    <col min="1" max="1" width="5.57421875" style="384" customWidth="1"/>
    <col min="2" max="2" width="26.140625" style="383" customWidth="1"/>
    <col min="3" max="3" width="12.421875" style="383" customWidth="1"/>
    <col min="4" max="4" width="6.7109375" style="383" customWidth="1"/>
    <col min="5" max="16384" width="12.421875" style="383" customWidth="1"/>
  </cols>
  <sheetData>
    <row r="1" spans="1:3" ht="12">
      <c r="A1" s="381" t="str">
        <f>Inputs!$D$6</f>
        <v>AVISTA UTILITIES</v>
      </c>
      <c r="B1" s="382"/>
      <c r="C1" s="381"/>
    </row>
    <row r="2" spans="1:7" ht="12">
      <c r="A2" s="381" t="s">
        <v>134</v>
      </c>
      <c r="B2" s="382"/>
      <c r="C2" s="381"/>
      <c r="E2" s="381"/>
      <c r="F2" s="384" t="s">
        <v>261</v>
      </c>
      <c r="G2" s="381"/>
    </row>
    <row r="3" spans="1:7" ht="12">
      <c r="A3" s="382" t="str">
        <f>WAElec12_04!$A$4</f>
        <v>TWELVE MONTHS ENDED DECEMBER 31, 2004</v>
      </c>
      <c r="B3" s="382"/>
      <c r="C3" s="381"/>
      <c r="E3" s="381"/>
      <c r="F3" s="384" t="s">
        <v>255</v>
      </c>
      <c r="G3" s="381"/>
    </row>
    <row r="4" spans="1:7" ht="12">
      <c r="A4" s="381" t="s">
        <v>1</v>
      </c>
      <c r="B4" s="382"/>
      <c r="C4" s="381"/>
      <c r="E4" s="385"/>
      <c r="F4" s="386" t="s">
        <v>137</v>
      </c>
      <c r="G4" s="387"/>
    </row>
    <row r="5" ht="12">
      <c r="A5" s="384" t="s">
        <v>13</v>
      </c>
    </row>
    <row r="6" spans="1:8" s="384" customFormat="1" ht="12">
      <c r="A6" s="384" t="s">
        <v>138</v>
      </c>
      <c r="B6" s="388" t="s">
        <v>34</v>
      </c>
      <c r="C6" s="388"/>
      <c r="E6" s="388" t="s">
        <v>139</v>
      </c>
      <c r="F6" s="388" t="s">
        <v>140</v>
      </c>
      <c r="G6" s="388" t="s">
        <v>123</v>
      </c>
      <c r="H6" s="389" t="s">
        <v>141</v>
      </c>
    </row>
    <row r="7" ht="12">
      <c r="B7" s="390" t="s">
        <v>80</v>
      </c>
    </row>
    <row r="8" spans="1:8" s="393" customFormat="1" ht="12">
      <c r="A8" s="391">
        <v>1</v>
      </c>
      <c r="B8" s="392" t="s">
        <v>81</v>
      </c>
      <c r="E8" s="394">
        <f>F8+G8</f>
        <v>0</v>
      </c>
      <c r="F8" s="394"/>
      <c r="G8" s="394"/>
      <c r="H8" s="393" t="str">
        <f aca="true" t="shared" si="0" ref="H8:H13">IF(E8=F8+G8," ","ERROR")</f>
        <v> </v>
      </c>
    </row>
    <row r="9" spans="1:8" ht="12">
      <c r="A9" s="384">
        <v>2</v>
      </c>
      <c r="B9" s="390" t="s">
        <v>82</v>
      </c>
      <c r="E9" s="395"/>
      <c r="F9" s="395"/>
      <c r="G9" s="395"/>
      <c r="H9" s="393" t="str">
        <f t="shared" si="0"/>
        <v> </v>
      </c>
    </row>
    <row r="10" spans="1:8" ht="12">
      <c r="A10" s="384">
        <v>3</v>
      </c>
      <c r="B10" s="390" t="s">
        <v>142</v>
      </c>
      <c r="E10" s="395">
        <f>F10+G10</f>
        <v>0</v>
      </c>
      <c r="F10" s="395"/>
      <c r="G10" s="395"/>
      <c r="H10" s="393" t="str">
        <f t="shared" si="0"/>
        <v> </v>
      </c>
    </row>
    <row r="11" spans="1:8" ht="12">
      <c r="A11" s="384">
        <v>4</v>
      </c>
      <c r="B11" s="390" t="s">
        <v>143</v>
      </c>
      <c r="E11" s="396">
        <f>E8+E9+E10</f>
        <v>0</v>
      </c>
      <c r="F11" s="396">
        <f>F8+F9+F10</f>
        <v>0</v>
      </c>
      <c r="G11" s="396">
        <f>G8+G9+G10</f>
        <v>0</v>
      </c>
      <c r="H11" s="393" t="str">
        <f t="shared" si="0"/>
        <v> </v>
      </c>
    </row>
    <row r="12" spans="1:8" ht="12">
      <c r="A12" s="384">
        <v>5</v>
      </c>
      <c r="B12" s="390" t="s">
        <v>85</v>
      </c>
      <c r="E12" s="395"/>
      <c r="F12" s="395"/>
      <c r="G12" s="395"/>
      <c r="H12" s="393" t="str">
        <f t="shared" si="0"/>
        <v> </v>
      </c>
    </row>
    <row r="13" spans="1:8" ht="12">
      <c r="A13" s="384">
        <v>6</v>
      </c>
      <c r="B13" s="390" t="s">
        <v>144</v>
      </c>
      <c r="E13" s="396">
        <f>E11+E12</f>
        <v>0</v>
      </c>
      <c r="F13" s="396">
        <f>F11+F12</f>
        <v>0</v>
      </c>
      <c r="G13" s="396">
        <f>G11+G12</f>
        <v>0</v>
      </c>
      <c r="H13" s="393" t="str">
        <f t="shared" si="0"/>
        <v> </v>
      </c>
    </row>
    <row r="14" spans="5:8" ht="12">
      <c r="E14" s="397"/>
      <c r="F14" s="397"/>
      <c r="G14" s="397"/>
      <c r="H14" s="393"/>
    </row>
    <row r="15" spans="2:8" ht="12">
      <c r="B15" s="390" t="s">
        <v>87</v>
      </c>
      <c r="E15" s="397"/>
      <c r="F15" s="397"/>
      <c r="G15" s="397"/>
      <c r="H15" s="393"/>
    </row>
    <row r="16" spans="2:8" ht="12">
      <c r="B16" s="390" t="s">
        <v>88</v>
      </c>
      <c r="E16" s="397"/>
      <c r="F16" s="397"/>
      <c r="G16" s="397"/>
      <c r="H16" s="393"/>
    </row>
    <row r="17" spans="1:8" ht="12">
      <c r="A17" s="384">
        <v>7</v>
      </c>
      <c r="B17" s="390" t="s">
        <v>145</v>
      </c>
      <c r="E17" s="395">
        <f>F17+G17</f>
        <v>-4</v>
      </c>
      <c r="F17" s="395">
        <v>13</v>
      </c>
      <c r="G17" s="395">
        <v>-17</v>
      </c>
      <c r="H17" s="393" t="str">
        <f>IF(E17=F17+G17," ","ERROR")</f>
        <v> </v>
      </c>
    </row>
    <row r="18" spans="1:8" ht="12">
      <c r="A18" s="384">
        <v>8</v>
      </c>
      <c r="B18" s="390" t="s">
        <v>146</v>
      </c>
      <c r="E18" s="395"/>
      <c r="F18" s="395"/>
      <c r="G18" s="395"/>
      <c r="H18" s="393" t="str">
        <f>IF(E18=F18+G18," ","ERROR")</f>
        <v> </v>
      </c>
    </row>
    <row r="19" spans="1:8" ht="12">
      <c r="A19" s="384">
        <v>9</v>
      </c>
      <c r="B19" s="390" t="s">
        <v>147</v>
      </c>
      <c r="E19" s="395"/>
      <c r="F19" s="395"/>
      <c r="G19" s="395"/>
      <c r="H19" s="393" t="str">
        <f>IF(E19=F19+G19," ","ERROR")</f>
        <v> </v>
      </c>
    </row>
    <row r="20" spans="1:8" ht="12">
      <c r="A20" s="384">
        <v>10</v>
      </c>
      <c r="B20" s="390" t="s">
        <v>148</v>
      </c>
      <c r="E20" s="395"/>
      <c r="F20" s="395"/>
      <c r="G20" s="395"/>
      <c r="H20" s="393" t="str">
        <f>IF(E20=F20+G20," ","ERROR")</f>
        <v> </v>
      </c>
    </row>
    <row r="21" spans="1:8" ht="12">
      <c r="A21" s="384">
        <v>11</v>
      </c>
      <c r="B21" s="390" t="s">
        <v>149</v>
      </c>
      <c r="E21" s="396">
        <f>E17+E18+E19+E20</f>
        <v>-4</v>
      </c>
      <c r="F21" s="396">
        <f>F17+F18+F19+F20</f>
        <v>13</v>
      </c>
      <c r="G21" s="396">
        <f>G17+G18+G19+G20</f>
        <v>-17</v>
      </c>
      <c r="H21" s="393" t="str">
        <f>IF(E21=F21+G21," ","ERROR")</f>
        <v> </v>
      </c>
    </row>
    <row r="22" spans="5:8" ht="12">
      <c r="E22" s="397"/>
      <c r="F22" s="397"/>
      <c r="G22" s="397"/>
      <c r="H22" s="393"/>
    </row>
    <row r="23" spans="2:8" ht="12">
      <c r="B23" s="390" t="s">
        <v>93</v>
      </c>
      <c r="E23" s="397"/>
      <c r="F23" s="397"/>
      <c r="G23" s="397"/>
      <c r="H23" s="393"/>
    </row>
    <row r="24" spans="1:8" ht="12">
      <c r="A24" s="384">
        <v>12</v>
      </c>
      <c r="B24" s="390" t="s">
        <v>145</v>
      </c>
      <c r="E24" s="395"/>
      <c r="F24" s="395"/>
      <c r="G24" s="395"/>
      <c r="H24" s="393" t="str">
        <f>IF(E24=F24+G24," ","ERROR")</f>
        <v> </v>
      </c>
    </row>
    <row r="25" spans="1:8" ht="12">
      <c r="A25" s="384">
        <v>13</v>
      </c>
      <c r="B25" s="390" t="s">
        <v>150</v>
      </c>
      <c r="E25" s="395"/>
      <c r="F25" s="395"/>
      <c r="G25" s="395"/>
      <c r="H25" s="393" t="str">
        <f>IF(E25=F25+G25," ","ERROR")</f>
        <v> </v>
      </c>
    </row>
    <row r="26" spans="1:8" ht="12">
      <c r="A26" s="384">
        <v>14</v>
      </c>
      <c r="B26" s="390" t="s">
        <v>148</v>
      </c>
      <c r="E26" s="395">
        <f>F26+G26</f>
        <v>0</v>
      </c>
      <c r="F26" s="395"/>
      <c r="G26" s="398">
        <f>F109</f>
        <v>0</v>
      </c>
      <c r="H26" s="393" t="str">
        <f>IF(E26=F26+G26," ","ERROR")</f>
        <v> </v>
      </c>
    </row>
    <row r="27" spans="1:8" ht="12">
      <c r="A27" s="384">
        <v>15</v>
      </c>
      <c r="B27" s="390" t="s">
        <v>151</v>
      </c>
      <c r="E27" s="396">
        <f>E24+E25+E26</f>
        <v>0</v>
      </c>
      <c r="F27" s="396">
        <f>F24+F25+F26</f>
        <v>0</v>
      </c>
      <c r="G27" s="396">
        <f>G24+G25+G26</f>
        <v>0</v>
      </c>
      <c r="H27" s="393" t="str">
        <f>IF(E27=F27+G27," ","ERROR")</f>
        <v> </v>
      </c>
    </row>
    <row r="28" spans="5:8" ht="12">
      <c r="E28" s="397"/>
      <c r="F28" s="397"/>
      <c r="G28" s="397"/>
      <c r="H28" s="393"/>
    </row>
    <row r="29" spans="1:8" ht="12">
      <c r="A29" s="384">
        <v>16</v>
      </c>
      <c r="B29" s="390" t="s">
        <v>96</v>
      </c>
      <c r="E29" s="395"/>
      <c r="F29" s="395"/>
      <c r="G29" s="395"/>
      <c r="H29" s="393" t="str">
        <f>IF(E29=F29+G29," ","ERROR")</f>
        <v> </v>
      </c>
    </row>
    <row r="30" spans="1:8" ht="12">
      <c r="A30" s="384">
        <v>17</v>
      </c>
      <c r="B30" s="390" t="s">
        <v>97</v>
      </c>
      <c r="E30" s="395"/>
      <c r="F30" s="395"/>
      <c r="G30" s="395"/>
      <c r="H30" s="393" t="str">
        <f>IF(E30=F30+G30," ","ERROR")</f>
        <v> </v>
      </c>
    </row>
    <row r="31" spans="1:8" ht="12">
      <c r="A31" s="384">
        <v>18</v>
      </c>
      <c r="B31" s="390" t="s">
        <v>152</v>
      </c>
      <c r="E31" s="395"/>
      <c r="F31" s="395"/>
      <c r="G31" s="395"/>
      <c r="H31" s="393" t="str">
        <f>IF(E31=F31+G31," ","ERROR")</f>
        <v> </v>
      </c>
    </row>
    <row r="32" spans="5:8" ht="12">
      <c r="E32" s="397"/>
      <c r="F32" s="397"/>
      <c r="G32" s="397"/>
      <c r="H32" s="393"/>
    </row>
    <row r="33" spans="2:8" ht="12">
      <c r="B33" s="390" t="s">
        <v>99</v>
      </c>
      <c r="E33" s="397"/>
      <c r="F33" s="397"/>
      <c r="G33" s="397"/>
      <c r="H33" s="393"/>
    </row>
    <row r="34" spans="1:8" ht="12">
      <c r="A34" s="384">
        <v>19</v>
      </c>
      <c r="B34" s="390" t="s">
        <v>145</v>
      </c>
      <c r="E34" s="395"/>
      <c r="F34" s="397"/>
      <c r="G34" s="397"/>
      <c r="H34" s="393" t="str">
        <f>IF(E34=F34+G34," ","ERROR")</f>
        <v> </v>
      </c>
    </row>
    <row r="35" spans="1:8" ht="12">
      <c r="A35" s="384">
        <v>20</v>
      </c>
      <c r="B35" s="390" t="s">
        <v>150</v>
      </c>
      <c r="E35" s="395"/>
      <c r="F35" s="395"/>
      <c r="G35" s="395"/>
      <c r="H35" s="393" t="str">
        <f>IF(E35=F35+G35," ","ERROR")</f>
        <v> </v>
      </c>
    </row>
    <row r="36" spans="1:8" ht="12">
      <c r="A36" s="384">
        <v>21</v>
      </c>
      <c r="B36" s="390" t="s">
        <v>148</v>
      </c>
      <c r="E36" s="395"/>
      <c r="F36" s="395"/>
      <c r="G36" s="395"/>
      <c r="H36" s="393" t="str">
        <f>IF(E36=F36+G36," ","ERROR")</f>
        <v> </v>
      </c>
    </row>
    <row r="37" spans="1:8" ht="12">
      <c r="A37" s="384">
        <v>22</v>
      </c>
      <c r="B37" s="390" t="s">
        <v>153</v>
      </c>
      <c r="E37" s="399">
        <f>E34+E35+E36</f>
        <v>0</v>
      </c>
      <c r="F37" s="399">
        <f>F34+F35+F36</f>
        <v>0</v>
      </c>
      <c r="G37" s="399">
        <f>G34+G35+G36</f>
        <v>0</v>
      </c>
      <c r="H37" s="393" t="str">
        <f>IF(E37=F37+G37," ","ERROR")</f>
        <v> </v>
      </c>
    </row>
    <row r="38" spans="1:8" ht="12">
      <c r="A38" s="384">
        <v>23</v>
      </c>
      <c r="B38" s="390" t="s">
        <v>101</v>
      </c>
      <c r="E38" s="400">
        <f>E21+E27+E29+E30+E31+E37</f>
        <v>-4</v>
      </c>
      <c r="F38" s="400">
        <f>F21+F27+F29+F30+F31+F37</f>
        <v>13</v>
      </c>
      <c r="G38" s="400">
        <f>G21+G27+G29+G30+G31+G37</f>
        <v>-17</v>
      </c>
      <c r="H38" s="393" t="str">
        <f>IF(E38=F38+G38," ","ERROR")</f>
        <v> </v>
      </c>
    </row>
    <row r="39" spans="5:8" ht="12">
      <c r="E39" s="397"/>
      <c r="F39" s="397"/>
      <c r="G39" s="397"/>
      <c r="H39" s="393"/>
    </row>
    <row r="40" spans="1:8" ht="12">
      <c r="A40" s="384">
        <v>24</v>
      </c>
      <c r="B40" s="390" t="s">
        <v>154</v>
      </c>
      <c r="E40" s="397">
        <f>E13-E38</f>
        <v>4</v>
      </c>
      <c r="F40" s="397">
        <f>F13-F38</f>
        <v>-13</v>
      </c>
      <c r="G40" s="397">
        <f>G13-G38</f>
        <v>17</v>
      </c>
      <c r="H40" s="393" t="str">
        <f>IF(E40=F40+G40," ","ERROR")</f>
        <v> </v>
      </c>
    </row>
    <row r="41" spans="2:8" ht="12">
      <c r="B41" s="390"/>
      <c r="E41" s="397"/>
      <c r="F41" s="397"/>
      <c r="G41" s="397"/>
      <c r="H41" s="393"/>
    </row>
    <row r="42" spans="2:8" ht="12">
      <c r="B42" s="390" t="s">
        <v>155</v>
      </c>
      <c r="E42" s="397"/>
      <c r="F42" s="397"/>
      <c r="G42" s="397"/>
      <c r="H42" s="393"/>
    </row>
    <row r="43" spans="1:8" ht="12">
      <c r="A43" s="384">
        <v>25</v>
      </c>
      <c r="B43" s="390" t="s">
        <v>156</v>
      </c>
      <c r="D43" s="401">
        <v>0.35</v>
      </c>
      <c r="E43" s="395">
        <f>F43+G43</f>
        <v>1</v>
      </c>
      <c r="F43" s="395">
        <f>ROUND(F40*D43,0)</f>
        <v>-5</v>
      </c>
      <c r="G43" s="395">
        <f>ROUND(G40*D43,0)</f>
        <v>6</v>
      </c>
      <c r="H43" s="393" t="str">
        <f>IF(E43=F43+G43," ","ERROR")</f>
        <v> </v>
      </c>
    </row>
    <row r="44" spans="1:8" ht="12">
      <c r="A44" s="384">
        <v>26</v>
      </c>
      <c r="B44" s="390" t="s">
        <v>157</v>
      </c>
      <c r="E44" s="395"/>
      <c r="F44" s="395"/>
      <c r="G44" s="395"/>
      <c r="H44" s="393" t="str">
        <f>IF(E44=F44+G44," ","ERROR")</f>
        <v> </v>
      </c>
    </row>
    <row r="45" spans="1:8" ht="12.75">
      <c r="A45"/>
      <c r="B45"/>
      <c r="C45"/>
      <c r="D45"/>
      <c r="E45" s="943"/>
      <c r="F45" s="943"/>
      <c r="G45" s="943"/>
      <c r="H45" s="393" t="str">
        <f>IF(E45=F45+G45," ","ERROR")</f>
        <v> </v>
      </c>
    </row>
    <row r="46" spans="1:8" ht="12">
      <c r="A46" s="278"/>
      <c r="B46" s="281"/>
      <c r="C46" s="275"/>
      <c r="D46" s="275"/>
      <c r="E46" s="288"/>
      <c r="F46" s="288"/>
      <c r="G46" s="288"/>
      <c r="H46" s="393"/>
    </row>
    <row r="47" spans="1:8" s="393" customFormat="1" ht="12">
      <c r="A47" s="282">
        <v>27</v>
      </c>
      <c r="B47" s="283" t="s">
        <v>108</v>
      </c>
      <c r="C47" s="284"/>
      <c r="D47" s="284"/>
      <c r="E47" s="292">
        <f>E40-SUM(E43:E44)</f>
        <v>3</v>
      </c>
      <c r="F47" s="292">
        <f>F40-SUM(F43:F44)</f>
        <v>-8</v>
      </c>
      <c r="G47" s="292">
        <f>G40-SUM(G43:G44)</f>
        <v>11</v>
      </c>
      <c r="H47" s="393" t="str">
        <f>IF(E47=F47+G47," ","ERROR")</f>
        <v> </v>
      </c>
    </row>
    <row r="48" spans="1:8" ht="12">
      <c r="A48" s="278"/>
      <c r="H48" s="393"/>
    </row>
    <row r="49" spans="1:8" ht="12">
      <c r="A49" s="278"/>
      <c r="B49" s="390" t="s">
        <v>109</v>
      </c>
      <c r="H49" s="393"/>
    </row>
    <row r="50" spans="1:8" ht="12">
      <c r="A50" s="278"/>
      <c r="B50" s="390" t="s">
        <v>110</v>
      </c>
      <c r="H50" s="393"/>
    </row>
    <row r="51" spans="1:8" s="393" customFormat="1" ht="12">
      <c r="A51" s="282">
        <v>28</v>
      </c>
      <c r="B51" s="392" t="s">
        <v>159</v>
      </c>
      <c r="E51" s="394"/>
      <c r="F51" s="394"/>
      <c r="G51" s="394"/>
      <c r="H51" s="393" t="str">
        <f aca="true" t="shared" si="1" ref="H51:H61">IF(E51=F51+G51," ","ERROR")</f>
        <v> </v>
      </c>
    </row>
    <row r="52" spans="1:8" ht="12">
      <c r="A52" s="278">
        <v>29</v>
      </c>
      <c r="B52" s="390" t="s">
        <v>160</v>
      </c>
      <c r="E52" s="395"/>
      <c r="F52" s="395"/>
      <c r="G52" s="395"/>
      <c r="H52" s="393" t="str">
        <f t="shared" si="1"/>
        <v> </v>
      </c>
    </row>
    <row r="53" spans="1:8" ht="12">
      <c r="A53" s="278">
        <v>30</v>
      </c>
      <c r="B53" s="390" t="s">
        <v>161</v>
      </c>
      <c r="E53" s="395"/>
      <c r="F53" s="395"/>
      <c r="G53" s="395"/>
      <c r="H53" s="393" t="str">
        <f t="shared" si="1"/>
        <v> </v>
      </c>
    </row>
    <row r="54" spans="1:8" ht="12">
      <c r="A54" s="278">
        <v>31</v>
      </c>
      <c r="B54" s="390" t="s">
        <v>162</v>
      </c>
      <c r="E54" s="395"/>
      <c r="F54" s="395"/>
      <c r="G54" s="395"/>
      <c r="H54" s="393" t="str">
        <f t="shared" si="1"/>
        <v> </v>
      </c>
    </row>
    <row r="55" spans="1:8" ht="12">
      <c r="A55" s="278">
        <v>32</v>
      </c>
      <c r="B55" s="390" t="s">
        <v>163</v>
      </c>
      <c r="E55" s="402"/>
      <c r="F55" s="402"/>
      <c r="G55" s="402"/>
      <c r="H55" s="393" t="str">
        <f t="shared" si="1"/>
        <v> </v>
      </c>
    </row>
    <row r="56" spans="1:8" ht="12">
      <c r="A56" s="278">
        <v>33</v>
      </c>
      <c r="B56" s="390" t="s">
        <v>164</v>
      </c>
      <c r="E56" s="397">
        <f>E51+E52+E53+E54+E55</f>
        <v>0</v>
      </c>
      <c r="F56" s="397">
        <f>F51+F52+F53+F54+F55</f>
        <v>0</v>
      </c>
      <c r="G56" s="397">
        <f>G51+G52+G53+G54+G55</f>
        <v>0</v>
      </c>
      <c r="H56" s="393" t="str">
        <f t="shared" si="1"/>
        <v> </v>
      </c>
    </row>
    <row r="57" spans="1:8" ht="12">
      <c r="A57" s="278">
        <v>34</v>
      </c>
      <c r="B57" s="390" t="s">
        <v>116</v>
      </c>
      <c r="E57" s="395"/>
      <c r="F57" s="395"/>
      <c r="G57" s="395"/>
      <c r="H57" s="393" t="str">
        <f t="shared" si="1"/>
        <v> </v>
      </c>
    </row>
    <row r="58" spans="1:8" ht="12">
      <c r="A58" s="278">
        <v>35</v>
      </c>
      <c r="B58" s="390" t="s">
        <v>117</v>
      </c>
      <c r="E58" s="402"/>
      <c r="F58" s="402"/>
      <c r="G58" s="402"/>
      <c r="H58" s="393" t="str">
        <f t="shared" si="1"/>
        <v> </v>
      </c>
    </row>
    <row r="59" spans="1:8" ht="12">
      <c r="A59" s="278">
        <v>36</v>
      </c>
      <c r="B59" s="390" t="s">
        <v>165</v>
      </c>
      <c r="E59" s="397">
        <f>E57+E58</f>
        <v>0</v>
      </c>
      <c r="F59" s="397">
        <f>F57+F58</f>
        <v>0</v>
      </c>
      <c r="G59" s="397">
        <f>G57+G58</f>
        <v>0</v>
      </c>
      <c r="H59" s="393" t="str">
        <f t="shared" si="1"/>
        <v> </v>
      </c>
    </row>
    <row r="60" spans="1:8" ht="12">
      <c r="A60" s="278">
        <v>37</v>
      </c>
      <c r="B60" s="390" t="s">
        <v>119</v>
      </c>
      <c r="E60" s="395"/>
      <c r="F60" s="395"/>
      <c r="G60" s="395"/>
      <c r="H60" s="393" t="str">
        <f t="shared" si="1"/>
        <v> </v>
      </c>
    </row>
    <row r="61" spans="1:8" ht="12">
      <c r="A61" s="278">
        <v>38</v>
      </c>
      <c r="B61" s="390" t="s">
        <v>120</v>
      </c>
      <c r="E61" s="402"/>
      <c r="F61" s="402"/>
      <c r="G61" s="402"/>
      <c r="H61" s="393" t="str">
        <f t="shared" si="1"/>
        <v> </v>
      </c>
    </row>
    <row r="62" spans="1:8" ht="9" customHeight="1">
      <c r="A62" s="278"/>
      <c r="H62" s="393"/>
    </row>
    <row r="63" spans="1:8" s="393" customFormat="1" ht="12.75" thickBot="1">
      <c r="A63" s="282">
        <v>39</v>
      </c>
      <c r="B63" s="392" t="s">
        <v>121</v>
      </c>
      <c r="E63" s="403">
        <f>E56-E59+E60+E61</f>
        <v>0</v>
      </c>
      <c r="F63" s="403">
        <f>F56-F59+F60+F61</f>
        <v>0</v>
      </c>
      <c r="G63" s="403">
        <f>G56-G59+G60+G61</f>
        <v>0</v>
      </c>
      <c r="H63" s="393" t="str">
        <f>IF(E63=F63+G63," ","ERROR")</f>
        <v> </v>
      </c>
    </row>
    <row r="64" ht="12.75" thickTop="1"/>
    <row r="65" spans="1:8" ht="12">
      <c r="A65" s="382" t="str">
        <f>Inputs!$D$6</f>
        <v>AVISTA UTILITIES</v>
      </c>
      <c r="B65" s="382"/>
      <c r="C65" s="382"/>
      <c r="D65" s="404"/>
      <c r="E65" s="405"/>
      <c r="F65" s="404"/>
      <c r="G65" s="406"/>
      <c r="H65" s="405"/>
    </row>
    <row r="66" spans="1:8" ht="12">
      <c r="A66" s="382" t="s">
        <v>218</v>
      </c>
      <c r="B66" s="382"/>
      <c r="C66" s="382"/>
      <c r="D66" s="404"/>
      <c r="E66" s="405"/>
      <c r="F66" s="404"/>
      <c r="G66" s="406"/>
      <c r="H66" s="405"/>
    </row>
    <row r="67" spans="1:8" ht="12">
      <c r="A67" s="382" t="str">
        <f>A3</f>
        <v>TWELVE MONTHS ENDED DECEMBER 31, 2004</v>
      </c>
      <c r="B67" s="382"/>
      <c r="C67" s="382"/>
      <c r="D67" s="404"/>
      <c r="E67" s="405"/>
      <c r="F67" s="407" t="str">
        <f>F2</f>
        <v>NEZ PERCE SETTLEMENT</v>
      </c>
      <c r="G67" s="404"/>
      <c r="H67" s="405"/>
    </row>
    <row r="68" spans="1:8" ht="12">
      <c r="A68" s="382" t="s">
        <v>219</v>
      </c>
      <c r="B68" s="382"/>
      <c r="C68" s="382"/>
      <c r="D68" s="404"/>
      <c r="E68" s="405"/>
      <c r="F68" s="407" t="str">
        <f>F3</f>
        <v>ACCOUNTING ADJUSTMENT</v>
      </c>
      <c r="G68" s="404"/>
      <c r="H68" s="405"/>
    </row>
    <row r="69" spans="2:8" ht="12">
      <c r="B69" s="404"/>
      <c r="C69" s="404"/>
      <c r="D69" s="404"/>
      <c r="E69" s="408"/>
      <c r="F69" s="409" t="str">
        <f>F4</f>
        <v>ELECTRIC</v>
      </c>
      <c r="G69" s="404"/>
      <c r="H69" s="410"/>
    </row>
    <row r="70" spans="2:8" ht="12">
      <c r="B70" s="404"/>
      <c r="C70" s="404"/>
      <c r="D70" s="404"/>
      <c r="E70" s="405"/>
      <c r="F70" s="407"/>
      <c r="G70" s="411"/>
      <c r="H70" s="405"/>
    </row>
    <row r="71" spans="2:8" ht="12">
      <c r="B71" s="412" t="s">
        <v>128</v>
      </c>
      <c r="C71" s="413"/>
      <c r="D71" s="404"/>
      <c r="E71" s="405"/>
      <c r="F71" s="409" t="s">
        <v>123</v>
      </c>
      <c r="G71" s="404"/>
      <c r="H71" s="405"/>
    </row>
    <row r="72" spans="2:8" ht="12">
      <c r="B72" s="390" t="s">
        <v>80</v>
      </c>
      <c r="C72" s="404"/>
      <c r="D72" s="404"/>
      <c r="E72" s="404"/>
      <c r="F72" s="406"/>
      <c r="G72" s="404"/>
      <c r="H72" s="404"/>
    </row>
    <row r="73" spans="2:8" ht="12">
      <c r="B73" s="392" t="s">
        <v>81</v>
      </c>
      <c r="C73" s="404"/>
      <c r="D73" s="404"/>
      <c r="E73" s="404"/>
      <c r="F73" s="414">
        <f>G8</f>
        <v>0</v>
      </c>
      <c r="G73" s="404"/>
      <c r="H73" s="404"/>
    </row>
    <row r="74" spans="2:8" ht="12">
      <c r="B74" s="390" t="s">
        <v>82</v>
      </c>
      <c r="C74" s="404"/>
      <c r="D74" s="404"/>
      <c r="E74" s="404"/>
      <c r="F74" s="397">
        <f>G9</f>
        <v>0</v>
      </c>
      <c r="G74" s="404"/>
      <c r="H74" s="404"/>
    </row>
    <row r="75" spans="2:8" ht="12">
      <c r="B75" s="390" t="s">
        <v>142</v>
      </c>
      <c r="C75" s="404"/>
      <c r="D75" s="404"/>
      <c r="E75" s="404"/>
      <c r="F75" s="400">
        <f>G10</f>
        <v>0</v>
      </c>
      <c r="G75" s="404"/>
      <c r="H75" s="404"/>
    </row>
    <row r="76" spans="2:8" ht="12">
      <c r="B76" s="390" t="s">
        <v>143</v>
      </c>
      <c r="C76" s="404"/>
      <c r="D76" s="404"/>
      <c r="E76" s="404"/>
      <c r="F76" s="397">
        <f>SUM(F73:F75)</f>
        <v>0</v>
      </c>
      <c r="G76" s="404"/>
      <c r="H76" s="404"/>
    </row>
    <row r="77" spans="2:8" ht="12">
      <c r="B77" s="390" t="s">
        <v>85</v>
      </c>
      <c r="C77" s="404"/>
      <c r="D77" s="404"/>
      <c r="E77" s="404"/>
      <c r="F77" s="400">
        <f>G12</f>
        <v>0</v>
      </c>
      <c r="G77" s="404"/>
      <c r="H77" s="404"/>
    </row>
    <row r="78" spans="2:8" ht="12">
      <c r="B78" s="390" t="s">
        <v>144</v>
      </c>
      <c r="C78" s="404"/>
      <c r="D78" s="404"/>
      <c r="E78" s="404"/>
      <c r="F78" s="397">
        <f>F76+F77</f>
        <v>0</v>
      </c>
      <c r="G78" s="404"/>
      <c r="H78" s="404"/>
    </row>
    <row r="79" spans="3:8" ht="12">
      <c r="C79" s="404"/>
      <c r="D79" s="404"/>
      <c r="E79" s="404"/>
      <c r="F79" s="397"/>
      <c r="G79" s="404"/>
      <c r="H79" s="404"/>
    </row>
    <row r="80" spans="2:8" ht="12">
      <c r="B80" s="390" t="s">
        <v>87</v>
      </c>
      <c r="C80" s="404"/>
      <c r="D80" s="404"/>
      <c r="E80" s="404"/>
      <c r="F80" s="397"/>
      <c r="G80" s="404"/>
      <c r="H80" s="404"/>
    </row>
    <row r="81" spans="2:8" ht="12">
      <c r="B81" s="390" t="s">
        <v>88</v>
      </c>
      <c r="C81" s="404"/>
      <c r="D81" s="404"/>
      <c r="E81" s="404"/>
      <c r="F81" s="397"/>
      <c r="G81" s="404"/>
      <c r="H81" s="404"/>
    </row>
    <row r="82" spans="2:8" ht="12">
      <c r="B82" s="390" t="s">
        <v>145</v>
      </c>
      <c r="C82" s="404"/>
      <c r="D82" s="404"/>
      <c r="E82" s="404"/>
      <c r="F82" s="397">
        <f>G17</f>
        <v>-17</v>
      </c>
      <c r="G82" s="404"/>
      <c r="H82" s="404"/>
    </row>
    <row r="83" spans="2:8" ht="12">
      <c r="B83" s="390" t="s">
        <v>146</v>
      </c>
      <c r="C83" s="404"/>
      <c r="D83" s="404"/>
      <c r="E83" s="404"/>
      <c r="F83" s="397">
        <f>G18</f>
        <v>0</v>
      </c>
      <c r="G83" s="404"/>
      <c r="H83" s="404"/>
    </row>
    <row r="84" spans="2:8" ht="12">
      <c r="B84" s="390" t="s">
        <v>147</v>
      </c>
      <c r="C84" s="404"/>
      <c r="D84" s="404"/>
      <c r="E84" s="404"/>
      <c r="F84" s="397">
        <f>G19</f>
        <v>0</v>
      </c>
      <c r="G84" s="404"/>
      <c r="H84" s="404"/>
    </row>
    <row r="85" spans="2:8" ht="12">
      <c r="B85" s="390" t="s">
        <v>148</v>
      </c>
      <c r="C85" s="404"/>
      <c r="D85" s="404"/>
      <c r="E85" s="404"/>
      <c r="F85" s="400">
        <f>G20</f>
        <v>0</v>
      </c>
      <c r="G85" s="404"/>
      <c r="H85" s="404"/>
    </row>
    <row r="86" spans="2:8" ht="12">
      <c r="B86" s="390" t="s">
        <v>149</v>
      </c>
      <c r="C86" s="404"/>
      <c r="D86" s="404"/>
      <c r="E86" s="404"/>
      <c r="F86" s="397">
        <f>SUM(F82:F85)</f>
        <v>-17</v>
      </c>
      <c r="G86" s="404"/>
      <c r="H86" s="404"/>
    </row>
    <row r="87" spans="3:8" ht="12">
      <c r="C87" s="404"/>
      <c r="D87" s="404"/>
      <c r="E87" s="404"/>
      <c r="F87" s="397"/>
      <c r="G87" s="404"/>
      <c r="H87" s="404"/>
    </row>
    <row r="88" spans="2:8" ht="12">
      <c r="B88" s="390" t="s">
        <v>93</v>
      </c>
      <c r="C88" s="404"/>
      <c r="D88" s="404"/>
      <c r="E88" s="404"/>
      <c r="F88" s="397"/>
      <c r="G88" s="404"/>
      <c r="H88" s="404"/>
    </row>
    <row r="89" spans="2:8" ht="12">
      <c r="B89" s="390" t="s">
        <v>145</v>
      </c>
      <c r="C89" s="404"/>
      <c r="D89" s="404"/>
      <c r="E89" s="404"/>
      <c r="F89" s="397">
        <f>G24</f>
        <v>0</v>
      </c>
      <c r="G89" s="404"/>
      <c r="H89" s="404"/>
    </row>
    <row r="90" spans="2:8" ht="12">
      <c r="B90" s="390" t="s">
        <v>150</v>
      </c>
      <c r="C90" s="404"/>
      <c r="D90" s="404"/>
      <c r="E90" s="404"/>
      <c r="F90" s="397">
        <f>G25</f>
        <v>0</v>
      </c>
      <c r="G90" s="404"/>
      <c r="H90" s="404"/>
    </row>
    <row r="91" spans="1:8" ht="12">
      <c r="A91" s="383"/>
      <c r="B91" s="390" t="s">
        <v>148</v>
      </c>
      <c r="C91" s="404"/>
      <c r="D91" s="404"/>
      <c r="E91" s="404"/>
      <c r="F91" s="397"/>
      <c r="G91" s="404"/>
      <c r="H91" s="404"/>
    </row>
    <row r="92" spans="1:8" ht="12">
      <c r="A92" s="383"/>
      <c r="B92" s="390" t="s">
        <v>151</v>
      </c>
      <c r="C92" s="404"/>
      <c r="D92" s="404"/>
      <c r="E92" s="404"/>
      <c r="F92" s="396">
        <f>SUM(F89:F91)</f>
        <v>0</v>
      </c>
      <c r="G92" s="404"/>
      <c r="H92" s="404"/>
    </row>
    <row r="93" spans="1:8" ht="12">
      <c r="A93" s="383"/>
      <c r="C93" s="404"/>
      <c r="D93" s="404"/>
      <c r="E93" s="404"/>
      <c r="F93" s="397"/>
      <c r="G93" s="404"/>
      <c r="H93" s="404"/>
    </row>
    <row r="94" spans="1:8" ht="12">
      <c r="A94" s="383"/>
      <c r="B94" s="390" t="s">
        <v>96</v>
      </c>
      <c r="C94" s="404"/>
      <c r="D94" s="404"/>
      <c r="E94" s="404"/>
      <c r="F94" s="397">
        <f>G29</f>
        <v>0</v>
      </c>
      <c r="G94" s="404"/>
      <c r="H94" s="404"/>
    </row>
    <row r="95" spans="1:8" ht="12">
      <c r="A95" s="383"/>
      <c r="B95" s="390" t="s">
        <v>97</v>
      </c>
      <c r="C95" s="404"/>
      <c r="D95" s="404"/>
      <c r="E95" s="404"/>
      <c r="F95" s="397">
        <f>G30</f>
        <v>0</v>
      </c>
      <c r="G95" s="404"/>
      <c r="H95" s="404"/>
    </row>
    <row r="96" spans="1:8" ht="12">
      <c r="A96" s="383"/>
      <c r="B96" s="390" t="s">
        <v>152</v>
      </c>
      <c r="C96" s="404"/>
      <c r="D96" s="404"/>
      <c r="E96" s="404"/>
      <c r="F96" s="397">
        <f>G31</f>
        <v>0</v>
      </c>
      <c r="G96" s="404"/>
      <c r="H96" s="404"/>
    </row>
    <row r="97" spans="1:8" ht="12">
      <c r="A97" s="383"/>
      <c r="C97" s="404"/>
      <c r="D97" s="404"/>
      <c r="E97" s="404"/>
      <c r="F97" s="397"/>
      <c r="G97" s="404"/>
      <c r="H97" s="404"/>
    </row>
    <row r="98" spans="1:8" ht="12">
      <c r="A98" s="383"/>
      <c r="B98" s="390" t="s">
        <v>99</v>
      </c>
      <c r="C98" s="404"/>
      <c r="D98" s="404"/>
      <c r="E98" s="404"/>
      <c r="F98" s="397"/>
      <c r="G98" s="404"/>
      <c r="H98" s="404"/>
    </row>
    <row r="99" spans="1:8" ht="12">
      <c r="A99" s="383"/>
      <c r="B99" s="390" t="s">
        <v>145</v>
      </c>
      <c r="C99" s="404"/>
      <c r="D99" s="404"/>
      <c r="E99" s="404"/>
      <c r="F99" s="397">
        <f>G34</f>
        <v>0</v>
      </c>
      <c r="G99" s="404"/>
      <c r="H99" s="404"/>
    </row>
    <row r="100" spans="1:8" ht="12">
      <c r="A100" s="383"/>
      <c r="B100" s="390" t="s">
        <v>150</v>
      </c>
      <c r="C100" s="404"/>
      <c r="D100" s="404"/>
      <c r="E100" s="404"/>
      <c r="F100" s="397">
        <f>G35</f>
        <v>0</v>
      </c>
      <c r="G100" s="404"/>
      <c r="H100" s="404"/>
    </row>
    <row r="101" spans="1:8" ht="12">
      <c r="A101" s="383"/>
      <c r="B101" s="390" t="s">
        <v>148</v>
      </c>
      <c r="C101" s="404"/>
      <c r="D101" s="404"/>
      <c r="E101" s="404"/>
      <c r="F101" s="400">
        <f>G36</f>
        <v>0</v>
      </c>
      <c r="G101" s="404"/>
      <c r="H101" s="404"/>
    </row>
    <row r="102" spans="1:8" ht="12">
      <c r="A102" s="383"/>
      <c r="B102" s="390" t="s">
        <v>153</v>
      </c>
      <c r="C102" s="404"/>
      <c r="D102" s="404"/>
      <c r="E102" s="404"/>
      <c r="F102" s="397">
        <f>F99+F100+F101</f>
        <v>0</v>
      </c>
      <c r="G102" s="404"/>
      <c r="H102" s="404"/>
    </row>
    <row r="103" spans="1:8" ht="12">
      <c r="A103" s="383"/>
      <c r="B103" s="404"/>
      <c r="C103" s="404"/>
      <c r="D103" s="404"/>
      <c r="E103" s="404"/>
      <c r="F103" s="397"/>
      <c r="G103" s="404"/>
      <c r="H103" s="404"/>
    </row>
    <row r="104" spans="1:8" ht="12">
      <c r="A104" s="383"/>
      <c r="B104" s="404" t="s">
        <v>101</v>
      </c>
      <c r="C104" s="404"/>
      <c r="D104" s="404"/>
      <c r="E104" s="404"/>
      <c r="F104" s="399">
        <f>F86+F92+F94+F95+F96+F102</f>
        <v>-17</v>
      </c>
      <c r="G104" s="404"/>
      <c r="H104" s="404"/>
    </row>
    <row r="105" spans="1:8" ht="12">
      <c r="A105" s="383"/>
      <c r="B105" s="404"/>
      <c r="C105" s="404"/>
      <c r="D105" s="404"/>
      <c r="E105" s="404"/>
      <c r="F105" s="397"/>
      <c r="G105" s="404"/>
      <c r="H105" s="404"/>
    </row>
    <row r="106" spans="1:8" ht="12">
      <c r="A106" s="383"/>
      <c r="B106" s="404" t="s">
        <v>220</v>
      </c>
      <c r="C106" s="404"/>
      <c r="D106" s="404"/>
      <c r="E106" s="404"/>
      <c r="F106" s="400">
        <f>F78-F104</f>
        <v>17</v>
      </c>
      <c r="G106" s="404"/>
      <c r="H106" s="404"/>
    </row>
    <row r="107" spans="1:8" ht="12">
      <c r="A107" s="383"/>
      <c r="B107" s="404"/>
      <c r="C107" s="404"/>
      <c r="D107" s="404"/>
      <c r="E107" s="404"/>
      <c r="F107" s="397"/>
      <c r="G107" s="404"/>
      <c r="H107" s="404"/>
    </row>
    <row r="108" spans="1:8" ht="12">
      <c r="A108" s="383"/>
      <c r="B108" s="404" t="s">
        <v>221</v>
      </c>
      <c r="C108" s="404"/>
      <c r="D108" s="404"/>
      <c r="E108" s="405"/>
      <c r="F108" s="397"/>
      <c r="G108" s="404"/>
      <c r="H108" s="404"/>
    </row>
    <row r="109" spans="1:8" ht="12.75" thickBot="1">
      <c r="A109" s="383"/>
      <c r="B109" s="415" t="s">
        <v>222</v>
      </c>
      <c r="C109" s="380">
        <f>Inputs!$D$4</f>
        <v>0.01065</v>
      </c>
      <c r="D109" s="404"/>
      <c r="E109" s="405"/>
      <c r="F109" s="416">
        <f>ROUND(F106*C109,0)</f>
        <v>0</v>
      </c>
      <c r="G109" s="404"/>
      <c r="H109" s="404"/>
    </row>
    <row r="110" spans="1:8" ht="12.75" thickTop="1">
      <c r="A110" s="383"/>
      <c r="B110" s="404"/>
      <c r="C110" s="404"/>
      <c r="D110" s="404"/>
      <c r="E110" s="405"/>
      <c r="F110" s="404"/>
      <c r="G110" s="406"/>
      <c r="H110" s="404"/>
    </row>
  </sheetData>
  <printOptions horizontalCentered="1"/>
  <pageMargins left="1" right="1" top="0.5" bottom="0.5" header="0.5" footer="0.5"/>
  <pageSetup horizontalDpi="300" verticalDpi="300" orientation="portrait" scale="90" r:id="rId1"/>
  <rowBreaks count="1" manualBreakCount="1">
    <brk id="64" max="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13">
      <selection activeCell="F34" sqref="F34:G34"/>
    </sheetView>
  </sheetViews>
  <sheetFormatPr defaultColWidth="9.140625" defaultRowHeight="12.75"/>
  <cols>
    <col min="1" max="1" width="5.57421875" style="44" customWidth="1"/>
    <col min="2" max="2" width="26.140625" style="41" customWidth="1"/>
    <col min="3" max="3" width="12.421875" style="41" customWidth="1"/>
    <col min="4" max="4" width="6.7109375" style="41" customWidth="1"/>
    <col min="5" max="8" width="12.421875" style="41" customWidth="1"/>
  </cols>
  <sheetData>
    <row r="1" spans="1:3" ht="12.75">
      <c r="A1" s="39" t="str">
        <f>Inputs!$D$6</f>
        <v>AVISTA UTILITIES</v>
      </c>
      <c r="B1" s="40"/>
      <c r="C1" s="39"/>
    </row>
    <row r="2" spans="1:7" ht="12.75">
      <c r="A2" s="39" t="s">
        <v>134</v>
      </c>
      <c r="B2" s="40"/>
      <c r="C2" s="39"/>
      <c r="E2" s="39"/>
      <c r="F2" s="44" t="s">
        <v>412</v>
      </c>
      <c r="G2" s="39"/>
    </row>
    <row r="3" spans="1:7" ht="12.75">
      <c r="A3" s="40" t="str">
        <f>WAElec12_04!$A$4</f>
        <v>TWELVE MONTHS ENDED DECEMBER 31, 2004</v>
      </c>
      <c r="B3" s="40"/>
      <c r="C3" s="39"/>
      <c r="E3" s="39"/>
      <c r="F3" s="44" t="s">
        <v>232</v>
      </c>
      <c r="G3" s="39"/>
    </row>
    <row r="4" spans="1:7" ht="12.75">
      <c r="A4" s="39" t="s">
        <v>1</v>
      </c>
      <c r="B4" s="40"/>
      <c r="C4" s="39"/>
      <c r="E4" s="42"/>
      <c r="F4" s="718" t="s">
        <v>137</v>
      </c>
      <c r="G4" s="43"/>
    </row>
    <row r="5" ht="12.75">
      <c r="A5" s="44" t="s">
        <v>13</v>
      </c>
    </row>
    <row r="6" spans="1:8" ht="12.75">
      <c r="A6" s="44" t="s">
        <v>138</v>
      </c>
      <c r="B6" s="45" t="s">
        <v>34</v>
      </c>
      <c r="C6" s="45"/>
      <c r="D6" s="44"/>
      <c r="E6" s="45" t="s">
        <v>139</v>
      </c>
      <c r="F6" s="45" t="s">
        <v>140</v>
      </c>
      <c r="G6" s="45" t="s">
        <v>123</v>
      </c>
      <c r="H6" s="46" t="s">
        <v>141</v>
      </c>
    </row>
    <row r="7" ht="12.75">
      <c r="B7" s="47" t="s">
        <v>80</v>
      </c>
    </row>
    <row r="8" spans="1:8" ht="12.75">
      <c r="A8" s="48">
        <v>1</v>
      </c>
      <c r="B8" s="49" t="s">
        <v>81</v>
      </c>
      <c r="C8" s="50"/>
      <c r="D8" s="50"/>
      <c r="E8" s="51">
        <f>F8+G8</f>
        <v>0</v>
      </c>
      <c r="F8" s="51">
        <v>0</v>
      </c>
      <c r="G8" s="51">
        <v>0</v>
      </c>
      <c r="H8" s="50" t="str">
        <f aca="true" t="shared" si="0" ref="H8:H13">IF(E8=F8+G8," ","ERROR")</f>
        <v> </v>
      </c>
    </row>
    <row r="9" spans="1:8" ht="12.75">
      <c r="A9" s="44">
        <v>2</v>
      </c>
      <c r="B9" s="47" t="s">
        <v>82</v>
      </c>
      <c r="E9" s="52"/>
      <c r="F9" s="52"/>
      <c r="G9" s="52"/>
      <c r="H9" s="50" t="str">
        <f t="shared" si="0"/>
        <v> </v>
      </c>
    </row>
    <row r="10" spans="1:8" ht="12.75">
      <c r="A10" s="44">
        <v>3</v>
      </c>
      <c r="B10" s="47" t="s">
        <v>142</v>
      </c>
      <c r="E10" s="52"/>
      <c r="F10" s="52"/>
      <c r="G10" s="52"/>
      <c r="H10" s="50" t="str">
        <f t="shared" si="0"/>
        <v> </v>
      </c>
    </row>
    <row r="11" spans="1:8" ht="12.75">
      <c r="A11" s="44">
        <v>4</v>
      </c>
      <c r="B11" s="47" t="s">
        <v>143</v>
      </c>
      <c r="E11" s="53">
        <f>E8+E9+E10</f>
        <v>0</v>
      </c>
      <c r="F11" s="53">
        <f>F8+F9+F10</f>
        <v>0</v>
      </c>
      <c r="G11" s="53">
        <f>G8+G9+G10</f>
        <v>0</v>
      </c>
      <c r="H11" s="50" t="str">
        <f t="shared" si="0"/>
        <v> </v>
      </c>
    </row>
    <row r="12" spans="1:8" ht="12.75">
      <c r="A12" s="44">
        <v>5</v>
      </c>
      <c r="B12" s="47" t="s">
        <v>85</v>
      </c>
      <c r="E12" s="52"/>
      <c r="F12" s="52"/>
      <c r="G12" s="52"/>
      <c r="H12" s="50" t="str">
        <f t="shared" si="0"/>
        <v> </v>
      </c>
    </row>
    <row r="13" spans="1:8" ht="12.75">
      <c r="A13" s="44">
        <v>6</v>
      </c>
      <c r="B13" s="47" t="s">
        <v>144</v>
      </c>
      <c r="E13" s="53">
        <f>E11+E12</f>
        <v>0</v>
      </c>
      <c r="F13" s="53">
        <f>F11+F12</f>
        <v>0</v>
      </c>
      <c r="G13" s="53">
        <f>G11+G12</f>
        <v>0</v>
      </c>
      <c r="H13" s="50" t="str">
        <f t="shared" si="0"/>
        <v> </v>
      </c>
    </row>
    <row r="14" spans="5:8" ht="12.75">
      <c r="E14" s="55"/>
      <c r="F14" s="55"/>
      <c r="G14" s="55"/>
      <c r="H14" s="50"/>
    </row>
    <row r="15" spans="2:8" ht="12.75">
      <c r="B15" s="47" t="s">
        <v>87</v>
      </c>
      <c r="E15" s="55"/>
      <c r="F15" s="55"/>
      <c r="G15" s="55"/>
      <c r="H15" s="50"/>
    </row>
    <row r="16" spans="2:8" ht="12.75">
      <c r="B16" s="47" t="s">
        <v>88</v>
      </c>
      <c r="E16" s="55"/>
      <c r="F16" s="55"/>
      <c r="G16" s="55"/>
      <c r="H16" s="50"/>
    </row>
    <row r="17" spans="1:8" ht="12.75">
      <c r="A17" s="44">
        <v>7</v>
      </c>
      <c r="B17" s="47" t="s">
        <v>145</v>
      </c>
      <c r="E17" s="52">
        <f>F17+G17</f>
        <v>-642</v>
      </c>
      <c r="F17" s="52">
        <v>-419</v>
      </c>
      <c r="G17" s="52">
        <v>-223</v>
      </c>
      <c r="H17" s="50" t="str">
        <f>IF(E17=F17+G17," ","ERROR")</f>
        <v> </v>
      </c>
    </row>
    <row r="18" spans="1:8" ht="12.75">
      <c r="A18" s="44">
        <v>8</v>
      </c>
      <c r="B18" s="47" t="s">
        <v>146</v>
      </c>
      <c r="E18" s="52"/>
      <c r="F18" s="52"/>
      <c r="G18" s="52"/>
      <c r="H18" s="50" t="str">
        <f>IF(E18=F18+G18," ","ERROR")</f>
        <v> </v>
      </c>
    </row>
    <row r="19" spans="1:8" ht="12.75">
      <c r="A19" s="44">
        <v>9</v>
      </c>
      <c r="B19" s="47" t="s">
        <v>147</v>
      </c>
      <c r="E19" s="52">
        <f>F19+G19</f>
        <v>0</v>
      </c>
      <c r="F19" s="52">
        <v>0</v>
      </c>
      <c r="G19" s="52"/>
      <c r="H19" s="50" t="str">
        <f>IF(E19=F19+G19," ","ERROR")</f>
        <v> </v>
      </c>
    </row>
    <row r="20" spans="1:8" ht="12.75">
      <c r="A20" s="44">
        <v>10</v>
      </c>
      <c r="B20" s="47" t="s">
        <v>148</v>
      </c>
      <c r="E20" s="52">
        <f>F20+G20</f>
        <v>0</v>
      </c>
      <c r="F20" s="52"/>
      <c r="G20" s="52"/>
      <c r="H20" s="50" t="str">
        <f>IF(E20=F20+G20," ","ERROR")</f>
        <v> </v>
      </c>
    </row>
    <row r="21" spans="1:8" ht="12.75">
      <c r="A21" s="44">
        <v>11</v>
      </c>
      <c r="B21" s="47" t="s">
        <v>149</v>
      </c>
      <c r="E21" s="53">
        <f>E17+E18+E19+E20</f>
        <v>-642</v>
      </c>
      <c r="F21" s="53">
        <f>F17+F18+F19+F20</f>
        <v>-419</v>
      </c>
      <c r="G21" s="53">
        <f>G17+G18+G19+G20</f>
        <v>-223</v>
      </c>
      <c r="H21" s="50" t="str">
        <f>IF(E21=F21+G21," ","ERROR")</f>
        <v> </v>
      </c>
    </row>
    <row r="22" spans="5:8" ht="12.75">
      <c r="E22" s="55"/>
      <c r="F22" s="55"/>
      <c r="G22" s="55"/>
      <c r="H22" s="50"/>
    </row>
    <row r="23" spans="2:8" ht="12.75">
      <c r="B23" s="47" t="s">
        <v>93</v>
      </c>
      <c r="E23" s="55"/>
      <c r="F23" s="55"/>
      <c r="G23" s="55"/>
      <c r="H23" s="50"/>
    </row>
    <row r="24" spans="1:8" ht="12.75">
      <c r="A24" s="44">
        <v>12</v>
      </c>
      <c r="B24" s="47" t="s">
        <v>145</v>
      </c>
      <c r="E24" s="52">
        <f>F24+G24</f>
        <v>-433</v>
      </c>
      <c r="F24" s="52">
        <v>-273</v>
      </c>
      <c r="G24" s="52">
        <v>-160</v>
      </c>
      <c r="H24" s="50" t="str">
        <f>IF(E24=F24+G24," ","ERROR")</f>
        <v> </v>
      </c>
    </row>
    <row r="25" spans="1:8" ht="12.75">
      <c r="A25" s="44">
        <v>13</v>
      </c>
      <c r="B25" s="47" t="s">
        <v>150</v>
      </c>
      <c r="E25" s="52"/>
      <c r="F25" s="52"/>
      <c r="G25" s="52"/>
      <c r="H25" s="50" t="str">
        <f>IF(E25=F25+G25," ","ERROR")</f>
        <v> </v>
      </c>
    </row>
    <row r="26" spans="1:8" ht="12.75">
      <c r="A26" s="44">
        <v>14</v>
      </c>
      <c r="B26" s="47" t="s">
        <v>148</v>
      </c>
      <c r="E26" s="52">
        <f>F26+G26</f>
        <v>10</v>
      </c>
      <c r="F26" s="52">
        <v>0</v>
      </c>
      <c r="G26" s="946">
        <f>F109</f>
        <v>10</v>
      </c>
      <c r="H26" s="50" t="str">
        <f>IF(E26=F26+G26," ","ERROR")</f>
        <v> </v>
      </c>
    </row>
    <row r="27" spans="1:8" ht="12.75">
      <c r="A27" s="44">
        <v>15</v>
      </c>
      <c r="B27" s="47" t="s">
        <v>151</v>
      </c>
      <c r="E27" s="53">
        <f>E24+E25+E26</f>
        <v>-423</v>
      </c>
      <c r="F27" s="53">
        <f>F24+F25+F26</f>
        <v>-273</v>
      </c>
      <c r="G27" s="53">
        <f>G24+G25+G26</f>
        <v>-150</v>
      </c>
      <c r="H27" s="50" t="str">
        <f>IF(E27=F27+G27," ","ERROR")</f>
        <v> </v>
      </c>
    </row>
    <row r="28" spans="5:8" ht="12.75">
      <c r="E28" s="55"/>
      <c r="F28" s="55"/>
      <c r="G28" s="55"/>
      <c r="H28" s="50"/>
    </row>
    <row r="29" spans="1:8" ht="12.75">
      <c r="A29" s="44">
        <v>16</v>
      </c>
      <c r="B29" s="47" t="s">
        <v>96</v>
      </c>
      <c r="E29" s="52">
        <f>SUM(F29:G29)</f>
        <v>-221</v>
      </c>
      <c r="F29" s="52">
        <v>-144</v>
      </c>
      <c r="G29" s="52">
        <v>-77</v>
      </c>
      <c r="H29" s="50" t="str">
        <f>IF(E29=F29+G29," ","ERROR")</f>
        <v> </v>
      </c>
    </row>
    <row r="30" spans="1:8" ht="12.75">
      <c r="A30" s="44">
        <v>17</v>
      </c>
      <c r="B30" s="47" t="s">
        <v>97</v>
      </c>
      <c r="E30" s="52">
        <f>SUM(F30:G30)</f>
        <v>-4</v>
      </c>
      <c r="F30" s="52">
        <v>-2</v>
      </c>
      <c r="G30" s="52">
        <v>-2</v>
      </c>
      <c r="H30" s="50" t="str">
        <f>IF(E30=F30+G30," ","ERROR")</f>
        <v> </v>
      </c>
    </row>
    <row r="31" spans="1:8" ht="12.75">
      <c r="A31" s="44">
        <v>18</v>
      </c>
      <c r="B31" s="47" t="s">
        <v>152</v>
      </c>
      <c r="E31" s="52">
        <f>SUM(F31:G31)</f>
        <v>-28</v>
      </c>
      <c r="F31" s="52">
        <v>-17</v>
      </c>
      <c r="G31" s="52">
        <v>-11</v>
      </c>
      <c r="H31" s="50" t="str">
        <f>IF(E31=F31+G31," ","ERROR")</f>
        <v> </v>
      </c>
    </row>
    <row r="32" spans="5:8" ht="12.75">
      <c r="E32" s="55"/>
      <c r="F32" s="55"/>
      <c r="G32" s="55"/>
      <c r="H32" s="50"/>
    </row>
    <row r="33" spans="2:8" ht="12.75">
      <c r="B33" s="47" t="s">
        <v>99</v>
      </c>
      <c r="E33" s="55"/>
      <c r="F33" s="55"/>
      <c r="G33" s="55"/>
      <c r="H33" s="50"/>
    </row>
    <row r="34" spans="1:8" ht="12.75">
      <c r="A34" s="44">
        <v>19</v>
      </c>
      <c r="B34" s="47" t="s">
        <v>145</v>
      </c>
      <c r="E34" s="52">
        <f>SUM(F34:G34)</f>
        <v>-1199</v>
      </c>
      <c r="F34" s="52">
        <v>-768</v>
      </c>
      <c r="G34" s="52">
        <v>-431</v>
      </c>
      <c r="H34" s="50" t="str">
        <f>IF(E34=F34+G34," ","ERROR")</f>
        <v> </v>
      </c>
    </row>
    <row r="35" spans="1:8" ht="12.75">
      <c r="A35" s="44">
        <v>20</v>
      </c>
      <c r="B35" s="47" t="s">
        <v>150</v>
      </c>
      <c r="E35" s="52"/>
      <c r="F35" s="52"/>
      <c r="G35" s="52"/>
      <c r="H35" s="50" t="str">
        <f>IF(E35=F35+G35," ","ERROR")</f>
        <v> </v>
      </c>
    </row>
    <row r="36" spans="1:8" ht="12.75">
      <c r="A36" s="44">
        <v>21</v>
      </c>
      <c r="B36" s="47" t="s">
        <v>148</v>
      </c>
      <c r="E36" s="52"/>
      <c r="F36" s="52"/>
      <c r="G36" s="52"/>
      <c r="H36" s="50" t="str">
        <f>IF(E36=F36+G36," ","ERROR")</f>
        <v> </v>
      </c>
    </row>
    <row r="37" spans="1:8" ht="12.75">
      <c r="A37" s="44">
        <v>22</v>
      </c>
      <c r="B37" s="47" t="s">
        <v>153</v>
      </c>
      <c r="E37" s="57">
        <f>E34+E35+E36</f>
        <v>-1199</v>
      </c>
      <c r="F37" s="57">
        <f>F34+F35+F36</f>
        <v>-768</v>
      </c>
      <c r="G37" s="57">
        <f>G34+G35+G36</f>
        <v>-431</v>
      </c>
      <c r="H37" s="50" t="str">
        <f>IF(E37=F37+G37," ","ERROR")</f>
        <v> </v>
      </c>
    </row>
    <row r="38" spans="1:8" ht="12.75">
      <c r="A38" s="44">
        <v>23</v>
      </c>
      <c r="B38" s="47" t="s">
        <v>101</v>
      </c>
      <c r="E38" s="58">
        <f>E21+E27+E29+E30+E31+E37</f>
        <v>-2517</v>
      </c>
      <c r="F38" s="58">
        <f>F21+F27+F29+F30+F31+F37</f>
        <v>-1623</v>
      </c>
      <c r="G38" s="58">
        <f>G21+G27+G29+G30+G31+G37</f>
        <v>-894</v>
      </c>
      <c r="H38" s="50" t="str">
        <f>IF(E38=F38+G38," ","ERROR")</f>
        <v> </v>
      </c>
    </row>
    <row r="39" spans="5:8" ht="12.75">
      <c r="E39" s="55"/>
      <c r="F39" s="55"/>
      <c r="G39" s="55"/>
      <c r="H39" s="50"/>
    </row>
    <row r="40" spans="1:8" ht="12.75">
      <c r="A40" s="44">
        <v>24</v>
      </c>
      <c r="B40" s="47" t="s">
        <v>154</v>
      </c>
      <c r="E40" s="55">
        <f>E13-E38</f>
        <v>2517</v>
      </c>
      <c r="F40" s="55">
        <f>F13-F38</f>
        <v>1623</v>
      </c>
      <c r="G40" s="55">
        <f>G13-G38</f>
        <v>894</v>
      </c>
      <c r="H40" s="50" t="str">
        <f>IF(E40=F40+G40," ","ERROR")</f>
        <v> </v>
      </c>
    </row>
    <row r="41" spans="2:8" ht="12.75">
      <c r="B41" s="47"/>
      <c r="E41" s="55"/>
      <c r="F41" s="55"/>
      <c r="G41" s="55"/>
      <c r="H41" s="50"/>
    </row>
    <row r="42" spans="2:8" ht="12.75">
      <c r="B42" s="47" t="s">
        <v>155</v>
      </c>
      <c r="E42" s="55"/>
      <c r="F42" s="55"/>
      <c r="G42" s="55"/>
      <c r="H42" s="50"/>
    </row>
    <row r="43" spans="1:8" ht="12.75">
      <c r="A43" s="44">
        <v>25</v>
      </c>
      <c r="B43" s="47" t="s">
        <v>156</v>
      </c>
      <c r="D43" s="59">
        <v>0.35</v>
      </c>
      <c r="E43" s="52">
        <f>F43+G43</f>
        <v>881</v>
      </c>
      <c r="F43" s="52">
        <f>ROUND(F40*D43,0)</f>
        <v>568</v>
      </c>
      <c r="G43" s="52">
        <f>ROUND(G40*D43,0)</f>
        <v>313</v>
      </c>
      <c r="H43" s="50" t="str">
        <f>IF(E43=F43+G43," ","ERROR")</f>
        <v> </v>
      </c>
    </row>
    <row r="44" spans="1:8" ht="12.75">
      <c r="A44" s="44">
        <v>26</v>
      </c>
      <c r="B44" s="47" t="s">
        <v>157</v>
      </c>
      <c r="E44" s="52"/>
      <c r="F44" s="52"/>
      <c r="G44" s="52"/>
      <c r="H44" s="50" t="str">
        <f>IF(E44=F44+G44," ","ERROR")</f>
        <v> </v>
      </c>
    </row>
    <row r="45" spans="1:8" ht="12.75">
      <c r="A45"/>
      <c r="B45"/>
      <c r="C45"/>
      <c r="D45"/>
      <c r="E45" s="943"/>
      <c r="F45" s="943"/>
      <c r="G45" s="943"/>
      <c r="H45" s="50" t="str">
        <f>IF(E45=F45+G45," ","ERROR")</f>
        <v> </v>
      </c>
    </row>
    <row r="46" spans="1:8" ht="12.75">
      <c r="A46" s="278"/>
      <c r="B46" s="281"/>
      <c r="C46" s="275"/>
      <c r="D46" s="275"/>
      <c r="E46" s="288"/>
      <c r="F46" s="288"/>
      <c r="G46" s="288"/>
      <c r="H46" s="50"/>
    </row>
    <row r="47" spans="1:8" ht="12.75">
      <c r="A47" s="282">
        <v>27</v>
      </c>
      <c r="B47" s="283" t="s">
        <v>108</v>
      </c>
      <c r="C47" s="284"/>
      <c r="D47" s="284"/>
      <c r="E47" s="292">
        <f>E40-SUM(E43:E44)</f>
        <v>1636</v>
      </c>
      <c r="F47" s="292">
        <f>F40-SUM(F43:F44)</f>
        <v>1055</v>
      </c>
      <c r="G47" s="292">
        <f>G40-SUM(G43:G44)</f>
        <v>581</v>
      </c>
      <c r="H47" s="50" t="str">
        <f>IF(E47=F47+G47," ","ERROR")</f>
        <v> </v>
      </c>
    </row>
    <row r="48" spans="1:8" ht="12.75">
      <c r="A48" s="278"/>
      <c r="H48" s="50"/>
    </row>
    <row r="49" spans="1:8" ht="12.75">
      <c r="A49" s="278"/>
      <c r="B49" s="47" t="s">
        <v>109</v>
      </c>
      <c r="H49" s="50"/>
    </row>
    <row r="50" spans="1:8" ht="12.75">
      <c r="A50" s="278"/>
      <c r="B50" s="47" t="s">
        <v>110</v>
      </c>
      <c r="H50" s="50"/>
    </row>
    <row r="51" spans="1:8" ht="12.75">
      <c r="A51" s="282">
        <v>28</v>
      </c>
      <c r="B51" s="49" t="s">
        <v>159</v>
      </c>
      <c r="C51" s="50"/>
      <c r="D51" s="50"/>
      <c r="E51" s="51"/>
      <c r="F51" s="51"/>
      <c r="G51" s="51"/>
      <c r="H51" s="50" t="str">
        <f aca="true" t="shared" si="1" ref="H51:H61">IF(E51=F51+G51," ","ERROR")</f>
        <v> </v>
      </c>
    </row>
    <row r="52" spans="1:8" ht="12.75">
      <c r="A52" s="278">
        <v>29</v>
      </c>
      <c r="B52" s="47" t="s">
        <v>160</v>
      </c>
      <c r="E52" s="52">
        <f>F52+G52</f>
        <v>0</v>
      </c>
      <c r="F52" s="52"/>
      <c r="G52" s="52"/>
      <c r="H52" s="50" t="str">
        <f t="shared" si="1"/>
        <v> </v>
      </c>
    </row>
    <row r="53" spans="1:8" ht="12.75">
      <c r="A53" s="278">
        <v>30</v>
      </c>
      <c r="B53" s="47" t="s">
        <v>161</v>
      </c>
      <c r="E53" s="52"/>
      <c r="F53" s="52"/>
      <c r="G53" s="52"/>
      <c r="H53" s="50" t="str">
        <f t="shared" si="1"/>
        <v> </v>
      </c>
    </row>
    <row r="54" spans="1:8" ht="12.75">
      <c r="A54" s="278">
        <v>31</v>
      </c>
      <c r="B54" s="47" t="s">
        <v>162</v>
      </c>
      <c r="E54" s="52"/>
      <c r="F54" s="52"/>
      <c r="G54" s="52"/>
      <c r="H54" s="50" t="str">
        <f t="shared" si="1"/>
        <v> </v>
      </c>
    </row>
    <row r="55" spans="1:8" ht="12.75">
      <c r="A55" s="278">
        <v>32</v>
      </c>
      <c r="B55" s="47" t="s">
        <v>163</v>
      </c>
      <c r="E55" s="56"/>
      <c r="F55" s="56"/>
      <c r="G55" s="56"/>
      <c r="H55" s="50" t="str">
        <f t="shared" si="1"/>
        <v> </v>
      </c>
    </row>
    <row r="56" spans="1:8" ht="12.75">
      <c r="A56" s="278">
        <v>33</v>
      </c>
      <c r="B56" s="47" t="s">
        <v>164</v>
      </c>
      <c r="E56" s="55">
        <f>E51+E52+E53+E54+E55</f>
        <v>0</v>
      </c>
      <c r="F56" s="55">
        <f>F51+F52+F53+F54+F55</f>
        <v>0</v>
      </c>
      <c r="G56" s="55">
        <f>G51+G52+G53+G54+G55</f>
        <v>0</v>
      </c>
      <c r="H56" s="50" t="str">
        <f t="shared" si="1"/>
        <v> </v>
      </c>
    </row>
    <row r="57" spans="1:8" ht="12.75">
      <c r="A57" s="278">
        <v>34</v>
      </c>
      <c r="B57" s="47" t="s">
        <v>116</v>
      </c>
      <c r="E57" s="52">
        <f>F57+G57</f>
        <v>0</v>
      </c>
      <c r="F57" s="52"/>
      <c r="G57" s="52"/>
      <c r="H57" s="50" t="str">
        <f t="shared" si="1"/>
        <v> </v>
      </c>
    </row>
    <row r="58" spans="1:8" ht="12.75">
      <c r="A58" s="278">
        <v>35</v>
      </c>
      <c r="B58" s="47" t="s">
        <v>117</v>
      </c>
      <c r="E58" s="56"/>
      <c r="F58" s="56"/>
      <c r="G58" s="56"/>
      <c r="H58" s="50" t="str">
        <f t="shared" si="1"/>
        <v> </v>
      </c>
    </row>
    <row r="59" spans="1:8" ht="12.75">
      <c r="A59" s="278">
        <v>36</v>
      </c>
      <c r="B59" s="47" t="s">
        <v>165</v>
      </c>
      <c r="E59" s="55">
        <f>E57+E58</f>
        <v>0</v>
      </c>
      <c r="F59" s="55">
        <f>F57+F58</f>
        <v>0</v>
      </c>
      <c r="G59" s="55">
        <f>G57+G58</f>
        <v>0</v>
      </c>
      <c r="H59" s="50" t="str">
        <f t="shared" si="1"/>
        <v> </v>
      </c>
    </row>
    <row r="60" spans="1:8" ht="12.75">
      <c r="A60" s="278">
        <v>37</v>
      </c>
      <c r="B60" s="47" t="s">
        <v>119</v>
      </c>
      <c r="E60" s="52"/>
      <c r="F60" s="52"/>
      <c r="G60" s="52"/>
      <c r="H60" s="50" t="str">
        <f t="shared" si="1"/>
        <v> </v>
      </c>
    </row>
    <row r="61" spans="1:8" ht="12.75">
      <c r="A61" s="278">
        <v>38</v>
      </c>
      <c r="B61" s="47" t="s">
        <v>120</v>
      </c>
      <c r="E61" s="56">
        <f>F61+G61</f>
        <v>0</v>
      </c>
      <c r="F61" s="56"/>
      <c r="G61" s="56"/>
      <c r="H61" s="50" t="str">
        <f t="shared" si="1"/>
        <v> </v>
      </c>
    </row>
    <row r="62" spans="1:8" ht="11.25" customHeight="1">
      <c r="A62" s="278"/>
      <c r="H62" s="50"/>
    </row>
    <row r="63" spans="1:8" ht="13.5" thickBot="1">
      <c r="A63" s="282">
        <v>39</v>
      </c>
      <c r="B63" s="49" t="s">
        <v>121</v>
      </c>
      <c r="C63" s="50"/>
      <c r="D63" s="50"/>
      <c r="E63" s="60">
        <f>E56-E59+E60+E61</f>
        <v>0</v>
      </c>
      <c r="F63" s="60">
        <f>F56-F59+F60+F61</f>
        <v>0</v>
      </c>
      <c r="G63" s="60">
        <f>G56-G59+G60+G61</f>
        <v>0</v>
      </c>
      <c r="H63" s="50" t="str">
        <f>IF(E63=F63+G63," ","ERROR")</f>
        <v> </v>
      </c>
    </row>
    <row r="64" spans="1:8" ht="13.5" thickTop="1">
      <c r="A64" s="41"/>
      <c r="B64" s="66"/>
      <c r="C64" s="66"/>
      <c r="D64" s="66"/>
      <c r="E64" s="719"/>
      <c r="F64" s="720"/>
      <c r="G64" s="66"/>
      <c r="H64" s="66"/>
    </row>
    <row r="65" spans="1:7" ht="12.75">
      <c r="A65" s="475" t="str">
        <f>Inputs!$D$6</f>
        <v>AVISTA UTILITIES</v>
      </c>
      <c r="B65" s="475"/>
      <c r="C65" s="475"/>
      <c r="D65" s="495"/>
      <c r="E65" s="496"/>
      <c r="F65" s="495"/>
      <c r="G65" s="497"/>
    </row>
    <row r="66" spans="1:7" ht="12.75">
      <c r="A66" s="475" t="s">
        <v>218</v>
      </c>
      <c r="B66" s="475"/>
      <c r="C66" s="475"/>
      <c r="D66" s="495"/>
      <c r="E66" s="496"/>
      <c r="F66" s="495"/>
      <c r="G66" s="497"/>
    </row>
    <row r="67" spans="1:7" ht="12.75">
      <c r="A67" s="475" t="str">
        <f>A3</f>
        <v>TWELVE MONTHS ENDED DECEMBER 31, 2004</v>
      </c>
      <c r="B67" s="475"/>
      <c r="C67" s="475"/>
      <c r="D67" s="495"/>
      <c r="E67" s="496"/>
      <c r="F67" s="498" t="str">
        <f>F2</f>
        <v>PAYROLL CLEARING</v>
      </c>
      <c r="G67" s="495"/>
    </row>
    <row r="68" spans="1:7" ht="12.75">
      <c r="A68" s="475" t="s">
        <v>219</v>
      </c>
      <c r="B68" s="475"/>
      <c r="C68" s="475"/>
      <c r="D68" s="495"/>
      <c r="E68" s="496"/>
      <c r="F68" s="498" t="str">
        <f>F3</f>
        <v>ADJUSTMENT</v>
      </c>
      <c r="G68" s="495"/>
    </row>
    <row r="69" spans="1:7" ht="12.75">
      <c r="A69" s="479"/>
      <c r="B69" s="495"/>
      <c r="C69" s="495"/>
      <c r="D69" s="495"/>
      <c r="E69" s="499"/>
      <c r="F69" s="500" t="str">
        <f>F4</f>
        <v>ELECTRIC</v>
      </c>
      <c r="G69" s="495"/>
    </row>
    <row r="70" spans="1:7" ht="12.75">
      <c r="A70" s="479"/>
      <c r="B70" s="495"/>
      <c r="C70" s="495"/>
      <c r="D70" s="495"/>
      <c r="E70" s="496"/>
      <c r="F70" s="498"/>
      <c r="G70" s="502"/>
    </row>
    <row r="71" spans="1:7" ht="12.75">
      <c r="A71" s="479"/>
      <c r="B71" s="503" t="s">
        <v>128</v>
      </c>
      <c r="C71" s="504"/>
      <c r="D71" s="495"/>
      <c r="E71" s="496"/>
      <c r="F71" s="500" t="s">
        <v>123</v>
      </c>
      <c r="G71" s="495"/>
    </row>
    <row r="72" spans="1:7" ht="12.75">
      <c r="A72" s="479"/>
      <c r="B72" s="482" t="s">
        <v>80</v>
      </c>
      <c r="C72" s="495"/>
      <c r="D72" s="495"/>
      <c r="E72" s="495"/>
      <c r="F72" s="497"/>
      <c r="G72" s="495"/>
    </row>
    <row r="73" spans="1:7" ht="12.75">
      <c r="A73" s="479"/>
      <c r="B73" s="484" t="s">
        <v>81</v>
      </c>
      <c r="C73" s="495"/>
      <c r="D73" s="495"/>
      <c r="E73" s="495"/>
      <c r="F73" s="505">
        <f>G8</f>
        <v>0</v>
      </c>
      <c r="G73" s="495"/>
    </row>
    <row r="74" spans="1:7" ht="12.75">
      <c r="A74" s="479"/>
      <c r="B74" s="482" t="s">
        <v>82</v>
      </c>
      <c r="C74" s="495"/>
      <c r="D74" s="495"/>
      <c r="E74" s="495"/>
      <c r="F74" s="489">
        <f>G9</f>
        <v>0</v>
      </c>
      <c r="G74" s="495"/>
    </row>
    <row r="75" spans="1:7" ht="12.75">
      <c r="A75" s="479"/>
      <c r="B75" s="482" t="s">
        <v>142</v>
      </c>
      <c r="C75" s="495"/>
      <c r="D75" s="495"/>
      <c r="E75" s="495"/>
      <c r="F75" s="491">
        <f>G10</f>
        <v>0</v>
      </c>
      <c r="G75" s="495"/>
    </row>
    <row r="76" spans="1:7" ht="12.75">
      <c r="A76" s="479"/>
      <c r="B76" s="482" t="s">
        <v>143</v>
      </c>
      <c r="C76" s="495"/>
      <c r="D76" s="495"/>
      <c r="E76" s="495"/>
      <c r="F76" s="489">
        <f>SUM(F73:F75)</f>
        <v>0</v>
      </c>
      <c r="G76" s="495"/>
    </row>
    <row r="77" spans="1:7" ht="12.75">
      <c r="A77" s="479"/>
      <c r="B77" s="482" t="s">
        <v>85</v>
      </c>
      <c r="C77" s="495"/>
      <c r="D77" s="495"/>
      <c r="E77" s="495"/>
      <c r="F77" s="491">
        <f>G12</f>
        <v>0</v>
      </c>
      <c r="G77" s="495"/>
    </row>
    <row r="78" spans="1:7" ht="12.75">
      <c r="A78" s="479"/>
      <c r="B78" s="482" t="s">
        <v>144</v>
      </c>
      <c r="C78" s="495"/>
      <c r="D78" s="495"/>
      <c r="E78" s="495"/>
      <c r="F78" s="489">
        <f>F76+F77</f>
        <v>0</v>
      </c>
      <c r="G78" s="495"/>
    </row>
    <row r="79" spans="1:7" ht="12.75">
      <c r="A79" s="479"/>
      <c r="B79" s="476"/>
      <c r="C79" s="495"/>
      <c r="D79" s="495"/>
      <c r="E79" s="495"/>
      <c r="F79" s="489"/>
      <c r="G79" s="495"/>
    </row>
    <row r="80" spans="1:7" ht="12.75">
      <c r="A80" s="479"/>
      <c r="B80" s="482" t="s">
        <v>87</v>
      </c>
      <c r="C80" s="495"/>
      <c r="D80" s="495"/>
      <c r="E80" s="495"/>
      <c r="F80" s="489"/>
      <c r="G80" s="495"/>
    </row>
    <row r="81" spans="1:7" ht="12.75">
      <c r="A81" s="479"/>
      <c r="B81" s="482" t="s">
        <v>88</v>
      </c>
      <c r="C81" s="495"/>
      <c r="D81" s="495"/>
      <c r="E81" s="495"/>
      <c r="F81" s="489"/>
      <c r="G81" s="495"/>
    </row>
    <row r="82" spans="1:7" ht="12.75">
      <c r="A82" s="479"/>
      <c r="B82" s="482" t="s">
        <v>145</v>
      </c>
      <c r="C82" s="495"/>
      <c r="D82" s="495"/>
      <c r="E82" s="495"/>
      <c r="F82" s="489">
        <f>G17</f>
        <v>-223</v>
      </c>
      <c r="G82" s="495"/>
    </row>
    <row r="83" spans="1:7" ht="12.75">
      <c r="A83" s="479"/>
      <c r="B83" s="482" t="s">
        <v>146</v>
      </c>
      <c r="C83" s="495"/>
      <c r="D83" s="495"/>
      <c r="E83" s="495"/>
      <c r="F83" s="489">
        <f>G18</f>
        <v>0</v>
      </c>
      <c r="G83" s="495"/>
    </row>
    <row r="84" spans="1:7" ht="12.75">
      <c r="A84" s="479"/>
      <c r="B84" s="482" t="s">
        <v>147</v>
      </c>
      <c r="C84" s="495"/>
      <c r="D84" s="495"/>
      <c r="E84" s="495"/>
      <c r="F84" s="489">
        <f>G19</f>
        <v>0</v>
      </c>
      <c r="G84" s="495"/>
    </row>
    <row r="85" spans="1:7" ht="12.75">
      <c r="A85" s="479"/>
      <c r="B85" s="482" t="s">
        <v>148</v>
      </c>
      <c r="C85" s="495"/>
      <c r="D85" s="495"/>
      <c r="E85" s="495"/>
      <c r="F85" s="491">
        <f>G20</f>
        <v>0</v>
      </c>
      <c r="G85" s="495"/>
    </row>
    <row r="86" spans="1:7" ht="12.75">
      <c r="A86" s="479"/>
      <c r="B86" s="482" t="s">
        <v>149</v>
      </c>
      <c r="C86" s="495"/>
      <c r="D86" s="495"/>
      <c r="E86" s="495"/>
      <c r="F86" s="489">
        <f>SUM(F82:F85)</f>
        <v>-223</v>
      </c>
      <c r="G86" s="495"/>
    </row>
    <row r="87" spans="1:7" ht="12.75">
      <c r="A87" s="479"/>
      <c r="B87" s="476"/>
      <c r="C87" s="495"/>
      <c r="D87" s="495"/>
      <c r="E87" s="495"/>
      <c r="F87" s="489"/>
      <c r="G87" s="495"/>
    </row>
    <row r="88" spans="1:7" ht="12.75">
      <c r="A88" s="479"/>
      <c r="B88" s="482" t="s">
        <v>93</v>
      </c>
      <c r="C88" s="495"/>
      <c r="D88" s="495"/>
      <c r="E88" s="495"/>
      <c r="F88" s="489"/>
      <c r="G88" s="495"/>
    </row>
    <row r="89" spans="1:7" ht="12.75">
      <c r="A89" s="479"/>
      <c r="B89" s="482" t="s">
        <v>145</v>
      </c>
      <c r="C89" s="495"/>
      <c r="D89" s="495"/>
      <c r="E89" s="495"/>
      <c r="F89" s="489">
        <f>G24</f>
        <v>-160</v>
      </c>
      <c r="G89" s="495"/>
    </row>
    <row r="90" spans="1:7" ht="12.75">
      <c r="A90" s="479"/>
      <c r="B90" s="482" t="s">
        <v>150</v>
      </c>
      <c r="C90" s="495"/>
      <c r="D90" s="495"/>
      <c r="E90" s="495"/>
      <c r="F90" s="489">
        <f>G25</f>
        <v>0</v>
      </c>
      <c r="G90" s="495"/>
    </row>
    <row r="91" spans="1:7" ht="12.75">
      <c r="A91" s="476"/>
      <c r="B91" s="482" t="s">
        <v>148</v>
      </c>
      <c r="C91" s="495"/>
      <c r="D91" s="495"/>
      <c r="E91" s="495"/>
      <c r="F91" s="489"/>
      <c r="G91" s="495"/>
    </row>
    <row r="92" spans="1:7" ht="12.75">
      <c r="A92" s="476"/>
      <c r="B92" s="482" t="s">
        <v>151</v>
      </c>
      <c r="C92" s="495"/>
      <c r="D92" s="495"/>
      <c r="E92" s="495"/>
      <c r="F92" s="488">
        <f>SUM(F89:F91)</f>
        <v>-160</v>
      </c>
      <c r="G92" s="495"/>
    </row>
    <row r="93" spans="1:7" ht="12.75">
      <c r="A93" s="476"/>
      <c r="B93" s="476"/>
      <c r="C93" s="495"/>
      <c r="D93" s="495"/>
      <c r="E93" s="495"/>
      <c r="F93" s="489"/>
      <c r="G93" s="495"/>
    </row>
    <row r="94" spans="1:7" ht="12.75">
      <c r="A94" s="476"/>
      <c r="B94" s="482" t="s">
        <v>96</v>
      </c>
      <c r="C94" s="495"/>
      <c r="D94" s="495"/>
      <c r="E94" s="495"/>
      <c r="F94" s="489">
        <f>G29</f>
        <v>-77</v>
      </c>
      <c r="G94" s="495"/>
    </row>
    <row r="95" spans="1:7" ht="12.75">
      <c r="A95" s="476"/>
      <c r="B95" s="482" t="s">
        <v>97</v>
      </c>
      <c r="C95" s="495"/>
      <c r="D95" s="495"/>
      <c r="E95" s="495"/>
      <c r="F95" s="489">
        <f>G30</f>
        <v>-2</v>
      </c>
      <c r="G95" s="495"/>
    </row>
    <row r="96" spans="1:7" ht="12.75">
      <c r="A96" s="476"/>
      <c r="B96" s="482" t="s">
        <v>152</v>
      </c>
      <c r="C96" s="495"/>
      <c r="D96" s="495"/>
      <c r="E96" s="495"/>
      <c r="F96" s="489">
        <f>G31</f>
        <v>-11</v>
      </c>
      <c r="G96" s="495"/>
    </row>
    <row r="97" spans="1:7" ht="12.75">
      <c r="A97" s="476"/>
      <c r="B97" s="476"/>
      <c r="C97" s="495"/>
      <c r="D97" s="495"/>
      <c r="E97" s="495"/>
      <c r="F97" s="489"/>
      <c r="G97" s="495"/>
    </row>
    <row r="98" spans="1:7" ht="12.75">
      <c r="A98" s="476"/>
      <c r="B98" s="482" t="s">
        <v>99</v>
      </c>
      <c r="C98" s="495"/>
      <c r="D98" s="495"/>
      <c r="E98" s="495"/>
      <c r="F98" s="489"/>
      <c r="G98" s="495"/>
    </row>
    <row r="99" spans="1:7" ht="12.75">
      <c r="A99" s="476"/>
      <c r="B99" s="482" t="s">
        <v>145</v>
      </c>
      <c r="C99" s="495"/>
      <c r="D99" s="495"/>
      <c r="E99" s="495"/>
      <c r="F99" s="489">
        <f>G34</f>
        <v>-431</v>
      </c>
      <c r="G99" s="495"/>
    </row>
    <row r="100" spans="1:7" ht="12.75">
      <c r="A100" s="476"/>
      <c r="B100" s="482" t="s">
        <v>150</v>
      </c>
      <c r="C100" s="495"/>
      <c r="D100" s="495"/>
      <c r="E100" s="495"/>
      <c r="F100" s="489">
        <f>G35</f>
        <v>0</v>
      </c>
      <c r="G100" s="495"/>
    </row>
    <row r="101" spans="1:7" ht="12.75">
      <c r="A101" s="476"/>
      <c r="B101" s="482" t="s">
        <v>148</v>
      </c>
      <c r="C101" s="495"/>
      <c r="D101" s="495"/>
      <c r="E101" s="495"/>
      <c r="F101" s="491">
        <f>G36</f>
        <v>0</v>
      </c>
      <c r="G101" s="495"/>
    </row>
    <row r="102" spans="1:7" ht="12.75">
      <c r="A102" s="476"/>
      <c r="B102" s="482" t="s">
        <v>153</v>
      </c>
      <c r="C102" s="495"/>
      <c r="D102" s="495"/>
      <c r="E102" s="495"/>
      <c r="F102" s="489">
        <f>F99+F100+F101</f>
        <v>-431</v>
      </c>
      <c r="G102" s="495"/>
    </row>
    <row r="103" spans="1:7" ht="12.75">
      <c r="A103" s="476"/>
      <c r="B103" s="495"/>
      <c r="C103" s="495"/>
      <c r="D103" s="495"/>
      <c r="E103" s="495"/>
      <c r="F103" s="489"/>
      <c r="G103" s="495"/>
    </row>
    <row r="104" spans="1:7" ht="12.75">
      <c r="A104" s="476"/>
      <c r="B104" s="495" t="s">
        <v>101</v>
      </c>
      <c r="C104" s="495"/>
      <c r="D104" s="495"/>
      <c r="E104" s="495"/>
      <c r="F104" s="490">
        <f>F86+F92+F94+F95+F96+F102</f>
        <v>-904</v>
      </c>
      <c r="G104" s="495"/>
    </row>
    <row r="105" spans="1:7" ht="12.75">
      <c r="A105" s="476"/>
      <c r="B105" s="495"/>
      <c r="C105" s="495"/>
      <c r="D105" s="495"/>
      <c r="E105" s="495"/>
      <c r="F105" s="489"/>
      <c r="G105" s="495"/>
    </row>
    <row r="106" spans="1:7" ht="12.75">
      <c r="A106" s="476"/>
      <c r="B106" s="495" t="s">
        <v>220</v>
      </c>
      <c r="C106" s="495"/>
      <c r="D106" s="495"/>
      <c r="E106" s="495"/>
      <c r="F106" s="491">
        <f>F78-F104</f>
        <v>904</v>
      </c>
      <c r="G106" s="495"/>
    </row>
    <row r="107" spans="1:7" ht="12.75">
      <c r="A107" s="476"/>
      <c r="B107" s="495"/>
      <c r="C107" s="495"/>
      <c r="D107" s="495"/>
      <c r="E107" s="495"/>
      <c r="F107" s="489"/>
      <c r="G107" s="495"/>
    </row>
    <row r="108" spans="1:7" ht="12.75">
      <c r="A108" s="476"/>
      <c r="B108" s="495" t="s">
        <v>221</v>
      </c>
      <c r="C108" s="495"/>
      <c r="D108" s="495"/>
      <c r="E108" s="496"/>
      <c r="F108" s="489"/>
      <c r="G108" s="495"/>
    </row>
    <row r="109" spans="1:7" ht="13.5" thickBot="1">
      <c r="A109" s="476"/>
      <c r="B109" s="506" t="s">
        <v>222</v>
      </c>
      <c r="C109" s="507">
        <f>Inputs!$D$4</f>
        <v>0.01065</v>
      </c>
      <c r="D109" s="495"/>
      <c r="E109" s="496"/>
      <c r="F109" s="494">
        <f>ROUND(F106*C109,0)</f>
        <v>10</v>
      </c>
      <c r="G109" s="495"/>
    </row>
    <row r="110" spans="1:7" ht="13.5" thickTop="1">
      <c r="A110" s="476"/>
      <c r="B110" s="495"/>
      <c r="C110" s="495"/>
      <c r="D110" s="495"/>
      <c r="E110" s="496"/>
      <c r="F110" s="497"/>
      <c r="G110" s="495"/>
    </row>
  </sheetData>
  <printOptions/>
  <pageMargins left="0.75" right="0.75" top="0.5" bottom="0.18" header="0.48" footer="0"/>
  <pageSetup horizontalDpi="600" verticalDpi="600" orientation="portrait" scale="87" r:id="rId1"/>
  <rowBreaks count="1" manualBreakCount="1">
    <brk id="64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38">
      <selection activeCell="F62" sqref="F62"/>
    </sheetView>
  </sheetViews>
  <sheetFormatPr defaultColWidth="9.140625" defaultRowHeight="12.75"/>
  <cols>
    <col min="1" max="1" width="5.57421875" style="44" customWidth="1"/>
    <col min="2" max="2" width="26.140625" style="41" customWidth="1"/>
    <col min="3" max="3" width="12.421875" style="41" customWidth="1"/>
    <col min="4" max="4" width="6.7109375" style="41" customWidth="1"/>
    <col min="5" max="8" width="12.421875" style="41" customWidth="1"/>
  </cols>
  <sheetData>
    <row r="1" spans="1:3" ht="12.75">
      <c r="A1" s="39" t="str">
        <f>Inputs!$D$6</f>
        <v>AVISTA UTILITIES</v>
      </c>
      <c r="B1" s="40"/>
      <c r="C1" s="39"/>
    </row>
    <row r="2" spans="1:7" ht="12.75">
      <c r="A2" s="39" t="s">
        <v>134</v>
      </c>
      <c r="B2" s="40"/>
      <c r="C2" s="39"/>
      <c r="E2" s="39"/>
      <c r="F2" s="44" t="s">
        <v>406</v>
      </c>
      <c r="G2" s="39"/>
    </row>
    <row r="3" spans="1:7" ht="12.75">
      <c r="A3" s="40" t="str">
        <f>WAElec12_04!$A$4</f>
        <v>TWELVE MONTHS ENDED DECEMBER 31, 2004</v>
      </c>
      <c r="B3" s="40"/>
      <c r="C3" s="39"/>
      <c r="E3" s="39"/>
      <c r="F3" s="44" t="s">
        <v>504</v>
      </c>
      <c r="G3" s="39"/>
    </row>
    <row r="4" spans="1:7" ht="12.75">
      <c r="A4" s="39" t="s">
        <v>1</v>
      </c>
      <c r="B4" s="40"/>
      <c r="C4" s="39"/>
      <c r="E4" s="42"/>
      <c r="F4" s="718" t="s">
        <v>137</v>
      </c>
      <c r="G4" s="43"/>
    </row>
    <row r="5" ht="12.75">
      <c r="A5" s="44" t="s">
        <v>13</v>
      </c>
    </row>
    <row r="6" spans="1:8" ht="12.75">
      <c r="A6" s="44" t="s">
        <v>138</v>
      </c>
      <c r="B6" s="45" t="s">
        <v>34</v>
      </c>
      <c r="C6" s="45"/>
      <c r="D6" s="44"/>
      <c r="E6" s="45" t="s">
        <v>139</v>
      </c>
      <c r="F6" s="45" t="s">
        <v>140</v>
      </c>
      <c r="G6" s="45" t="s">
        <v>123</v>
      </c>
      <c r="H6" s="46" t="s">
        <v>141</v>
      </c>
    </row>
    <row r="7" ht="12.75">
      <c r="B7" s="47" t="s">
        <v>80</v>
      </c>
    </row>
    <row r="8" spans="1:8" ht="12.75">
      <c r="A8" s="48">
        <v>1</v>
      </c>
      <c r="B8" s="49" t="s">
        <v>81</v>
      </c>
      <c r="C8" s="50"/>
      <c r="D8" s="50"/>
      <c r="E8" s="51">
        <f>F8+G8</f>
        <v>0</v>
      </c>
      <c r="F8" s="51">
        <v>0</v>
      </c>
      <c r="G8" s="51">
        <v>0</v>
      </c>
      <c r="H8" s="50" t="str">
        <f aca="true" t="shared" si="0" ref="H8:H13">IF(E8=F8+G8," ","ERROR")</f>
        <v> </v>
      </c>
    </row>
    <row r="9" spans="1:8" ht="12.75">
      <c r="A9" s="44">
        <v>2</v>
      </c>
      <c r="B9" s="47" t="s">
        <v>82</v>
      </c>
      <c r="E9" s="52"/>
      <c r="F9" s="52"/>
      <c r="G9" s="52"/>
      <c r="H9" s="50" t="str">
        <f t="shared" si="0"/>
        <v> </v>
      </c>
    </row>
    <row r="10" spans="1:8" ht="12.75">
      <c r="A10" s="44">
        <v>3</v>
      </c>
      <c r="B10" s="47" t="s">
        <v>142</v>
      </c>
      <c r="E10" s="52"/>
      <c r="F10" s="52"/>
      <c r="G10" s="52"/>
      <c r="H10" s="50" t="str">
        <f t="shared" si="0"/>
        <v> </v>
      </c>
    </row>
    <row r="11" spans="1:8" ht="12.75">
      <c r="A11" s="44">
        <v>4</v>
      </c>
      <c r="B11" s="47" t="s">
        <v>143</v>
      </c>
      <c r="E11" s="53">
        <f>E8+E9+E10</f>
        <v>0</v>
      </c>
      <c r="F11" s="53">
        <f>F8+F9+F10</f>
        <v>0</v>
      </c>
      <c r="G11" s="53">
        <f>G8+G9+G10</f>
        <v>0</v>
      </c>
      <c r="H11" s="50" t="str">
        <f t="shared" si="0"/>
        <v> </v>
      </c>
    </row>
    <row r="12" spans="1:8" ht="12.75">
      <c r="A12" s="44">
        <v>5</v>
      </c>
      <c r="B12" s="47" t="s">
        <v>85</v>
      </c>
      <c r="E12" s="52"/>
      <c r="F12" s="52"/>
      <c r="G12" s="52"/>
      <c r="H12" s="50" t="str">
        <f t="shared" si="0"/>
        <v> </v>
      </c>
    </row>
    <row r="13" spans="1:8" ht="12.75">
      <c r="A13" s="44">
        <v>6</v>
      </c>
      <c r="B13" s="47" t="s">
        <v>144</v>
      </c>
      <c r="E13" s="53">
        <f>E11+E12</f>
        <v>0</v>
      </c>
      <c r="F13" s="53">
        <f>F11+F12</f>
        <v>0</v>
      </c>
      <c r="G13" s="53">
        <f>G11+G12</f>
        <v>0</v>
      </c>
      <c r="H13" s="50" t="str">
        <f t="shared" si="0"/>
        <v> </v>
      </c>
    </row>
    <row r="14" spans="5:8" ht="12.75">
      <c r="E14" s="55"/>
      <c r="F14" s="55"/>
      <c r="G14" s="55"/>
      <c r="H14" s="50"/>
    </row>
    <row r="15" spans="2:8" ht="12.75">
      <c r="B15" s="47" t="s">
        <v>87</v>
      </c>
      <c r="E15" s="55"/>
      <c r="F15" s="55"/>
      <c r="G15" s="55"/>
      <c r="H15" s="50"/>
    </row>
    <row r="16" spans="2:8" ht="12.75">
      <c r="B16" s="47" t="s">
        <v>88</v>
      </c>
      <c r="E16" s="55"/>
      <c r="F16" s="55"/>
      <c r="G16" s="55"/>
      <c r="H16" s="50"/>
    </row>
    <row r="17" spans="1:8" ht="12.75">
      <c r="A17" s="44">
        <v>7</v>
      </c>
      <c r="B17" s="47" t="s">
        <v>145</v>
      </c>
      <c r="E17" s="52">
        <f>F17+G17</f>
        <v>1948</v>
      </c>
      <c r="F17" s="52">
        <v>1948</v>
      </c>
      <c r="G17" s="52"/>
      <c r="H17" s="50" t="str">
        <f>IF(E17=F17+G17," ","ERROR")</f>
        <v> </v>
      </c>
    </row>
    <row r="18" spans="1:8" ht="12.75">
      <c r="A18" s="44">
        <v>8</v>
      </c>
      <c r="B18" s="47" t="s">
        <v>146</v>
      </c>
      <c r="E18" s="52"/>
      <c r="F18" s="52"/>
      <c r="G18" s="52"/>
      <c r="H18" s="50" t="str">
        <f>IF(E18=F18+G18," ","ERROR")</f>
        <v> </v>
      </c>
    </row>
    <row r="19" spans="1:8" ht="12.75">
      <c r="A19" s="44">
        <v>9</v>
      </c>
      <c r="B19" s="47" t="s">
        <v>147</v>
      </c>
      <c r="E19" s="52">
        <f>F19+G19</f>
        <v>1705</v>
      </c>
      <c r="F19" s="52">
        <v>1705</v>
      </c>
      <c r="G19" s="52"/>
      <c r="H19" s="50" t="str">
        <f>IF(E19=F19+G19," ","ERROR")</f>
        <v> </v>
      </c>
    </row>
    <row r="20" spans="1:8" ht="12.75">
      <c r="A20" s="44">
        <v>10</v>
      </c>
      <c r="B20" s="47" t="s">
        <v>148</v>
      </c>
      <c r="E20" s="52">
        <f>F20+G20</f>
        <v>45</v>
      </c>
      <c r="F20" s="52">
        <v>45</v>
      </c>
      <c r="G20" s="52"/>
      <c r="H20" s="50" t="str">
        <f>IF(E20=F20+G20," ","ERROR")</f>
        <v> </v>
      </c>
    </row>
    <row r="21" spans="1:8" ht="12.75">
      <c r="A21" s="44">
        <v>11</v>
      </c>
      <c r="B21" s="47" t="s">
        <v>149</v>
      </c>
      <c r="E21" s="53">
        <f>E17+E18+E19+E20</f>
        <v>3698</v>
      </c>
      <c r="F21" s="53">
        <f>F17+F18+F19+F20</f>
        <v>3698</v>
      </c>
      <c r="G21" s="53">
        <f>G17+G18+G19+G20</f>
        <v>0</v>
      </c>
      <c r="H21" s="50" t="str">
        <f>IF(E21=F21+G21," ","ERROR")</f>
        <v> </v>
      </c>
    </row>
    <row r="22" spans="5:8" ht="12.75">
      <c r="E22" s="55"/>
      <c r="F22" s="55"/>
      <c r="G22" s="55"/>
      <c r="H22" s="50"/>
    </row>
    <row r="23" spans="2:8" ht="12.75">
      <c r="B23" s="47" t="s">
        <v>93</v>
      </c>
      <c r="E23" s="55"/>
      <c r="F23" s="55"/>
      <c r="G23" s="55"/>
      <c r="H23" s="50"/>
    </row>
    <row r="24" spans="1:8" ht="12.75">
      <c r="A24" s="44">
        <v>12</v>
      </c>
      <c r="B24" s="47" t="s">
        <v>145</v>
      </c>
      <c r="E24" s="52"/>
      <c r="F24" s="52"/>
      <c r="G24" s="52"/>
      <c r="H24" s="50" t="str">
        <f>IF(E24=F24+G24," ","ERROR")</f>
        <v> </v>
      </c>
    </row>
    <row r="25" spans="1:8" ht="12.75">
      <c r="A25" s="44">
        <v>13</v>
      </c>
      <c r="B25" s="47" t="s">
        <v>150</v>
      </c>
      <c r="E25" s="52"/>
      <c r="F25" s="52"/>
      <c r="G25" s="52"/>
      <c r="H25" s="50" t="str">
        <f>IF(E25=F25+G25," ","ERROR")</f>
        <v> </v>
      </c>
    </row>
    <row r="26" spans="1:8" ht="12.75">
      <c r="A26" s="44">
        <v>14</v>
      </c>
      <c r="B26" s="47" t="s">
        <v>148</v>
      </c>
      <c r="E26" s="52">
        <f>F26+G26</f>
        <v>0</v>
      </c>
      <c r="F26" s="52">
        <v>0</v>
      </c>
      <c r="G26" s="52"/>
      <c r="H26" s="50" t="str">
        <f>IF(E26=F26+G26," ","ERROR")</f>
        <v> </v>
      </c>
    </row>
    <row r="27" spans="1:8" ht="12.75">
      <c r="A27" s="44">
        <v>15</v>
      </c>
      <c r="B27" s="47" t="s">
        <v>151</v>
      </c>
      <c r="E27" s="53">
        <f>E24+E25+E26</f>
        <v>0</v>
      </c>
      <c r="F27" s="53">
        <f>F24+F25+F26</f>
        <v>0</v>
      </c>
      <c r="G27" s="53">
        <f>G24+G25+G26</f>
        <v>0</v>
      </c>
      <c r="H27" s="50" t="str">
        <f>IF(E27=F27+G27," ","ERROR")</f>
        <v> </v>
      </c>
    </row>
    <row r="28" spans="5:8" ht="12.75">
      <c r="E28" s="55"/>
      <c r="F28" s="55"/>
      <c r="G28" s="55"/>
      <c r="H28" s="50"/>
    </row>
    <row r="29" spans="1:8" ht="12.75">
      <c r="A29" s="44">
        <v>16</v>
      </c>
      <c r="B29" s="47" t="s">
        <v>96</v>
      </c>
      <c r="E29" s="52"/>
      <c r="F29" s="52"/>
      <c r="G29" s="52"/>
      <c r="H29" s="50" t="str">
        <f>IF(E29=F29+G29," ","ERROR")</f>
        <v> </v>
      </c>
    </row>
    <row r="30" spans="1:8" ht="12.75">
      <c r="A30" s="44">
        <v>17</v>
      </c>
      <c r="B30" s="47" t="s">
        <v>97</v>
      </c>
      <c r="E30" s="52"/>
      <c r="F30" s="52"/>
      <c r="G30" s="52"/>
      <c r="H30" s="50" t="str">
        <f>IF(E30=F30+G30," ","ERROR")</f>
        <v> </v>
      </c>
    </row>
    <row r="31" spans="1:8" ht="12.75">
      <c r="A31" s="44">
        <v>18</v>
      </c>
      <c r="B31" s="47" t="s">
        <v>152</v>
      </c>
      <c r="E31" s="52"/>
      <c r="F31" s="52"/>
      <c r="G31" s="52"/>
      <c r="H31" s="50" t="str">
        <f>IF(E31=F31+G31," ","ERROR")</f>
        <v> </v>
      </c>
    </row>
    <row r="32" spans="5:8" ht="12.75">
      <c r="E32" s="55"/>
      <c r="F32" s="55"/>
      <c r="G32" s="55"/>
      <c r="H32" s="50"/>
    </row>
    <row r="33" spans="2:8" ht="12.75">
      <c r="B33" s="47" t="s">
        <v>99</v>
      </c>
      <c r="E33" s="55"/>
      <c r="F33" s="55"/>
      <c r="G33" s="55"/>
      <c r="H33" s="50"/>
    </row>
    <row r="34" spans="1:8" ht="12.75">
      <c r="A34" s="44">
        <v>19</v>
      </c>
      <c r="B34" s="47" t="s">
        <v>145</v>
      </c>
      <c r="E34" s="52">
        <f>SUM(F34:G34)</f>
        <v>156</v>
      </c>
      <c r="F34" s="52">
        <v>156</v>
      </c>
      <c r="G34" s="52"/>
      <c r="H34" s="50" t="str">
        <f>IF(E34=F34+G34," ","ERROR")</f>
        <v> </v>
      </c>
    </row>
    <row r="35" spans="1:8" ht="12.75">
      <c r="A35" s="44">
        <v>20</v>
      </c>
      <c r="B35" s="47" t="s">
        <v>150</v>
      </c>
      <c r="E35" s="52"/>
      <c r="F35" s="52"/>
      <c r="G35" s="52"/>
      <c r="H35" s="50" t="str">
        <f>IF(E35=F35+G35," ","ERROR")</f>
        <v> </v>
      </c>
    </row>
    <row r="36" spans="1:8" ht="12.75">
      <c r="A36" s="44">
        <v>21</v>
      </c>
      <c r="B36" s="47" t="s">
        <v>148</v>
      </c>
      <c r="E36" s="52"/>
      <c r="F36" s="52"/>
      <c r="G36" s="52"/>
      <c r="H36" s="50" t="str">
        <f>IF(E36=F36+G36," ","ERROR")</f>
        <v> </v>
      </c>
    </row>
    <row r="37" spans="1:8" ht="12.75">
      <c r="A37" s="44">
        <v>22</v>
      </c>
      <c r="B37" s="47" t="s">
        <v>153</v>
      </c>
      <c r="E37" s="57">
        <f>E34+E35+E36</f>
        <v>156</v>
      </c>
      <c r="F37" s="57">
        <f>F34+F35+F36</f>
        <v>156</v>
      </c>
      <c r="G37" s="57">
        <f>G34+G35+G36</f>
        <v>0</v>
      </c>
      <c r="H37" s="50" t="str">
        <f>IF(E37=F37+G37," ","ERROR")</f>
        <v> </v>
      </c>
    </row>
    <row r="38" spans="1:8" ht="12.75">
      <c r="A38" s="44">
        <v>23</v>
      </c>
      <c r="B38" s="47" t="s">
        <v>101</v>
      </c>
      <c r="E38" s="58">
        <f>E21+E27+E29+E30+E31+E37</f>
        <v>3854</v>
      </c>
      <c r="F38" s="58">
        <f>F21+F27+F29+F30+F31+F37</f>
        <v>3854</v>
      </c>
      <c r="G38" s="58">
        <f>G21+G27+G29+G30+G31+G37</f>
        <v>0</v>
      </c>
      <c r="H38" s="50" t="str">
        <f>IF(E38=F38+G38," ","ERROR")</f>
        <v> </v>
      </c>
    </row>
    <row r="39" spans="5:8" ht="12.75">
      <c r="E39" s="55"/>
      <c r="F39" s="55"/>
      <c r="G39" s="55"/>
      <c r="H39" s="50"/>
    </row>
    <row r="40" spans="1:8" ht="12.75">
      <c r="A40" s="44">
        <v>24</v>
      </c>
      <c r="B40" s="47" t="s">
        <v>154</v>
      </c>
      <c r="E40" s="55">
        <f>E13-E38</f>
        <v>-3854</v>
      </c>
      <c r="F40" s="55">
        <f>F13-F38</f>
        <v>-3854</v>
      </c>
      <c r="G40" s="55">
        <f>G13-G38</f>
        <v>0</v>
      </c>
      <c r="H40" s="50" t="str">
        <f>IF(E40=F40+G40," ","ERROR")</f>
        <v> </v>
      </c>
    </row>
    <row r="41" spans="2:8" ht="12.75">
      <c r="B41" s="47"/>
      <c r="E41" s="55"/>
      <c r="F41" s="55"/>
      <c r="G41" s="55"/>
      <c r="H41" s="50"/>
    </row>
    <row r="42" spans="2:8" ht="12.75">
      <c r="B42" s="47" t="s">
        <v>155</v>
      </c>
      <c r="E42" s="55"/>
      <c r="F42" s="55"/>
      <c r="G42" s="55"/>
      <c r="H42" s="50"/>
    </row>
    <row r="43" spans="1:8" ht="12.75">
      <c r="A43" s="44">
        <v>25</v>
      </c>
      <c r="B43" s="47" t="s">
        <v>156</v>
      </c>
      <c r="D43" s="59">
        <v>0.35</v>
      </c>
      <c r="E43" s="52">
        <f>F43+G43</f>
        <v>-1349</v>
      </c>
      <c r="F43" s="52">
        <f>ROUND(F40*D43,0)</f>
        <v>-1349</v>
      </c>
      <c r="G43" s="52">
        <f>ROUND(G40*D43,0)</f>
        <v>0</v>
      </c>
      <c r="H43" s="50" t="str">
        <f>IF(E43=F43+G43," ","ERROR")</f>
        <v> </v>
      </c>
    </row>
    <row r="44" spans="1:8" ht="12.75">
      <c r="A44" s="44">
        <v>26</v>
      </c>
      <c r="B44" s="47" t="s">
        <v>157</v>
      </c>
      <c r="E44" s="52"/>
      <c r="F44" s="52"/>
      <c r="G44" s="52"/>
      <c r="H44" s="50" t="str">
        <f>IF(E44=F44+G44," ","ERROR")</f>
        <v> </v>
      </c>
    </row>
    <row r="45" spans="1:8" ht="12.75">
      <c r="A45"/>
      <c r="B45"/>
      <c r="C45"/>
      <c r="D45"/>
      <c r="E45" s="943"/>
      <c r="F45" s="943"/>
      <c r="G45" s="943"/>
      <c r="H45" s="50" t="str">
        <f>IF(E45=F45+G45," ","ERROR")</f>
        <v> </v>
      </c>
    </row>
    <row r="46" spans="1:8" ht="12.75">
      <c r="A46" s="278"/>
      <c r="B46" s="281"/>
      <c r="C46" s="275"/>
      <c r="D46" s="275"/>
      <c r="E46" s="288"/>
      <c r="F46" s="288"/>
      <c r="G46" s="288"/>
      <c r="H46" s="50"/>
    </row>
    <row r="47" spans="1:8" ht="12.75">
      <c r="A47" s="282">
        <v>27</v>
      </c>
      <c r="B47" s="283" t="s">
        <v>108</v>
      </c>
      <c r="C47" s="284"/>
      <c r="D47" s="284"/>
      <c r="E47" s="292">
        <f>E40-SUM(E43:E44)</f>
        <v>-2505</v>
      </c>
      <c r="F47" s="292">
        <f>F40-SUM(F43:F44)</f>
        <v>-2505</v>
      </c>
      <c r="G47" s="292">
        <f>G40-SUM(G43:G44)</f>
        <v>0</v>
      </c>
      <c r="H47" s="50" t="str">
        <f>IF(E47=F47+G47," ","ERROR")</f>
        <v> </v>
      </c>
    </row>
    <row r="48" spans="1:8" ht="12.75">
      <c r="A48" s="278"/>
      <c r="H48" s="50"/>
    </row>
    <row r="49" spans="1:8" ht="12.75">
      <c r="A49" s="278"/>
      <c r="B49" s="47" t="s">
        <v>109</v>
      </c>
      <c r="H49" s="50"/>
    </row>
    <row r="50" spans="1:8" ht="12.75">
      <c r="A50" s="278"/>
      <c r="B50" s="47" t="s">
        <v>110</v>
      </c>
      <c r="H50" s="50"/>
    </row>
    <row r="51" spans="1:8" ht="12.75">
      <c r="A51" s="282">
        <v>28</v>
      </c>
      <c r="B51" s="49" t="s">
        <v>159</v>
      </c>
      <c r="C51" s="50"/>
      <c r="D51" s="50"/>
      <c r="E51" s="51"/>
      <c r="F51" s="51"/>
      <c r="G51" s="51"/>
      <c r="H51" s="50" t="str">
        <f aca="true" t="shared" si="1" ref="H51:H61">IF(E51=F51+G51," ","ERROR")</f>
        <v> </v>
      </c>
    </row>
    <row r="52" spans="1:8" ht="12.75">
      <c r="A52" s="278">
        <v>29</v>
      </c>
      <c r="B52" s="47" t="s">
        <v>160</v>
      </c>
      <c r="E52" s="52">
        <f>F52+G52</f>
        <v>39069</v>
      </c>
      <c r="F52" s="52">
        <v>39069</v>
      </c>
      <c r="G52" s="52"/>
      <c r="H52" s="50" t="str">
        <f t="shared" si="1"/>
        <v> </v>
      </c>
    </row>
    <row r="53" spans="1:8" ht="12.75">
      <c r="A53" s="278">
        <v>30</v>
      </c>
      <c r="B53" s="47" t="s">
        <v>161</v>
      </c>
      <c r="E53" s="52">
        <f>F53+G53</f>
        <v>2960</v>
      </c>
      <c r="F53" s="52">
        <v>2960</v>
      </c>
      <c r="G53" s="52"/>
      <c r="H53" s="50" t="str">
        <f t="shared" si="1"/>
        <v> </v>
      </c>
    </row>
    <row r="54" spans="1:8" ht="12.75">
      <c r="A54" s="278">
        <v>31</v>
      </c>
      <c r="B54" s="47" t="s">
        <v>162</v>
      </c>
      <c r="E54" s="52"/>
      <c r="F54" s="52"/>
      <c r="G54" s="52"/>
      <c r="H54" s="50" t="str">
        <f t="shared" si="1"/>
        <v> </v>
      </c>
    </row>
    <row r="55" spans="1:8" ht="12.75">
      <c r="A55" s="278">
        <v>32</v>
      </c>
      <c r="B55" s="47" t="s">
        <v>163</v>
      </c>
      <c r="E55" s="56"/>
      <c r="F55" s="56"/>
      <c r="G55" s="56"/>
      <c r="H55" s="50" t="str">
        <f t="shared" si="1"/>
        <v> </v>
      </c>
    </row>
    <row r="56" spans="1:8" ht="12.75">
      <c r="A56" s="278">
        <v>33</v>
      </c>
      <c r="B56" s="47" t="s">
        <v>164</v>
      </c>
      <c r="E56" s="55">
        <f>E51+E52+E53+E54+E55</f>
        <v>42029</v>
      </c>
      <c r="F56" s="55">
        <f>F51+F52+F53+F54+F55</f>
        <v>42029</v>
      </c>
      <c r="G56" s="55">
        <f>G51+G52+G53+G54+G55</f>
        <v>0</v>
      </c>
      <c r="H56" s="50" t="str">
        <f t="shared" si="1"/>
        <v> </v>
      </c>
    </row>
    <row r="57" spans="1:8" ht="12.75">
      <c r="A57" s="278">
        <v>34</v>
      </c>
      <c r="B57" s="47" t="s">
        <v>116</v>
      </c>
      <c r="E57" s="52">
        <f>F57+G57</f>
        <v>853</v>
      </c>
      <c r="F57" s="52">
        <v>853</v>
      </c>
      <c r="G57" s="52"/>
      <c r="H57" s="50" t="str">
        <f t="shared" si="1"/>
        <v> </v>
      </c>
    </row>
    <row r="58" spans="1:8" ht="12.75">
      <c r="A58" s="278">
        <v>35</v>
      </c>
      <c r="B58" s="47" t="s">
        <v>117</v>
      </c>
      <c r="E58" s="56"/>
      <c r="F58" s="56"/>
      <c r="G58" s="56"/>
      <c r="H58" s="50" t="str">
        <f t="shared" si="1"/>
        <v> </v>
      </c>
    </row>
    <row r="59" spans="1:8" ht="12.75">
      <c r="A59" s="278">
        <v>36</v>
      </c>
      <c r="B59" s="47" t="s">
        <v>165</v>
      </c>
      <c r="E59" s="55">
        <f>E57+E58</f>
        <v>853</v>
      </c>
      <c r="F59" s="55">
        <f>F57+F58</f>
        <v>853</v>
      </c>
      <c r="G59" s="55">
        <f>G57+G58</f>
        <v>0</v>
      </c>
      <c r="H59" s="50" t="str">
        <f t="shared" si="1"/>
        <v> </v>
      </c>
    </row>
    <row r="60" spans="1:8" ht="12.75">
      <c r="A60" s="278">
        <v>37</v>
      </c>
      <c r="B60" s="47" t="s">
        <v>119</v>
      </c>
      <c r="E60" s="52"/>
      <c r="F60" s="52"/>
      <c r="G60" s="52"/>
      <c r="H60" s="50" t="str">
        <f t="shared" si="1"/>
        <v> </v>
      </c>
    </row>
    <row r="61" spans="1:8" ht="12.75">
      <c r="A61" s="278">
        <v>38</v>
      </c>
      <c r="B61" s="47" t="s">
        <v>120</v>
      </c>
      <c r="E61" s="56">
        <f>F61+G61</f>
        <v>-175</v>
      </c>
      <c r="F61" s="56">
        <v>-175</v>
      </c>
      <c r="G61" s="56"/>
      <c r="H61" s="50" t="str">
        <f t="shared" si="1"/>
        <v> </v>
      </c>
    </row>
    <row r="62" spans="1:8" ht="12.75">
      <c r="A62" s="278"/>
      <c r="H62" s="50"/>
    </row>
    <row r="63" spans="1:8" ht="13.5" thickBot="1">
      <c r="A63" s="282">
        <v>39</v>
      </c>
      <c r="B63" s="49" t="s">
        <v>121</v>
      </c>
      <c r="C63" s="50"/>
      <c r="D63" s="50"/>
      <c r="E63" s="60">
        <f>E56-E59+E60+E61</f>
        <v>41001</v>
      </c>
      <c r="F63" s="60">
        <f>F56-F59+F60+F61</f>
        <v>41001</v>
      </c>
      <c r="G63" s="60">
        <f>G56-G59+G60+G61</f>
        <v>0</v>
      </c>
      <c r="H63" s="50" t="str">
        <f>IF(E63=F63+G63," ","ERROR")</f>
        <v> </v>
      </c>
    </row>
    <row r="64" spans="1:8" ht="13.5" thickTop="1">
      <c r="A64" s="41"/>
      <c r="B64" s="66"/>
      <c r="C64" s="66"/>
      <c r="D64" s="66"/>
      <c r="E64" s="719"/>
      <c r="F64" s="720"/>
      <c r="G64" s="66"/>
      <c r="H64" s="66"/>
    </row>
  </sheetData>
  <printOptions/>
  <pageMargins left="1" right="1" top="0.5" bottom="0.25" header="0.5" footer="0.5"/>
  <pageSetup horizontalDpi="600" verticalDpi="600" orientation="portrait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C8" sqref="C8"/>
    </sheetView>
  </sheetViews>
  <sheetFormatPr defaultColWidth="9.140625" defaultRowHeight="12.75"/>
  <cols>
    <col min="1" max="1" width="6.421875" style="165" customWidth="1"/>
    <col min="2" max="2" width="26.140625" style="162" customWidth="1"/>
    <col min="3" max="3" width="12.421875" style="162" customWidth="1"/>
    <col min="4" max="4" width="6.7109375" style="162" customWidth="1"/>
    <col min="5" max="6" width="12.421875" style="162" customWidth="1"/>
    <col min="7" max="7" width="11.7109375" style="162" customWidth="1"/>
    <col min="8" max="8" width="11.7109375" style="78" customWidth="1"/>
    <col min="9" max="16384" width="12.421875" style="162" customWidth="1"/>
  </cols>
  <sheetData>
    <row r="1" spans="1:3" ht="12">
      <c r="A1" s="160" t="str">
        <f>Inputs!$D$6</f>
        <v>AVISTA UTILITIES</v>
      </c>
      <c r="B1" s="161"/>
      <c r="C1" s="160"/>
    </row>
    <row r="2" spans="1:7" ht="12">
      <c r="A2" s="160" t="s">
        <v>134</v>
      </c>
      <c r="B2" s="161"/>
      <c r="C2" s="160"/>
      <c r="E2" s="160" t="s">
        <v>263</v>
      </c>
      <c r="F2" s="160"/>
      <c r="G2" s="160"/>
    </row>
    <row r="3" spans="1:7" ht="12">
      <c r="A3" s="161" t="str">
        <f>WAElec12_04!$A$4</f>
        <v>TWELVE MONTHS ENDED DECEMBER 31, 2004</v>
      </c>
      <c r="B3" s="161"/>
      <c r="C3" s="160"/>
      <c r="E3" s="160" t="s">
        <v>413</v>
      </c>
      <c r="F3" s="160"/>
      <c r="G3" s="160"/>
    </row>
    <row r="4" spans="1:7" ht="12">
      <c r="A4" s="160" t="s">
        <v>1</v>
      </c>
      <c r="B4" s="161"/>
      <c r="C4" s="160"/>
      <c r="E4" s="163" t="s">
        <v>137</v>
      </c>
      <c r="F4" s="163"/>
      <c r="G4" s="164"/>
    </row>
    <row r="5" ht="12">
      <c r="A5" s="165" t="s">
        <v>13</v>
      </c>
    </row>
    <row r="6" spans="1:8" s="165" customFormat="1" ht="12">
      <c r="A6" s="165" t="s">
        <v>138</v>
      </c>
      <c r="B6" s="166" t="s">
        <v>34</v>
      </c>
      <c r="C6" s="166"/>
      <c r="E6" s="166" t="s">
        <v>139</v>
      </c>
      <c r="F6" s="166" t="s">
        <v>140</v>
      </c>
      <c r="G6" s="166" t="s">
        <v>123</v>
      </c>
      <c r="H6" s="85" t="s">
        <v>141</v>
      </c>
    </row>
    <row r="7" ht="12">
      <c r="B7" s="167" t="s">
        <v>80</v>
      </c>
    </row>
    <row r="8" spans="1:8" s="170" customFormat="1" ht="12">
      <c r="A8" s="168">
        <v>1</v>
      </c>
      <c r="B8" s="169" t="s">
        <v>81</v>
      </c>
      <c r="E8" s="171">
        <f>F8+G8</f>
        <v>0</v>
      </c>
      <c r="F8" s="171"/>
      <c r="G8" s="171"/>
      <c r="H8" s="89" t="str">
        <f aca="true" t="shared" si="0" ref="H8:H13">IF(E8=F8+G8," ","ERROR")</f>
        <v> </v>
      </c>
    </row>
    <row r="9" spans="1:8" ht="12">
      <c r="A9" s="165">
        <v>2</v>
      </c>
      <c r="B9" s="167" t="s">
        <v>82</v>
      </c>
      <c r="E9" s="172"/>
      <c r="F9" s="172"/>
      <c r="G9" s="172"/>
      <c r="H9" s="89" t="str">
        <f t="shared" si="0"/>
        <v> </v>
      </c>
    </row>
    <row r="10" spans="1:8" ht="12">
      <c r="A10" s="165">
        <v>3</v>
      </c>
      <c r="B10" s="167" t="s">
        <v>142</v>
      </c>
      <c r="E10" s="172"/>
      <c r="F10" s="172"/>
      <c r="G10" s="172"/>
      <c r="H10" s="89" t="str">
        <f t="shared" si="0"/>
        <v> </v>
      </c>
    </row>
    <row r="11" spans="1:8" ht="12">
      <c r="A11" s="165">
        <v>4</v>
      </c>
      <c r="B11" s="167" t="s">
        <v>143</v>
      </c>
      <c r="E11" s="173">
        <f>E8+E9+E10</f>
        <v>0</v>
      </c>
      <c r="F11" s="173">
        <f>F8+F9+F10</f>
        <v>0</v>
      </c>
      <c r="G11" s="173">
        <f>G8+G9+G10</f>
        <v>0</v>
      </c>
      <c r="H11" s="89" t="str">
        <f t="shared" si="0"/>
        <v> </v>
      </c>
    </row>
    <row r="12" spans="1:8" ht="12">
      <c r="A12" s="165">
        <v>5</v>
      </c>
      <c r="B12" s="167" t="s">
        <v>85</v>
      </c>
      <c r="E12" s="172"/>
      <c r="F12" s="172"/>
      <c r="G12" s="172"/>
      <c r="H12" s="89" t="str">
        <f t="shared" si="0"/>
        <v> </v>
      </c>
    </row>
    <row r="13" spans="1:8" ht="12">
      <c r="A13" s="165">
        <v>6</v>
      </c>
      <c r="B13" s="167" t="s">
        <v>144</v>
      </c>
      <c r="E13" s="173">
        <f>E11+E12</f>
        <v>0</v>
      </c>
      <c r="F13" s="173">
        <f>F11+F12</f>
        <v>0</v>
      </c>
      <c r="G13" s="173">
        <f>G11+G12</f>
        <v>0</v>
      </c>
      <c r="H13" s="89" t="str">
        <f t="shared" si="0"/>
        <v> </v>
      </c>
    </row>
    <row r="14" spans="5:8" ht="12">
      <c r="E14" s="174"/>
      <c r="F14" s="174"/>
      <c r="G14" s="174"/>
      <c r="H14" s="89"/>
    </row>
    <row r="15" spans="2:8" ht="12">
      <c r="B15" s="167" t="s">
        <v>87</v>
      </c>
      <c r="E15" s="174"/>
      <c r="F15" s="174"/>
      <c r="G15" s="174"/>
      <c r="H15" s="89"/>
    </row>
    <row r="16" spans="2:8" ht="12">
      <c r="B16" s="167" t="s">
        <v>88</v>
      </c>
      <c r="E16" s="174"/>
      <c r="F16" s="174"/>
      <c r="G16" s="174"/>
      <c r="H16" s="89"/>
    </row>
    <row r="17" spans="1:8" ht="12">
      <c r="A17" s="165">
        <v>7</v>
      </c>
      <c r="B17" s="167" t="s">
        <v>145</v>
      </c>
      <c r="E17" s="172"/>
      <c r="F17" s="172"/>
      <c r="G17" s="172"/>
      <c r="H17" s="89" t="str">
        <f>IF(E17=F17+G17," ","ERROR")</f>
        <v> </v>
      </c>
    </row>
    <row r="18" spans="1:8" ht="12">
      <c r="A18" s="165">
        <v>8</v>
      </c>
      <c r="B18" s="167" t="s">
        <v>146</v>
      </c>
      <c r="E18" s="172"/>
      <c r="F18" s="172"/>
      <c r="G18" s="172"/>
      <c r="H18" s="89" t="str">
        <f>IF(E18=F18+G18," ","ERROR")</f>
        <v> </v>
      </c>
    </row>
    <row r="19" spans="1:8" ht="12">
      <c r="A19" s="165">
        <v>9</v>
      </c>
      <c r="B19" s="167" t="s">
        <v>147</v>
      </c>
      <c r="E19" s="172">
        <f>F19+G19</f>
        <v>-1776</v>
      </c>
      <c r="F19" s="172">
        <v>-1776</v>
      </c>
      <c r="G19" s="172">
        <v>0</v>
      </c>
      <c r="H19" s="89" t="str">
        <f>IF(E19=F19+G19," ","ERROR")</f>
        <v> </v>
      </c>
    </row>
    <row r="20" spans="1:8" ht="12">
      <c r="A20" s="165">
        <v>10</v>
      </c>
      <c r="B20" s="167" t="s">
        <v>148</v>
      </c>
      <c r="E20" s="172"/>
      <c r="F20" s="172"/>
      <c r="G20" s="172"/>
      <c r="H20" s="89" t="str">
        <f>IF(E20=F20+G20," ","ERROR")</f>
        <v> </v>
      </c>
    </row>
    <row r="21" spans="1:8" ht="12">
      <c r="A21" s="165">
        <v>11</v>
      </c>
      <c r="B21" s="167" t="s">
        <v>149</v>
      </c>
      <c r="E21" s="173">
        <f>E17+E18+E19+E20</f>
        <v>-1776</v>
      </c>
      <c r="F21" s="173">
        <f>F17+F18+F19+F20</f>
        <v>-1776</v>
      </c>
      <c r="G21" s="173">
        <f>G17+G18+G19+G20</f>
        <v>0</v>
      </c>
      <c r="H21" s="89" t="str">
        <f>IF(E21=F21+G21," ","ERROR")</f>
        <v> </v>
      </c>
    </row>
    <row r="22" spans="5:8" ht="12">
      <c r="E22" s="174"/>
      <c r="F22" s="174"/>
      <c r="G22" s="174"/>
      <c r="H22" s="89"/>
    </row>
    <row r="23" spans="2:8" ht="12">
      <c r="B23" s="167" t="s">
        <v>93</v>
      </c>
      <c r="E23" s="174"/>
      <c r="F23" s="174"/>
      <c r="G23" s="174"/>
      <c r="H23" s="89"/>
    </row>
    <row r="24" spans="1:8" ht="12">
      <c r="A24" s="165">
        <v>12</v>
      </c>
      <c r="B24" s="167" t="s">
        <v>145</v>
      </c>
      <c r="E24" s="172"/>
      <c r="F24" s="172"/>
      <c r="G24" s="172"/>
      <c r="H24" s="89" t="str">
        <f>IF(E24=F24+G24," ","ERROR")</f>
        <v> </v>
      </c>
    </row>
    <row r="25" spans="1:8" ht="12">
      <c r="A25" s="165">
        <v>13</v>
      </c>
      <c r="B25" s="167" t="s">
        <v>150</v>
      </c>
      <c r="E25" s="172"/>
      <c r="F25" s="172"/>
      <c r="G25" s="172"/>
      <c r="H25" s="89" t="str">
        <f>IF(E25=F25+G25," ","ERROR")</f>
        <v> </v>
      </c>
    </row>
    <row r="26" spans="1:8" ht="12">
      <c r="A26" s="165">
        <v>14</v>
      </c>
      <c r="B26" s="167" t="s">
        <v>148</v>
      </c>
      <c r="E26" s="172">
        <f>F26+G26</f>
        <v>0</v>
      </c>
      <c r="F26" s="172"/>
      <c r="G26" s="175"/>
      <c r="H26" s="89" t="str">
        <f>IF(E26=F26+G26," ","ERROR")</f>
        <v> </v>
      </c>
    </row>
    <row r="27" spans="1:8" ht="12">
      <c r="A27" s="165">
        <v>15</v>
      </c>
      <c r="B27" s="167" t="s">
        <v>151</v>
      </c>
      <c r="E27" s="173">
        <f>E24+E25+E26</f>
        <v>0</v>
      </c>
      <c r="F27" s="173">
        <f>F24+F25+F26</f>
        <v>0</v>
      </c>
      <c r="G27" s="173">
        <f>G24+G25+G26</f>
        <v>0</v>
      </c>
      <c r="H27" s="89" t="str">
        <f>IF(E27=F27+G27," ","ERROR")</f>
        <v> </v>
      </c>
    </row>
    <row r="28" spans="5:8" ht="12">
      <c r="E28" s="174"/>
      <c r="F28" s="174"/>
      <c r="G28" s="174"/>
      <c r="H28" s="89"/>
    </row>
    <row r="29" spans="1:8" ht="12">
      <c r="A29" s="165">
        <v>16</v>
      </c>
      <c r="B29" s="167" t="s">
        <v>96</v>
      </c>
      <c r="E29" s="172">
        <f>F29+G29</f>
        <v>0</v>
      </c>
      <c r="F29" s="172"/>
      <c r="G29" s="172"/>
      <c r="H29" s="89" t="str">
        <f>IF(E29=F29+G29," ","ERROR")</f>
        <v> </v>
      </c>
    </row>
    <row r="30" spans="1:8" ht="12">
      <c r="A30" s="165">
        <v>17</v>
      </c>
      <c r="B30" s="167" t="s">
        <v>97</v>
      </c>
      <c r="E30" s="172"/>
      <c r="F30" s="172"/>
      <c r="G30" s="172"/>
      <c r="H30" s="89" t="str">
        <f>IF(E30=F30+G30," ","ERROR")</f>
        <v> </v>
      </c>
    </row>
    <row r="31" spans="1:8" ht="12">
      <c r="A31" s="165">
        <v>18</v>
      </c>
      <c r="B31" s="167" t="s">
        <v>152</v>
      </c>
      <c r="E31" s="172"/>
      <c r="F31" s="172"/>
      <c r="G31" s="172"/>
      <c r="H31" s="89" t="str">
        <f>IF(E31=F31+G31," ","ERROR")</f>
        <v> </v>
      </c>
    </row>
    <row r="32" spans="5:8" ht="12">
      <c r="E32" s="174"/>
      <c r="F32" s="174"/>
      <c r="G32" s="174"/>
      <c r="H32" s="89"/>
    </row>
    <row r="33" spans="2:8" ht="12">
      <c r="B33" s="167" t="s">
        <v>99</v>
      </c>
      <c r="E33" s="174"/>
      <c r="F33" s="174"/>
      <c r="G33" s="174"/>
      <c r="H33" s="89"/>
    </row>
    <row r="34" spans="1:8" ht="12">
      <c r="A34" s="165">
        <v>19</v>
      </c>
      <c r="B34" s="167" t="s">
        <v>145</v>
      </c>
      <c r="E34" s="172">
        <f>F34+G34</f>
        <v>0</v>
      </c>
      <c r="F34" s="172"/>
      <c r="G34" s="172"/>
      <c r="H34" s="89" t="str">
        <f>IF(E34=F34+G34," ","ERROR")</f>
        <v> </v>
      </c>
    </row>
    <row r="35" spans="1:8" ht="12">
      <c r="A35" s="165">
        <v>20</v>
      </c>
      <c r="B35" s="167" t="s">
        <v>150</v>
      </c>
      <c r="E35" s="172"/>
      <c r="F35" s="172"/>
      <c r="G35" s="172"/>
      <c r="H35" s="89" t="str">
        <f>IF(E35=F35+G35," ","ERROR")</f>
        <v> </v>
      </c>
    </row>
    <row r="36" spans="1:8" ht="12">
      <c r="A36" s="165">
        <v>21</v>
      </c>
      <c r="B36" s="167" t="s">
        <v>148</v>
      </c>
      <c r="E36" s="172"/>
      <c r="F36" s="172"/>
      <c r="G36" s="172"/>
      <c r="H36" s="89" t="str">
        <f>IF(E36=F36+G36," ","ERROR")</f>
        <v> </v>
      </c>
    </row>
    <row r="37" spans="1:8" ht="12">
      <c r="A37" s="165">
        <v>22</v>
      </c>
      <c r="B37" s="167" t="s">
        <v>153</v>
      </c>
      <c r="E37" s="176">
        <f>E34+E35+E36</f>
        <v>0</v>
      </c>
      <c r="F37" s="176">
        <f>F34+F35+F36</f>
        <v>0</v>
      </c>
      <c r="G37" s="176">
        <f>G34+G35+G36</f>
        <v>0</v>
      </c>
      <c r="H37" s="89" t="str">
        <f>IF(E37=F37+G37," ","ERROR")</f>
        <v> </v>
      </c>
    </row>
    <row r="38" spans="1:8" ht="12">
      <c r="A38" s="165">
        <v>23</v>
      </c>
      <c r="B38" s="167" t="s">
        <v>101</v>
      </c>
      <c r="E38" s="177">
        <f>E21+E27+E29+E30+E31+E37</f>
        <v>-1776</v>
      </c>
      <c r="F38" s="177">
        <f>F21+F27+F29+F30+F31+F37</f>
        <v>-1776</v>
      </c>
      <c r="G38" s="177">
        <f>G21+G27+G29+G30+G31+G37</f>
        <v>0</v>
      </c>
      <c r="H38" s="89" t="str">
        <f>IF(E38=F38+G38," ","ERROR")</f>
        <v> </v>
      </c>
    </row>
    <row r="39" spans="5:8" ht="12">
      <c r="E39" s="174"/>
      <c r="F39" s="174"/>
      <c r="G39" s="174"/>
      <c r="H39" s="89"/>
    </row>
    <row r="40" spans="1:8" ht="12">
      <c r="A40" s="165">
        <v>24</v>
      </c>
      <c r="B40" s="167" t="s">
        <v>154</v>
      </c>
      <c r="E40" s="174">
        <f>E13-E38</f>
        <v>1776</v>
      </c>
      <c r="F40" s="174">
        <f>F13-F38</f>
        <v>1776</v>
      </c>
      <c r="G40" s="174">
        <f>G13-G38</f>
        <v>0</v>
      </c>
      <c r="H40" s="89" t="str">
        <f>IF(E40=F40+G40," ","ERROR")</f>
        <v> </v>
      </c>
    </row>
    <row r="41" spans="2:8" ht="12">
      <c r="B41" s="167"/>
      <c r="E41" s="174"/>
      <c r="F41" s="174"/>
      <c r="G41" s="174"/>
      <c r="H41" s="89"/>
    </row>
    <row r="42" spans="2:8" ht="12">
      <c r="B42" s="167" t="s">
        <v>155</v>
      </c>
      <c r="E42" s="174"/>
      <c r="F42" s="174"/>
      <c r="G42" s="174"/>
      <c r="H42" s="89"/>
    </row>
    <row r="43" spans="1:8" ht="12">
      <c r="A43" s="165">
        <v>25</v>
      </c>
      <c r="B43" s="167" t="s">
        <v>214</v>
      </c>
      <c r="E43" s="172"/>
      <c r="F43" s="172"/>
      <c r="G43" s="172"/>
      <c r="H43" s="89" t="str">
        <f>IF(E43=F43+G43," ","ERROR")</f>
        <v> </v>
      </c>
    </row>
    <row r="44" spans="1:8" ht="12">
      <c r="A44" s="165">
        <v>26</v>
      </c>
      <c r="B44" s="167" t="s">
        <v>228</v>
      </c>
      <c r="E44" s="172">
        <f>F44+G44</f>
        <v>622</v>
      </c>
      <c r="F44" s="172">
        <f>ROUND(0.35*F40,0)</f>
        <v>622</v>
      </c>
      <c r="G44" s="172"/>
      <c r="H44" s="89" t="str">
        <f>IF(E44=F44+G44," ","ERROR")</f>
        <v> </v>
      </c>
    </row>
    <row r="45" spans="1:8" ht="12.75">
      <c r="A45"/>
      <c r="B45"/>
      <c r="C45"/>
      <c r="D45"/>
      <c r="E45" s="943"/>
      <c r="F45" s="943"/>
      <c r="G45" s="943"/>
      <c r="H45" s="89" t="str">
        <f>IF(E45=F45+G45," ","ERROR")</f>
        <v> </v>
      </c>
    </row>
    <row r="46" spans="1:8" ht="12">
      <c r="A46" s="278"/>
      <c r="B46" s="281"/>
      <c r="C46" s="275"/>
      <c r="D46" s="275"/>
      <c r="E46" s="288"/>
      <c r="F46" s="288"/>
      <c r="G46" s="288"/>
      <c r="H46" s="89"/>
    </row>
    <row r="47" spans="1:8" s="170" customFormat="1" ht="12">
      <c r="A47" s="282">
        <v>27</v>
      </c>
      <c r="B47" s="283" t="s">
        <v>108</v>
      </c>
      <c r="C47" s="284"/>
      <c r="D47" s="284"/>
      <c r="E47" s="292">
        <f>E40-SUM(E43:E44)</f>
        <v>1154</v>
      </c>
      <c r="F47" s="292">
        <f>F40-SUM(F43:F44)</f>
        <v>1154</v>
      </c>
      <c r="G47" s="292">
        <f>G40-SUM(G43:G44)</f>
        <v>0</v>
      </c>
      <c r="H47" s="89" t="str">
        <f>IF(E47=F47+G47," ","ERROR")</f>
        <v> </v>
      </c>
    </row>
    <row r="48" spans="1:8" ht="12">
      <c r="A48" s="278"/>
      <c r="H48" s="89"/>
    </row>
    <row r="49" spans="1:8" ht="12">
      <c r="A49" s="278"/>
      <c r="B49" s="167" t="s">
        <v>109</v>
      </c>
      <c r="H49" s="89"/>
    </row>
    <row r="50" spans="1:8" ht="12">
      <c r="A50" s="278"/>
      <c r="B50" s="167" t="s">
        <v>110</v>
      </c>
      <c r="H50" s="89"/>
    </row>
    <row r="51" spans="1:8" s="170" customFormat="1" ht="12">
      <c r="A51" s="282">
        <v>28</v>
      </c>
      <c r="B51" s="169" t="s">
        <v>159</v>
      </c>
      <c r="E51" s="171"/>
      <c r="F51" s="171"/>
      <c r="G51" s="171"/>
      <c r="H51" s="89" t="str">
        <f aca="true" t="shared" si="1" ref="H51:H61">IF(E51=F51+G51," ","ERROR")</f>
        <v> </v>
      </c>
    </row>
    <row r="52" spans="1:8" ht="12">
      <c r="A52" s="278">
        <v>29</v>
      </c>
      <c r="B52" s="167" t="s">
        <v>160</v>
      </c>
      <c r="E52" s="172">
        <f>F52+G52</f>
        <v>-14205</v>
      </c>
      <c r="F52" s="172">
        <v>-14205</v>
      </c>
      <c r="G52" s="172"/>
      <c r="H52" s="89" t="str">
        <f t="shared" si="1"/>
        <v> </v>
      </c>
    </row>
    <row r="53" spans="1:8" ht="12">
      <c r="A53" s="278">
        <v>30</v>
      </c>
      <c r="B53" s="167" t="s">
        <v>161</v>
      </c>
      <c r="E53" s="172"/>
      <c r="F53" s="172"/>
      <c r="G53" s="172"/>
      <c r="H53" s="89" t="str">
        <f t="shared" si="1"/>
        <v> </v>
      </c>
    </row>
    <row r="54" spans="1:8" ht="12">
      <c r="A54" s="278">
        <v>31</v>
      </c>
      <c r="B54" s="167" t="s">
        <v>162</v>
      </c>
      <c r="E54" s="172"/>
      <c r="F54" s="172"/>
      <c r="G54" s="172"/>
      <c r="H54" s="89" t="str">
        <f t="shared" si="1"/>
        <v> </v>
      </c>
    </row>
    <row r="55" spans="1:8" ht="12">
      <c r="A55" s="278">
        <v>32</v>
      </c>
      <c r="B55" s="167" t="s">
        <v>163</v>
      </c>
      <c r="E55" s="178"/>
      <c r="F55" s="178"/>
      <c r="G55" s="178"/>
      <c r="H55" s="89" t="str">
        <f t="shared" si="1"/>
        <v> </v>
      </c>
    </row>
    <row r="56" spans="1:8" ht="12">
      <c r="A56" s="278">
        <v>33</v>
      </c>
      <c r="B56" s="167" t="s">
        <v>164</v>
      </c>
      <c r="E56" s="174">
        <f>E51+E52+E53+E54+E55</f>
        <v>-14205</v>
      </c>
      <c r="F56" s="174">
        <f>F51+F52+F53+F54+F55</f>
        <v>-14205</v>
      </c>
      <c r="G56" s="174">
        <f>G51+G52+G53+G54+G55</f>
        <v>0</v>
      </c>
      <c r="H56" s="89" t="str">
        <f t="shared" si="1"/>
        <v> </v>
      </c>
    </row>
    <row r="57" spans="1:8" ht="12">
      <c r="A57" s="278">
        <v>34</v>
      </c>
      <c r="B57" s="167" t="s">
        <v>116</v>
      </c>
      <c r="E57" s="172"/>
      <c r="F57" s="172"/>
      <c r="G57" s="172"/>
      <c r="H57" s="89" t="str">
        <f t="shared" si="1"/>
        <v> </v>
      </c>
    </row>
    <row r="58" spans="1:8" ht="12">
      <c r="A58" s="278">
        <v>35</v>
      </c>
      <c r="B58" s="167" t="s">
        <v>117</v>
      </c>
      <c r="E58" s="178">
        <f>F58+G58</f>
        <v>-10210</v>
      </c>
      <c r="F58" s="178">
        <v>-10210</v>
      </c>
      <c r="G58" s="178"/>
      <c r="H58" s="89" t="str">
        <f t="shared" si="1"/>
        <v> </v>
      </c>
    </row>
    <row r="59" spans="1:8" ht="12">
      <c r="A59" s="278">
        <v>36</v>
      </c>
      <c r="B59" s="167" t="s">
        <v>165</v>
      </c>
      <c r="E59" s="174">
        <f>E57+E58</f>
        <v>-10210</v>
      </c>
      <c r="F59" s="174">
        <f>F57+F58</f>
        <v>-10210</v>
      </c>
      <c r="G59" s="174">
        <f>G57+G58</f>
        <v>0</v>
      </c>
      <c r="H59" s="89" t="str">
        <f t="shared" si="1"/>
        <v> </v>
      </c>
    </row>
    <row r="60" spans="1:8" ht="12">
      <c r="A60" s="278">
        <v>37</v>
      </c>
      <c r="B60" s="167" t="s">
        <v>119</v>
      </c>
      <c r="E60" s="172"/>
      <c r="F60" s="172"/>
      <c r="G60" s="172"/>
      <c r="H60" s="89" t="str">
        <f t="shared" si="1"/>
        <v> </v>
      </c>
    </row>
    <row r="61" spans="1:8" ht="12">
      <c r="A61" s="278">
        <v>38</v>
      </c>
      <c r="B61" s="167" t="s">
        <v>120</v>
      </c>
      <c r="E61" s="178">
        <f>F61+G61</f>
        <v>1088</v>
      </c>
      <c r="F61" s="178">
        <v>1088</v>
      </c>
      <c r="G61" s="178"/>
      <c r="H61" s="89" t="str">
        <f t="shared" si="1"/>
        <v> </v>
      </c>
    </row>
    <row r="62" spans="1:8" ht="12">
      <c r="A62" s="278"/>
      <c r="H62" s="89"/>
    </row>
    <row r="63" spans="1:8" s="170" customFormat="1" ht="12.75" thickBot="1">
      <c r="A63" s="282">
        <v>39</v>
      </c>
      <c r="B63" s="169" t="s">
        <v>121</v>
      </c>
      <c r="E63" s="179">
        <f>E56-E59+E60+E61</f>
        <v>-2907</v>
      </c>
      <c r="F63" s="179">
        <f>F56-F59+F60+F61</f>
        <v>-2907</v>
      </c>
      <c r="G63" s="179">
        <f>G56-G59+G60+G61</f>
        <v>0</v>
      </c>
      <c r="H63" s="89" t="str">
        <f>IF(E63=F63+G63," ","ERROR")</f>
        <v> </v>
      </c>
    </row>
    <row r="64" ht="12.75" thickTop="1"/>
  </sheetData>
  <printOptions horizontalCentered="1"/>
  <pageMargins left="1" right="0.75" top="0.5" bottom="0.5" header="0.5" footer="0.5"/>
  <pageSetup horizontalDpi="300" verticalDpi="300" orientation="portrait" scale="90" r:id="rId1"/>
  <colBreaks count="1" manualBreakCount="1">
    <brk id="7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H110"/>
  <sheetViews>
    <sheetView zoomScale="75" zoomScaleNormal="75" workbookViewId="0" topLeftCell="A1">
      <selection activeCell="F31" sqref="F31"/>
    </sheetView>
  </sheetViews>
  <sheetFormatPr defaultColWidth="9.140625" defaultRowHeight="12.75"/>
  <cols>
    <col min="1" max="1" width="5.57421875" style="183" customWidth="1"/>
    <col min="2" max="2" width="26.140625" style="182" customWidth="1"/>
    <col min="3" max="3" width="12.421875" style="182" customWidth="1"/>
    <col min="4" max="4" width="6.7109375" style="182" customWidth="1"/>
    <col min="5" max="16384" width="12.421875" style="182" customWidth="1"/>
  </cols>
  <sheetData>
    <row r="1" spans="1:3" ht="12">
      <c r="A1" s="180" t="str">
        <f>Inputs!$D$6</f>
        <v>AVISTA UTILITIES</v>
      </c>
      <c r="B1" s="181"/>
      <c r="C1" s="180"/>
    </row>
    <row r="2" spans="1:7" ht="12">
      <c r="A2" s="180" t="s">
        <v>134</v>
      </c>
      <c r="B2" s="181"/>
      <c r="C2" s="180"/>
      <c r="E2" s="180"/>
      <c r="F2" s="183" t="s">
        <v>233</v>
      </c>
      <c r="G2" s="180"/>
    </row>
    <row r="3" spans="1:7" ht="12">
      <c r="A3" s="181" t="str">
        <f>WAElec12_04!$A$4</f>
        <v>TWELVE MONTHS ENDED DECEMBER 31, 2004</v>
      </c>
      <c r="B3" s="181"/>
      <c r="C3" s="180"/>
      <c r="E3" s="180"/>
      <c r="F3" s="183" t="s">
        <v>245</v>
      </c>
      <c r="G3" s="180"/>
    </row>
    <row r="4" spans="1:7" ht="12">
      <c r="A4" s="180" t="s">
        <v>1</v>
      </c>
      <c r="B4" s="181"/>
      <c r="C4" s="180"/>
      <c r="E4" s="184"/>
      <c r="F4" s="185" t="s">
        <v>137</v>
      </c>
      <c r="G4" s="186"/>
    </row>
    <row r="5" ht="12">
      <c r="A5" s="183" t="s">
        <v>13</v>
      </c>
    </row>
    <row r="6" spans="1:8" s="183" customFormat="1" ht="12">
      <c r="A6" s="183" t="s">
        <v>138</v>
      </c>
      <c r="B6" s="187" t="s">
        <v>34</v>
      </c>
      <c r="C6" s="187"/>
      <c r="E6" s="187" t="s">
        <v>139</v>
      </c>
      <c r="F6" s="187" t="s">
        <v>140</v>
      </c>
      <c r="G6" s="187" t="s">
        <v>123</v>
      </c>
      <c r="H6" s="188" t="s">
        <v>141</v>
      </c>
    </row>
    <row r="7" ht="12">
      <c r="B7" s="189" t="s">
        <v>80</v>
      </c>
    </row>
    <row r="8" spans="1:8" s="192" customFormat="1" ht="12">
      <c r="A8" s="190">
        <v>1</v>
      </c>
      <c r="B8" s="191" t="s">
        <v>81</v>
      </c>
      <c r="E8" s="193">
        <f>F8+G8</f>
        <v>0</v>
      </c>
      <c r="F8" s="193"/>
      <c r="G8" s="193"/>
      <c r="H8" s="192" t="str">
        <f aca="true" t="shared" si="0" ref="H8:H13">IF(E8=F8+G8," ","ERROR")</f>
        <v> </v>
      </c>
    </row>
    <row r="9" spans="1:8" ht="12">
      <c r="A9" s="183">
        <v>2</v>
      </c>
      <c r="B9" s="189" t="s">
        <v>82</v>
      </c>
      <c r="E9" s="194"/>
      <c r="F9" s="194"/>
      <c r="G9" s="194"/>
      <c r="H9" s="192" t="str">
        <f t="shared" si="0"/>
        <v> </v>
      </c>
    </row>
    <row r="10" spans="1:8" ht="12">
      <c r="A10" s="183">
        <v>3</v>
      </c>
      <c r="B10" s="189" t="s">
        <v>142</v>
      </c>
      <c r="E10" s="194"/>
      <c r="F10" s="194"/>
      <c r="G10" s="194"/>
      <c r="H10" s="192" t="str">
        <f t="shared" si="0"/>
        <v> </v>
      </c>
    </row>
    <row r="11" spans="1:8" ht="12">
      <c r="A11" s="183">
        <v>4</v>
      </c>
      <c r="B11" s="189" t="s">
        <v>143</v>
      </c>
      <c r="E11" s="195">
        <f>E8+E9+E10</f>
        <v>0</v>
      </c>
      <c r="F11" s="195">
        <f>F8+F9+F10</f>
        <v>0</v>
      </c>
      <c r="G11" s="195">
        <f>G8+G9+G10</f>
        <v>0</v>
      </c>
      <c r="H11" s="192" t="str">
        <f t="shared" si="0"/>
        <v> </v>
      </c>
    </row>
    <row r="12" spans="1:8" ht="12">
      <c r="A12" s="183">
        <v>5</v>
      </c>
      <c r="B12" s="189" t="s">
        <v>85</v>
      </c>
      <c r="E12" s="194"/>
      <c r="F12" s="194"/>
      <c r="G12" s="194"/>
      <c r="H12" s="192" t="str">
        <f t="shared" si="0"/>
        <v> </v>
      </c>
    </row>
    <row r="13" spans="1:8" ht="12">
      <c r="A13" s="183">
        <v>6</v>
      </c>
      <c r="B13" s="189" t="s">
        <v>144</v>
      </c>
      <c r="E13" s="195">
        <f>E11+E12</f>
        <v>0</v>
      </c>
      <c r="F13" s="195">
        <f>F11+F12</f>
        <v>0</v>
      </c>
      <c r="G13" s="195">
        <f>G11+G12</f>
        <v>0</v>
      </c>
      <c r="H13" s="192" t="str">
        <f t="shared" si="0"/>
        <v> </v>
      </c>
    </row>
    <row r="14" spans="5:8" ht="12">
      <c r="E14" s="196"/>
      <c r="F14" s="196"/>
      <c r="G14" s="196"/>
      <c r="H14" s="192"/>
    </row>
    <row r="15" spans="2:8" ht="12">
      <c r="B15" s="189" t="s">
        <v>87</v>
      </c>
      <c r="E15" s="196"/>
      <c r="F15" s="196"/>
      <c r="G15" s="196"/>
      <c r="H15" s="192"/>
    </row>
    <row r="16" spans="2:8" ht="12">
      <c r="B16" s="189" t="s">
        <v>88</v>
      </c>
      <c r="E16" s="196"/>
      <c r="F16" s="196"/>
      <c r="G16" s="196"/>
      <c r="H16" s="192"/>
    </row>
    <row r="17" spans="1:8" ht="12">
      <c r="A17" s="183">
        <v>7</v>
      </c>
      <c r="B17" s="189" t="s">
        <v>145</v>
      </c>
      <c r="E17" s="194"/>
      <c r="F17" s="194"/>
      <c r="G17" s="194"/>
      <c r="H17" s="192" t="str">
        <f>IF(E17=F17+G17," ","ERROR")</f>
        <v> </v>
      </c>
    </row>
    <row r="18" spans="1:8" ht="12">
      <c r="A18" s="183">
        <v>8</v>
      </c>
      <c r="B18" s="189" t="s">
        <v>146</v>
      </c>
      <c r="E18" s="194"/>
      <c r="F18" s="194"/>
      <c r="G18" s="194"/>
      <c r="H18" s="192" t="str">
        <f>IF(E18=F18+G18," ","ERROR")</f>
        <v> </v>
      </c>
    </row>
    <row r="19" spans="1:8" ht="12">
      <c r="A19" s="183">
        <v>9</v>
      </c>
      <c r="B19" s="189" t="s">
        <v>147</v>
      </c>
      <c r="E19" s="194"/>
      <c r="F19" s="194"/>
      <c r="G19" s="194"/>
      <c r="H19" s="192" t="str">
        <f>IF(E19=F19+G19," ","ERROR")</f>
        <v> </v>
      </c>
    </row>
    <row r="20" spans="1:8" ht="12">
      <c r="A20" s="183">
        <v>10</v>
      </c>
      <c r="B20" s="189" t="s">
        <v>148</v>
      </c>
      <c r="E20" s="194"/>
      <c r="F20" s="194"/>
      <c r="G20" s="194"/>
      <c r="H20" s="192" t="str">
        <f>IF(E20=F20+G20," ","ERROR")</f>
        <v> </v>
      </c>
    </row>
    <row r="21" spans="1:8" ht="12">
      <c r="A21" s="183">
        <v>11</v>
      </c>
      <c r="B21" s="189" t="s">
        <v>149</v>
      </c>
      <c r="E21" s="195">
        <f>E17+E18+E19+E20</f>
        <v>0</v>
      </c>
      <c r="F21" s="195">
        <f>F17+F18+F19+F20</f>
        <v>0</v>
      </c>
      <c r="G21" s="195">
        <f>G17+G18+G19+G20</f>
        <v>0</v>
      </c>
      <c r="H21" s="192" t="str">
        <f>IF(E21=F21+G21," ","ERROR")</f>
        <v> </v>
      </c>
    </row>
    <row r="22" spans="5:8" ht="12">
      <c r="E22" s="196"/>
      <c r="F22" s="196"/>
      <c r="G22" s="196"/>
      <c r="H22" s="192"/>
    </row>
    <row r="23" spans="2:8" ht="12">
      <c r="B23" s="189" t="s">
        <v>93</v>
      </c>
      <c r="E23" s="196"/>
      <c r="F23" s="196"/>
      <c r="G23" s="196"/>
      <c r="H23" s="192"/>
    </row>
    <row r="24" spans="1:8" ht="12">
      <c r="A24" s="183">
        <v>12</v>
      </c>
      <c r="B24" s="189" t="s">
        <v>145</v>
      </c>
      <c r="E24" s="194"/>
      <c r="F24" s="194"/>
      <c r="G24" s="194"/>
      <c r="H24" s="192" t="str">
        <f>IF(E24=F24+G24," ","ERROR")</f>
        <v> </v>
      </c>
    </row>
    <row r="25" spans="1:8" ht="12">
      <c r="A25" s="183">
        <v>13</v>
      </c>
      <c r="B25" s="189" t="s">
        <v>150</v>
      </c>
      <c r="E25" s="194"/>
      <c r="F25" s="194"/>
      <c r="G25" s="194"/>
      <c r="H25" s="192" t="str">
        <f>IF(E25=F25+G25," ","ERROR")</f>
        <v> </v>
      </c>
    </row>
    <row r="26" spans="1:8" ht="12">
      <c r="A26" s="183">
        <v>14</v>
      </c>
      <c r="B26" s="189" t="s">
        <v>148</v>
      </c>
      <c r="E26" s="194">
        <f>F26+G26</f>
        <v>0</v>
      </c>
      <c r="F26" s="194"/>
      <c r="G26" s="194">
        <f>G109</f>
        <v>0</v>
      </c>
      <c r="H26" s="192" t="str">
        <f>IF(E26=F26+G26," ","ERROR")</f>
        <v> </v>
      </c>
    </row>
    <row r="27" spans="1:8" ht="12">
      <c r="A27" s="183">
        <v>15</v>
      </c>
      <c r="B27" s="189" t="s">
        <v>151</v>
      </c>
      <c r="E27" s="195">
        <f>E24+E25+E26</f>
        <v>0</v>
      </c>
      <c r="F27" s="195">
        <f>F24+F25+F26</f>
        <v>0</v>
      </c>
      <c r="G27" s="195">
        <f>G24+G25+G26</f>
        <v>0</v>
      </c>
      <c r="H27" s="192" t="str">
        <f>IF(E27=F27+G27," ","ERROR")</f>
        <v> </v>
      </c>
    </row>
    <row r="28" spans="5:8" ht="12">
      <c r="E28" s="196"/>
      <c r="F28" s="196"/>
      <c r="G28" s="196"/>
      <c r="H28" s="192"/>
    </row>
    <row r="29" spans="1:8" ht="12">
      <c r="A29" s="183">
        <v>16</v>
      </c>
      <c r="B29" s="189" t="s">
        <v>96</v>
      </c>
      <c r="E29" s="194">
        <f>SUM(F29:G29)</f>
        <v>-726</v>
      </c>
      <c r="F29" s="194">
        <v>-726</v>
      </c>
      <c r="G29" s="194">
        <v>0</v>
      </c>
      <c r="H29" s="192" t="str">
        <f>IF(E29=F29+G29," ","ERROR")</f>
        <v> </v>
      </c>
    </row>
    <row r="30" spans="1:8" ht="12">
      <c r="A30" s="183">
        <v>17</v>
      </c>
      <c r="B30" s="189" t="s">
        <v>97</v>
      </c>
      <c r="E30" s="194"/>
      <c r="F30" s="194"/>
      <c r="G30" s="194"/>
      <c r="H30" s="192" t="str">
        <f>IF(E30=F30+G30," ","ERROR")</f>
        <v> </v>
      </c>
    </row>
    <row r="31" spans="1:8" ht="12">
      <c r="A31" s="183">
        <v>18</v>
      </c>
      <c r="B31" s="189" t="s">
        <v>152</v>
      </c>
      <c r="E31" s="194"/>
      <c r="F31" s="194"/>
      <c r="G31" s="194"/>
      <c r="H31" s="192" t="str">
        <f>IF(E31=F31+G31," ","ERROR")</f>
        <v> </v>
      </c>
    </row>
    <row r="32" spans="5:8" ht="12">
      <c r="E32" s="196"/>
      <c r="F32" s="196"/>
      <c r="G32" s="196"/>
      <c r="H32" s="192"/>
    </row>
    <row r="33" spans="2:8" ht="12">
      <c r="B33" s="189" t="s">
        <v>99</v>
      </c>
      <c r="E33" s="196"/>
      <c r="F33" s="196"/>
      <c r="G33" s="196"/>
      <c r="H33" s="192"/>
    </row>
    <row r="34" spans="1:8" ht="12">
      <c r="A34" s="183">
        <v>19</v>
      </c>
      <c r="B34" s="189" t="s">
        <v>145</v>
      </c>
      <c r="E34" s="194"/>
      <c r="F34" s="194"/>
      <c r="G34" s="194"/>
      <c r="H34" s="192" t="str">
        <f>IF(E34=F34+G34," ","ERROR")</f>
        <v> </v>
      </c>
    </row>
    <row r="35" spans="1:8" ht="12">
      <c r="A35" s="183">
        <v>20</v>
      </c>
      <c r="B35" s="189" t="s">
        <v>150</v>
      </c>
      <c r="E35" s="194"/>
      <c r="F35" s="194"/>
      <c r="G35" s="194"/>
      <c r="H35" s="192" t="str">
        <f>IF(E35=F35+G35," ","ERROR")</f>
        <v> </v>
      </c>
    </row>
    <row r="36" spans="1:8" ht="12">
      <c r="A36" s="183">
        <v>21</v>
      </c>
      <c r="B36" s="189" t="s">
        <v>148</v>
      </c>
      <c r="E36" s="194"/>
      <c r="F36" s="194"/>
      <c r="G36" s="194"/>
      <c r="H36" s="192" t="str">
        <f>IF(E36=F36+G36," ","ERROR")</f>
        <v> </v>
      </c>
    </row>
    <row r="37" spans="1:8" ht="12">
      <c r="A37" s="183">
        <v>22</v>
      </c>
      <c r="B37" s="189" t="s">
        <v>153</v>
      </c>
      <c r="E37" s="197">
        <f>E34+E35+E36</f>
        <v>0</v>
      </c>
      <c r="F37" s="197">
        <f>F34+F35+F36</f>
        <v>0</v>
      </c>
      <c r="G37" s="197">
        <f>G34+G35+G36</f>
        <v>0</v>
      </c>
      <c r="H37" s="192" t="str">
        <f>IF(E37=F37+G37," ","ERROR")</f>
        <v> </v>
      </c>
    </row>
    <row r="38" spans="1:8" ht="12">
      <c r="A38" s="183">
        <v>23</v>
      </c>
      <c r="B38" s="189" t="s">
        <v>101</v>
      </c>
      <c r="E38" s="198">
        <f>E21+E27+E29+E30+E31+E37</f>
        <v>-726</v>
      </c>
      <c r="F38" s="198">
        <f>F21+F27+F29+F30+F31+F37</f>
        <v>-726</v>
      </c>
      <c r="G38" s="198">
        <f>G21+G27+G29+G30+G31+G37</f>
        <v>0</v>
      </c>
      <c r="H38" s="192" t="str">
        <f>IF(E38=F38+G38," ","ERROR")</f>
        <v> </v>
      </c>
    </row>
    <row r="39" spans="5:8" ht="12">
      <c r="E39" s="196"/>
      <c r="F39" s="196"/>
      <c r="G39" s="196"/>
      <c r="H39" s="192"/>
    </row>
    <row r="40" spans="1:8" ht="12">
      <c r="A40" s="183">
        <v>24</v>
      </c>
      <c r="B40" s="189" t="s">
        <v>154</v>
      </c>
      <c r="E40" s="196">
        <f>E13-E38</f>
        <v>726</v>
      </c>
      <c r="F40" s="196">
        <f>F13-F38</f>
        <v>726</v>
      </c>
      <c r="G40" s="196">
        <f>G13-G38</f>
        <v>0</v>
      </c>
      <c r="H40" s="192" t="str">
        <f>IF(E40=F40+G40," ","ERROR")</f>
        <v> </v>
      </c>
    </row>
    <row r="41" spans="2:8" ht="12">
      <c r="B41" s="189"/>
      <c r="E41" s="196"/>
      <c r="F41" s="196"/>
      <c r="G41" s="196"/>
      <c r="H41" s="192"/>
    </row>
    <row r="42" spans="2:8" ht="12">
      <c r="B42" s="189" t="s">
        <v>155</v>
      </c>
      <c r="E42" s="196"/>
      <c r="F42" s="196"/>
      <c r="G42" s="196"/>
      <c r="H42" s="192"/>
    </row>
    <row r="43" spans="1:8" ht="12">
      <c r="A43" s="183">
        <v>25</v>
      </c>
      <c r="B43" s="189" t="s">
        <v>156</v>
      </c>
      <c r="D43" s="199">
        <v>0.35</v>
      </c>
      <c r="E43" s="194">
        <f>F43+G43</f>
        <v>254</v>
      </c>
      <c r="F43" s="194">
        <f>ROUND(F40*D43,0)</f>
        <v>254</v>
      </c>
      <c r="G43" s="194">
        <f>ROUND(G40*D43,0)</f>
        <v>0</v>
      </c>
      <c r="H43" s="192" t="str">
        <f>IF(E43=F43+G43," ","ERROR")</f>
        <v> </v>
      </c>
    </row>
    <row r="44" spans="1:8" ht="12">
      <c r="A44" s="183">
        <v>26</v>
      </c>
      <c r="B44" s="189" t="s">
        <v>157</v>
      </c>
      <c r="E44" s="194"/>
      <c r="F44" s="194"/>
      <c r="G44" s="194"/>
      <c r="H44" s="192" t="str">
        <f>IF(E44=F44+G44," ","ERROR")</f>
        <v> </v>
      </c>
    </row>
    <row r="45" spans="1:8" ht="12.75">
      <c r="A45"/>
      <c r="B45"/>
      <c r="C45"/>
      <c r="D45"/>
      <c r="E45" s="943"/>
      <c r="F45" s="943"/>
      <c r="G45" s="943"/>
      <c r="H45" s="192" t="str">
        <f>IF(E45=F45+G45," ","ERROR")</f>
        <v> </v>
      </c>
    </row>
    <row r="46" spans="1:8" ht="12">
      <c r="A46" s="278"/>
      <c r="B46" s="281"/>
      <c r="C46" s="275"/>
      <c r="D46" s="275"/>
      <c r="E46" s="288"/>
      <c r="F46" s="288"/>
      <c r="G46" s="288"/>
      <c r="H46" s="192"/>
    </row>
    <row r="47" spans="1:8" s="192" customFormat="1" ht="12">
      <c r="A47" s="282">
        <v>27</v>
      </c>
      <c r="B47" s="283" t="s">
        <v>108</v>
      </c>
      <c r="C47" s="284"/>
      <c r="D47" s="284"/>
      <c r="E47" s="292">
        <f>E40-SUM(E43:E44)</f>
        <v>472</v>
      </c>
      <c r="F47" s="292">
        <f>F40-SUM(F43:F44)</f>
        <v>472</v>
      </c>
      <c r="G47" s="292">
        <f>G40-SUM(G43:G44)</f>
        <v>0</v>
      </c>
      <c r="H47" s="192" t="str">
        <f>IF(E47=F47+G47," ","ERROR")</f>
        <v> </v>
      </c>
    </row>
    <row r="48" spans="1:8" ht="12">
      <c r="A48" s="278"/>
      <c r="H48" s="192"/>
    </row>
    <row r="49" spans="1:8" ht="12">
      <c r="A49" s="278"/>
      <c r="B49" s="189" t="s">
        <v>109</v>
      </c>
      <c r="H49" s="192"/>
    </row>
    <row r="50" spans="1:8" ht="12">
      <c r="A50" s="278"/>
      <c r="B50" s="189" t="s">
        <v>110</v>
      </c>
      <c r="H50" s="192"/>
    </row>
    <row r="51" spans="1:8" s="192" customFormat="1" ht="12">
      <c r="A51" s="282">
        <v>28</v>
      </c>
      <c r="B51" s="191" t="s">
        <v>159</v>
      </c>
      <c r="E51" s="193"/>
      <c r="F51" s="193"/>
      <c r="G51" s="193"/>
      <c r="H51" s="192" t="str">
        <f aca="true" t="shared" si="1" ref="H51:H61">IF(E51=F51+G51," ","ERROR")</f>
        <v> </v>
      </c>
    </row>
    <row r="52" spans="1:8" ht="12">
      <c r="A52" s="278">
        <v>29</v>
      </c>
      <c r="B52" s="189" t="s">
        <v>160</v>
      </c>
      <c r="E52" s="194"/>
      <c r="F52" s="194"/>
      <c r="G52" s="194"/>
      <c r="H52" s="192" t="str">
        <f t="shared" si="1"/>
        <v> </v>
      </c>
    </row>
    <row r="53" spans="1:8" ht="12">
      <c r="A53" s="278">
        <v>30</v>
      </c>
      <c r="B53" s="189" t="s">
        <v>161</v>
      </c>
      <c r="E53" s="194"/>
      <c r="F53" s="194"/>
      <c r="G53" s="194"/>
      <c r="H53" s="192" t="str">
        <f t="shared" si="1"/>
        <v> </v>
      </c>
    </row>
    <row r="54" spans="1:8" ht="12">
      <c r="A54" s="278">
        <v>31</v>
      </c>
      <c r="B54" s="189" t="s">
        <v>162</v>
      </c>
      <c r="E54" s="194"/>
      <c r="F54" s="194"/>
      <c r="G54" s="194"/>
      <c r="H54" s="192" t="str">
        <f t="shared" si="1"/>
        <v> </v>
      </c>
    </row>
    <row r="55" spans="1:8" ht="12">
      <c r="A55" s="278">
        <v>32</v>
      </c>
      <c r="B55" s="189" t="s">
        <v>163</v>
      </c>
      <c r="E55" s="200"/>
      <c r="F55" s="200"/>
      <c r="G55" s="200"/>
      <c r="H55" s="192" t="str">
        <f t="shared" si="1"/>
        <v> </v>
      </c>
    </row>
    <row r="56" spans="1:8" ht="12">
      <c r="A56" s="278">
        <v>33</v>
      </c>
      <c r="B56" s="189" t="s">
        <v>164</v>
      </c>
      <c r="E56" s="196">
        <f>E51+E52+E53+E54+E55</f>
        <v>0</v>
      </c>
      <c r="F56" s="196">
        <f>F51+F52+F53+F54+F55</f>
        <v>0</v>
      </c>
      <c r="G56" s="196">
        <f>G51+G52+G53+G54+G55</f>
        <v>0</v>
      </c>
      <c r="H56" s="192" t="str">
        <f t="shared" si="1"/>
        <v> </v>
      </c>
    </row>
    <row r="57" spans="1:8" ht="12">
      <c r="A57" s="278">
        <v>34</v>
      </c>
      <c r="B57" s="189" t="s">
        <v>116</v>
      </c>
      <c r="E57" s="194"/>
      <c r="F57" s="194"/>
      <c r="G57" s="194"/>
      <c r="H57" s="192" t="str">
        <f t="shared" si="1"/>
        <v> </v>
      </c>
    </row>
    <row r="58" spans="1:8" ht="12">
      <c r="A58" s="278">
        <v>35</v>
      </c>
      <c r="B58" s="189" t="s">
        <v>117</v>
      </c>
      <c r="E58" s="200"/>
      <c r="F58" s="200"/>
      <c r="G58" s="200"/>
      <c r="H58" s="192" t="str">
        <f t="shared" si="1"/>
        <v> </v>
      </c>
    </row>
    <row r="59" spans="1:8" ht="12">
      <c r="A59" s="278">
        <v>36</v>
      </c>
      <c r="B59" s="189" t="s">
        <v>165</v>
      </c>
      <c r="E59" s="196">
        <f>E57+E58</f>
        <v>0</v>
      </c>
      <c r="F59" s="196">
        <f>F57+F58</f>
        <v>0</v>
      </c>
      <c r="G59" s="196">
        <f>G57+G58</f>
        <v>0</v>
      </c>
      <c r="H59" s="192" t="str">
        <f t="shared" si="1"/>
        <v> </v>
      </c>
    </row>
    <row r="60" spans="1:8" ht="12">
      <c r="A60" s="278">
        <v>37</v>
      </c>
      <c r="B60" s="189" t="s">
        <v>119</v>
      </c>
      <c r="E60" s="194"/>
      <c r="F60" s="194"/>
      <c r="G60" s="194"/>
      <c r="H60" s="192" t="str">
        <f t="shared" si="1"/>
        <v> </v>
      </c>
    </row>
    <row r="61" spans="1:8" ht="12">
      <c r="A61" s="278">
        <v>38</v>
      </c>
      <c r="B61" s="189" t="s">
        <v>120</v>
      </c>
      <c r="E61" s="200"/>
      <c r="F61" s="200"/>
      <c r="G61" s="200"/>
      <c r="H61" s="192" t="str">
        <f t="shared" si="1"/>
        <v> </v>
      </c>
    </row>
    <row r="62" spans="1:8" ht="9" customHeight="1">
      <c r="A62" s="278"/>
      <c r="H62" s="192"/>
    </row>
    <row r="63" spans="1:8" s="192" customFormat="1" ht="12.75" thickBot="1">
      <c r="A63" s="282">
        <v>39</v>
      </c>
      <c r="B63" s="191" t="s">
        <v>121</v>
      </c>
      <c r="E63" s="201">
        <f>E56-E59+E60+E61</f>
        <v>0</v>
      </c>
      <c r="F63" s="201">
        <f>F56-F59+F60+F61</f>
        <v>0</v>
      </c>
      <c r="G63" s="201">
        <f>G56-G59+G60+G61</f>
        <v>0</v>
      </c>
      <c r="H63" s="192" t="str">
        <f>IF(E63=F63+G63," ","ERROR")</f>
        <v> </v>
      </c>
    </row>
    <row r="64" spans="1:8" ht="12.75" thickTop="1">
      <c r="A64" s="202"/>
      <c r="B64" s="203"/>
      <c r="C64" s="203"/>
      <c r="D64" s="203"/>
      <c r="E64" s="203"/>
      <c r="F64" s="203"/>
      <c r="G64" s="203"/>
      <c r="H64" s="203"/>
    </row>
    <row r="65" spans="1:8" ht="12">
      <c r="A65" s="204"/>
      <c r="B65" s="204"/>
      <c r="C65" s="204"/>
      <c r="D65" s="205"/>
      <c r="E65" s="206"/>
      <c r="F65" s="205"/>
      <c r="G65" s="207"/>
      <c r="H65" s="206"/>
    </row>
    <row r="66" spans="1:8" ht="12">
      <c r="A66" s="204"/>
      <c r="B66" s="204"/>
      <c r="C66" s="204"/>
      <c r="D66" s="205"/>
      <c r="E66" s="206"/>
      <c r="F66" s="205"/>
      <c r="G66" s="207"/>
      <c r="H66" s="206"/>
    </row>
    <row r="67" spans="1:8" ht="12">
      <c r="A67" s="204"/>
      <c r="B67" s="204"/>
      <c r="C67" s="204"/>
      <c r="D67" s="205"/>
      <c r="E67" s="206"/>
      <c r="F67" s="205"/>
      <c r="G67" s="207"/>
      <c r="H67" s="206"/>
    </row>
    <row r="68" spans="1:8" ht="12">
      <c r="A68" s="204"/>
      <c r="B68" s="204"/>
      <c r="C68" s="204"/>
      <c r="D68" s="205"/>
      <c r="E68" s="206"/>
      <c r="F68" s="205"/>
      <c r="G68" s="207"/>
      <c r="H68" s="206"/>
    </row>
    <row r="69" spans="1:8" ht="12">
      <c r="A69" s="202"/>
      <c r="B69" s="205"/>
      <c r="C69" s="205"/>
      <c r="D69" s="205"/>
      <c r="E69" s="206"/>
      <c r="F69" s="205"/>
      <c r="G69" s="208"/>
      <c r="H69" s="206"/>
    </row>
    <row r="70" spans="1:8" ht="12">
      <c r="A70" s="202"/>
      <c r="B70" s="205"/>
      <c r="C70" s="205"/>
      <c r="D70" s="205"/>
      <c r="E70" s="206"/>
      <c r="F70" s="205"/>
      <c r="G70" s="208"/>
      <c r="H70" s="206"/>
    </row>
    <row r="71" spans="1:8" ht="12">
      <c r="A71" s="202"/>
      <c r="B71" s="209"/>
      <c r="C71" s="205"/>
      <c r="D71" s="205"/>
      <c r="E71" s="206"/>
      <c r="F71" s="205"/>
      <c r="G71" s="208"/>
      <c r="H71" s="206"/>
    </row>
    <row r="72" spans="1:8" ht="12">
      <c r="A72" s="202"/>
      <c r="B72" s="210"/>
      <c r="C72" s="205"/>
      <c r="D72" s="205"/>
      <c r="E72" s="205"/>
      <c r="F72" s="205"/>
      <c r="G72" s="207"/>
      <c r="H72" s="205"/>
    </row>
    <row r="73" spans="1:8" ht="12">
      <c r="A73" s="202"/>
      <c r="B73" s="211"/>
      <c r="C73" s="205"/>
      <c r="D73" s="205"/>
      <c r="E73" s="205"/>
      <c r="F73" s="205"/>
      <c r="G73" s="212"/>
      <c r="H73" s="205"/>
    </row>
    <row r="74" spans="1:8" ht="12">
      <c r="A74" s="202"/>
      <c r="B74" s="210"/>
      <c r="C74" s="205"/>
      <c r="D74" s="205"/>
      <c r="E74" s="205"/>
      <c r="F74" s="205"/>
      <c r="G74" s="213"/>
      <c r="H74" s="205"/>
    </row>
    <row r="75" spans="1:8" ht="12">
      <c r="A75" s="202"/>
      <c r="B75" s="210"/>
      <c r="C75" s="205"/>
      <c r="D75" s="205"/>
      <c r="E75" s="205"/>
      <c r="F75" s="205"/>
      <c r="G75" s="213"/>
      <c r="H75" s="205"/>
    </row>
    <row r="76" spans="1:8" ht="12">
      <c r="A76" s="202"/>
      <c r="B76" s="210"/>
      <c r="C76" s="205"/>
      <c r="D76" s="205"/>
      <c r="E76" s="205"/>
      <c r="F76" s="205"/>
      <c r="G76" s="213"/>
      <c r="H76" s="205"/>
    </row>
    <row r="77" spans="1:8" ht="12">
      <c r="A77" s="202"/>
      <c r="B77" s="210"/>
      <c r="C77" s="205"/>
      <c r="D77" s="205"/>
      <c r="E77" s="205"/>
      <c r="F77" s="205"/>
      <c r="G77" s="213"/>
      <c r="H77" s="205"/>
    </row>
    <row r="78" spans="1:8" ht="12">
      <c r="A78" s="202"/>
      <c r="B78" s="210"/>
      <c r="C78" s="205"/>
      <c r="D78" s="205"/>
      <c r="E78" s="205"/>
      <c r="F78" s="205"/>
      <c r="G78" s="213"/>
      <c r="H78" s="205"/>
    </row>
    <row r="79" spans="1:8" ht="12">
      <c r="A79" s="202"/>
      <c r="B79" s="203"/>
      <c r="C79" s="205"/>
      <c r="D79" s="205"/>
      <c r="E79" s="205"/>
      <c r="F79" s="205"/>
      <c r="G79" s="213"/>
      <c r="H79" s="205"/>
    </row>
    <row r="80" spans="1:8" ht="12">
      <c r="A80" s="202"/>
      <c r="B80" s="210"/>
      <c r="C80" s="205"/>
      <c r="D80" s="205"/>
      <c r="E80" s="205"/>
      <c r="F80" s="205"/>
      <c r="G80" s="213"/>
      <c r="H80" s="205"/>
    </row>
    <row r="81" spans="1:8" ht="12">
      <c r="A81" s="202"/>
      <c r="B81" s="210"/>
      <c r="C81" s="205"/>
      <c r="D81" s="205"/>
      <c r="E81" s="205"/>
      <c r="F81" s="205"/>
      <c r="G81" s="213"/>
      <c r="H81" s="205"/>
    </row>
    <row r="82" spans="1:8" ht="12">
      <c r="A82" s="202"/>
      <c r="B82" s="210"/>
      <c r="C82" s="205"/>
      <c r="D82" s="205"/>
      <c r="E82" s="205"/>
      <c r="F82" s="205"/>
      <c r="G82" s="213"/>
      <c r="H82" s="205"/>
    </row>
    <row r="83" spans="1:8" ht="12">
      <c r="A83" s="202"/>
      <c r="B83" s="210"/>
      <c r="C83" s="205"/>
      <c r="D83" s="205"/>
      <c r="E83" s="205"/>
      <c r="F83" s="205"/>
      <c r="G83" s="213"/>
      <c r="H83" s="205"/>
    </row>
    <row r="84" spans="1:8" ht="12">
      <c r="A84" s="202"/>
      <c r="B84" s="210"/>
      <c r="C84" s="205"/>
      <c r="D84" s="205"/>
      <c r="E84" s="205"/>
      <c r="F84" s="205"/>
      <c r="G84" s="213"/>
      <c r="H84" s="205"/>
    </row>
    <row r="85" spans="1:8" ht="12">
      <c r="A85" s="202"/>
      <c r="B85" s="210"/>
      <c r="C85" s="205"/>
      <c r="D85" s="205"/>
      <c r="E85" s="205"/>
      <c r="F85" s="205"/>
      <c r="G85" s="213"/>
      <c r="H85" s="205"/>
    </row>
    <row r="86" spans="1:8" ht="12">
      <c r="A86" s="202"/>
      <c r="B86" s="210"/>
      <c r="C86" s="205"/>
      <c r="D86" s="205"/>
      <c r="E86" s="205"/>
      <c r="F86" s="205"/>
      <c r="G86" s="213"/>
      <c r="H86" s="205"/>
    </row>
    <row r="87" spans="1:8" ht="12">
      <c r="A87" s="202"/>
      <c r="B87" s="203"/>
      <c r="C87" s="205"/>
      <c r="D87" s="205"/>
      <c r="E87" s="205"/>
      <c r="F87" s="205"/>
      <c r="G87" s="213"/>
      <c r="H87" s="205"/>
    </row>
    <row r="88" spans="1:8" ht="12">
      <c r="A88" s="202"/>
      <c r="B88" s="210"/>
      <c r="C88" s="205"/>
      <c r="D88" s="205"/>
      <c r="E88" s="205"/>
      <c r="F88" s="205"/>
      <c r="G88" s="213"/>
      <c r="H88" s="205"/>
    </row>
    <row r="89" spans="1:8" ht="12">
      <c r="A89" s="202"/>
      <c r="B89" s="210"/>
      <c r="C89" s="205"/>
      <c r="D89" s="205"/>
      <c r="E89" s="205"/>
      <c r="F89" s="205"/>
      <c r="G89" s="213"/>
      <c r="H89" s="205"/>
    </row>
    <row r="90" spans="1:8" ht="12">
      <c r="A90" s="202"/>
      <c r="B90" s="210"/>
      <c r="C90" s="205"/>
      <c r="D90" s="205"/>
      <c r="E90" s="205"/>
      <c r="F90" s="205"/>
      <c r="G90" s="213"/>
      <c r="H90" s="205"/>
    </row>
    <row r="91" spans="1:8" ht="12">
      <c r="A91" s="203"/>
      <c r="B91" s="210"/>
      <c r="C91" s="205"/>
      <c r="D91" s="205"/>
      <c r="E91" s="205"/>
      <c r="F91" s="205"/>
      <c r="G91" s="213"/>
      <c r="H91" s="205"/>
    </row>
    <row r="92" spans="1:8" ht="12">
      <c r="A92" s="203"/>
      <c r="B92" s="210"/>
      <c r="C92" s="205"/>
      <c r="D92" s="205"/>
      <c r="E92" s="205"/>
      <c r="F92" s="205"/>
      <c r="G92" s="213"/>
      <c r="H92" s="205"/>
    </row>
    <row r="93" spans="1:8" ht="12">
      <c r="A93" s="203"/>
      <c r="B93" s="203"/>
      <c r="C93" s="205"/>
      <c r="D93" s="205"/>
      <c r="E93" s="205"/>
      <c r="F93" s="205"/>
      <c r="G93" s="213"/>
      <c r="H93" s="205"/>
    </row>
    <row r="94" spans="1:8" ht="12">
      <c r="A94" s="203"/>
      <c r="B94" s="210"/>
      <c r="C94" s="205"/>
      <c r="D94" s="205"/>
      <c r="E94" s="205"/>
      <c r="F94" s="205"/>
      <c r="G94" s="213"/>
      <c r="H94" s="205"/>
    </row>
    <row r="95" spans="1:8" ht="12">
      <c r="A95" s="203"/>
      <c r="B95" s="210"/>
      <c r="C95" s="205"/>
      <c r="D95" s="205"/>
      <c r="E95" s="205"/>
      <c r="F95" s="205"/>
      <c r="G95" s="213"/>
      <c r="H95" s="205"/>
    </row>
    <row r="96" spans="1:8" ht="12">
      <c r="A96" s="203"/>
      <c r="B96" s="210"/>
      <c r="C96" s="205"/>
      <c r="D96" s="205"/>
      <c r="E96" s="205"/>
      <c r="F96" s="205"/>
      <c r="G96" s="213"/>
      <c r="H96" s="205"/>
    </row>
    <row r="97" spans="1:8" ht="12">
      <c r="A97" s="203"/>
      <c r="B97" s="203"/>
      <c r="C97" s="205"/>
      <c r="D97" s="205"/>
      <c r="E97" s="205"/>
      <c r="F97" s="205"/>
      <c r="G97" s="213"/>
      <c r="H97" s="205"/>
    </row>
    <row r="98" spans="1:8" ht="12">
      <c r="A98" s="203"/>
      <c r="B98" s="210"/>
      <c r="C98" s="205"/>
      <c r="D98" s="205"/>
      <c r="E98" s="205"/>
      <c r="F98" s="205"/>
      <c r="G98" s="213"/>
      <c r="H98" s="205"/>
    </row>
    <row r="99" spans="1:8" ht="12">
      <c r="A99" s="203"/>
      <c r="B99" s="210"/>
      <c r="C99" s="205"/>
      <c r="D99" s="205"/>
      <c r="E99" s="205"/>
      <c r="F99" s="205"/>
      <c r="G99" s="213"/>
      <c r="H99" s="205"/>
    </row>
    <row r="100" spans="1:8" ht="12">
      <c r="A100" s="203"/>
      <c r="B100" s="210"/>
      <c r="C100" s="205"/>
      <c r="D100" s="205"/>
      <c r="E100" s="205"/>
      <c r="F100" s="205"/>
      <c r="G100" s="213"/>
      <c r="H100" s="205"/>
    </row>
    <row r="101" spans="1:8" ht="12">
      <c r="A101" s="203"/>
      <c r="B101" s="210"/>
      <c r="C101" s="205"/>
      <c r="D101" s="205"/>
      <c r="E101" s="205"/>
      <c r="F101" s="205"/>
      <c r="G101" s="213"/>
      <c r="H101" s="205"/>
    </row>
    <row r="102" spans="1:8" ht="12">
      <c r="A102" s="203"/>
      <c r="B102" s="210"/>
      <c r="C102" s="205"/>
      <c r="D102" s="205"/>
      <c r="E102" s="205"/>
      <c r="F102" s="205"/>
      <c r="G102" s="213"/>
      <c r="H102" s="205"/>
    </row>
    <row r="103" spans="1:8" ht="12">
      <c r="A103" s="203"/>
      <c r="B103" s="205"/>
      <c r="C103" s="205"/>
      <c r="D103" s="205"/>
      <c r="E103" s="205"/>
      <c r="F103" s="205"/>
      <c r="G103" s="213"/>
      <c r="H103" s="205"/>
    </row>
    <row r="104" spans="1:8" ht="12">
      <c r="A104" s="203"/>
      <c r="B104" s="205"/>
      <c r="C104" s="205"/>
      <c r="D104" s="205"/>
      <c r="E104" s="205"/>
      <c r="F104" s="205"/>
      <c r="G104" s="213"/>
      <c r="H104" s="205"/>
    </row>
    <row r="105" spans="1:8" ht="12">
      <c r="A105" s="203"/>
      <c r="B105" s="205"/>
      <c r="C105" s="205"/>
      <c r="D105" s="205"/>
      <c r="E105" s="205"/>
      <c r="F105" s="205"/>
      <c r="G105" s="213"/>
      <c r="H105" s="205"/>
    </row>
    <row r="106" spans="1:8" ht="12">
      <c r="A106" s="203"/>
      <c r="B106" s="205"/>
      <c r="C106" s="205"/>
      <c r="D106" s="205"/>
      <c r="E106" s="205"/>
      <c r="F106" s="205"/>
      <c r="G106" s="213"/>
      <c r="H106" s="205"/>
    </row>
    <row r="107" spans="1:8" ht="12">
      <c r="A107" s="203"/>
      <c r="B107" s="205"/>
      <c r="C107" s="205"/>
      <c r="D107" s="205"/>
      <c r="E107" s="205"/>
      <c r="F107" s="205"/>
      <c r="G107" s="213"/>
      <c r="H107" s="205"/>
    </row>
    <row r="108" spans="1:8" ht="12">
      <c r="A108" s="203"/>
      <c r="B108" s="205"/>
      <c r="C108" s="205"/>
      <c r="D108" s="205"/>
      <c r="E108" s="206"/>
      <c r="F108" s="205"/>
      <c r="G108" s="213"/>
      <c r="H108" s="205"/>
    </row>
    <row r="109" spans="1:8" ht="12">
      <c r="A109" s="203"/>
      <c r="B109" s="209"/>
      <c r="C109" s="214"/>
      <c r="D109" s="205"/>
      <c r="E109" s="206"/>
      <c r="F109" s="205"/>
      <c r="G109" s="212"/>
      <c r="H109" s="205"/>
    </row>
    <row r="110" spans="1:8" ht="12">
      <c r="A110" s="203"/>
      <c r="B110" s="205"/>
      <c r="C110" s="205"/>
      <c r="D110" s="205"/>
      <c r="E110" s="206"/>
      <c r="F110" s="205"/>
      <c r="G110" s="207"/>
      <c r="H110" s="205"/>
    </row>
  </sheetData>
  <printOptions horizontalCentered="1"/>
  <pageMargins left="1" right="1" top="0.5" bottom="0.5" header="0.5" footer="0.5"/>
  <pageSetup horizontalDpi="300" verticalDpi="300" orientation="portrait" scale="90" r:id="rId1"/>
  <rowBreaks count="1" manualBreakCount="1">
    <brk id="65" max="65535" man="1"/>
  </rowBreaks>
  <colBreaks count="1" manualBreakCount="1">
    <brk id="8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1">
      <selection activeCell="G34" sqref="G34"/>
    </sheetView>
  </sheetViews>
  <sheetFormatPr defaultColWidth="9.140625" defaultRowHeight="12.75"/>
  <cols>
    <col min="1" max="1" width="5.57421875" style="220" customWidth="1"/>
    <col min="2" max="2" width="26.140625" style="217" customWidth="1"/>
    <col min="3" max="3" width="12.421875" style="217" customWidth="1"/>
    <col min="4" max="4" width="6.7109375" style="217" customWidth="1"/>
    <col min="5" max="16384" width="12.421875" style="217" customWidth="1"/>
  </cols>
  <sheetData>
    <row r="1" spans="1:3" ht="12" customHeight="1">
      <c r="A1" s="215" t="str">
        <f>Inputs!$D$6</f>
        <v>AVISTA UTILITIES</v>
      </c>
      <c r="B1" s="216"/>
      <c r="C1" s="215"/>
    </row>
    <row r="2" spans="1:7" ht="12" customHeight="1">
      <c r="A2" s="215" t="s">
        <v>134</v>
      </c>
      <c r="B2" s="216"/>
      <c r="C2" s="215"/>
      <c r="E2" s="215" t="s">
        <v>246</v>
      </c>
      <c r="F2" s="215"/>
      <c r="G2" s="215"/>
    </row>
    <row r="3" spans="1:7" ht="12" customHeight="1">
      <c r="A3" s="216" t="str">
        <f>WAElec12_04!$A$4</f>
        <v>TWELVE MONTHS ENDED DECEMBER 31, 2004</v>
      </c>
      <c r="B3" s="216"/>
      <c r="C3" s="215"/>
      <c r="E3" s="215" t="s">
        <v>247</v>
      </c>
      <c r="F3" s="215"/>
      <c r="G3" s="215"/>
    </row>
    <row r="4" spans="1:7" ht="12" customHeight="1">
      <c r="A4" s="215" t="s">
        <v>1</v>
      </c>
      <c r="B4" s="216"/>
      <c r="C4" s="215"/>
      <c r="E4" s="218" t="s">
        <v>137</v>
      </c>
      <c r="F4" s="218"/>
      <c r="G4" s="219"/>
    </row>
    <row r="5" ht="12" customHeight="1">
      <c r="A5" s="220" t="s">
        <v>13</v>
      </c>
    </row>
    <row r="6" spans="1:8" s="220" customFormat="1" ht="12" customHeight="1">
      <c r="A6" s="220" t="s">
        <v>138</v>
      </c>
      <c r="B6" s="221" t="s">
        <v>34</v>
      </c>
      <c r="C6" s="221"/>
      <c r="E6" s="221" t="s">
        <v>139</v>
      </c>
      <c r="F6" s="221" t="s">
        <v>140</v>
      </c>
      <c r="G6" s="221" t="s">
        <v>123</v>
      </c>
      <c r="H6" s="222" t="s">
        <v>141</v>
      </c>
    </row>
    <row r="7" ht="12" customHeight="1">
      <c r="B7" s="223" t="s">
        <v>80</v>
      </c>
    </row>
    <row r="8" spans="1:8" s="226" customFormat="1" ht="12" customHeight="1">
      <c r="A8" s="224">
        <v>1</v>
      </c>
      <c r="B8" s="225" t="s">
        <v>81</v>
      </c>
      <c r="E8" s="227">
        <f>F8+G8</f>
        <v>0</v>
      </c>
      <c r="F8" s="227"/>
      <c r="G8" s="227"/>
      <c r="H8" s="226" t="str">
        <f aca="true" t="shared" si="0" ref="H8:H13">IF(E8=F8+G8," ","ERROR")</f>
        <v> </v>
      </c>
    </row>
    <row r="9" spans="1:8" ht="12" customHeight="1">
      <c r="A9" s="220">
        <v>2</v>
      </c>
      <c r="B9" s="223" t="s">
        <v>82</v>
      </c>
      <c r="E9" s="228"/>
      <c r="F9" s="228"/>
      <c r="G9" s="228"/>
      <c r="H9" s="226" t="str">
        <f t="shared" si="0"/>
        <v> </v>
      </c>
    </row>
    <row r="10" spans="1:8" ht="12" customHeight="1">
      <c r="A10" s="220">
        <v>3</v>
      </c>
      <c r="B10" s="223" t="s">
        <v>142</v>
      </c>
      <c r="E10" s="228"/>
      <c r="F10" s="228"/>
      <c r="G10" s="228"/>
      <c r="H10" s="226" t="str">
        <f t="shared" si="0"/>
        <v> </v>
      </c>
    </row>
    <row r="11" spans="1:8" ht="12" customHeight="1">
      <c r="A11" s="220">
        <v>4</v>
      </c>
      <c r="B11" s="223" t="s">
        <v>143</v>
      </c>
      <c r="E11" s="229">
        <f>E8+E9+E10</f>
        <v>0</v>
      </c>
      <c r="F11" s="229">
        <f>F8+F9+F10</f>
        <v>0</v>
      </c>
      <c r="G11" s="229">
        <f>G8+G9+G10</f>
        <v>0</v>
      </c>
      <c r="H11" s="226" t="str">
        <f t="shared" si="0"/>
        <v> </v>
      </c>
    </row>
    <row r="12" spans="1:8" ht="12" customHeight="1">
      <c r="A12" s="220">
        <v>5</v>
      </c>
      <c r="B12" s="223" t="s">
        <v>85</v>
      </c>
      <c r="E12" s="228"/>
      <c r="F12" s="228"/>
      <c r="G12" s="228"/>
      <c r="H12" s="226" t="str">
        <f t="shared" si="0"/>
        <v> </v>
      </c>
    </row>
    <row r="13" spans="1:8" ht="12" customHeight="1">
      <c r="A13" s="220">
        <v>6</v>
      </c>
      <c r="B13" s="223" t="s">
        <v>144</v>
      </c>
      <c r="E13" s="229">
        <f>E11+E12</f>
        <v>0</v>
      </c>
      <c r="F13" s="229">
        <f>F11+F12</f>
        <v>0</v>
      </c>
      <c r="G13" s="229">
        <f>G11+G12</f>
        <v>0</v>
      </c>
      <c r="H13" s="226" t="str">
        <f t="shared" si="0"/>
        <v> </v>
      </c>
    </row>
    <row r="14" spans="5:8" ht="12" customHeight="1">
      <c r="E14" s="230"/>
      <c r="F14" s="230"/>
      <c r="G14" s="230"/>
      <c r="H14" s="226"/>
    </row>
    <row r="15" spans="2:8" ht="12" customHeight="1">
      <c r="B15" s="223" t="s">
        <v>87</v>
      </c>
      <c r="E15" s="230"/>
      <c r="F15" s="230"/>
      <c r="G15" s="230"/>
      <c r="H15" s="226"/>
    </row>
    <row r="16" spans="2:8" ht="12" customHeight="1">
      <c r="B16" s="223" t="s">
        <v>88</v>
      </c>
      <c r="E16" s="230"/>
      <c r="F16" s="230"/>
      <c r="G16" s="230"/>
      <c r="H16" s="226"/>
    </row>
    <row r="17" spans="1:8" ht="12" customHeight="1">
      <c r="A17" s="220">
        <v>7</v>
      </c>
      <c r="B17" s="223" t="s">
        <v>145</v>
      </c>
      <c r="E17" s="228"/>
      <c r="F17" s="228"/>
      <c r="G17" s="228"/>
      <c r="H17" s="226" t="str">
        <f>IF(E17=F17+G17," ","ERROR")</f>
        <v> </v>
      </c>
    </row>
    <row r="18" spans="1:8" ht="12" customHeight="1">
      <c r="A18" s="220">
        <v>8</v>
      </c>
      <c r="B18" s="223" t="s">
        <v>146</v>
      </c>
      <c r="E18" s="228"/>
      <c r="F18" s="228"/>
      <c r="G18" s="228"/>
      <c r="H18" s="226" t="str">
        <f>IF(E18=F18+G18," ","ERROR")</f>
        <v> </v>
      </c>
    </row>
    <row r="19" spans="1:8" ht="12" customHeight="1">
      <c r="A19" s="220">
        <v>9</v>
      </c>
      <c r="B19" s="223" t="s">
        <v>147</v>
      </c>
      <c r="E19" s="228"/>
      <c r="F19" s="228"/>
      <c r="G19" s="228"/>
      <c r="H19" s="226" t="str">
        <f>IF(E19=F19+G19," ","ERROR")</f>
        <v> </v>
      </c>
    </row>
    <row r="20" spans="1:8" ht="12" customHeight="1">
      <c r="A20" s="220">
        <v>10</v>
      </c>
      <c r="B20" s="223" t="s">
        <v>148</v>
      </c>
      <c r="E20" s="228"/>
      <c r="F20" s="228"/>
      <c r="G20" s="228"/>
      <c r="H20" s="226" t="str">
        <f>IF(E20=F20+G20," ","ERROR")</f>
        <v> </v>
      </c>
    </row>
    <row r="21" spans="1:8" ht="12" customHeight="1">
      <c r="A21" s="220">
        <v>11</v>
      </c>
      <c r="B21" s="223" t="s">
        <v>149</v>
      </c>
      <c r="E21" s="229">
        <f>E17+E18+E19+E20</f>
        <v>0</v>
      </c>
      <c r="F21" s="229">
        <f>F17+F18+F19+F20</f>
        <v>0</v>
      </c>
      <c r="G21" s="229">
        <f>G17+G18+G19+G20</f>
        <v>0</v>
      </c>
      <c r="H21" s="226" t="str">
        <f>IF(E21=F21+G21," ","ERROR")</f>
        <v> </v>
      </c>
    </row>
    <row r="22" spans="5:8" ht="12" customHeight="1">
      <c r="E22" s="230"/>
      <c r="F22" s="230"/>
      <c r="G22" s="230"/>
      <c r="H22" s="226"/>
    </row>
    <row r="23" spans="2:8" ht="12" customHeight="1">
      <c r="B23" s="223" t="s">
        <v>93</v>
      </c>
      <c r="E23" s="230"/>
      <c r="F23" s="230"/>
      <c r="G23" s="230"/>
      <c r="H23" s="226"/>
    </row>
    <row r="24" spans="1:8" ht="12" customHeight="1">
      <c r="A24" s="220">
        <v>12</v>
      </c>
      <c r="B24" s="223" t="s">
        <v>145</v>
      </c>
      <c r="E24" s="228"/>
      <c r="F24" s="228"/>
      <c r="G24" s="228"/>
      <c r="H24" s="226" t="str">
        <f>IF(E24=F24+G24," ","ERROR")</f>
        <v> </v>
      </c>
    </row>
    <row r="25" spans="1:8" ht="12" customHeight="1">
      <c r="A25" s="220">
        <v>13</v>
      </c>
      <c r="B25" s="223" t="s">
        <v>150</v>
      </c>
      <c r="E25" s="228"/>
      <c r="F25" s="228"/>
      <c r="G25" s="228"/>
      <c r="H25" s="226" t="str">
        <f>IF(E25=F25+G25," ","ERROR")</f>
        <v> </v>
      </c>
    </row>
    <row r="26" spans="1:8" ht="12" customHeight="1">
      <c r="A26" s="220">
        <v>14</v>
      </c>
      <c r="B26" s="223" t="s">
        <v>148</v>
      </c>
      <c r="E26" s="228">
        <f>F26+G26</f>
        <v>0</v>
      </c>
      <c r="F26" s="228"/>
      <c r="G26" s="228"/>
      <c r="H26" s="226" t="str">
        <f>IF(E26=F26+G26," ","ERROR")</f>
        <v> </v>
      </c>
    </row>
    <row r="27" spans="1:8" ht="12" customHeight="1">
      <c r="A27" s="220">
        <v>15</v>
      </c>
      <c r="B27" s="223" t="s">
        <v>151</v>
      </c>
      <c r="E27" s="229">
        <f>E24+E25+E26</f>
        <v>0</v>
      </c>
      <c r="F27" s="229">
        <f>F24+F25+F26</f>
        <v>0</v>
      </c>
      <c r="G27" s="229">
        <f>G24+G25+G26</f>
        <v>0</v>
      </c>
      <c r="H27" s="226" t="str">
        <f>IF(E27=F27+G27," ","ERROR")</f>
        <v> </v>
      </c>
    </row>
    <row r="28" spans="5:8" ht="12" customHeight="1">
      <c r="E28" s="230"/>
      <c r="F28" s="230"/>
      <c r="G28" s="230"/>
      <c r="H28" s="226"/>
    </row>
    <row r="29" spans="1:8" ht="12" customHeight="1">
      <c r="A29" s="220">
        <v>16</v>
      </c>
      <c r="B29" s="223" t="s">
        <v>96</v>
      </c>
      <c r="E29" s="228"/>
      <c r="F29" s="228"/>
      <c r="G29" s="228"/>
      <c r="H29" s="226" t="str">
        <f>IF(E29=F29+G29," ","ERROR")</f>
        <v> </v>
      </c>
    </row>
    <row r="30" spans="1:8" ht="12" customHeight="1">
      <c r="A30" s="220">
        <v>17</v>
      </c>
      <c r="B30" s="223" t="s">
        <v>97</v>
      </c>
      <c r="E30" s="228"/>
      <c r="F30" s="228"/>
      <c r="G30" s="228"/>
      <c r="H30" s="226" t="str">
        <f>IF(E30=F30+G30," ","ERROR")</f>
        <v> </v>
      </c>
    </row>
    <row r="31" spans="1:8" ht="12" customHeight="1">
      <c r="A31" s="220">
        <v>18</v>
      </c>
      <c r="B31" s="223" t="s">
        <v>152</v>
      </c>
      <c r="E31" s="228"/>
      <c r="F31" s="228"/>
      <c r="G31" s="228"/>
      <c r="H31" s="226" t="str">
        <f>IF(E31=F31+G31," ","ERROR")</f>
        <v> </v>
      </c>
    </row>
    <row r="32" spans="5:8" ht="12" customHeight="1">
      <c r="E32" s="230"/>
      <c r="F32" s="230"/>
      <c r="G32" s="230"/>
      <c r="H32" s="226"/>
    </row>
    <row r="33" spans="2:8" ht="12" customHeight="1">
      <c r="B33" s="223" t="s">
        <v>99</v>
      </c>
      <c r="E33" s="230"/>
      <c r="F33" s="230"/>
      <c r="G33" s="230"/>
      <c r="H33" s="226"/>
    </row>
    <row r="34" spans="1:8" ht="12" customHeight="1">
      <c r="A34" s="220">
        <v>19</v>
      </c>
      <c r="B34" s="223" t="s">
        <v>145</v>
      </c>
      <c r="E34" s="228">
        <f>SUM(F34:G34)</f>
        <v>-25</v>
      </c>
      <c r="F34" s="228">
        <v>-25</v>
      </c>
      <c r="G34" s="228"/>
      <c r="H34" s="226" t="str">
        <f>IF(E34=F34+G34," ","ERROR")</f>
        <v> </v>
      </c>
    </row>
    <row r="35" spans="1:8" ht="12" customHeight="1">
      <c r="A35" s="220">
        <v>20</v>
      </c>
      <c r="B35" s="223" t="s">
        <v>150</v>
      </c>
      <c r="E35" s="228"/>
      <c r="F35" s="228"/>
      <c r="G35" s="228"/>
      <c r="H35" s="226" t="str">
        <f>IF(E35=F35+G35," ","ERROR")</f>
        <v> </v>
      </c>
    </row>
    <row r="36" spans="1:8" ht="12" customHeight="1">
      <c r="A36" s="220">
        <v>21</v>
      </c>
      <c r="B36" s="223" t="s">
        <v>148</v>
      </c>
      <c r="E36" s="228"/>
      <c r="F36" s="228"/>
      <c r="G36" s="228"/>
      <c r="H36" s="226" t="str">
        <f>IF(E36=F36+G36," ","ERROR")</f>
        <v> </v>
      </c>
    </row>
    <row r="37" spans="1:8" ht="12" customHeight="1">
      <c r="A37" s="220">
        <v>22</v>
      </c>
      <c r="B37" s="223" t="s">
        <v>153</v>
      </c>
      <c r="E37" s="231">
        <f>E34+E35+E36</f>
        <v>-25</v>
      </c>
      <c r="F37" s="231">
        <f>F34+F35+F36</f>
        <v>-25</v>
      </c>
      <c r="G37" s="231">
        <f>G34+G35+G36</f>
        <v>0</v>
      </c>
      <c r="H37" s="226" t="str">
        <f>IF(E37=F37+G37," ","ERROR")</f>
        <v> </v>
      </c>
    </row>
    <row r="38" spans="1:8" ht="12" customHeight="1">
      <c r="A38" s="220">
        <v>23</v>
      </c>
      <c r="B38" s="223" t="s">
        <v>101</v>
      </c>
      <c r="E38" s="232">
        <f>E21+E27+E29+E30+E31+E37</f>
        <v>-25</v>
      </c>
      <c r="F38" s="232">
        <f>F21+F27+F29+F30+F31+F37</f>
        <v>-25</v>
      </c>
      <c r="G38" s="232">
        <f>G21+G27+G29+G30+G31+G37</f>
        <v>0</v>
      </c>
      <c r="H38" s="226" t="str">
        <f>IF(E38=F38+G38," ","ERROR")</f>
        <v> </v>
      </c>
    </row>
    <row r="39" spans="5:8" ht="12" customHeight="1">
      <c r="E39" s="230"/>
      <c r="F39" s="230"/>
      <c r="G39" s="230"/>
      <c r="H39" s="226"/>
    </row>
    <row r="40" spans="1:8" ht="12" customHeight="1">
      <c r="A40" s="220">
        <v>24</v>
      </c>
      <c r="B40" s="223" t="s">
        <v>154</v>
      </c>
      <c r="E40" s="230">
        <f>E13-E38</f>
        <v>25</v>
      </c>
      <c r="F40" s="230">
        <f>F13-F38</f>
        <v>25</v>
      </c>
      <c r="G40" s="230">
        <f>G13-G38</f>
        <v>0</v>
      </c>
      <c r="H40" s="226" t="str">
        <f>IF(E40=F40+G40," ","ERROR")</f>
        <v> </v>
      </c>
    </row>
    <row r="41" spans="2:8" ht="12" customHeight="1">
      <c r="B41" s="223"/>
      <c r="E41" s="230"/>
      <c r="F41" s="230"/>
      <c r="G41" s="230"/>
      <c r="H41" s="226"/>
    </row>
    <row r="42" spans="2:8" ht="12" customHeight="1">
      <c r="B42" s="223" t="s">
        <v>155</v>
      </c>
      <c r="E42" s="230"/>
      <c r="F42" s="230"/>
      <c r="G42" s="230"/>
      <c r="H42" s="226"/>
    </row>
    <row r="43" spans="1:8" ht="12" customHeight="1">
      <c r="A43" s="220">
        <v>25</v>
      </c>
      <c r="B43" s="223" t="s">
        <v>156</v>
      </c>
      <c r="D43" s="233">
        <v>0.35</v>
      </c>
      <c r="E43" s="228">
        <f>F43+G43</f>
        <v>9</v>
      </c>
      <c r="F43" s="228">
        <f>ROUND(F40*D43,0)</f>
        <v>9</v>
      </c>
      <c r="G43" s="228">
        <f>ROUND(G40*D43,0)</f>
        <v>0</v>
      </c>
      <c r="H43" s="226" t="str">
        <f>IF(E43=F43+G43," ","ERROR")</f>
        <v> </v>
      </c>
    </row>
    <row r="44" spans="1:8" ht="12" customHeight="1">
      <c r="A44" s="220">
        <v>26</v>
      </c>
      <c r="B44" s="223" t="s">
        <v>157</v>
      </c>
      <c r="E44" s="228"/>
      <c r="F44" s="228"/>
      <c r="G44" s="228"/>
      <c r="H44" s="226" t="str">
        <f>IF(E44=F44+G44," ","ERROR")</f>
        <v> </v>
      </c>
    </row>
    <row r="45" spans="1:8" ht="12" customHeight="1">
      <c r="A45"/>
      <c r="B45"/>
      <c r="C45"/>
      <c r="D45"/>
      <c r="E45" s="943"/>
      <c r="F45" s="943"/>
      <c r="G45" s="943"/>
      <c r="H45" s="226" t="str">
        <f>IF(E45=F45+G45," ","ERROR")</f>
        <v> </v>
      </c>
    </row>
    <row r="46" spans="1:8" ht="12" customHeight="1">
      <c r="A46" s="278"/>
      <c r="B46" s="281"/>
      <c r="C46" s="275"/>
      <c r="D46" s="275"/>
      <c r="E46" s="288"/>
      <c r="F46" s="288"/>
      <c r="G46" s="288"/>
      <c r="H46" s="226"/>
    </row>
    <row r="47" spans="1:8" s="226" customFormat="1" ht="12" customHeight="1">
      <c r="A47" s="282">
        <v>27</v>
      </c>
      <c r="B47" s="283" t="s">
        <v>108</v>
      </c>
      <c r="C47" s="284"/>
      <c r="D47" s="284"/>
      <c r="E47" s="292">
        <f>E40-SUM(E43:E44)</f>
        <v>16</v>
      </c>
      <c r="F47" s="292">
        <f>F40-SUM(F43:F44)</f>
        <v>16</v>
      </c>
      <c r="G47" s="292">
        <f>G40-SUM(G43:G44)</f>
        <v>0</v>
      </c>
      <c r="H47" s="226" t="str">
        <f>IF(E47=F47+G47," ","ERROR")</f>
        <v> </v>
      </c>
    </row>
    <row r="48" spans="1:8" ht="12" customHeight="1">
      <c r="A48" s="278"/>
      <c r="H48" s="226"/>
    </row>
    <row r="49" spans="1:8" ht="12" customHeight="1">
      <c r="A49" s="278"/>
      <c r="B49" s="223" t="s">
        <v>109</v>
      </c>
      <c r="H49" s="226"/>
    </row>
    <row r="50" spans="1:8" ht="12" customHeight="1">
      <c r="A50" s="278"/>
      <c r="B50" s="223" t="s">
        <v>110</v>
      </c>
      <c r="H50" s="226"/>
    </row>
    <row r="51" spans="1:8" s="226" customFormat="1" ht="12" customHeight="1">
      <c r="A51" s="282">
        <v>28</v>
      </c>
      <c r="B51" s="225" t="s">
        <v>159</v>
      </c>
      <c r="E51" s="227"/>
      <c r="F51" s="227"/>
      <c r="G51" s="227"/>
      <c r="H51" s="226" t="str">
        <f aca="true" t="shared" si="1" ref="H51:H61">IF(E51=F51+G51," ","ERROR")</f>
        <v> </v>
      </c>
    </row>
    <row r="52" spans="1:8" ht="12" customHeight="1">
      <c r="A52" s="278">
        <v>29</v>
      </c>
      <c r="B52" s="223" t="s">
        <v>160</v>
      </c>
      <c r="E52" s="228"/>
      <c r="F52" s="228"/>
      <c r="G52" s="228"/>
      <c r="H52" s="226" t="str">
        <f t="shared" si="1"/>
        <v> </v>
      </c>
    </row>
    <row r="53" spans="1:8" ht="12" customHeight="1">
      <c r="A53" s="278">
        <v>30</v>
      </c>
      <c r="B53" s="223" t="s">
        <v>161</v>
      </c>
      <c r="E53" s="228"/>
      <c r="F53" s="228"/>
      <c r="G53" s="228"/>
      <c r="H53" s="226" t="str">
        <f t="shared" si="1"/>
        <v> </v>
      </c>
    </row>
    <row r="54" spans="1:8" ht="12" customHeight="1">
      <c r="A54" s="278">
        <v>31</v>
      </c>
      <c r="B54" s="223" t="s">
        <v>162</v>
      </c>
      <c r="E54" s="228"/>
      <c r="F54" s="228"/>
      <c r="G54" s="228"/>
      <c r="H54" s="226" t="str">
        <f t="shared" si="1"/>
        <v> </v>
      </c>
    </row>
    <row r="55" spans="1:8" ht="12" customHeight="1">
      <c r="A55" s="278">
        <v>32</v>
      </c>
      <c r="B55" s="223" t="s">
        <v>163</v>
      </c>
      <c r="E55" s="234"/>
      <c r="F55" s="234"/>
      <c r="G55" s="234"/>
      <c r="H55" s="226" t="str">
        <f t="shared" si="1"/>
        <v> </v>
      </c>
    </row>
    <row r="56" spans="1:8" ht="12" customHeight="1">
      <c r="A56" s="278">
        <v>33</v>
      </c>
      <c r="B56" s="223" t="s">
        <v>164</v>
      </c>
      <c r="E56" s="230">
        <f>E51+E52+E53+E54+E55</f>
        <v>0</v>
      </c>
      <c r="F56" s="230">
        <f>F51+F52+F53+F54+F55</f>
        <v>0</v>
      </c>
      <c r="G56" s="230">
        <f>G51+G52+G53+G54+G55</f>
        <v>0</v>
      </c>
      <c r="H56" s="226" t="str">
        <f t="shared" si="1"/>
        <v> </v>
      </c>
    </row>
    <row r="57" spans="1:8" ht="12" customHeight="1">
      <c r="A57" s="278">
        <v>34</v>
      </c>
      <c r="B57" s="223" t="s">
        <v>116</v>
      </c>
      <c r="E57" s="228"/>
      <c r="F57" s="228"/>
      <c r="G57" s="228"/>
      <c r="H57" s="226" t="str">
        <f t="shared" si="1"/>
        <v> </v>
      </c>
    </row>
    <row r="58" spans="1:8" ht="12" customHeight="1">
      <c r="A58" s="278">
        <v>35</v>
      </c>
      <c r="B58" s="223" t="s">
        <v>117</v>
      </c>
      <c r="E58" s="234"/>
      <c r="F58" s="234"/>
      <c r="G58" s="234"/>
      <c r="H58" s="226" t="str">
        <f t="shared" si="1"/>
        <v> </v>
      </c>
    </row>
    <row r="59" spans="1:8" ht="12" customHeight="1">
      <c r="A59" s="278">
        <v>36</v>
      </c>
      <c r="B59" s="223" t="s">
        <v>165</v>
      </c>
      <c r="E59" s="230">
        <f>E57+E58</f>
        <v>0</v>
      </c>
      <c r="F59" s="230">
        <f>F57+F58</f>
        <v>0</v>
      </c>
      <c r="G59" s="230">
        <f>G57+G58</f>
        <v>0</v>
      </c>
      <c r="H59" s="226" t="str">
        <f t="shared" si="1"/>
        <v> </v>
      </c>
    </row>
    <row r="60" spans="1:8" ht="12" customHeight="1">
      <c r="A60" s="278">
        <v>37</v>
      </c>
      <c r="B60" s="223" t="s">
        <v>119</v>
      </c>
      <c r="E60" s="228"/>
      <c r="F60" s="228"/>
      <c r="G60" s="228"/>
      <c r="H60" s="226" t="str">
        <f t="shared" si="1"/>
        <v> </v>
      </c>
    </row>
    <row r="61" spans="1:8" ht="12" customHeight="1">
      <c r="A61" s="278">
        <v>38</v>
      </c>
      <c r="B61" s="223" t="s">
        <v>120</v>
      </c>
      <c r="E61" s="234"/>
      <c r="F61" s="234"/>
      <c r="G61" s="234"/>
      <c r="H61" s="226" t="str">
        <f t="shared" si="1"/>
        <v> </v>
      </c>
    </row>
    <row r="62" spans="1:8" ht="12" customHeight="1">
      <c r="A62" s="278"/>
      <c r="H62" s="226"/>
    </row>
    <row r="63" spans="1:8" s="226" customFormat="1" ht="12" customHeight="1" thickBot="1">
      <c r="A63" s="282">
        <v>39</v>
      </c>
      <c r="B63" s="225" t="s">
        <v>121</v>
      </c>
      <c r="E63" s="235">
        <f>E56-E59+E60+E61</f>
        <v>0</v>
      </c>
      <c r="F63" s="235">
        <f>F56-F59+F60+F61</f>
        <v>0</v>
      </c>
      <c r="G63" s="235">
        <f>G56-G59+G60+G61</f>
        <v>0</v>
      </c>
      <c r="H63" s="226" t="str">
        <f>IF(E63=F63+G63," ","ERROR")</f>
        <v> </v>
      </c>
    </row>
    <row r="64" ht="12" customHeight="1" thickTop="1"/>
    <row r="65" spans="1:8" ht="12" customHeight="1">
      <c r="A65" s="216" t="str">
        <f>Inputs!$D$6</f>
        <v>AVISTA UTILITIES</v>
      </c>
      <c r="B65" s="216"/>
      <c r="C65" s="216"/>
      <c r="D65" s="236"/>
      <c r="E65" s="237"/>
      <c r="H65" s="237"/>
    </row>
    <row r="66" spans="1:8" ht="12" customHeight="1">
      <c r="A66" s="216" t="s">
        <v>218</v>
      </c>
      <c r="B66" s="216"/>
      <c r="C66" s="216"/>
      <c r="D66" s="236"/>
      <c r="E66" s="237"/>
      <c r="H66" s="237"/>
    </row>
    <row r="67" spans="1:8" ht="12" customHeight="1">
      <c r="A67" s="216" t="str">
        <f>A3</f>
        <v>TWELVE MONTHS ENDED DECEMBER 31, 2004</v>
      </c>
      <c r="B67" s="216"/>
      <c r="C67" s="216"/>
      <c r="D67" s="236"/>
      <c r="E67" s="237"/>
      <c r="H67" s="237"/>
    </row>
    <row r="68" spans="1:8" ht="12" customHeight="1">
      <c r="A68" s="216" t="s">
        <v>219</v>
      </c>
      <c r="B68" s="216"/>
      <c r="C68" s="216"/>
      <c r="D68" s="236"/>
      <c r="E68" s="237"/>
      <c r="H68" s="237"/>
    </row>
    <row r="69" spans="2:8" ht="12" customHeight="1">
      <c r="B69" s="236"/>
      <c r="C69" s="236"/>
      <c r="D69" s="236"/>
      <c r="E69" s="238"/>
      <c r="H69" s="239"/>
    </row>
    <row r="70" spans="2:8" ht="12" customHeight="1">
      <c r="B70" s="236"/>
      <c r="C70" s="236"/>
      <c r="D70" s="236"/>
      <c r="E70" s="237"/>
      <c r="H70" s="237"/>
    </row>
    <row r="71" spans="2:8" ht="12" customHeight="1">
      <c r="B71" s="240" t="s">
        <v>128</v>
      </c>
      <c r="C71" s="241"/>
      <c r="D71" s="236"/>
      <c r="E71" s="237"/>
      <c r="H71" s="237"/>
    </row>
    <row r="72" spans="2:8" ht="12" customHeight="1">
      <c r="B72" s="223" t="s">
        <v>80</v>
      </c>
      <c r="C72" s="236"/>
      <c r="D72" s="236"/>
      <c r="E72" s="236"/>
      <c r="H72" s="236"/>
    </row>
    <row r="73" spans="2:8" ht="12" customHeight="1">
      <c r="B73" s="225" t="s">
        <v>81</v>
      </c>
      <c r="C73" s="236"/>
      <c r="D73" s="236"/>
      <c r="E73" s="236"/>
      <c r="H73" s="236"/>
    </row>
    <row r="74" spans="2:8" ht="12" customHeight="1">
      <c r="B74" s="223" t="s">
        <v>82</v>
      </c>
      <c r="C74" s="236"/>
      <c r="D74" s="236"/>
      <c r="E74" s="236"/>
      <c r="H74" s="236"/>
    </row>
    <row r="75" spans="2:8" ht="12" customHeight="1">
      <c r="B75" s="223" t="s">
        <v>142</v>
      </c>
      <c r="C75" s="236"/>
      <c r="D75" s="236"/>
      <c r="E75" s="236"/>
      <c r="H75" s="236"/>
    </row>
    <row r="76" spans="2:8" ht="12" customHeight="1">
      <c r="B76" s="223" t="s">
        <v>143</v>
      </c>
      <c r="C76" s="236"/>
      <c r="D76" s="236"/>
      <c r="E76" s="236"/>
      <c r="H76" s="236"/>
    </row>
    <row r="77" spans="2:8" ht="12" customHeight="1">
      <c r="B77" s="223" t="s">
        <v>85</v>
      </c>
      <c r="C77" s="236"/>
      <c r="D77" s="236"/>
      <c r="E77" s="236"/>
      <c r="H77" s="236"/>
    </row>
    <row r="78" spans="2:8" ht="12" customHeight="1">
      <c r="B78" s="223" t="s">
        <v>144</v>
      </c>
      <c r="C78" s="236"/>
      <c r="D78" s="236"/>
      <c r="E78" s="236"/>
      <c r="H78" s="236"/>
    </row>
    <row r="79" spans="3:8" ht="12" customHeight="1">
      <c r="C79" s="236"/>
      <c r="D79" s="236"/>
      <c r="E79" s="236"/>
      <c r="H79" s="236"/>
    </row>
    <row r="80" spans="2:8" ht="12" customHeight="1">
      <c r="B80" s="223" t="s">
        <v>87</v>
      </c>
      <c r="C80" s="236"/>
      <c r="D80" s="236"/>
      <c r="E80" s="236"/>
      <c r="H80" s="236"/>
    </row>
    <row r="81" spans="2:8" ht="12" customHeight="1">
      <c r="B81" s="223" t="s">
        <v>88</v>
      </c>
      <c r="C81" s="236"/>
      <c r="D81" s="236"/>
      <c r="E81" s="236"/>
      <c r="H81" s="236"/>
    </row>
    <row r="82" spans="2:8" ht="12" customHeight="1">
      <c r="B82" s="223" t="s">
        <v>145</v>
      </c>
      <c r="C82" s="236"/>
      <c r="D82" s="236"/>
      <c r="E82" s="236"/>
      <c r="H82" s="236"/>
    </row>
    <row r="83" spans="2:8" ht="12" customHeight="1">
      <c r="B83" s="223" t="s">
        <v>146</v>
      </c>
      <c r="C83" s="236"/>
      <c r="D83" s="236"/>
      <c r="E83" s="236"/>
      <c r="H83" s="236"/>
    </row>
    <row r="84" spans="2:8" ht="12" customHeight="1">
      <c r="B84" s="223" t="s">
        <v>147</v>
      </c>
      <c r="C84" s="236"/>
      <c r="D84" s="236"/>
      <c r="E84" s="236"/>
      <c r="H84" s="236"/>
    </row>
    <row r="85" spans="2:8" ht="12" customHeight="1">
      <c r="B85" s="223" t="s">
        <v>148</v>
      </c>
      <c r="C85" s="236"/>
      <c r="D85" s="236"/>
      <c r="E85" s="236"/>
      <c r="H85" s="236"/>
    </row>
    <row r="86" spans="2:8" ht="12" customHeight="1">
      <c r="B86" s="223" t="s">
        <v>149</v>
      </c>
      <c r="C86" s="236"/>
      <c r="D86" s="236"/>
      <c r="E86" s="236"/>
      <c r="H86" s="236"/>
    </row>
    <row r="87" spans="3:8" ht="12" customHeight="1">
      <c r="C87" s="236"/>
      <c r="D87" s="236"/>
      <c r="E87" s="236"/>
      <c r="H87" s="236"/>
    </row>
    <row r="88" spans="2:8" ht="12" customHeight="1">
      <c r="B88" s="223" t="s">
        <v>93</v>
      </c>
      <c r="C88" s="236"/>
      <c r="D88" s="236"/>
      <c r="E88" s="236"/>
      <c r="H88" s="236"/>
    </row>
    <row r="89" spans="2:8" ht="12" customHeight="1">
      <c r="B89" s="223" t="s">
        <v>145</v>
      </c>
      <c r="C89" s="236"/>
      <c r="D89" s="236"/>
      <c r="E89" s="236"/>
      <c r="H89" s="236"/>
    </row>
    <row r="90" spans="2:8" ht="12" customHeight="1">
      <c r="B90" s="223" t="s">
        <v>150</v>
      </c>
      <c r="C90" s="236"/>
      <c r="D90" s="236"/>
      <c r="E90" s="236"/>
      <c r="H90" s="236"/>
    </row>
    <row r="91" spans="1:8" ht="12" customHeight="1">
      <c r="A91" s="217"/>
      <c r="B91" s="223" t="s">
        <v>148</v>
      </c>
      <c r="C91" s="236"/>
      <c r="D91" s="236"/>
      <c r="E91" s="236"/>
      <c r="H91" s="236"/>
    </row>
    <row r="92" spans="1:8" ht="12" customHeight="1">
      <c r="A92" s="217"/>
      <c r="B92" s="223" t="s">
        <v>151</v>
      </c>
      <c r="C92" s="236"/>
      <c r="D92" s="236"/>
      <c r="E92" s="236"/>
      <c r="H92" s="236"/>
    </row>
    <row r="93" spans="1:8" ht="12" customHeight="1">
      <c r="A93" s="217"/>
      <c r="C93" s="236"/>
      <c r="D93" s="236"/>
      <c r="E93" s="236"/>
      <c r="H93" s="236"/>
    </row>
    <row r="94" spans="1:8" ht="12" customHeight="1">
      <c r="A94" s="217"/>
      <c r="B94" s="223" t="s">
        <v>96</v>
      </c>
      <c r="C94" s="236"/>
      <c r="D94" s="236"/>
      <c r="E94" s="236"/>
      <c r="H94" s="236"/>
    </row>
    <row r="95" spans="1:8" ht="12" customHeight="1">
      <c r="A95" s="217"/>
      <c r="B95" s="223" t="s">
        <v>97</v>
      </c>
      <c r="C95" s="236"/>
      <c r="D95" s="236"/>
      <c r="E95" s="236"/>
      <c r="H95" s="236"/>
    </row>
    <row r="96" spans="1:8" ht="12" customHeight="1">
      <c r="A96" s="217"/>
      <c r="B96" s="223" t="s">
        <v>152</v>
      </c>
      <c r="C96" s="236"/>
      <c r="D96" s="236"/>
      <c r="E96" s="236"/>
      <c r="H96" s="236"/>
    </row>
    <row r="97" spans="1:8" ht="12" customHeight="1">
      <c r="A97" s="217"/>
      <c r="C97" s="236"/>
      <c r="D97" s="236"/>
      <c r="E97" s="236"/>
      <c r="H97" s="236"/>
    </row>
    <row r="98" spans="1:8" ht="12" customHeight="1">
      <c r="A98" s="217"/>
      <c r="B98" s="223" t="s">
        <v>99</v>
      </c>
      <c r="C98" s="236"/>
      <c r="D98" s="236"/>
      <c r="E98" s="236"/>
      <c r="H98" s="236"/>
    </row>
    <row r="99" spans="1:8" ht="12" customHeight="1">
      <c r="A99" s="217"/>
      <c r="B99" s="223" t="s">
        <v>145</v>
      </c>
      <c r="C99" s="236"/>
      <c r="D99" s="236"/>
      <c r="E99" s="236"/>
      <c r="H99" s="236"/>
    </row>
    <row r="100" spans="1:8" ht="12" customHeight="1">
      <c r="A100" s="217"/>
      <c r="B100" s="223" t="s">
        <v>150</v>
      </c>
      <c r="C100" s="236"/>
      <c r="D100" s="236"/>
      <c r="E100" s="236"/>
      <c r="H100" s="236"/>
    </row>
    <row r="101" spans="1:8" ht="12" customHeight="1">
      <c r="A101" s="217"/>
      <c r="B101" s="223" t="s">
        <v>148</v>
      </c>
      <c r="C101" s="236"/>
      <c r="D101" s="236"/>
      <c r="E101" s="236"/>
      <c r="H101" s="236"/>
    </row>
    <row r="102" spans="1:8" ht="12" customHeight="1">
      <c r="A102" s="217"/>
      <c r="B102" s="223" t="s">
        <v>153</v>
      </c>
      <c r="C102" s="236"/>
      <c r="D102" s="236"/>
      <c r="E102" s="236"/>
      <c r="H102" s="236"/>
    </row>
    <row r="103" spans="1:8" ht="12" customHeight="1">
      <c r="A103" s="217"/>
      <c r="B103" s="236"/>
      <c r="C103" s="236"/>
      <c r="D103" s="236"/>
      <c r="E103" s="236"/>
      <c r="H103" s="236"/>
    </row>
    <row r="104" spans="1:8" ht="12" customHeight="1">
      <c r="A104" s="217"/>
      <c r="B104" s="236" t="s">
        <v>101</v>
      </c>
      <c r="C104" s="236"/>
      <c r="D104" s="236"/>
      <c r="E104" s="236"/>
      <c r="H104" s="236"/>
    </row>
    <row r="105" spans="1:8" ht="12" customHeight="1">
      <c r="A105" s="217"/>
      <c r="B105" s="236"/>
      <c r="C105" s="236"/>
      <c r="D105" s="236"/>
      <c r="E105" s="236"/>
      <c r="H105" s="236"/>
    </row>
    <row r="106" spans="1:8" ht="12" customHeight="1">
      <c r="A106" s="217"/>
      <c r="B106" s="236" t="s">
        <v>220</v>
      </c>
      <c r="C106" s="236"/>
      <c r="D106" s="236"/>
      <c r="E106" s="236"/>
      <c r="H106" s="236"/>
    </row>
    <row r="107" spans="1:8" ht="12" customHeight="1">
      <c r="A107" s="217"/>
      <c r="B107" s="236"/>
      <c r="C107" s="236"/>
      <c r="D107" s="236"/>
      <c r="E107" s="236"/>
      <c r="H107" s="236"/>
    </row>
    <row r="108" spans="1:8" ht="12" customHeight="1">
      <c r="A108" s="217"/>
      <c r="B108" s="236" t="s">
        <v>221</v>
      </c>
      <c r="C108" s="236"/>
      <c r="D108" s="236"/>
      <c r="E108" s="237"/>
      <c r="H108" s="236"/>
    </row>
    <row r="109" spans="1:8" ht="12" customHeight="1">
      <c r="A109" s="217"/>
      <c r="B109" s="242" t="s">
        <v>222</v>
      </c>
      <c r="C109" s="243">
        <f>Inputs!$D$4</f>
        <v>0.01065</v>
      </c>
      <c r="D109" s="236"/>
      <c r="E109" s="237"/>
      <c r="H109" s="236"/>
    </row>
    <row r="110" spans="1:8" ht="12" customHeight="1">
      <c r="A110" s="217"/>
      <c r="B110" s="236"/>
      <c r="C110" s="236"/>
      <c r="D110" s="236"/>
      <c r="E110" s="237"/>
      <c r="H110" s="236"/>
    </row>
    <row r="111" ht="12" customHeight="1"/>
    <row r="112" ht="12" customHeight="1"/>
    <row r="113" ht="12" customHeight="1"/>
    <row r="114" ht="12" customHeight="1"/>
  </sheetData>
  <printOptions horizontalCentered="1"/>
  <pageMargins left="1" right="1" top="0.5" bottom="0.5" header="0.5" footer="0.5"/>
  <pageSetup horizontalDpi="300" verticalDpi="300" orientation="portrait" scale="90" r:id="rId1"/>
  <colBreaks count="1" manualBreakCount="1">
    <brk id="8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16">
      <selection activeCell="F35" sqref="F35"/>
    </sheetView>
  </sheetViews>
  <sheetFormatPr defaultColWidth="9.140625" defaultRowHeight="12.75"/>
  <cols>
    <col min="1" max="1" width="5.57421875" style="220" customWidth="1"/>
    <col min="2" max="2" width="26.140625" style="217" customWidth="1"/>
    <col min="3" max="3" width="12.421875" style="217" customWidth="1"/>
    <col min="4" max="4" width="6.7109375" style="217" customWidth="1"/>
    <col min="5" max="16384" width="12.421875" style="217" customWidth="1"/>
  </cols>
  <sheetData>
    <row r="1" spans="1:3" ht="12" customHeight="1">
      <c r="A1" s="215" t="str">
        <f>Inputs!$D$6</f>
        <v>AVISTA UTILITIES</v>
      </c>
      <c r="B1" s="216"/>
      <c r="C1" s="215"/>
    </row>
    <row r="2" spans="1:7" ht="12" customHeight="1">
      <c r="A2" s="215" t="s">
        <v>134</v>
      </c>
      <c r="B2" s="216"/>
      <c r="C2" s="215"/>
      <c r="E2" s="215" t="s">
        <v>257</v>
      </c>
      <c r="F2" s="215"/>
      <c r="G2" s="215"/>
    </row>
    <row r="3" spans="1:7" ht="12" customHeight="1">
      <c r="A3" s="216" t="str">
        <f>WAElec12_04!$A$4</f>
        <v>TWELVE MONTHS ENDED DECEMBER 31, 2004</v>
      </c>
      <c r="B3" s="216"/>
      <c r="C3" s="215"/>
      <c r="E3" s="215" t="s">
        <v>258</v>
      </c>
      <c r="F3" s="215"/>
      <c r="G3" s="215"/>
    </row>
    <row r="4" spans="1:7" ht="12" customHeight="1">
      <c r="A4" s="215" t="s">
        <v>1</v>
      </c>
      <c r="B4" s="216"/>
      <c r="C4" s="215"/>
      <c r="E4" s="218" t="s">
        <v>137</v>
      </c>
      <c r="F4" s="218"/>
      <c r="G4" s="219"/>
    </row>
    <row r="5" ht="12" customHeight="1">
      <c r="A5" s="220" t="s">
        <v>13</v>
      </c>
    </row>
    <row r="6" spans="1:8" s="220" customFormat="1" ht="12" customHeight="1">
      <c r="A6" s="220" t="s">
        <v>138</v>
      </c>
      <c r="B6" s="221" t="s">
        <v>34</v>
      </c>
      <c r="C6" s="221"/>
      <c r="E6" s="221" t="s">
        <v>139</v>
      </c>
      <c r="F6" s="221" t="s">
        <v>140</v>
      </c>
      <c r="G6" s="221" t="s">
        <v>123</v>
      </c>
      <c r="H6" s="222" t="s">
        <v>141</v>
      </c>
    </row>
    <row r="7" ht="12" customHeight="1">
      <c r="B7" s="223" t="s">
        <v>80</v>
      </c>
    </row>
    <row r="8" spans="1:8" s="226" customFormat="1" ht="12" customHeight="1">
      <c r="A8" s="224">
        <v>1</v>
      </c>
      <c r="B8" s="225" t="s">
        <v>81</v>
      </c>
      <c r="E8" s="227">
        <f>F8+G8</f>
        <v>0</v>
      </c>
      <c r="F8" s="227"/>
      <c r="G8" s="227"/>
      <c r="H8" s="226" t="str">
        <f aca="true" t="shared" si="0" ref="H8:H13">IF(E8=F8+G8," ","ERROR")</f>
        <v> </v>
      </c>
    </row>
    <row r="9" spans="1:8" ht="12" customHeight="1">
      <c r="A9" s="220">
        <v>2</v>
      </c>
      <c r="B9" s="223" t="s">
        <v>82</v>
      </c>
      <c r="E9" s="228"/>
      <c r="F9" s="228"/>
      <c r="G9" s="228"/>
      <c r="H9" s="226" t="str">
        <f t="shared" si="0"/>
        <v> </v>
      </c>
    </row>
    <row r="10" spans="1:8" ht="12" customHeight="1">
      <c r="A10" s="220">
        <v>3</v>
      </c>
      <c r="B10" s="223" t="s">
        <v>142</v>
      </c>
      <c r="E10" s="228"/>
      <c r="F10" s="228"/>
      <c r="G10" s="228"/>
      <c r="H10" s="226" t="str">
        <f t="shared" si="0"/>
        <v> </v>
      </c>
    </row>
    <row r="11" spans="1:8" ht="12" customHeight="1">
      <c r="A11" s="220">
        <v>4</v>
      </c>
      <c r="B11" s="223" t="s">
        <v>143</v>
      </c>
      <c r="E11" s="229">
        <f>E8+E9+E10</f>
        <v>0</v>
      </c>
      <c r="F11" s="229">
        <f>F8+F9+F10</f>
        <v>0</v>
      </c>
      <c r="G11" s="229">
        <f>G8+G9+G10</f>
        <v>0</v>
      </c>
      <c r="H11" s="226" t="str">
        <f t="shared" si="0"/>
        <v> </v>
      </c>
    </row>
    <row r="12" spans="1:8" ht="12" customHeight="1">
      <c r="A12" s="220">
        <v>5</v>
      </c>
      <c r="B12" s="223" t="s">
        <v>85</v>
      </c>
      <c r="E12" s="228"/>
      <c r="F12" s="228"/>
      <c r="G12" s="228"/>
      <c r="H12" s="226" t="str">
        <f t="shared" si="0"/>
        <v> </v>
      </c>
    </row>
    <row r="13" spans="1:8" ht="12" customHeight="1">
      <c r="A13" s="220">
        <v>6</v>
      </c>
      <c r="B13" s="223" t="s">
        <v>144</v>
      </c>
      <c r="E13" s="229">
        <f>E11+E12</f>
        <v>0</v>
      </c>
      <c r="F13" s="229">
        <f>F11+F12</f>
        <v>0</v>
      </c>
      <c r="G13" s="229">
        <f>G11+G12</f>
        <v>0</v>
      </c>
      <c r="H13" s="226" t="str">
        <f t="shared" si="0"/>
        <v> </v>
      </c>
    </row>
    <row r="14" spans="5:8" ht="12" customHeight="1">
      <c r="E14" s="230"/>
      <c r="F14" s="230"/>
      <c r="G14" s="230"/>
      <c r="H14" s="226"/>
    </row>
    <row r="15" spans="2:8" ht="12" customHeight="1">
      <c r="B15" s="223" t="s">
        <v>87</v>
      </c>
      <c r="E15" s="230"/>
      <c r="F15" s="230"/>
      <c r="G15" s="230"/>
      <c r="H15" s="226"/>
    </row>
    <row r="16" spans="2:8" ht="12" customHeight="1">
      <c r="B16" s="223" t="s">
        <v>88</v>
      </c>
      <c r="E16" s="230"/>
      <c r="F16" s="230"/>
      <c r="G16" s="230"/>
      <c r="H16" s="226"/>
    </row>
    <row r="17" spans="1:8" ht="12" customHeight="1">
      <c r="A17" s="220">
        <v>7</v>
      </c>
      <c r="B17" s="223" t="s">
        <v>145</v>
      </c>
      <c r="E17" s="228"/>
      <c r="F17" s="228"/>
      <c r="G17" s="228"/>
      <c r="H17" s="226" t="str">
        <f>IF(E17=F17+G17," ","ERROR")</f>
        <v> </v>
      </c>
    </row>
    <row r="18" spans="1:8" ht="12" customHeight="1">
      <c r="A18" s="220">
        <v>8</v>
      </c>
      <c r="B18" s="223" t="s">
        <v>146</v>
      </c>
      <c r="E18" s="228"/>
      <c r="F18" s="228"/>
      <c r="G18" s="228"/>
      <c r="H18" s="226" t="str">
        <f>IF(E18=F18+G18," ","ERROR")</f>
        <v> </v>
      </c>
    </row>
    <row r="19" spans="1:8" ht="12" customHeight="1">
      <c r="A19" s="220">
        <v>9</v>
      </c>
      <c r="B19" s="223" t="s">
        <v>147</v>
      </c>
      <c r="E19" s="228"/>
      <c r="F19" s="228"/>
      <c r="G19" s="228"/>
      <c r="H19" s="226" t="str">
        <f>IF(E19=F19+G19," ","ERROR")</f>
        <v> </v>
      </c>
    </row>
    <row r="20" spans="1:8" ht="12" customHeight="1">
      <c r="A20" s="220">
        <v>10</v>
      </c>
      <c r="B20" s="223" t="s">
        <v>148</v>
      </c>
      <c r="E20" s="228"/>
      <c r="F20" s="228"/>
      <c r="G20" s="228"/>
      <c r="H20" s="226" t="str">
        <f>IF(E20=F20+G20," ","ERROR")</f>
        <v> </v>
      </c>
    </row>
    <row r="21" spans="1:8" ht="12" customHeight="1">
      <c r="A21" s="220">
        <v>11</v>
      </c>
      <c r="B21" s="223" t="s">
        <v>149</v>
      </c>
      <c r="E21" s="229">
        <f>E17+E18+E19+E20</f>
        <v>0</v>
      </c>
      <c r="F21" s="229">
        <f>F17+F18+F19+F20</f>
        <v>0</v>
      </c>
      <c r="G21" s="229">
        <f>G17+G18+G19+G20</f>
        <v>0</v>
      </c>
      <c r="H21" s="226" t="str">
        <f>IF(E21=F21+G21," ","ERROR")</f>
        <v> </v>
      </c>
    </row>
    <row r="22" spans="5:8" ht="12" customHeight="1">
      <c r="E22" s="230"/>
      <c r="F22" s="230"/>
      <c r="G22" s="230"/>
      <c r="H22" s="226"/>
    </row>
    <row r="23" spans="2:8" ht="12" customHeight="1">
      <c r="B23" s="223" t="s">
        <v>93</v>
      </c>
      <c r="E23" s="230"/>
      <c r="F23" s="230"/>
      <c r="G23" s="230"/>
      <c r="H23" s="226"/>
    </row>
    <row r="24" spans="1:8" ht="12" customHeight="1">
      <c r="A24" s="220">
        <v>12</v>
      </c>
      <c r="B24" s="223" t="s">
        <v>145</v>
      </c>
      <c r="E24" s="228"/>
      <c r="F24" s="228"/>
      <c r="G24" s="228"/>
      <c r="H24" s="226" t="str">
        <f>IF(E24=F24+G24," ","ERROR")</f>
        <v> </v>
      </c>
    </row>
    <row r="25" spans="1:8" ht="12" customHeight="1">
      <c r="A25" s="220">
        <v>13</v>
      </c>
      <c r="B25" s="223" t="s">
        <v>150</v>
      </c>
      <c r="E25" s="228"/>
      <c r="F25" s="228"/>
      <c r="G25" s="228"/>
      <c r="H25" s="226" t="str">
        <f>IF(E25=F25+G25," ","ERROR")</f>
        <v> </v>
      </c>
    </row>
    <row r="26" spans="1:8" ht="12" customHeight="1">
      <c r="A26" s="220">
        <v>14</v>
      </c>
      <c r="B26" s="223" t="s">
        <v>148</v>
      </c>
      <c r="E26" s="228">
        <f>F26+G26</f>
        <v>359</v>
      </c>
      <c r="F26" s="228">
        <v>359</v>
      </c>
      <c r="G26" s="228"/>
      <c r="H26" s="226" t="str">
        <f>IF(E26=F26+G26," ","ERROR")</f>
        <v> </v>
      </c>
    </row>
    <row r="27" spans="1:8" ht="12" customHeight="1">
      <c r="A27" s="220">
        <v>15</v>
      </c>
      <c r="B27" s="223" t="s">
        <v>151</v>
      </c>
      <c r="E27" s="229">
        <f>E24+E25+E26</f>
        <v>359</v>
      </c>
      <c r="F27" s="229">
        <f>F24+F25+F26</f>
        <v>359</v>
      </c>
      <c r="G27" s="229">
        <f>G24+G25+G26</f>
        <v>0</v>
      </c>
      <c r="H27" s="226" t="str">
        <f>IF(E27=F27+G27," ","ERROR")</f>
        <v> </v>
      </c>
    </row>
    <row r="28" spans="5:8" ht="12" customHeight="1">
      <c r="E28" s="230"/>
      <c r="F28" s="230"/>
      <c r="G28" s="230"/>
      <c r="H28" s="226"/>
    </row>
    <row r="29" spans="1:8" ht="12" customHeight="1">
      <c r="A29" s="220">
        <v>16</v>
      </c>
      <c r="B29" s="223" t="s">
        <v>96</v>
      </c>
      <c r="E29" s="228"/>
      <c r="F29" s="228"/>
      <c r="G29" s="228"/>
      <c r="H29" s="226" t="str">
        <f>IF(E29=F29+G29," ","ERROR")</f>
        <v> </v>
      </c>
    </row>
    <row r="30" spans="1:8" ht="12" customHeight="1">
      <c r="A30" s="220">
        <v>17</v>
      </c>
      <c r="B30" s="223" t="s">
        <v>97</v>
      </c>
      <c r="E30" s="228">
        <f>F30+G30</f>
        <v>-305</v>
      </c>
      <c r="F30" s="228">
        <v>-305</v>
      </c>
      <c r="G30" s="228"/>
      <c r="H30" s="226" t="str">
        <f>IF(E30=F30+G30," ","ERROR")</f>
        <v> </v>
      </c>
    </row>
    <row r="31" spans="1:8" ht="12" customHeight="1">
      <c r="A31" s="220">
        <v>18</v>
      </c>
      <c r="B31" s="223" t="s">
        <v>152</v>
      </c>
      <c r="E31" s="228"/>
      <c r="F31" s="228"/>
      <c r="G31" s="228"/>
      <c r="H31" s="226" t="str">
        <f>IF(E31=F31+G31," ","ERROR")</f>
        <v> </v>
      </c>
    </row>
    <row r="32" spans="5:8" ht="12" customHeight="1">
      <c r="E32" s="230"/>
      <c r="F32" s="230"/>
      <c r="G32" s="230"/>
      <c r="H32" s="226"/>
    </row>
    <row r="33" spans="2:8" ht="12" customHeight="1">
      <c r="B33" s="223" t="s">
        <v>99</v>
      </c>
      <c r="E33" s="230"/>
      <c r="F33" s="230"/>
      <c r="G33" s="230"/>
      <c r="H33" s="226"/>
    </row>
    <row r="34" spans="1:8" ht="12" customHeight="1">
      <c r="A34" s="220">
        <v>19</v>
      </c>
      <c r="B34" s="223" t="s">
        <v>145</v>
      </c>
      <c r="E34" s="228">
        <f>F34+G34</f>
        <v>-114</v>
      </c>
      <c r="F34" s="228">
        <v>-114</v>
      </c>
      <c r="G34" s="228"/>
      <c r="H34" s="226" t="str">
        <f>IF(E34=F34+G34," ","ERROR")</f>
        <v> </v>
      </c>
    </row>
    <row r="35" spans="1:8" ht="12" customHeight="1">
      <c r="A35" s="220">
        <v>20</v>
      </c>
      <c r="B35" s="223" t="s">
        <v>150</v>
      </c>
      <c r="E35" s="228"/>
      <c r="F35" s="228"/>
      <c r="G35" s="228"/>
      <c r="H35" s="226" t="str">
        <f>IF(E35=F35+G35," ","ERROR")</f>
        <v> </v>
      </c>
    </row>
    <row r="36" spans="1:8" ht="12" customHeight="1">
      <c r="A36" s="220">
        <v>21</v>
      </c>
      <c r="B36" s="223" t="s">
        <v>148</v>
      </c>
      <c r="E36" s="228"/>
      <c r="F36" s="228"/>
      <c r="G36" s="228"/>
      <c r="H36" s="226" t="str">
        <f>IF(E36=F36+G36," ","ERROR")</f>
        <v> </v>
      </c>
    </row>
    <row r="37" spans="1:8" ht="12" customHeight="1">
      <c r="A37" s="220">
        <v>22</v>
      </c>
      <c r="B37" s="223" t="s">
        <v>153</v>
      </c>
      <c r="E37" s="231">
        <f>E34+E35+E36</f>
        <v>-114</v>
      </c>
      <c r="F37" s="231">
        <f>F34+F35+F36</f>
        <v>-114</v>
      </c>
      <c r="G37" s="231">
        <f>G34+G35+G36</f>
        <v>0</v>
      </c>
      <c r="H37" s="226" t="str">
        <f>IF(E37=F37+G37," ","ERROR")</f>
        <v> </v>
      </c>
    </row>
    <row r="38" spans="1:8" ht="12" customHeight="1">
      <c r="A38" s="220">
        <v>23</v>
      </c>
      <c r="B38" s="223" t="s">
        <v>101</v>
      </c>
      <c r="E38" s="232">
        <f>E21+E27+E29+E30+E31+E37</f>
        <v>-60</v>
      </c>
      <c r="F38" s="232">
        <f>F21+F27+F29+F30+F31+F37</f>
        <v>-60</v>
      </c>
      <c r="G38" s="232">
        <f>G21+G27+G29+G30+G31+G37</f>
        <v>0</v>
      </c>
      <c r="H38" s="226" t="str">
        <f>IF(E38=F38+G38," ","ERROR")</f>
        <v> </v>
      </c>
    </row>
    <row r="39" spans="5:8" ht="12" customHeight="1">
      <c r="E39" s="230"/>
      <c r="F39" s="230"/>
      <c r="G39" s="230"/>
      <c r="H39" s="226"/>
    </row>
    <row r="40" spans="1:8" ht="12" customHeight="1">
      <c r="A40" s="220">
        <v>24</v>
      </c>
      <c r="B40" s="223" t="s">
        <v>154</v>
      </c>
      <c r="E40" s="230">
        <f>E13-E38</f>
        <v>60</v>
      </c>
      <c r="F40" s="230">
        <f>F13-F38</f>
        <v>60</v>
      </c>
      <c r="G40" s="230">
        <f>G13-G38</f>
        <v>0</v>
      </c>
      <c r="H40" s="226" t="str">
        <f>IF(E40=F40+G40," ","ERROR")</f>
        <v> </v>
      </c>
    </row>
    <row r="41" spans="2:8" ht="12" customHeight="1">
      <c r="B41" s="223"/>
      <c r="E41" s="230"/>
      <c r="F41" s="230"/>
      <c r="G41" s="230"/>
      <c r="H41" s="226"/>
    </row>
    <row r="42" spans="2:8" ht="12" customHeight="1">
      <c r="B42" s="223" t="s">
        <v>155</v>
      </c>
      <c r="E42" s="230"/>
      <c r="F42" s="230"/>
      <c r="G42" s="230"/>
      <c r="H42" s="226"/>
    </row>
    <row r="43" spans="1:8" ht="12" customHeight="1">
      <c r="A43" s="220">
        <v>25</v>
      </c>
      <c r="B43" s="223" t="s">
        <v>156</v>
      </c>
      <c r="D43" s="233">
        <v>0.35</v>
      </c>
      <c r="E43" s="228">
        <f>F43+G43</f>
        <v>21</v>
      </c>
      <c r="F43" s="228">
        <f>ROUND(F40*D43,0)</f>
        <v>21</v>
      </c>
      <c r="G43" s="228">
        <f>ROUND(G40*D43,0)</f>
        <v>0</v>
      </c>
      <c r="H43" s="226" t="str">
        <f>IF(E43=F43+G43," ","ERROR")</f>
        <v> </v>
      </c>
    </row>
    <row r="44" spans="1:8" ht="12" customHeight="1">
      <c r="A44" s="220">
        <v>26</v>
      </c>
      <c r="B44" s="223" t="s">
        <v>157</v>
      </c>
      <c r="E44" s="228"/>
      <c r="F44" s="228"/>
      <c r="G44" s="228"/>
      <c r="H44" s="226" t="str">
        <f>IF(E44=F44+G44," ","ERROR")</f>
        <v> </v>
      </c>
    </row>
    <row r="45" spans="1:8" ht="12" customHeight="1">
      <c r="A45"/>
      <c r="B45"/>
      <c r="C45"/>
      <c r="D45"/>
      <c r="E45" s="943"/>
      <c r="F45" s="943"/>
      <c r="G45" s="943"/>
      <c r="H45" s="226" t="str">
        <f>IF(E45=F45+G45," ","ERROR")</f>
        <v> </v>
      </c>
    </row>
    <row r="46" spans="1:8" ht="12" customHeight="1">
      <c r="A46" s="278"/>
      <c r="B46" s="281"/>
      <c r="C46" s="275"/>
      <c r="D46" s="275"/>
      <c r="E46" s="288"/>
      <c r="F46" s="288"/>
      <c r="G46" s="288"/>
      <c r="H46" s="226"/>
    </row>
    <row r="47" spans="1:8" s="226" customFormat="1" ht="12" customHeight="1">
      <c r="A47" s="282">
        <v>27</v>
      </c>
      <c r="B47" s="283" t="s">
        <v>108</v>
      </c>
      <c r="C47" s="284"/>
      <c r="D47" s="284"/>
      <c r="E47" s="292">
        <f>E40-SUM(E43:E44)</f>
        <v>39</v>
      </c>
      <c r="F47" s="292">
        <f>F40-SUM(F43:F44)</f>
        <v>39</v>
      </c>
      <c r="G47" s="292">
        <f>G40-SUM(G43:G44)</f>
        <v>0</v>
      </c>
      <c r="H47" s="226" t="str">
        <f>IF(E47=F47+G47," ","ERROR")</f>
        <v> </v>
      </c>
    </row>
    <row r="48" spans="1:8" ht="12" customHeight="1">
      <c r="A48" s="278"/>
      <c r="H48" s="226"/>
    </row>
    <row r="49" spans="1:8" ht="12" customHeight="1">
      <c r="A49" s="278"/>
      <c r="B49" s="223" t="s">
        <v>109</v>
      </c>
      <c r="H49" s="226"/>
    </row>
    <row r="50" spans="1:8" ht="12" customHeight="1">
      <c r="A50" s="278"/>
      <c r="B50" s="223" t="s">
        <v>110</v>
      </c>
      <c r="H50" s="226"/>
    </row>
    <row r="51" spans="1:8" s="226" customFormat="1" ht="12" customHeight="1">
      <c r="A51" s="282">
        <v>28</v>
      </c>
      <c r="B51" s="225" t="s">
        <v>159</v>
      </c>
      <c r="E51" s="227"/>
      <c r="F51" s="227"/>
      <c r="G51" s="227"/>
      <c r="H51" s="226" t="str">
        <f aca="true" t="shared" si="1" ref="H51:H61">IF(E51=F51+G51," ","ERROR")</f>
        <v> </v>
      </c>
    </row>
    <row r="52" spans="1:8" ht="12" customHeight="1">
      <c r="A52" s="278">
        <v>29</v>
      </c>
      <c r="B52" s="223" t="s">
        <v>160</v>
      </c>
      <c r="E52" s="228"/>
      <c r="F52" s="228"/>
      <c r="G52" s="228"/>
      <c r="H52" s="226" t="str">
        <f t="shared" si="1"/>
        <v> </v>
      </c>
    </row>
    <row r="53" spans="1:8" ht="12" customHeight="1">
      <c r="A53" s="278">
        <v>30</v>
      </c>
      <c r="B53" s="223" t="s">
        <v>161</v>
      </c>
      <c r="E53" s="228"/>
      <c r="F53" s="228"/>
      <c r="G53" s="228"/>
      <c r="H53" s="226" t="str">
        <f t="shared" si="1"/>
        <v> </v>
      </c>
    </row>
    <row r="54" spans="1:8" ht="12" customHeight="1">
      <c r="A54" s="278">
        <v>31</v>
      </c>
      <c r="B54" s="223" t="s">
        <v>162</v>
      </c>
      <c r="E54" s="228"/>
      <c r="F54" s="228"/>
      <c r="G54" s="228"/>
      <c r="H54" s="226" t="str">
        <f t="shared" si="1"/>
        <v> </v>
      </c>
    </row>
    <row r="55" spans="1:8" ht="12" customHeight="1">
      <c r="A55" s="278">
        <v>32</v>
      </c>
      <c r="B55" s="223" t="s">
        <v>163</v>
      </c>
      <c r="E55" s="234"/>
      <c r="F55" s="234"/>
      <c r="G55" s="234"/>
      <c r="H55" s="226" t="str">
        <f t="shared" si="1"/>
        <v> </v>
      </c>
    </row>
    <row r="56" spans="1:8" ht="12" customHeight="1">
      <c r="A56" s="278">
        <v>33</v>
      </c>
      <c r="B56" s="223" t="s">
        <v>164</v>
      </c>
      <c r="E56" s="230">
        <f>E51+E52+E53+E54+E55</f>
        <v>0</v>
      </c>
      <c r="F56" s="230">
        <f>F51+F52+F53+F54+F55</f>
        <v>0</v>
      </c>
      <c r="G56" s="230">
        <f>G51+G52+G53+G54+G55</f>
        <v>0</v>
      </c>
      <c r="H56" s="226" t="str">
        <f t="shared" si="1"/>
        <v> </v>
      </c>
    </row>
    <row r="57" spans="1:8" ht="12" customHeight="1">
      <c r="A57" s="278">
        <v>34</v>
      </c>
      <c r="B57" s="223" t="s">
        <v>116</v>
      </c>
      <c r="E57" s="228"/>
      <c r="F57" s="228"/>
      <c r="G57" s="228"/>
      <c r="H57" s="226" t="str">
        <f t="shared" si="1"/>
        <v> </v>
      </c>
    </row>
    <row r="58" spans="1:8" ht="12" customHeight="1">
      <c r="A58" s="278">
        <v>35</v>
      </c>
      <c r="B58" s="223" t="s">
        <v>117</v>
      </c>
      <c r="E58" s="234"/>
      <c r="F58" s="234"/>
      <c r="G58" s="234"/>
      <c r="H58" s="226" t="str">
        <f t="shared" si="1"/>
        <v> </v>
      </c>
    </row>
    <row r="59" spans="1:8" ht="12" customHeight="1">
      <c r="A59" s="278">
        <v>36</v>
      </c>
      <c r="B59" s="223" t="s">
        <v>165</v>
      </c>
      <c r="E59" s="230">
        <f>E57+E58</f>
        <v>0</v>
      </c>
      <c r="F59" s="230">
        <f>F57+F58</f>
        <v>0</v>
      </c>
      <c r="G59" s="230">
        <f>G57+G58</f>
        <v>0</v>
      </c>
      <c r="H59" s="226" t="str">
        <f t="shared" si="1"/>
        <v> </v>
      </c>
    </row>
    <row r="60" spans="1:8" ht="12" customHeight="1">
      <c r="A60" s="278">
        <v>37</v>
      </c>
      <c r="B60" s="223" t="s">
        <v>119</v>
      </c>
      <c r="E60" s="228"/>
      <c r="F60" s="228"/>
      <c r="G60" s="228"/>
      <c r="H60" s="226" t="str">
        <f t="shared" si="1"/>
        <v> </v>
      </c>
    </row>
    <row r="61" spans="1:8" ht="12" customHeight="1">
      <c r="A61" s="278">
        <v>38</v>
      </c>
      <c r="B61" s="223" t="s">
        <v>120</v>
      </c>
      <c r="E61" s="234"/>
      <c r="F61" s="234"/>
      <c r="G61" s="234"/>
      <c r="H61" s="226" t="str">
        <f t="shared" si="1"/>
        <v> </v>
      </c>
    </row>
    <row r="62" spans="1:8" ht="12" customHeight="1">
      <c r="A62" s="278"/>
      <c r="H62" s="226"/>
    </row>
    <row r="63" spans="1:8" s="226" customFormat="1" ht="12" customHeight="1" thickBot="1">
      <c r="A63" s="282">
        <v>39</v>
      </c>
      <c r="B63" s="225" t="s">
        <v>121</v>
      </c>
      <c r="E63" s="235">
        <f>E56-E59+E60+E61</f>
        <v>0</v>
      </c>
      <c r="F63" s="235">
        <f>F56-F59+F60+F61</f>
        <v>0</v>
      </c>
      <c r="G63" s="235">
        <f>G56-G59+G60+G61</f>
        <v>0</v>
      </c>
      <c r="H63" s="226" t="str">
        <f>IF(E63=F63+G63," ","ERROR")</f>
        <v> </v>
      </c>
    </row>
    <row r="64" ht="12" customHeight="1" thickTop="1"/>
    <row r="65" spans="1:8" ht="12" customHeight="1">
      <c r="A65" s="216" t="str">
        <f>Inputs!$D$6</f>
        <v>AVISTA UTILITIES</v>
      </c>
      <c r="B65" s="216"/>
      <c r="C65" s="216"/>
      <c r="D65" s="236"/>
      <c r="E65" s="237"/>
      <c r="H65" s="237"/>
    </row>
    <row r="66" spans="1:8" ht="12" customHeight="1">
      <c r="A66" s="216" t="s">
        <v>218</v>
      </c>
      <c r="B66" s="216"/>
      <c r="C66" s="216"/>
      <c r="D66" s="236"/>
      <c r="E66" s="237"/>
      <c r="H66" s="237"/>
    </row>
    <row r="67" spans="1:8" ht="12" customHeight="1">
      <c r="A67" s="216" t="str">
        <f>A3</f>
        <v>TWELVE MONTHS ENDED DECEMBER 31, 2004</v>
      </c>
      <c r="B67" s="216"/>
      <c r="C67" s="216"/>
      <c r="D67" s="236"/>
      <c r="E67" s="237"/>
      <c r="H67" s="237"/>
    </row>
    <row r="68" spans="1:8" ht="12" customHeight="1">
      <c r="A68" s="216" t="s">
        <v>219</v>
      </c>
      <c r="B68" s="216"/>
      <c r="C68" s="216"/>
      <c r="D68" s="236"/>
      <c r="E68" s="237"/>
      <c r="H68" s="237"/>
    </row>
    <row r="69" spans="2:8" ht="12" customHeight="1">
      <c r="B69" s="236"/>
      <c r="C69" s="236"/>
      <c r="D69" s="236"/>
      <c r="E69" s="238"/>
      <c r="H69" s="239"/>
    </row>
    <row r="70" spans="2:8" ht="12" customHeight="1">
      <c r="B70" s="236"/>
      <c r="C70" s="236"/>
      <c r="D70" s="236"/>
      <c r="E70" s="237"/>
      <c r="H70" s="237"/>
    </row>
    <row r="71" spans="2:8" ht="12" customHeight="1">
      <c r="B71" s="240" t="s">
        <v>128</v>
      </c>
      <c r="C71" s="241"/>
      <c r="D71" s="236"/>
      <c r="E71" s="237"/>
      <c r="H71" s="237"/>
    </row>
    <row r="72" spans="2:8" ht="12" customHeight="1">
      <c r="B72" s="223" t="s">
        <v>80</v>
      </c>
      <c r="C72" s="236"/>
      <c r="D72" s="236"/>
      <c r="E72" s="236"/>
      <c r="H72" s="236"/>
    </row>
    <row r="73" spans="2:8" ht="12" customHeight="1">
      <c r="B73" s="225" t="s">
        <v>81</v>
      </c>
      <c r="C73" s="236"/>
      <c r="D73" s="236"/>
      <c r="E73" s="236"/>
      <c r="H73" s="236"/>
    </row>
    <row r="74" spans="2:8" ht="12" customHeight="1">
      <c r="B74" s="223" t="s">
        <v>82</v>
      </c>
      <c r="C74" s="236"/>
      <c r="D74" s="236"/>
      <c r="E74" s="236"/>
      <c r="H74" s="236"/>
    </row>
    <row r="75" spans="2:8" ht="12" customHeight="1">
      <c r="B75" s="223" t="s">
        <v>142</v>
      </c>
      <c r="C75" s="236"/>
      <c r="D75" s="236"/>
      <c r="E75" s="236"/>
      <c r="H75" s="236"/>
    </row>
    <row r="76" spans="2:8" ht="12" customHeight="1">
      <c r="B76" s="223" t="s">
        <v>143</v>
      </c>
      <c r="C76" s="236"/>
      <c r="D76" s="236"/>
      <c r="E76" s="236"/>
      <c r="H76" s="236"/>
    </row>
    <row r="77" spans="2:8" ht="12" customHeight="1">
      <c r="B77" s="223" t="s">
        <v>85</v>
      </c>
      <c r="C77" s="236"/>
      <c r="D77" s="236"/>
      <c r="E77" s="236"/>
      <c r="H77" s="236"/>
    </row>
    <row r="78" spans="2:8" ht="12" customHeight="1">
      <c r="B78" s="223" t="s">
        <v>144</v>
      </c>
      <c r="C78" s="236"/>
      <c r="D78" s="236"/>
      <c r="E78" s="236"/>
      <c r="H78" s="236"/>
    </row>
    <row r="79" spans="3:8" ht="12" customHeight="1">
      <c r="C79" s="236"/>
      <c r="D79" s="236"/>
      <c r="E79" s="236"/>
      <c r="H79" s="236"/>
    </row>
    <row r="80" spans="2:8" ht="12" customHeight="1">
      <c r="B80" s="223" t="s">
        <v>87</v>
      </c>
      <c r="C80" s="236"/>
      <c r="D80" s="236"/>
      <c r="E80" s="236"/>
      <c r="H80" s="236"/>
    </row>
    <row r="81" spans="2:8" ht="12" customHeight="1">
      <c r="B81" s="223" t="s">
        <v>88</v>
      </c>
      <c r="C81" s="236"/>
      <c r="D81" s="236"/>
      <c r="E81" s="236"/>
      <c r="H81" s="236"/>
    </row>
    <row r="82" spans="2:8" ht="12" customHeight="1">
      <c r="B82" s="223" t="s">
        <v>145</v>
      </c>
      <c r="C82" s="236"/>
      <c r="D82" s="236"/>
      <c r="E82" s="236"/>
      <c r="H82" s="236"/>
    </row>
    <row r="83" spans="2:8" ht="12" customHeight="1">
      <c r="B83" s="223" t="s">
        <v>146</v>
      </c>
      <c r="C83" s="236"/>
      <c r="D83" s="236"/>
      <c r="E83" s="236"/>
      <c r="H83" s="236"/>
    </row>
    <row r="84" spans="2:8" ht="12" customHeight="1">
      <c r="B84" s="223" t="s">
        <v>147</v>
      </c>
      <c r="C84" s="236"/>
      <c r="D84" s="236"/>
      <c r="E84" s="236"/>
      <c r="H84" s="236"/>
    </row>
    <row r="85" spans="2:8" ht="12" customHeight="1">
      <c r="B85" s="223" t="s">
        <v>148</v>
      </c>
      <c r="C85" s="236"/>
      <c r="D85" s="236"/>
      <c r="E85" s="236"/>
      <c r="H85" s="236"/>
    </row>
    <row r="86" spans="2:8" ht="12" customHeight="1">
      <c r="B86" s="223" t="s">
        <v>149</v>
      </c>
      <c r="C86" s="236"/>
      <c r="D86" s="236"/>
      <c r="E86" s="236"/>
      <c r="H86" s="236"/>
    </row>
    <row r="87" spans="3:8" ht="12" customHeight="1">
      <c r="C87" s="236"/>
      <c r="D87" s="236"/>
      <c r="E87" s="236"/>
      <c r="H87" s="236"/>
    </row>
    <row r="88" spans="2:8" ht="12" customHeight="1">
      <c r="B88" s="223" t="s">
        <v>93</v>
      </c>
      <c r="C88" s="236"/>
      <c r="D88" s="236"/>
      <c r="E88" s="236"/>
      <c r="H88" s="236"/>
    </row>
    <row r="89" spans="2:8" ht="12" customHeight="1">
      <c r="B89" s="223" t="s">
        <v>145</v>
      </c>
      <c r="C89" s="236"/>
      <c r="D89" s="236"/>
      <c r="E89" s="236"/>
      <c r="H89" s="236"/>
    </row>
    <row r="90" spans="2:8" ht="12" customHeight="1">
      <c r="B90" s="223" t="s">
        <v>150</v>
      </c>
      <c r="C90" s="236"/>
      <c r="D90" s="236"/>
      <c r="E90" s="236"/>
      <c r="H90" s="236"/>
    </row>
    <row r="91" spans="1:8" ht="12" customHeight="1">
      <c r="A91" s="217"/>
      <c r="B91" s="223" t="s">
        <v>148</v>
      </c>
      <c r="C91" s="236"/>
      <c r="D91" s="236"/>
      <c r="E91" s="236"/>
      <c r="H91" s="236"/>
    </row>
    <row r="92" spans="1:8" ht="12" customHeight="1">
      <c r="A92" s="217"/>
      <c r="B92" s="223" t="s">
        <v>151</v>
      </c>
      <c r="C92" s="236"/>
      <c r="D92" s="236"/>
      <c r="E92" s="236"/>
      <c r="H92" s="236"/>
    </row>
    <row r="93" spans="1:8" ht="12" customHeight="1">
      <c r="A93" s="217"/>
      <c r="C93" s="236"/>
      <c r="D93" s="236"/>
      <c r="E93" s="236"/>
      <c r="H93" s="236"/>
    </row>
    <row r="94" spans="1:8" ht="12" customHeight="1">
      <c r="A94" s="217"/>
      <c r="B94" s="223" t="s">
        <v>96</v>
      </c>
      <c r="C94" s="236"/>
      <c r="D94" s="236"/>
      <c r="E94" s="236"/>
      <c r="H94" s="236"/>
    </row>
    <row r="95" spans="1:8" ht="12" customHeight="1">
      <c r="A95" s="217"/>
      <c r="B95" s="223" t="s">
        <v>97</v>
      </c>
      <c r="C95" s="236"/>
      <c r="D95" s="236"/>
      <c r="E95" s="236"/>
      <c r="H95" s="236"/>
    </row>
    <row r="96" spans="1:8" ht="12" customHeight="1">
      <c r="A96" s="217"/>
      <c r="B96" s="223" t="s">
        <v>152</v>
      </c>
      <c r="C96" s="236"/>
      <c r="D96" s="236"/>
      <c r="E96" s="236"/>
      <c r="H96" s="236"/>
    </row>
    <row r="97" spans="1:8" ht="12" customHeight="1">
      <c r="A97" s="217"/>
      <c r="C97" s="236"/>
      <c r="D97" s="236"/>
      <c r="E97" s="236"/>
      <c r="H97" s="236"/>
    </row>
    <row r="98" spans="1:8" ht="12" customHeight="1">
      <c r="A98" s="217"/>
      <c r="B98" s="223" t="s">
        <v>99</v>
      </c>
      <c r="C98" s="236"/>
      <c r="D98" s="236"/>
      <c r="E98" s="236"/>
      <c r="H98" s="236"/>
    </row>
    <row r="99" spans="1:8" ht="12" customHeight="1">
      <c r="A99" s="217"/>
      <c r="B99" s="223" t="s">
        <v>145</v>
      </c>
      <c r="C99" s="236"/>
      <c r="D99" s="236"/>
      <c r="E99" s="236"/>
      <c r="H99" s="236"/>
    </row>
    <row r="100" spans="1:8" ht="12" customHeight="1">
      <c r="A100" s="217"/>
      <c r="B100" s="223" t="s">
        <v>150</v>
      </c>
      <c r="C100" s="236"/>
      <c r="D100" s="236"/>
      <c r="E100" s="236"/>
      <c r="H100" s="236"/>
    </row>
    <row r="101" spans="1:8" ht="12" customHeight="1">
      <c r="A101" s="217"/>
      <c r="B101" s="223" t="s">
        <v>148</v>
      </c>
      <c r="C101" s="236"/>
      <c r="D101" s="236"/>
      <c r="E101" s="236"/>
      <c r="H101" s="236"/>
    </row>
    <row r="102" spans="1:8" ht="12" customHeight="1">
      <c r="A102" s="217"/>
      <c r="B102" s="223" t="s">
        <v>153</v>
      </c>
      <c r="C102" s="236"/>
      <c r="D102" s="236"/>
      <c r="E102" s="236"/>
      <c r="H102" s="236"/>
    </row>
    <row r="103" spans="1:8" ht="12" customHeight="1">
      <c r="A103" s="217"/>
      <c r="B103" s="236"/>
      <c r="C103" s="236"/>
      <c r="D103" s="236"/>
      <c r="E103" s="236"/>
      <c r="H103" s="236"/>
    </row>
    <row r="104" spans="1:8" ht="12" customHeight="1">
      <c r="A104" s="217"/>
      <c r="B104" s="236" t="s">
        <v>101</v>
      </c>
      <c r="C104" s="236"/>
      <c r="D104" s="236"/>
      <c r="E104" s="236"/>
      <c r="H104" s="236"/>
    </row>
    <row r="105" spans="1:8" ht="12" customHeight="1">
      <c r="A105" s="217"/>
      <c r="B105" s="236"/>
      <c r="C105" s="236"/>
      <c r="D105" s="236"/>
      <c r="E105" s="236"/>
      <c r="H105" s="236"/>
    </row>
    <row r="106" spans="1:8" ht="12" customHeight="1">
      <c r="A106" s="217"/>
      <c r="B106" s="236" t="s">
        <v>220</v>
      </c>
      <c r="C106" s="236"/>
      <c r="D106" s="236"/>
      <c r="E106" s="236"/>
      <c r="H106" s="236"/>
    </row>
    <row r="107" spans="1:8" ht="12" customHeight="1">
      <c r="A107" s="217"/>
      <c r="B107" s="236"/>
      <c r="C107" s="236"/>
      <c r="D107" s="236"/>
      <c r="E107" s="236"/>
      <c r="H107" s="236"/>
    </row>
    <row r="108" spans="1:8" ht="12" customHeight="1">
      <c r="A108" s="217"/>
      <c r="B108" s="236" t="s">
        <v>221</v>
      </c>
      <c r="C108" s="236"/>
      <c r="D108" s="236"/>
      <c r="E108" s="237"/>
      <c r="H108" s="236"/>
    </row>
    <row r="109" spans="1:8" ht="12" customHeight="1">
      <c r="A109" s="217"/>
      <c r="B109" s="242" t="s">
        <v>222</v>
      </c>
      <c r="C109" s="243">
        <f>Inputs!$D$4</f>
        <v>0.01065</v>
      </c>
      <c r="D109" s="236"/>
      <c r="E109" s="237"/>
      <c r="H109" s="236"/>
    </row>
    <row r="110" spans="1:8" ht="12" customHeight="1">
      <c r="A110" s="217"/>
      <c r="B110" s="236"/>
      <c r="C110" s="236"/>
      <c r="D110" s="236"/>
      <c r="E110" s="237"/>
      <c r="H110" s="236"/>
    </row>
    <row r="111" ht="12" customHeight="1"/>
    <row r="112" ht="12" customHeight="1"/>
    <row r="113" ht="12" customHeight="1"/>
    <row r="114" ht="12" customHeight="1"/>
  </sheetData>
  <printOptions horizontalCentered="1"/>
  <pageMargins left="1" right="1" top="0.5" bottom="0.5" header="0.5" footer="0.5"/>
  <pageSetup horizontalDpi="300" verticalDpi="300" orientation="portrait" scale="90" r:id="rId1"/>
  <colBreaks count="1" manualBreakCount="1">
    <brk id="8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5">
      <selection activeCell="F49" sqref="F49"/>
    </sheetView>
  </sheetViews>
  <sheetFormatPr defaultColWidth="9.140625" defaultRowHeight="12.75"/>
  <cols>
    <col min="1" max="1" width="5.57421875" style="79" customWidth="1"/>
    <col min="2" max="2" width="26.140625" style="78" customWidth="1"/>
    <col min="3" max="3" width="9.8515625" style="78" customWidth="1"/>
    <col min="4" max="4" width="6.7109375" style="78" customWidth="1"/>
    <col min="5" max="16384" width="12.421875" style="78" customWidth="1"/>
  </cols>
  <sheetData>
    <row r="1" spans="1:3" ht="12">
      <c r="A1" s="76" t="str">
        <f>Inputs!$D$6</f>
        <v>AVISTA UTILITIES</v>
      </c>
      <c r="B1" s="77"/>
      <c r="C1" s="76"/>
    </row>
    <row r="2" spans="1:7" ht="12">
      <c r="A2" s="76" t="s">
        <v>134</v>
      </c>
      <c r="B2" s="77"/>
      <c r="C2" s="76"/>
      <c r="E2" s="76"/>
      <c r="F2" s="79" t="s">
        <v>490</v>
      </c>
      <c r="G2" s="76"/>
    </row>
    <row r="3" spans="1:7" ht="12">
      <c r="A3" s="77" t="str">
        <f>WAElec12_04!$A$4</f>
        <v>TWELVE MONTHS ENDED DECEMBER 31, 2004</v>
      </c>
      <c r="B3" s="77"/>
      <c r="C3" s="76"/>
      <c r="E3" s="76"/>
      <c r="F3" s="79" t="s">
        <v>232</v>
      </c>
      <c r="G3" s="76"/>
    </row>
    <row r="4" spans="1:7" ht="12">
      <c r="A4" s="76" t="s">
        <v>1</v>
      </c>
      <c r="B4" s="77"/>
      <c r="C4" s="76"/>
      <c r="E4" s="80"/>
      <c r="F4" s="81" t="s">
        <v>137</v>
      </c>
      <c r="G4" s="82"/>
    </row>
    <row r="5" ht="12">
      <c r="A5" s="79" t="s">
        <v>13</v>
      </c>
    </row>
    <row r="6" spans="1:8" s="79" customFormat="1" ht="12">
      <c r="A6" s="79" t="s">
        <v>138</v>
      </c>
      <c r="B6" s="83" t="s">
        <v>34</v>
      </c>
      <c r="C6" s="83"/>
      <c r="E6" s="83" t="s">
        <v>139</v>
      </c>
      <c r="F6" s="83" t="s">
        <v>140</v>
      </c>
      <c r="G6" s="83" t="s">
        <v>123</v>
      </c>
      <c r="H6" s="85" t="s">
        <v>141</v>
      </c>
    </row>
    <row r="7" ht="12">
      <c r="B7" s="86" t="s">
        <v>80</v>
      </c>
    </row>
    <row r="8" spans="1:8" s="89" customFormat="1" ht="12">
      <c r="A8" s="87">
        <v>1</v>
      </c>
      <c r="B8" s="88" t="s">
        <v>81</v>
      </c>
      <c r="E8" s="90">
        <f>F8+G8</f>
        <v>-389</v>
      </c>
      <c r="F8" s="90">
        <f>114-1286+783</f>
        <v>-389</v>
      </c>
      <c r="G8" s="90">
        <v>0</v>
      </c>
      <c r="H8" s="89" t="str">
        <f aca="true" t="shared" si="0" ref="H8:H13">IF(E8=F8+G8," ","ERROR")</f>
        <v> </v>
      </c>
    </row>
    <row r="9" spans="1:8" ht="12">
      <c r="A9" s="79">
        <v>2</v>
      </c>
      <c r="B9" s="86" t="s">
        <v>82</v>
      </c>
      <c r="E9" s="91"/>
      <c r="F9" s="91"/>
      <c r="G9" s="91"/>
      <c r="H9" s="89" t="str">
        <f t="shared" si="0"/>
        <v> </v>
      </c>
    </row>
    <row r="10" spans="1:8" ht="12">
      <c r="A10" s="79">
        <v>3</v>
      </c>
      <c r="B10" s="86" t="s">
        <v>142</v>
      </c>
      <c r="E10" s="91"/>
      <c r="F10" s="91"/>
      <c r="G10" s="91"/>
      <c r="H10" s="89" t="str">
        <f t="shared" si="0"/>
        <v> </v>
      </c>
    </row>
    <row r="11" spans="1:8" ht="12">
      <c r="A11" s="79">
        <v>4</v>
      </c>
      <c r="B11" s="86" t="s">
        <v>143</v>
      </c>
      <c r="E11" s="92">
        <f>E8+E9+E10</f>
        <v>-389</v>
      </c>
      <c r="F11" s="92">
        <f>F8+F9+F10</f>
        <v>-389</v>
      </c>
      <c r="G11" s="92">
        <f>G8+G9+G10</f>
        <v>0</v>
      </c>
      <c r="H11" s="89" t="str">
        <f t="shared" si="0"/>
        <v> </v>
      </c>
    </row>
    <row r="12" spans="1:8" ht="12">
      <c r="A12" s="79">
        <v>5</v>
      </c>
      <c r="B12" s="86" t="s">
        <v>85</v>
      </c>
      <c r="E12" s="91">
        <f>F12+G12</f>
        <v>203</v>
      </c>
      <c r="F12" s="91">
        <v>203</v>
      </c>
      <c r="G12" s="91"/>
      <c r="H12" s="89" t="str">
        <f t="shared" si="0"/>
        <v> </v>
      </c>
    </row>
    <row r="13" spans="1:8" ht="12">
      <c r="A13" s="79">
        <v>6</v>
      </c>
      <c r="B13" s="86" t="s">
        <v>144</v>
      </c>
      <c r="E13" s="92">
        <f>E11+E12</f>
        <v>-186</v>
      </c>
      <c r="F13" s="92">
        <f>F11+F12</f>
        <v>-186</v>
      </c>
      <c r="G13" s="92">
        <f>G11+G12</f>
        <v>0</v>
      </c>
      <c r="H13" s="89" t="str">
        <f t="shared" si="0"/>
        <v> </v>
      </c>
    </row>
    <row r="14" spans="5:8" ht="12">
      <c r="E14" s="93"/>
      <c r="F14" s="93"/>
      <c r="G14" s="93"/>
      <c r="H14" s="89"/>
    </row>
    <row r="15" spans="2:8" ht="12">
      <c r="B15" s="86" t="s">
        <v>87</v>
      </c>
      <c r="E15" s="93"/>
      <c r="F15" s="93"/>
      <c r="G15" s="93"/>
      <c r="H15" s="89"/>
    </row>
    <row r="16" spans="2:8" ht="12">
      <c r="B16" s="86" t="s">
        <v>88</v>
      </c>
      <c r="E16" s="93"/>
      <c r="F16" s="93"/>
      <c r="G16" s="93"/>
      <c r="H16" s="89"/>
    </row>
    <row r="17" spans="1:8" ht="12">
      <c r="A17" s="79">
        <v>7</v>
      </c>
      <c r="B17" s="86" t="s">
        <v>145</v>
      </c>
      <c r="E17" s="91">
        <f>F17+G17</f>
        <v>-1820</v>
      </c>
      <c r="F17" s="91">
        <v>-1820</v>
      </c>
      <c r="G17" s="91"/>
      <c r="H17" s="89" t="str">
        <f>IF(E17=F17+G17," ","ERROR")</f>
        <v> </v>
      </c>
    </row>
    <row r="18" spans="1:8" ht="12">
      <c r="A18" s="79">
        <v>8</v>
      </c>
      <c r="B18" s="86" t="s">
        <v>146</v>
      </c>
      <c r="E18" s="91"/>
      <c r="F18" s="91"/>
      <c r="G18" s="91"/>
      <c r="H18" s="89" t="str">
        <f>IF(E18=F18+G18," ","ERROR")</f>
        <v> </v>
      </c>
    </row>
    <row r="19" spans="1:8" ht="12">
      <c r="A19" s="79">
        <v>9</v>
      </c>
      <c r="B19" s="86" t="s">
        <v>147</v>
      </c>
      <c r="E19" s="91">
        <f>F19+G19</f>
        <v>642</v>
      </c>
      <c r="F19" s="91">
        <v>642</v>
      </c>
      <c r="G19" s="91"/>
      <c r="H19" s="89" t="str">
        <f>IF(E19=F19+G19," ","ERROR")</f>
        <v> </v>
      </c>
    </row>
    <row r="20" spans="1:8" ht="12">
      <c r="A20" s="79">
        <v>10</v>
      </c>
      <c r="B20" s="86" t="s">
        <v>148</v>
      </c>
      <c r="E20" s="91"/>
      <c r="F20" s="91"/>
      <c r="G20" s="91"/>
      <c r="H20" s="89" t="str">
        <f>IF(E20=F20+G20," ","ERROR")</f>
        <v> </v>
      </c>
    </row>
    <row r="21" spans="1:8" ht="12">
      <c r="A21" s="79">
        <v>11</v>
      </c>
      <c r="B21" s="86" t="s">
        <v>149</v>
      </c>
      <c r="E21" s="92">
        <f>E17+E18+E19+E20</f>
        <v>-1178</v>
      </c>
      <c r="F21" s="92">
        <f>F17+F18+F19+F20</f>
        <v>-1178</v>
      </c>
      <c r="G21" s="92">
        <f>G17+G18+G19+G20</f>
        <v>0</v>
      </c>
      <c r="H21" s="89" t="str">
        <f>IF(E21=F21+G21," ","ERROR")</f>
        <v> </v>
      </c>
    </row>
    <row r="22" spans="5:8" ht="12">
      <c r="E22" s="93"/>
      <c r="F22" s="93"/>
      <c r="G22" s="93"/>
      <c r="H22" s="89"/>
    </row>
    <row r="23" spans="2:8" ht="12">
      <c r="B23" s="86" t="s">
        <v>93</v>
      </c>
      <c r="E23" s="93"/>
      <c r="F23" s="93"/>
      <c r="G23" s="93"/>
      <c r="H23" s="89"/>
    </row>
    <row r="24" spans="1:8" ht="12">
      <c r="A24" s="79">
        <v>12</v>
      </c>
      <c r="B24" s="86" t="s">
        <v>145</v>
      </c>
      <c r="E24" s="91"/>
      <c r="F24" s="91"/>
      <c r="G24" s="91"/>
      <c r="H24" s="89" t="str">
        <f>IF(E24=F24+G24," ","ERROR")</f>
        <v> </v>
      </c>
    </row>
    <row r="25" spans="1:8" ht="12">
      <c r="A25" s="79">
        <v>13</v>
      </c>
      <c r="B25" s="86" t="s">
        <v>150</v>
      </c>
      <c r="E25" s="91"/>
      <c r="F25" s="91"/>
      <c r="G25" s="91"/>
      <c r="H25" s="89" t="str">
        <f>IF(E25=F25+G25," ","ERROR")</f>
        <v> </v>
      </c>
    </row>
    <row r="26" spans="1:8" ht="12">
      <c r="A26" s="79">
        <v>14</v>
      </c>
      <c r="B26" s="86" t="s">
        <v>148</v>
      </c>
      <c r="E26" s="91">
        <f>F26+G26</f>
        <v>-7</v>
      </c>
      <c r="F26" s="91">
        <v>-7</v>
      </c>
      <c r="G26" s="159">
        <v>0</v>
      </c>
      <c r="H26" s="89" t="str">
        <f>IF(E26=F26+G26," ","ERROR")</f>
        <v> </v>
      </c>
    </row>
    <row r="27" spans="1:8" ht="12">
      <c r="A27" s="79">
        <v>15</v>
      </c>
      <c r="B27" s="86" t="s">
        <v>151</v>
      </c>
      <c r="E27" s="92">
        <f>E24+E25+E26</f>
        <v>-7</v>
      </c>
      <c r="F27" s="92">
        <f>F24+F25+F26</f>
        <v>-7</v>
      </c>
      <c r="G27" s="92">
        <f>G24+G25+G26</f>
        <v>0</v>
      </c>
      <c r="H27" s="89" t="str">
        <f>IF(E27=F27+G27," ","ERROR")</f>
        <v> </v>
      </c>
    </row>
    <row r="28" spans="5:8" ht="12">
      <c r="E28" s="93"/>
      <c r="F28" s="93"/>
      <c r="G28" s="93"/>
      <c r="H28" s="89"/>
    </row>
    <row r="29" spans="1:8" ht="12">
      <c r="A29" s="79">
        <v>16</v>
      </c>
      <c r="B29" s="86" t="s">
        <v>96</v>
      </c>
      <c r="E29" s="91">
        <f>F29+G29</f>
        <v>-1</v>
      </c>
      <c r="F29" s="91">
        <v>-1</v>
      </c>
      <c r="G29" s="91"/>
      <c r="H29" s="89" t="str">
        <f>IF(E29=F29+G29," ","ERROR")</f>
        <v> </v>
      </c>
    </row>
    <row r="30" spans="1:8" ht="12">
      <c r="A30" s="79">
        <v>17</v>
      </c>
      <c r="B30" s="86" t="s">
        <v>97</v>
      </c>
      <c r="E30" s="91">
        <f>F30+G30</f>
        <v>-417</v>
      </c>
      <c r="F30" s="91">
        <v>-417</v>
      </c>
      <c r="G30" s="91"/>
      <c r="H30" s="89" t="str">
        <f>IF(E30=F30+G30," ","ERROR")</f>
        <v> </v>
      </c>
    </row>
    <row r="31" spans="1:8" ht="12">
      <c r="A31" s="79">
        <v>18</v>
      </c>
      <c r="B31" s="86" t="s">
        <v>152</v>
      </c>
      <c r="E31" s="91"/>
      <c r="F31" s="91"/>
      <c r="G31" s="91"/>
      <c r="H31" s="89" t="str">
        <f>IF(E31=F31+G31," ","ERROR")</f>
        <v> </v>
      </c>
    </row>
    <row r="32" spans="5:8" ht="12">
      <c r="E32" s="93"/>
      <c r="F32" s="93"/>
      <c r="G32" s="93"/>
      <c r="H32" s="89"/>
    </row>
    <row r="33" spans="2:8" ht="12">
      <c r="B33" s="86" t="s">
        <v>99</v>
      </c>
      <c r="E33" s="93"/>
      <c r="F33" s="93"/>
      <c r="G33" s="93"/>
      <c r="H33" s="89"/>
    </row>
    <row r="34" spans="1:8" ht="12">
      <c r="A34" s="79">
        <v>19</v>
      </c>
      <c r="B34" s="86" t="s">
        <v>145</v>
      </c>
      <c r="E34" s="91">
        <f>F34+G34</f>
        <v>0</v>
      </c>
      <c r="F34" s="91">
        <v>0</v>
      </c>
      <c r="G34" s="91">
        <v>0</v>
      </c>
      <c r="H34" s="89" t="str">
        <f>IF(E34=F34+G34," ","ERROR")</f>
        <v> </v>
      </c>
    </row>
    <row r="35" spans="1:8" ht="12">
      <c r="A35" s="79">
        <v>20</v>
      </c>
      <c r="B35" s="86" t="s">
        <v>150</v>
      </c>
      <c r="E35" s="91"/>
      <c r="F35" s="91"/>
      <c r="G35" s="91"/>
      <c r="H35" s="89" t="str">
        <f>IF(E35=F35+G35," ","ERROR")</f>
        <v> </v>
      </c>
    </row>
    <row r="36" spans="1:8" ht="12">
      <c r="A36" s="79">
        <v>21</v>
      </c>
      <c r="B36" s="86" t="s">
        <v>148</v>
      </c>
      <c r="E36" s="91"/>
      <c r="F36" s="91"/>
      <c r="G36" s="91"/>
      <c r="H36" s="89" t="str">
        <f>IF(E36=F36+G36," ","ERROR")</f>
        <v> </v>
      </c>
    </row>
    <row r="37" spans="1:8" ht="12">
      <c r="A37" s="79">
        <v>22</v>
      </c>
      <c r="B37" s="86" t="s">
        <v>153</v>
      </c>
      <c r="E37" s="94">
        <f>E34+E35+E36</f>
        <v>0</v>
      </c>
      <c r="F37" s="94">
        <f>F34+F35+F36</f>
        <v>0</v>
      </c>
      <c r="G37" s="94">
        <f>G34+G35+G36</f>
        <v>0</v>
      </c>
      <c r="H37" s="89" t="str">
        <f>IF(E37=F37+G37," ","ERROR")</f>
        <v> </v>
      </c>
    </row>
    <row r="38" spans="1:8" ht="12">
      <c r="A38" s="79">
        <v>23</v>
      </c>
      <c r="B38" s="86" t="s">
        <v>101</v>
      </c>
      <c r="E38" s="95">
        <f>E21+E27+E29+E30+E31+E37</f>
        <v>-1603</v>
      </c>
      <c r="F38" s="95">
        <f>F21+F27+F29+F30+F31+F37</f>
        <v>-1603</v>
      </c>
      <c r="G38" s="95">
        <f>G21+G27+G29+G30+G31+G37</f>
        <v>0</v>
      </c>
      <c r="H38" s="89" t="str">
        <f>IF(E38=F38+G38," ","ERROR")</f>
        <v> </v>
      </c>
    </row>
    <row r="39" spans="5:8" ht="12">
      <c r="E39" s="93"/>
      <c r="F39" s="93"/>
      <c r="G39" s="93"/>
      <c r="H39" s="89"/>
    </row>
    <row r="40" spans="1:8" ht="12">
      <c r="A40" s="79">
        <v>24</v>
      </c>
      <c r="B40" s="86" t="s">
        <v>154</v>
      </c>
      <c r="E40" s="93">
        <f>E13-E38</f>
        <v>1417</v>
      </c>
      <c r="F40" s="93">
        <f>F13-F38</f>
        <v>1417</v>
      </c>
      <c r="G40" s="93">
        <f>G13-G38</f>
        <v>0</v>
      </c>
      <c r="H40" s="89" t="str">
        <f>IF(E40=F40+G40," ","ERROR")</f>
        <v> </v>
      </c>
    </row>
    <row r="41" spans="2:8" ht="12">
      <c r="B41" s="86"/>
      <c r="E41" s="93"/>
      <c r="F41" s="93"/>
      <c r="G41" s="93"/>
      <c r="H41" s="89"/>
    </row>
    <row r="42" spans="2:8" ht="12">
      <c r="B42" s="86" t="s">
        <v>155</v>
      </c>
      <c r="E42" s="93"/>
      <c r="F42" s="93"/>
      <c r="G42" s="93"/>
      <c r="H42" s="89"/>
    </row>
    <row r="43" spans="1:8" ht="12">
      <c r="A43" s="79">
        <v>25</v>
      </c>
      <c r="B43" s="86" t="s">
        <v>156</v>
      </c>
      <c r="D43" s="96">
        <v>0.35</v>
      </c>
      <c r="E43" s="91">
        <f>F43+G43</f>
        <v>496</v>
      </c>
      <c r="F43" s="91">
        <f>ROUND(F40*D43,0)</f>
        <v>496</v>
      </c>
      <c r="G43" s="91">
        <f>ROUND(G40*D43,0)</f>
        <v>0</v>
      </c>
      <c r="H43" s="89" t="str">
        <f>IF(E43=F43+G43," ","ERROR")</f>
        <v> </v>
      </c>
    </row>
    <row r="44" spans="1:8" ht="12">
      <c r="A44" s="79">
        <v>26</v>
      </c>
      <c r="B44" s="86" t="s">
        <v>157</v>
      </c>
      <c r="E44" s="91"/>
      <c r="F44" s="91"/>
      <c r="G44" s="91"/>
      <c r="H44" s="89" t="str">
        <f>IF(E44=F44+G44," ","ERROR")</f>
        <v> </v>
      </c>
    </row>
    <row r="45" spans="1:8" ht="12.75">
      <c r="A45"/>
      <c r="B45"/>
      <c r="C45"/>
      <c r="D45"/>
      <c r="E45" s="943"/>
      <c r="F45" s="943"/>
      <c r="G45" s="943"/>
      <c r="H45" s="89" t="str">
        <f>IF(E45=F45+G45," ","ERROR")</f>
        <v> </v>
      </c>
    </row>
    <row r="46" spans="1:8" ht="12">
      <c r="A46" s="278"/>
      <c r="B46" s="281"/>
      <c r="C46" s="275"/>
      <c r="D46" s="275"/>
      <c r="E46" s="288"/>
      <c r="F46" s="288"/>
      <c r="G46" s="288"/>
      <c r="H46" s="89"/>
    </row>
    <row r="47" spans="1:8" s="89" customFormat="1" ht="12">
      <c r="A47" s="282">
        <v>27</v>
      </c>
      <c r="B47" s="283" t="s">
        <v>108</v>
      </c>
      <c r="C47" s="284"/>
      <c r="D47" s="284"/>
      <c r="E47" s="292">
        <f>E40-SUM(E43:E44)</f>
        <v>921</v>
      </c>
      <c r="F47" s="292">
        <f>F40-SUM(F43:F44)</f>
        <v>921</v>
      </c>
      <c r="G47" s="292">
        <f>G40-SUM(G43:G44)</f>
        <v>0</v>
      </c>
      <c r="H47" s="89" t="str">
        <f>IF(E47=F47+G47," ","ERROR")</f>
        <v> </v>
      </c>
    </row>
    <row r="48" spans="1:8" ht="12">
      <c r="A48" s="278"/>
      <c r="H48" s="89"/>
    </row>
    <row r="49" spans="1:8" ht="12">
      <c r="A49" s="278"/>
      <c r="B49" s="86" t="s">
        <v>109</v>
      </c>
      <c r="H49" s="89"/>
    </row>
    <row r="50" spans="1:8" ht="12">
      <c r="A50" s="278"/>
      <c r="B50" s="86" t="s">
        <v>110</v>
      </c>
      <c r="H50" s="89"/>
    </row>
    <row r="51" spans="1:8" s="89" customFormat="1" ht="12">
      <c r="A51" s="282">
        <v>28</v>
      </c>
      <c r="B51" s="88" t="s">
        <v>159</v>
      </c>
      <c r="E51" s="90"/>
      <c r="F51" s="90"/>
      <c r="G51" s="90"/>
      <c r="H51" s="89" t="str">
        <f aca="true" t="shared" si="1" ref="H51:H61">IF(E51=F51+G51," ","ERROR")</f>
        <v> </v>
      </c>
    </row>
    <row r="52" spans="1:8" ht="12">
      <c r="A52" s="278">
        <v>29</v>
      </c>
      <c r="B52" s="86" t="s">
        <v>160</v>
      </c>
      <c r="E52" s="91">
        <f>SUM(F52:G52)</f>
        <v>0</v>
      </c>
      <c r="F52" s="91"/>
      <c r="G52" s="91"/>
      <c r="H52" s="89" t="str">
        <f t="shared" si="1"/>
        <v> </v>
      </c>
    </row>
    <row r="53" spans="1:8" ht="12">
      <c r="A53" s="278">
        <v>30</v>
      </c>
      <c r="B53" s="86" t="s">
        <v>161</v>
      </c>
      <c r="E53" s="91"/>
      <c r="F53" s="91"/>
      <c r="G53" s="91"/>
      <c r="H53" s="89" t="str">
        <f t="shared" si="1"/>
        <v> </v>
      </c>
    </row>
    <row r="54" spans="1:8" ht="12">
      <c r="A54" s="278">
        <v>31</v>
      </c>
      <c r="B54" s="86" t="s">
        <v>162</v>
      </c>
      <c r="E54" s="91"/>
      <c r="F54" s="91"/>
      <c r="G54" s="91"/>
      <c r="H54" s="89" t="str">
        <f t="shared" si="1"/>
        <v> </v>
      </c>
    </row>
    <row r="55" spans="1:8" ht="12">
      <c r="A55" s="278">
        <v>32</v>
      </c>
      <c r="B55" s="86" t="s">
        <v>163</v>
      </c>
      <c r="E55" s="97"/>
      <c r="F55" s="97"/>
      <c r="G55" s="97"/>
      <c r="H55" s="89" t="str">
        <f t="shared" si="1"/>
        <v> </v>
      </c>
    </row>
    <row r="56" spans="1:8" ht="12">
      <c r="A56" s="278">
        <v>33</v>
      </c>
      <c r="B56" s="86" t="s">
        <v>164</v>
      </c>
      <c r="E56" s="93">
        <f>E51+E52+E53+E54+E55</f>
        <v>0</v>
      </c>
      <c r="F56" s="93">
        <f>F51+F52+F53+F54+F55</f>
        <v>0</v>
      </c>
      <c r="G56" s="93">
        <f>G51+G52+G53+G54+G55</f>
        <v>0</v>
      </c>
      <c r="H56" s="89" t="str">
        <f t="shared" si="1"/>
        <v> </v>
      </c>
    </row>
    <row r="57" spans="1:8" ht="12">
      <c r="A57" s="278">
        <v>34</v>
      </c>
      <c r="B57" s="86" t="s">
        <v>116</v>
      </c>
      <c r="E57" s="91"/>
      <c r="F57" s="91"/>
      <c r="G57" s="91"/>
      <c r="H57" s="89" t="str">
        <f t="shared" si="1"/>
        <v> </v>
      </c>
    </row>
    <row r="58" spans="1:8" ht="12">
      <c r="A58" s="278">
        <v>35</v>
      </c>
      <c r="B58" s="86" t="s">
        <v>117</v>
      </c>
      <c r="E58" s="97"/>
      <c r="F58" s="97"/>
      <c r="G58" s="97"/>
      <c r="H58" s="89" t="str">
        <f t="shared" si="1"/>
        <v> </v>
      </c>
    </row>
    <row r="59" spans="1:8" ht="12">
      <c r="A59" s="278">
        <v>36</v>
      </c>
      <c r="B59" s="86" t="s">
        <v>165</v>
      </c>
      <c r="E59" s="93">
        <f>E57+E58</f>
        <v>0</v>
      </c>
      <c r="F59" s="93">
        <f>F57+F58</f>
        <v>0</v>
      </c>
      <c r="G59" s="93">
        <f>G57+G58</f>
        <v>0</v>
      </c>
      <c r="H59" s="89" t="str">
        <f t="shared" si="1"/>
        <v> </v>
      </c>
    </row>
    <row r="60" spans="1:8" ht="12">
      <c r="A60" s="278">
        <v>37</v>
      </c>
      <c r="B60" s="86" t="s">
        <v>119</v>
      </c>
      <c r="E60" s="91"/>
      <c r="F60" s="91"/>
      <c r="G60" s="91"/>
      <c r="H60" s="89" t="str">
        <f t="shared" si="1"/>
        <v> </v>
      </c>
    </row>
    <row r="61" spans="1:8" ht="12">
      <c r="A61" s="278">
        <v>38</v>
      </c>
      <c r="B61" s="86" t="s">
        <v>120</v>
      </c>
      <c r="E61" s="97"/>
      <c r="F61" s="97"/>
      <c r="G61" s="97"/>
      <c r="H61" s="89" t="str">
        <f t="shared" si="1"/>
        <v> </v>
      </c>
    </row>
    <row r="62" spans="1:8" ht="9" customHeight="1">
      <c r="A62" s="278"/>
      <c r="H62" s="89"/>
    </row>
    <row r="63" spans="1:8" s="89" customFormat="1" ht="12.75" thickBot="1">
      <c r="A63" s="282">
        <v>39</v>
      </c>
      <c r="B63" s="88" t="s">
        <v>121</v>
      </c>
      <c r="E63" s="98">
        <f>E56-E59+E60+E61</f>
        <v>0</v>
      </c>
      <c r="F63" s="98">
        <f>F56-F59+F60+F61</f>
        <v>0</v>
      </c>
      <c r="G63" s="98">
        <f>G56-G59+G60+G61</f>
        <v>0</v>
      </c>
      <c r="H63" s="89" t="str">
        <f>IF(E63=F63+G63," ","ERROR")</f>
        <v> </v>
      </c>
    </row>
    <row r="64" ht="12.75" thickTop="1"/>
  </sheetData>
  <printOptions horizontalCentered="1"/>
  <pageMargins left="1" right="0.75" top="0.5" bottom="0.5" header="0.5" footer="0.5"/>
  <pageSetup horizontalDpi="300" verticalDpi="300" orientation="portrait" scale="90" r:id="rId1"/>
  <rowBreaks count="1" manualBreakCount="1">
    <brk id="65" max="65535" man="1"/>
  </rowBreaks>
  <colBreaks count="1" manualBreakCount="1">
    <brk id="7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40">
      <selection activeCell="F73" sqref="F73"/>
    </sheetView>
  </sheetViews>
  <sheetFormatPr defaultColWidth="9.140625" defaultRowHeight="12.75"/>
  <cols>
    <col min="1" max="1" width="5.57421875" style="79" customWidth="1"/>
    <col min="2" max="2" width="26.140625" style="78" customWidth="1"/>
    <col min="3" max="3" width="9.8515625" style="78" customWidth="1"/>
    <col min="4" max="4" width="6.7109375" style="78" customWidth="1"/>
    <col min="5" max="16384" width="12.421875" style="78" customWidth="1"/>
  </cols>
  <sheetData>
    <row r="1" spans="1:3" ht="12">
      <c r="A1" s="76" t="str">
        <f>Inputs!$D$6</f>
        <v>AVISTA UTILITIES</v>
      </c>
      <c r="B1" s="77"/>
      <c r="C1" s="76"/>
    </row>
    <row r="2" spans="1:7" ht="12">
      <c r="A2" s="76" t="s">
        <v>134</v>
      </c>
      <c r="B2" s="77"/>
      <c r="C2" s="76"/>
      <c r="E2" s="76"/>
      <c r="F2" s="79" t="s">
        <v>491</v>
      </c>
      <c r="G2" s="76"/>
    </row>
    <row r="3" spans="1:7" ht="12">
      <c r="A3" s="77" t="str">
        <f>WAElec12_04!$A$4</f>
        <v>TWELVE MONTHS ENDED DECEMBER 31, 2004</v>
      </c>
      <c r="B3" s="77"/>
      <c r="C3" s="76"/>
      <c r="E3" s="76"/>
      <c r="F3" s="79" t="s">
        <v>492</v>
      </c>
      <c r="G3" s="76"/>
    </row>
    <row r="4" spans="1:7" ht="12">
      <c r="A4" s="76" t="s">
        <v>1</v>
      </c>
      <c r="B4" s="77"/>
      <c r="C4" s="76"/>
      <c r="E4" s="80"/>
      <c r="F4" s="81" t="s">
        <v>137</v>
      </c>
      <c r="G4" s="82"/>
    </row>
    <row r="5" ht="12">
      <c r="A5" s="79" t="s">
        <v>13</v>
      </c>
    </row>
    <row r="6" spans="1:8" s="79" customFormat="1" ht="12">
      <c r="A6" s="79" t="s">
        <v>138</v>
      </c>
      <c r="B6" s="83" t="s">
        <v>34</v>
      </c>
      <c r="C6" s="83"/>
      <c r="E6" s="83" t="s">
        <v>139</v>
      </c>
      <c r="F6" s="83" t="s">
        <v>140</v>
      </c>
      <c r="G6" s="83" t="s">
        <v>123</v>
      </c>
      <c r="H6" s="85" t="s">
        <v>141</v>
      </c>
    </row>
    <row r="7" ht="12">
      <c r="B7" s="86" t="s">
        <v>80</v>
      </c>
    </row>
    <row r="8" spans="1:8" s="89" customFormat="1" ht="12">
      <c r="A8" s="87">
        <v>1</v>
      </c>
      <c r="B8" s="88" t="s">
        <v>81</v>
      </c>
      <c r="E8" s="90">
        <f>F8+G8</f>
        <v>293</v>
      </c>
      <c r="F8" s="90">
        <v>293</v>
      </c>
      <c r="G8" s="90">
        <v>0</v>
      </c>
      <c r="H8" s="89" t="str">
        <f aca="true" t="shared" si="0" ref="H8:H13">IF(E8=F8+G8," ","ERROR")</f>
        <v> </v>
      </c>
    </row>
    <row r="9" spans="1:8" ht="12">
      <c r="A9" s="79">
        <v>2</v>
      </c>
      <c r="B9" s="86" t="s">
        <v>82</v>
      </c>
      <c r="E9" s="91"/>
      <c r="F9" s="91"/>
      <c r="G9" s="91"/>
      <c r="H9" s="89" t="str">
        <f t="shared" si="0"/>
        <v> </v>
      </c>
    </row>
    <row r="10" spans="1:8" ht="12">
      <c r="A10" s="79">
        <v>3</v>
      </c>
      <c r="B10" s="86" t="s">
        <v>142</v>
      </c>
      <c r="E10" s="91"/>
      <c r="F10" s="91"/>
      <c r="G10" s="91"/>
      <c r="H10" s="89" t="str">
        <f t="shared" si="0"/>
        <v> </v>
      </c>
    </row>
    <row r="11" spans="1:8" ht="12">
      <c r="A11" s="79">
        <v>4</v>
      </c>
      <c r="B11" s="86" t="s">
        <v>143</v>
      </c>
      <c r="E11" s="92">
        <f>E8+E9+E10</f>
        <v>293</v>
      </c>
      <c r="F11" s="92">
        <f>F8+F9+F10</f>
        <v>293</v>
      </c>
      <c r="G11" s="92">
        <f>G8+G9+G10</f>
        <v>0</v>
      </c>
      <c r="H11" s="89" t="str">
        <f t="shared" si="0"/>
        <v> </v>
      </c>
    </row>
    <row r="12" spans="1:8" ht="12">
      <c r="A12" s="79">
        <v>5</v>
      </c>
      <c r="B12" s="86" t="s">
        <v>85</v>
      </c>
      <c r="E12" s="91"/>
      <c r="F12" s="91"/>
      <c r="G12" s="91"/>
      <c r="H12" s="89" t="str">
        <f t="shared" si="0"/>
        <v> </v>
      </c>
    </row>
    <row r="13" spans="1:8" ht="12">
      <c r="A13" s="79">
        <v>6</v>
      </c>
      <c r="B13" s="86" t="s">
        <v>144</v>
      </c>
      <c r="E13" s="92">
        <f>E11+E12</f>
        <v>293</v>
      </c>
      <c r="F13" s="92">
        <f>F11+F12</f>
        <v>293</v>
      </c>
      <c r="G13" s="92">
        <f>G11+G12</f>
        <v>0</v>
      </c>
      <c r="H13" s="89" t="str">
        <f t="shared" si="0"/>
        <v> </v>
      </c>
    </row>
    <row r="14" spans="5:8" ht="12">
      <c r="E14" s="93"/>
      <c r="F14" s="93"/>
      <c r="G14" s="93"/>
      <c r="H14" s="89"/>
    </row>
    <row r="15" spans="2:8" ht="12">
      <c r="B15" s="86" t="s">
        <v>87</v>
      </c>
      <c r="E15" s="93"/>
      <c r="F15" s="93"/>
      <c r="G15" s="93"/>
      <c r="H15" s="89"/>
    </row>
    <row r="16" spans="2:8" ht="12">
      <c r="B16" s="86" t="s">
        <v>88</v>
      </c>
      <c r="E16" s="93"/>
      <c r="F16" s="93"/>
      <c r="G16" s="93"/>
      <c r="H16" s="89"/>
    </row>
    <row r="17" spans="1:8" ht="12">
      <c r="A17" s="79">
        <v>7</v>
      </c>
      <c r="B17" s="86" t="s">
        <v>145</v>
      </c>
      <c r="E17" s="91"/>
      <c r="F17" s="91"/>
      <c r="G17" s="91"/>
      <c r="H17" s="89" t="str">
        <f>IF(E17=F17+G17," ","ERROR")</f>
        <v> </v>
      </c>
    </row>
    <row r="18" spans="1:8" ht="12">
      <c r="A18" s="79">
        <v>8</v>
      </c>
      <c r="B18" s="86" t="s">
        <v>146</v>
      </c>
      <c r="E18" s="91"/>
      <c r="F18" s="91"/>
      <c r="G18" s="91"/>
      <c r="H18" s="89" t="str">
        <f>IF(E18=F18+G18," ","ERROR")</f>
        <v> </v>
      </c>
    </row>
    <row r="19" spans="1:8" ht="12">
      <c r="A19" s="79">
        <v>9</v>
      </c>
      <c r="B19" s="86" t="s">
        <v>147</v>
      </c>
      <c r="E19" s="91">
        <f>F19+G19</f>
        <v>6518</v>
      </c>
      <c r="F19" s="91">
        <v>6518</v>
      </c>
      <c r="G19" s="91">
        <v>0</v>
      </c>
      <c r="H19" s="89" t="str">
        <f>IF(E19=F19+G19," ","ERROR")</f>
        <v> </v>
      </c>
    </row>
    <row r="20" spans="1:8" ht="12">
      <c r="A20" s="79">
        <v>10</v>
      </c>
      <c r="B20" s="86" t="s">
        <v>148</v>
      </c>
      <c r="E20" s="91"/>
      <c r="F20" s="91"/>
      <c r="G20" s="91"/>
      <c r="H20" s="89" t="str">
        <f>IF(E20=F20+G20," ","ERROR")</f>
        <v> </v>
      </c>
    </row>
    <row r="21" spans="1:8" ht="12">
      <c r="A21" s="79">
        <v>11</v>
      </c>
      <c r="B21" s="86" t="s">
        <v>149</v>
      </c>
      <c r="E21" s="92">
        <f>E17+E18+E19+E20</f>
        <v>6518</v>
      </c>
      <c r="F21" s="92">
        <f>F17+F18+F19+F20</f>
        <v>6518</v>
      </c>
      <c r="G21" s="92">
        <f>G17+G18+G19+G20</f>
        <v>0</v>
      </c>
      <c r="H21" s="89" t="str">
        <f>IF(E21=F21+G21," ","ERROR")</f>
        <v> </v>
      </c>
    </row>
    <row r="22" spans="5:8" ht="12">
      <c r="E22" s="93"/>
      <c r="F22" s="93"/>
      <c r="G22" s="93"/>
      <c r="H22" s="89"/>
    </row>
    <row r="23" spans="2:8" ht="12">
      <c r="B23" s="86" t="s">
        <v>93</v>
      </c>
      <c r="E23" s="93"/>
      <c r="F23" s="93"/>
      <c r="G23" s="93"/>
      <c r="H23" s="89"/>
    </row>
    <row r="24" spans="1:8" ht="12">
      <c r="A24" s="79">
        <v>12</v>
      </c>
      <c r="B24" s="86" t="s">
        <v>145</v>
      </c>
      <c r="E24" s="91"/>
      <c r="F24" s="91"/>
      <c r="G24" s="91"/>
      <c r="H24" s="89" t="str">
        <f>IF(E24=F24+G24," ","ERROR")</f>
        <v> </v>
      </c>
    </row>
    <row r="25" spans="1:8" ht="12">
      <c r="A25" s="79">
        <v>13</v>
      </c>
      <c r="B25" s="86" t="s">
        <v>150</v>
      </c>
      <c r="E25" s="91"/>
      <c r="F25" s="91"/>
      <c r="G25" s="91"/>
      <c r="H25" s="89" t="str">
        <f>IF(E25=F25+G25," ","ERROR")</f>
        <v> </v>
      </c>
    </row>
    <row r="26" spans="1:8" ht="12">
      <c r="A26" s="79">
        <v>14</v>
      </c>
      <c r="B26" s="86" t="s">
        <v>148</v>
      </c>
      <c r="E26" s="91">
        <f>F26+G26</f>
        <v>11</v>
      </c>
      <c r="F26" s="91">
        <v>11</v>
      </c>
      <c r="G26" s="159">
        <v>0</v>
      </c>
      <c r="H26" s="89" t="str">
        <f>IF(E26=F26+G26," ","ERROR")</f>
        <v> </v>
      </c>
    </row>
    <row r="27" spans="1:8" ht="12">
      <c r="A27" s="79">
        <v>15</v>
      </c>
      <c r="B27" s="86" t="s">
        <v>151</v>
      </c>
      <c r="E27" s="92">
        <f>E24+E25+E26</f>
        <v>11</v>
      </c>
      <c r="F27" s="92">
        <f>F24+F25+F26</f>
        <v>11</v>
      </c>
      <c r="G27" s="92">
        <f>G24+G25+G26</f>
        <v>0</v>
      </c>
      <c r="H27" s="89" t="str">
        <f>IF(E27=F27+G27," ","ERROR")</f>
        <v> </v>
      </c>
    </row>
    <row r="28" spans="5:8" ht="12">
      <c r="E28" s="93"/>
      <c r="F28" s="93"/>
      <c r="G28" s="93"/>
      <c r="H28" s="89"/>
    </row>
    <row r="29" spans="1:8" ht="12">
      <c r="A29" s="79">
        <v>16</v>
      </c>
      <c r="B29" s="86" t="s">
        <v>96</v>
      </c>
      <c r="E29" s="91">
        <f>F29+G29</f>
        <v>1</v>
      </c>
      <c r="F29" s="91">
        <v>1</v>
      </c>
      <c r="G29" s="91">
        <v>0</v>
      </c>
      <c r="H29" s="89" t="str">
        <f>IF(E29=F29+G29," ","ERROR")</f>
        <v> </v>
      </c>
    </row>
    <row r="30" spans="1:8" ht="12">
      <c r="A30" s="79">
        <v>17</v>
      </c>
      <c r="B30" s="86" t="s">
        <v>97</v>
      </c>
      <c r="E30" s="91">
        <f>F30+G30</f>
        <v>-6230</v>
      </c>
      <c r="F30" s="91">
        <v>-6230</v>
      </c>
      <c r="G30" s="91">
        <v>0</v>
      </c>
      <c r="H30" s="89" t="str">
        <f>IF(E30=F30+G30," ","ERROR")</f>
        <v> </v>
      </c>
    </row>
    <row r="31" spans="1:8" ht="12">
      <c r="A31" s="79">
        <v>18</v>
      </c>
      <c r="B31" s="86" t="s">
        <v>152</v>
      </c>
      <c r="E31" s="91"/>
      <c r="F31" s="91"/>
      <c r="G31" s="91"/>
      <c r="H31" s="89" t="str">
        <f>IF(E31=F31+G31," ","ERROR")</f>
        <v> </v>
      </c>
    </row>
    <row r="32" spans="5:8" ht="12">
      <c r="E32" s="93"/>
      <c r="F32" s="93"/>
      <c r="G32" s="93"/>
      <c r="H32" s="89"/>
    </row>
    <row r="33" spans="2:8" ht="12">
      <c r="B33" s="86" t="s">
        <v>99</v>
      </c>
      <c r="E33" s="93"/>
      <c r="F33" s="93"/>
      <c r="G33" s="93"/>
      <c r="H33" s="89"/>
    </row>
    <row r="34" spans="1:8" ht="12">
      <c r="A34" s="79">
        <v>19</v>
      </c>
      <c r="B34" s="86" t="s">
        <v>145</v>
      </c>
      <c r="E34" s="91">
        <f>F34+G34</f>
        <v>1</v>
      </c>
      <c r="F34" s="91">
        <v>1</v>
      </c>
      <c r="G34" s="91">
        <v>0</v>
      </c>
      <c r="H34" s="89" t="str">
        <f>IF(E34=F34+G34," ","ERROR")</f>
        <v> </v>
      </c>
    </row>
    <row r="35" spans="1:8" ht="12">
      <c r="A35" s="79">
        <v>20</v>
      </c>
      <c r="B35" s="86" t="s">
        <v>150</v>
      </c>
      <c r="E35" s="91"/>
      <c r="F35" s="91"/>
      <c r="G35" s="91"/>
      <c r="H35" s="89" t="str">
        <f>IF(E35=F35+G35," ","ERROR")</f>
        <v> </v>
      </c>
    </row>
    <row r="36" spans="1:8" ht="12">
      <c r="A36" s="79">
        <v>21</v>
      </c>
      <c r="B36" s="86" t="s">
        <v>148</v>
      </c>
      <c r="E36" s="91"/>
      <c r="F36" s="91"/>
      <c r="G36" s="91"/>
      <c r="H36" s="89" t="str">
        <f>IF(E36=F36+G36," ","ERROR")</f>
        <v> </v>
      </c>
    </row>
    <row r="37" spans="1:8" ht="12">
      <c r="A37" s="79">
        <v>22</v>
      </c>
      <c r="B37" s="86" t="s">
        <v>153</v>
      </c>
      <c r="E37" s="94">
        <f>E34+E35+E36</f>
        <v>1</v>
      </c>
      <c r="F37" s="94">
        <f>F34+F35+F36</f>
        <v>1</v>
      </c>
      <c r="G37" s="94">
        <f>G34+G35+G36</f>
        <v>0</v>
      </c>
      <c r="H37" s="89" t="str">
        <f>IF(E37=F37+G37," ","ERROR")</f>
        <v> </v>
      </c>
    </row>
    <row r="38" spans="1:8" ht="12">
      <c r="A38" s="79">
        <v>23</v>
      </c>
      <c r="B38" s="86" t="s">
        <v>101</v>
      </c>
      <c r="E38" s="95">
        <f>E21+E27+E29+E30+E31+E37</f>
        <v>301</v>
      </c>
      <c r="F38" s="95">
        <f>F21+F27+F29+F30+F31+F37</f>
        <v>301</v>
      </c>
      <c r="G38" s="95">
        <f>G21+G27+G29+G30+G31+G37</f>
        <v>0</v>
      </c>
      <c r="H38" s="89" t="str">
        <f>IF(E38=F38+G38," ","ERROR")</f>
        <v> </v>
      </c>
    </row>
    <row r="39" spans="5:8" ht="12">
      <c r="E39" s="93"/>
      <c r="F39" s="93"/>
      <c r="G39" s="93"/>
      <c r="H39" s="89"/>
    </row>
    <row r="40" spans="1:8" ht="12">
      <c r="A40" s="79">
        <v>24</v>
      </c>
      <c r="B40" s="86" t="s">
        <v>154</v>
      </c>
      <c r="E40" s="93">
        <f>E13-E38</f>
        <v>-8</v>
      </c>
      <c r="F40" s="93">
        <f>F13-F38</f>
        <v>-8</v>
      </c>
      <c r="G40" s="93">
        <f>G13-G38</f>
        <v>0</v>
      </c>
      <c r="H40" s="89" t="str">
        <f>IF(E40=F40+G40," ","ERROR")</f>
        <v> </v>
      </c>
    </row>
    <row r="41" spans="2:8" ht="12">
      <c r="B41" s="86"/>
      <c r="E41" s="93"/>
      <c r="F41" s="93"/>
      <c r="G41" s="93"/>
      <c r="H41" s="89"/>
    </row>
    <row r="42" spans="2:8" ht="12">
      <c r="B42" s="86" t="s">
        <v>155</v>
      </c>
      <c r="E42" s="93"/>
      <c r="F42" s="93"/>
      <c r="G42" s="93"/>
      <c r="H42" s="89"/>
    </row>
    <row r="43" spans="1:8" ht="12">
      <c r="A43" s="79">
        <v>25</v>
      </c>
      <c r="B43" s="86" t="s">
        <v>156</v>
      </c>
      <c r="D43" s="96"/>
      <c r="E43" s="91">
        <f>F43+G43</f>
        <v>2278</v>
      </c>
      <c r="F43" s="91">
        <v>2278</v>
      </c>
      <c r="G43" s="91">
        <f>ROUND(G40*D43,0)</f>
        <v>0</v>
      </c>
      <c r="H43" s="89" t="str">
        <f>IF(E43=F43+G43," ","ERROR")</f>
        <v> </v>
      </c>
    </row>
    <row r="44" spans="1:8" ht="12">
      <c r="A44" s="79">
        <v>26</v>
      </c>
      <c r="B44" s="86" t="s">
        <v>157</v>
      </c>
      <c r="E44" s="91">
        <f>F44+G44</f>
        <v>-2281</v>
      </c>
      <c r="F44" s="91">
        <v>-2281</v>
      </c>
      <c r="G44" s="91">
        <v>0</v>
      </c>
      <c r="H44" s="89" t="str">
        <f>IF(E44=F44+G44," ","ERROR")</f>
        <v> </v>
      </c>
    </row>
    <row r="45" spans="1:8" ht="12.75">
      <c r="A45"/>
      <c r="B45"/>
      <c r="C45"/>
      <c r="D45"/>
      <c r="E45" s="943"/>
      <c r="F45" s="943"/>
      <c r="G45" s="943"/>
      <c r="H45" s="89" t="str">
        <f>IF(E45=F45+G45," ","ERROR")</f>
        <v> </v>
      </c>
    </row>
    <row r="46" spans="1:8" ht="12">
      <c r="A46" s="278"/>
      <c r="B46" s="281"/>
      <c r="C46" s="275"/>
      <c r="D46" s="275"/>
      <c r="E46" s="288"/>
      <c r="F46" s="288"/>
      <c r="G46" s="288"/>
      <c r="H46" s="89"/>
    </row>
    <row r="47" spans="1:8" s="89" customFormat="1" ht="12">
      <c r="A47" s="282">
        <v>27</v>
      </c>
      <c r="B47" s="283" t="s">
        <v>108</v>
      </c>
      <c r="C47" s="284"/>
      <c r="D47" s="284"/>
      <c r="E47" s="292">
        <f>E40-SUM(E43:E44)</f>
        <v>-5</v>
      </c>
      <c r="F47" s="292">
        <f>F40-SUM(F43:F44)</f>
        <v>-5</v>
      </c>
      <c r="G47" s="292">
        <f>G40-SUM(G43:G44)</f>
        <v>0</v>
      </c>
      <c r="H47" s="89" t="str">
        <f>IF(E47=F47+G47," ","ERROR")</f>
        <v> </v>
      </c>
    </row>
    <row r="48" spans="1:8" ht="12">
      <c r="A48" s="278"/>
      <c r="H48" s="89"/>
    </row>
    <row r="49" spans="1:8" ht="12">
      <c r="A49" s="278"/>
      <c r="B49" s="86" t="s">
        <v>109</v>
      </c>
      <c r="H49" s="89"/>
    </row>
    <row r="50" spans="1:8" ht="12">
      <c r="A50" s="278"/>
      <c r="B50" s="86" t="s">
        <v>110</v>
      </c>
      <c r="H50" s="89"/>
    </row>
    <row r="51" spans="1:8" s="89" customFormat="1" ht="12">
      <c r="A51" s="282">
        <v>28</v>
      </c>
      <c r="B51" s="88" t="s">
        <v>159</v>
      </c>
      <c r="E51" s="90"/>
      <c r="F51" s="90"/>
      <c r="G51" s="90"/>
      <c r="H51" s="89" t="str">
        <f aca="true" t="shared" si="1" ref="H51:H61">IF(E51=F51+G51," ","ERROR")</f>
        <v> </v>
      </c>
    </row>
    <row r="52" spans="1:8" ht="12">
      <c r="A52" s="278">
        <v>29</v>
      </c>
      <c r="B52" s="86" t="s">
        <v>160</v>
      </c>
      <c r="E52" s="91"/>
      <c r="F52" s="91"/>
      <c r="G52" s="91"/>
      <c r="H52" s="89" t="str">
        <f t="shared" si="1"/>
        <v> </v>
      </c>
    </row>
    <row r="53" spans="1:8" ht="12">
      <c r="A53" s="278">
        <v>30</v>
      </c>
      <c r="B53" s="86" t="s">
        <v>161</v>
      </c>
      <c r="E53" s="91"/>
      <c r="F53" s="91"/>
      <c r="G53" s="91"/>
      <c r="H53" s="89" t="str">
        <f t="shared" si="1"/>
        <v> </v>
      </c>
    </row>
    <row r="54" spans="1:8" ht="12">
      <c r="A54" s="278">
        <v>31</v>
      </c>
      <c r="B54" s="86" t="s">
        <v>162</v>
      </c>
      <c r="E54" s="91"/>
      <c r="F54" s="91"/>
      <c r="G54" s="91"/>
      <c r="H54" s="89" t="str">
        <f t="shared" si="1"/>
        <v> </v>
      </c>
    </row>
    <row r="55" spans="1:8" ht="12">
      <c r="A55" s="278">
        <v>32</v>
      </c>
      <c r="B55" s="86" t="s">
        <v>163</v>
      </c>
      <c r="E55" s="97"/>
      <c r="F55" s="97"/>
      <c r="G55" s="97"/>
      <c r="H55" s="89" t="str">
        <f t="shared" si="1"/>
        <v> </v>
      </c>
    </row>
    <row r="56" spans="1:8" ht="12">
      <c r="A56" s="278">
        <v>33</v>
      </c>
      <c r="B56" s="86" t="s">
        <v>164</v>
      </c>
      <c r="E56" s="93">
        <f>E51+E52+E53+E54+E55</f>
        <v>0</v>
      </c>
      <c r="F56" s="93">
        <f>F51+F52+F53+F54+F55</f>
        <v>0</v>
      </c>
      <c r="G56" s="93">
        <f>G51+G52+G53+G54+G55</f>
        <v>0</v>
      </c>
      <c r="H56" s="89" t="str">
        <f t="shared" si="1"/>
        <v> </v>
      </c>
    </row>
    <row r="57" spans="1:8" ht="12">
      <c r="A57" s="278">
        <v>34</v>
      </c>
      <c r="B57" s="86" t="s">
        <v>116</v>
      </c>
      <c r="E57" s="91"/>
      <c r="F57" s="91"/>
      <c r="G57" s="91"/>
      <c r="H57" s="89" t="str">
        <f t="shared" si="1"/>
        <v> </v>
      </c>
    </row>
    <row r="58" spans="1:8" ht="12">
      <c r="A58" s="278">
        <v>35</v>
      </c>
      <c r="B58" s="86" t="s">
        <v>117</v>
      </c>
      <c r="E58" s="97"/>
      <c r="F58" s="97"/>
      <c r="G58" s="97"/>
      <c r="H58" s="89" t="str">
        <f t="shared" si="1"/>
        <v> </v>
      </c>
    </row>
    <row r="59" spans="1:8" ht="12">
      <c r="A59" s="278">
        <v>36</v>
      </c>
      <c r="B59" s="86" t="s">
        <v>165</v>
      </c>
      <c r="E59" s="93">
        <f>E57+E58</f>
        <v>0</v>
      </c>
      <c r="F59" s="93">
        <f>F57+F58</f>
        <v>0</v>
      </c>
      <c r="G59" s="93">
        <f>G57+G58</f>
        <v>0</v>
      </c>
      <c r="H59" s="89" t="str">
        <f t="shared" si="1"/>
        <v> </v>
      </c>
    </row>
    <row r="60" spans="1:8" ht="12">
      <c r="A60" s="278">
        <v>37</v>
      </c>
      <c r="B60" s="86" t="s">
        <v>119</v>
      </c>
      <c r="E60" s="91"/>
      <c r="F60" s="91"/>
      <c r="G60" s="91"/>
      <c r="H60" s="89" t="str">
        <f t="shared" si="1"/>
        <v> </v>
      </c>
    </row>
    <row r="61" spans="1:8" ht="12">
      <c r="A61" s="278">
        <v>38</v>
      </c>
      <c r="B61" s="86" t="s">
        <v>120</v>
      </c>
      <c r="E61" s="97"/>
      <c r="F61" s="97"/>
      <c r="G61" s="97"/>
      <c r="H61" s="89" t="str">
        <f t="shared" si="1"/>
        <v> </v>
      </c>
    </row>
    <row r="62" spans="1:8" ht="9" customHeight="1">
      <c r="A62" s="278"/>
      <c r="H62" s="89"/>
    </row>
    <row r="63" spans="1:8" s="89" customFormat="1" ht="12.75" thickBot="1">
      <c r="A63" s="282">
        <v>39</v>
      </c>
      <c r="B63" s="88" t="s">
        <v>121</v>
      </c>
      <c r="E63" s="98">
        <f>E56-E59+E60+E61</f>
        <v>0</v>
      </c>
      <c r="F63" s="98">
        <f>F56-F59+F60+F61</f>
        <v>0</v>
      </c>
      <c r="G63" s="98">
        <f>G56-G59+G60+G61</f>
        <v>0</v>
      </c>
      <c r="H63" s="89" t="str">
        <f>IF(E63=F63+G63," ","ERROR")</f>
        <v> </v>
      </c>
    </row>
    <row r="64" ht="12.75" thickTop="1"/>
  </sheetData>
  <printOptions horizontalCentered="1"/>
  <pageMargins left="1" right="0.75" top="0.5" bottom="0.5" header="0.5" footer="0.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74"/>
  <sheetViews>
    <sheetView showGridLines="0" zoomScale="75" zoomScaleNormal="75" workbookViewId="0" topLeftCell="A1">
      <pane xSplit="4" ySplit="9" topLeftCell="AQ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" sqref="E1:AT16384"/>
    </sheetView>
  </sheetViews>
  <sheetFormatPr defaultColWidth="9.140625" defaultRowHeight="12.75"/>
  <cols>
    <col min="1" max="1" width="4.7109375" style="3" customWidth="1"/>
    <col min="2" max="3" width="1.7109375" style="2" customWidth="1"/>
    <col min="4" max="4" width="33.7109375" style="2" customWidth="1"/>
    <col min="5" max="5" width="11.7109375" style="4" customWidth="1"/>
    <col min="6" max="6" width="11.7109375" style="5" customWidth="1"/>
    <col min="7" max="10" width="11.7109375" style="4" customWidth="1"/>
    <col min="11" max="17" width="11.7109375" style="5" customWidth="1"/>
    <col min="18" max="21" width="11.7109375" style="4" customWidth="1"/>
    <col min="22" max="31" width="11.7109375" style="5" customWidth="1"/>
    <col min="32" max="32" width="11.7109375" style="4" customWidth="1"/>
    <col min="33" max="44" width="11.7109375" style="5" customWidth="1"/>
    <col min="45" max="46" width="11.7109375" style="4" customWidth="1"/>
    <col min="47" max="16384" width="10.7109375" style="2" customWidth="1"/>
  </cols>
  <sheetData>
    <row r="1" spans="1:4" ht="12">
      <c r="A1" s="1" t="str">
        <f>Inputs!$D$6</f>
        <v>AVISTA UTILITIES</v>
      </c>
      <c r="D1" s="3"/>
    </row>
    <row r="2" spans="1:4" ht="12">
      <c r="A2" s="1" t="s">
        <v>0</v>
      </c>
      <c r="D2" s="3"/>
    </row>
    <row r="3" spans="1:4" ht="12">
      <c r="A3" s="1" t="s">
        <v>133</v>
      </c>
      <c r="D3" s="3"/>
    </row>
    <row r="4" spans="1:45" ht="12">
      <c r="A4" s="1" t="str">
        <f>WAElec12_04!$A$4</f>
        <v>TWELVE MONTHS ENDED DECEMBER 31, 2004</v>
      </c>
      <c r="D4" s="3"/>
      <c r="AS4" s="6"/>
    </row>
    <row r="5" spans="1:45" ht="12">
      <c r="A5" s="1" t="s">
        <v>1</v>
      </c>
      <c r="D5" s="3"/>
      <c r="AS5" s="6"/>
    </row>
    <row r="6" spans="1:46" s="8" customFormat="1" ht="12">
      <c r="A6" s="7"/>
      <c r="D6" s="7"/>
      <c r="E6" s="9"/>
      <c r="F6" s="10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11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11"/>
      <c r="AT6" s="11"/>
    </row>
    <row r="7" spans="1:46" s="8" customFormat="1" ht="12" customHeight="1">
      <c r="A7" s="12"/>
      <c r="B7" s="13"/>
      <c r="C7" s="14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</row>
    <row r="8" spans="1:46" s="8" customFormat="1" ht="12">
      <c r="A8" s="17" t="s">
        <v>13</v>
      </c>
      <c r="B8" s="18"/>
      <c r="C8" s="19"/>
      <c r="D8" s="20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</row>
    <row r="9" spans="1:46" s="8" customFormat="1" ht="12">
      <c r="A9" s="22" t="s">
        <v>33</v>
      </c>
      <c r="B9" s="23"/>
      <c r="C9" s="24"/>
      <c r="D9" s="25" t="s">
        <v>34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</row>
    <row r="10" spans="1:46" s="28" customFormat="1" ht="12">
      <c r="A10" s="27"/>
      <c r="D10" s="28" t="s">
        <v>54</v>
      </c>
      <c r="E10" s="29"/>
      <c r="F10" s="30"/>
      <c r="G10" s="31"/>
      <c r="H10" s="31"/>
      <c r="I10" s="31"/>
      <c r="J10" s="3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255"/>
      <c r="AH10" s="783"/>
      <c r="AI10" s="255"/>
      <c r="AJ10" s="255"/>
      <c r="AK10" s="255"/>
      <c r="AL10" s="255"/>
      <c r="AM10" s="255"/>
      <c r="AN10" s="255"/>
      <c r="AO10" s="255"/>
      <c r="AP10" s="30"/>
      <c r="AQ10" s="30"/>
      <c r="AR10" s="30"/>
      <c r="AS10" s="30"/>
      <c r="AT10" s="30"/>
    </row>
    <row r="11" spans="18:46" ht="12">
      <c r="R11" s="5"/>
      <c r="S11" s="5"/>
      <c r="T11" s="5"/>
      <c r="U11" s="5"/>
      <c r="AF11" s="5"/>
      <c r="AS11" s="5"/>
      <c r="AT11" s="5"/>
    </row>
    <row r="12" spans="2:46" ht="12">
      <c r="B12" s="2" t="s">
        <v>80</v>
      </c>
      <c r="R12" s="5"/>
      <c r="S12" s="5"/>
      <c r="T12" s="5"/>
      <c r="U12" s="5"/>
      <c r="AF12" s="5"/>
      <c r="AS12" s="5"/>
      <c r="AT12" s="5"/>
    </row>
    <row r="13" spans="1:46" s="33" customFormat="1" ht="12">
      <c r="A13" s="32">
        <v>1</v>
      </c>
      <c r="B13" s="33" t="s">
        <v>81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</row>
    <row r="14" spans="1:46" s="34" customFormat="1" ht="12">
      <c r="A14" s="32">
        <v>2</v>
      </c>
      <c r="B14" s="34" t="s">
        <v>82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</row>
    <row r="15" spans="1:46" s="34" customFormat="1" ht="12">
      <c r="A15" s="32">
        <v>3</v>
      </c>
      <c r="B15" s="34" t="s">
        <v>83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</row>
    <row r="16" spans="1:46" s="34" customFormat="1" ht="12">
      <c r="A16" s="32">
        <v>4</v>
      </c>
      <c r="C16" s="34" t="s">
        <v>84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</row>
    <row r="17" spans="1:46" s="34" customFormat="1" ht="12">
      <c r="A17" s="32">
        <v>5</v>
      </c>
      <c r="B17" s="34" t="s">
        <v>85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</row>
    <row r="18" spans="1:46" s="34" customFormat="1" ht="12">
      <c r="A18" s="32">
        <v>6</v>
      </c>
      <c r="C18" s="34" t="s">
        <v>86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</row>
    <row r="19" spans="1:46" s="34" customFormat="1" ht="12">
      <c r="A19" s="32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</row>
    <row r="20" spans="1:46" s="34" customFormat="1" ht="12">
      <c r="A20" s="32"/>
      <c r="B20" s="34" t="s">
        <v>87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</row>
    <row r="21" spans="1:46" s="34" customFormat="1" ht="12">
      <c r="A21" s="32"/>
      <c r="B21" s="34" t="s">
        <v>88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</row>
    <row r="22" spans="1:46" s="34" customFormat="1" ht="12">
      <c r="A22" s="32">
        <v>7</v>
      </c>
      <c r="C22" s="34" t="s">
        <v>89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</row>
    <row r="23" spans="1:46" s="34" customFormat="1" ht="12">
      <c r="A23" s="32">
        <v>8</v>
      </c>
      <c r="C23" s="34" t="s">
        <v>90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</row>
    <row r="24" spans="1:46" s="34" customFormat="1" ht="12">
      <c r="A24" s="32">
        <v>9</v>
      </c>
      <c r="C24" s="34" t="s">
        <v>91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</row>
    <row r="25" spans="1:46" s="34" customFormat="1" ht="12">
      <c r="A25" s="32">
        <v>10</v>
      </c>
      <c r="C25" s="34" t="s">
        <v>44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</row>
    <row r="26" spans="1:46" s="34" customFormat="1" ht="12">
      <c r="A26" s="32">
        <v>11</v>
      </c>
      <c r="D26" s="34" t="s">
        <v>92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</row>
    <row r="27" spans="1:46" s="34" customFormat="1" ht="12">
      <c r="A27" s="32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</row>
    <row r="28" spans="1:46" s="34" customFormat="1" ht="12">
      <c r="A28" s="32"/>
      <c r="B28" s="34" t="s">
        <v>93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</row>
    <row r="29" spans="1:46" s="34" customFormat="1" ht="12">
      <c r="A29" s="32">
        <v>12</v>
      </c>
      <c r="C29" s="34" t="s">
        <v>89</v>
      </c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</row>
    <row r="30" spans="1:46" s="34" customFormat="1" ht="12">
      <c r="A30" s="32">
        <v>13</v>
      </c>
      <c r="C30" s="34" t="s">
        <v>94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</row>
    <row r="31" spans="1:46" s="34" customFormat="1" ht="12">
      <c r="A31" s="32">
        <v>14</v>
      </c>
      <c r="C31" s="34" t="s">
        <v>44</v>
      </c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</row>
    <row r="32" spans="1:46" s="34" customFormat="1" ht="12">
      <c r="A32" s="32">
        <v>15</v>
      </c>
      <c r="D32" s="34" t="s">
        <v>95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</row>
    <row r="33" spans="1:46" s="34" customFormat="1" ht="12">
      <c r="A33" s="32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</row>
    <row r="34" spans="1:46" s="34" customFormat="1" ht="12">
      <c r="A34" s="32">
        <v>16</v>
      </c>
      <c r="B34" s="34" t="s">
        <v>96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</row>
    <row r="35" spans="1:46" s="34" customFormat="1" ht="12">
      <c r="A35" s="32">
        <v>17</v>
      </c>
      <c r="B35" s="34" t="s">
        <v>97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</row>
    <row r="36" spans="1:46" s="34" customFormat="1" ht="12">
      <c r="A36" s="32">
        <v>18</v>
      </c>
      <c r="B36" s="34" t="s">
        <v>98</v>
      </c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</row>
    <row r="37" spans="5:46" s="34" customFormat="1" ht="12"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</row>
    <row r="38" spans="1:46" s="34" customFormat="1" ht="12">
      <c r="A38" s="32"/>
      <c r="B38" s="34" t="s">
        <v>99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</row>
    <row r="39" spans="1:46" s="34" customFormat="1" ht="12">
      <c r="A39" s="32">
        <v>19</v>
      </c>
      <c r="C39" s="34" t="s">
        <v>89</v>
      </c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</row>
    <row r="40" spans="1:46" s="34" customFormat="1" ht="12">
      <c r="A40" s="32">
        <v>20</v>
      </c>
      <c r="C40" s="34" t="s">
        <v>94</v>
      </c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</row>
    <row r="41" spans="1:46" s="34" customFormat="1" ht="12">
      <c r="A41" s="32">
        <v>21</v>
      </c>
      <c r="C41" s="34" t="s">
        <v>44</v>
      </c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</row>
    <row r="42" spans="1:46" s="34" customFormat="1" ht="12">
      <c r="A42" s="32">
        <v>22</v>
      </c>
      <c r="D42" s="34" t="s">
        <v>100</v>
      </c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</row>
    <row r="43" spans="1:46" s="34" customFormat="1" ht="12">
      <c r="A43" s="32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</row>
    <row r="44" spans="1:46" s="34" customFormat="1" ht="12">
      <c r="A44" s="32">
        <v>23</v>
      </c>
      <c r="B44" s="34" t="s">
        <v>101</v>
      </c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</row>
    <row r="45" spans="1:46" s="34" customFormat="1" ht="12">
      <c r="A45" s="32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</row>
    <row r="46" spans="1:46" s="34" customFormat="1" ht="12">
      <c r="A46" s="32">
        <v>24</v>
      </c>
      <c r="B46" s="34" t="s">
        <v>102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</row>
    <row r="47" spans="1:46" s="34" customFormat="1" ht="12">
      <c r="A47" s="32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</row>
    <row r="48" spans="1:46" s="34" customFormat="1" ht="12">
      <c r="A48" s="32"/>
      <c r="B48" s="34" t="s">
        <v>103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</row>
    <row r="49" spans="1:46" s="34" customFormat="1" ht="12">
      <c r="A49" s="32">
        <v>25</v>
      </c>
      <c r="B49" s="34" t="s">
        <v>104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</row>
    <row r="50" spans="1:46" s="34" customFormat="1" ht="12">
      <c r="A50" s="32">
        <v>26</v>
      </c>
      <c r="B50" s="34" t="s">
        <v>105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</row>
    <row r="51" spans="1:46" s="34" customFormat="1" ht="12">
      <c r="A51" s="32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</row>
    <row r="52" spans="1:46" s="34" customFormat="1" ht="12">
      <c r="A52" s="32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</row>
    <row r="53" spans="1:46" s="34" customFormat="1" ht="12">
      <c r="A53" s="3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</row>
    <row r="54" spans="5:46" ht="12"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</row>
    <row r="55" spans="1:47" s="33" customFormat="1" ht="12.75" thickBot="1">
      <c r="A55" s="32">
        <v>27</v>
      </c>
      <c r="B55" s="33" t="s">
        <v>108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33" t="e">
        <f>#REF!+WAElec12_04!AV52</f>
        <v>#REF!</v>
      </c>
    </row>
    <row r="56" spans="5:46" ht="12.75" thickTop="1"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</row>
    <row r="57" spans="2:46" ht="12">
      <c r="B57" s="2" t="s">
        <v>109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</row>
    <row r="58" spans="2:46" ht="12">
      <c r="B58" s="2" t="s">
        <v>110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</row>
    <row r="59" spans="1:46" s="33" customFormat="1" ht="12">
      <c r="A59" s="32">
        <v>28</v>
      </c>
      <c r="C59" s="33" t="s">
        <v>111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</row>
    <row r="60" spans="1:46" s="34" customFormat="1" ht="12">
      <c r="A60" s="32">
        <v>29</v>
      </c>
      <c r="C60" s="34" t="s">
        <v>112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</row>
    <row r="61" spans="1:46" s="34" customFormat="1" ht="12">
      <c r="A61" s="32">
        <v>30</v>
      </c>
      <c r="C61" s="34" t="s">
        <v>113</v>
      </c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</row>
    <row r="62" spans="1:46" s="34" customFormat="1" ht="12">
      <c r="A62" s="32">
        <v>31</v>
      </c>
      <c r="C62" s="34" t="s">
        <v>93</v>
      </c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</row>
    <row r="63" spans="1:46" s="34" customFormat="1" ht="12">
      <c r="A63" s="32">
        <v>32</v>
      </c>
      <c r="C63" s="34" t="s">
        <v>114</v>
      </c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</row>
    <row r="64" spans="1:46" s="34" customFormat="1" ht="12">
      <c r="A64" s="32">
        <v>33</v>
      </c>
      <c r="D64" s="34" t="s">
        <v>115</v>
      </c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</row>
    <row r="65" spans="1:46" s="34" customFormat="1" ht="12">
      <c r="A65" s="32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</row>
    <row r="66" spans="1:46" s="34" customFormat="1" ht="12">
      <c r="A66" s="32">
        <v>34</v>
      </c>
      <c r="B66" s="34" t="s">
        <v>116</v>
      </c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</row>
    <row r="67" spans="1:46" s="34" customFormat="1" ht="12">
      <c r="A67" s="32">
        <v>35</v>
      </c>
      <c r="B67" s="34" t="s">
        <v>117</v>
      </c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</row>
    <row r="68" spans="1:46" s="34" customFormat="1" ht="12">
      <c r="A68" s="32">
        <v>36</v>
      </c>
      <c r="C68" s="34" t="s">
        <v>118</v>
      </c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</row>
    <row r="69" spans="1:46" s="34" customFormat="1" ht="12">
      <c r="A69" s="32">
        <v>37</v>
      </c>
      <c r="B69" s="34" t="s">
        <v>119</v>
      </c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</row>
    <row r="70" spans="1:46" s="34" customFormat="1" ht="12">
      <c r="A70" s="32">
        <v>38</v>
      </c>
      <c r="B70" s="34" t="s">
        <v>120</v>
      </c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</row>
    <row r="71" spans="1:46" s="34" customFormat="1" ht="12">
      <c r="A71" s="32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</row>
    <row r="72" spans="1:47" s="33" customFormat="1" ht="12.75" thickBot="1">
      <c r="A72" s="35">
        <v>39</v>
      </c>
      <c r="B72" s="33" t="s">
        <v>121</v>
      </c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33" t="e">
        <f>#REF!+WAElec12_04!AV68</f>
        <v>#REF!</v>
      </c>
    </row>
    <row r="73" spans="1:46" ht="18" customHeight="1" thickTop="1">
      <c r="A73" s="32">
        <v>40</v>
      </c>
      <c r="B73" s="2" t="s">
        <v>122</v>
      </c>
      <c r="E73" s="2"/>
      <c r="AT73" s="37"/>
    </row>
    <row r="74" spans="5:44" ht="12">
      <c r="E74" s="37"/>
      <c r="O74" s="37"/>
      <c r="AF74" s="37"/>
      <c r="AR74" s="37"/>
    </row>
  </sheetData>
  <printOptions/>
  <pageMargins left="0.75" right="0.51" top="0.75" bottom="0.5" header="0.5" footer="0.5"/>
  <pageSetup horizontalDpi="300" verticalDpi="300" orientation="portrait" scale="76" r:id="rId1"/>
  <headerFooter alignWithMargins="0">
    <oddHeader>&amp;L&amp;"Times,Regular"&amp;9KM  File: &amp;F&amp;R&amp;"Times,Regular"&amp;9Page &amp;P of &amp;N  &amp;D</oddHeader>
  </headerFooter>
  <colBreaks count="4" manualBreakCount="4">
    <brk id="11" min="10" max="72" man="1"/>
    <brk id="16" min="10" max="72" man="1"/>
    <brk id="23" min="10" max="72" man="1"/>
    <brk id="35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20">
      <selection activeCell="F36" sqref="F36"/>
    </sheetView>
  </sheetViews>
  <sheetFormatPr defaultColWidth="9.140625" defaultRowHeight="12.75"/>
  <cols>
    <col min="1" max="1" width="5.57421875" style="44" customWidth="1"/>
    <col min="2" max="2" width="26.140625" style="41" customWidth="1"/>
    <col min="3" max="3" width="12.421875" style="41" customWidth="1"/>
    <col min="4" max="4" width="6.7109375" style="41" customWidth="1"/>
    <col min="5" max="8" width="12.421875" style="41" customWidth="1"/>
  </cols>
  <sheetData>
    <row r="1" spans="1:3" ht="12.75">
      <c r="A1" s="39" t="str">
        <f>Inputs!$D$6</f>
        <v>AVISTA UTILITIES</v>
      </c>
      <c r="B1" s="40"/>
      <c r="C1" s="39"/>
    </row>
    <row r="2" spans="1:7" ht="12.75">
      <c r="A2" s="39" t="s">
        <v>134</v>
      </c>
      <c r="B2" s="40"/>
      <c r="C2" s="39"/>
      <c r="E2" s="39"/>
      <c r="F2" s="968" t="s">
        <v>495</v>
      </c>
      <c r="G2" s="39"/>
    </row>
    <row r="3" spans="1:7" ht="12.75">
      <c r="A3" s="40" t="str">
        <f>WAElec12_04!$A$4</f>
        <v>TWELVE MONTHS ENDED DECEMBER 31, 2004</v>
      </c>
      <c r="B3" s="40"/>
      <c r="C3" s="39"/>
      <c r="E3" s="39"/>
      <c r="F3" s="44"/>
      <c r="G3" s="39"/>
    </row>
    <row r="4" spans="1:7" ht="12.75">
      <c r="A4" s="39" t="s">
        <v>1</v>
      </c>
      <c r="B4" s="40"/>
      <c r="C4" s="39"/>
      <c r="E4" s="42"/>
      <c r="F4" s="718" t="s">
        <v>137</v>
      </c>
      <c r="G4" s="43"/>
    </row>
    <row r="5" ht="12.75">
      <c r="A5" s="44" t="s">
        <v>13</v>
      </c>
    </row>
    <row r="6" spans="1:8" ht="12.75">
      <c r="A6" s="44" t="s">
        <v>138</v>
      </c>
      <c r="B6" s="45" t="s">
        <v>34</v>
      </c>
      <c r="C6" s="45"/>
      <c r="D6" s="44"/>
      <c r="E6" s="45" t="s">
        <v>139</v>
      </c>
      <c r="F6" s="45" t="s">
        <v>140</v>
      </c>
      <c r="G6" s="45" t="s">
        <v>123</v>
      </c>
      <c r="H6" s="46" t="s">
        <v>141</v>
      </c>
    </row>
    <row r="7" ht="12.75">
      <c r="B7" s="47" t="s">
        <v>80</v>
      </c>
    </row>
    <row r="8" spans="1:8" ht="12.75">
      <c r="A8" s="48">
        <v>1</v>
      </c>
      <c r="B8" s="49" t="s">
        <v>81</v>
      </c>
      <c r="C8" s="50"/>
      <c r="D8" s="50"/>
      <c r="E8" s="51">
        <f>F8+G8</f>
        <v>0</v>
      </c>
      <c r="F8" s="51">
        <v>0</v>
      </c>
      <c r="G8" s="51">
        <v>0</v>
      </c>
      <c r="H8" s="50" t="str">
        <f aca="true" t="shared" si="0" ref="H8:H13">IF(E8=F8+G8," ","ERROR")</f>
        <v> </v>
      </c>
    </row>
    <row r="9" spans="1:8" ht="12.75">
      <c r="A9" s="44">
        <v>2</v>
      </c>
      <c r="B9" s="47" t="s">
        <v>82</v>
      </c>
      <c r="E9" s="52"/>
      <c r="F9" s="52"/>
      <c r="G9" s="52"/>
      <c r="H9" s="50" t="str">
        <f t="shared" si="0"/>
        <v> </v>
      </c>
    </row>
    <row r="10" spans="1:8" ht="12.75">
      <c r="A10" s="44">
        <v>3</v>
      </c>
      <c r="B10" s="47" t="s">
        <v>142</v>
      </c>
      <c r="E10" s="52"/>
      <c r="F10" s="52"/>
      <c r="G10" s="52"/>
      <c r="H10" s="50" t="str">
        <f t="shared" si="0"/>
        <v> </v>
      </c>
    </row>
    <row r="11" spans="1:8" ht="12.75">
      <c r="A11" s="44">
        <v>4</v>
      </c>
      <c r="B11" s="47" t="s">
        <v>143</v>
      </c>
      <c r="E11" s="53">
        <f>E8+E9+E10</f>
        <v>0</v>
      </c>
      <c r="F11" s="53">
        <f>F8+F9+F10</f>
        <v>0</v>
      </c>
      <c r="G11" s="53">
        <f>G8+G9+G10</f>
        <v>0</v>
      </c>
      <c r="H11" s="50" t="str">
        <f t="shared" si="0"/>
        <v> </v>
      </c>
    </row>
    <row r="12" spans="1:8" ht="12.75">
      <c r="A12" s="44">
        <v>5</v>
      </c>
      <c r="B12" s="47" t="s">
        <v>85</v>
      </c>
      <c r="E12" s="52"/>
      <c r="F12" s="52"/>
      <c r="G12" s="52"/>
      <c r="H12" s="50" t="str">
        <f t="shared" si="0"/>
        <v> </v>
      </c>
    </row>
    <row r="13" spans="1:8" ht="12.75">
      <c r="A13" s="44">
        <v>6</v>
      </c>
      <c r="B13" s="47" t="s">
        <v>144</v>
      </c>
      <c r="E13" s="53">
        <f>E11+E12</f>
        <v>0</v>
      </c>
      <c r="F13" s="53">
        <f>F11+F12</f>
        <v>0</v>
      </c>
      <c r="G13" s="53">
        <f>G11+G12</f>
        <v>0</v>
      </c>
      <c r="H13" s="50" t="str">
        <f t="shared" si="0"/>
        <v> </v>
      </c>
    </row>
    <row r="14" spans="5:8" ht="12.75">
      <c r="E14" s="55"/>
      <c r="F14" s="55"/>
      <c r="G14" s="55"/>
      <c r="H14" s="50"/>
    </row>
    <row r="15" spans="2:8" ht="12.75">
      <c r="B15" s="47" t="s">
        <v>87</v>
      </c>
      <c r="E15" s="55"/>
      <c r="F15" s="55"/>
      <c r="G15" s="55"/>
      <c r="H15" s="50"/>
    </row>
    <row r="16" spans="2:8" ht="12.75">
      <c r="B16" s="47" t="s">
        <v>88</v>
      </c>
      <c r="E16" s="55"/>
      <c r="F16" s="55"/>
      <c r="G16" s="55"/>
      <c r="H16" s="50"/>
    </row>
    <row r="17" spans="1:8" ht="12.75">
      <c r="A17" s="44">
        <v>7</v>
      </c>
      <c r="B17" s="47" t="s">
        <v>145</v>
      </c>
      <c r="E17" s="52"/>
      <c r="F17" s="52"/>
      <c r="G17" s="52"/>
      <c r="H17" s="50" t="str">
        <f>IF(E17=F17+G17," ","ERROR")</f>
        <v> </v>
      </c>
    </row>
    <row r="18" spans="1:8" ht="12.75">
      <c r="A18" s="44">
        <v>8</v>
      </c>
      <c r="B18" s="47" t="s">
        <v>146</v>
      </c>
      <c r="E18" s="52"/>
      <c r="F18" s="52"/>
      <c r="G18" s="52"/>
      <c r="H18" s="50" t="str">
        <f>IF(E18=F18+G18," ","ERROR")</f>
        <v> </v>
      </c>
    </row>
    <row r="19" spans="1:8" ht="12.75">
      <c r="A19" s="44">
        <v>9</v>
      </c>
      <c r="B19" s="47" t="s">
        <v>147</v>
      </c>
      <c r="E19" s="52">
        <f>F19+G19</f>
        <v>-113</v>
      </c>
      <c r="F19" s="52">
        <v>-113</v>
      </c>
      <c r="G19" s="52"/>
      <c r="H19" s="50" t="str">
        <f>IF(E19=F19+G19," ","ERROR")</f>
        <v> </v>
      </c>
    </row>
    <row r="20" spans="1:8" ht="12.75">
      <c r="A20" s="44">
        <v>10</v>
      </c>
      <c r="B20" s="47" t="s">
        <v>148</v>
      </c>
      <c r="E20" s="52">
        <f>F20+G20</f>
        <v>0</v>
      </c>
      <c r="F20" s="52"/>
      <c r="G20" s="52"/>
      <c r="H20" s="50" t="str">
        <f>IF(E20=F20+G20," ","ERROR")</f>
        <v> </v>
      </c>
    </row>
    <row r="21" spans="1:8" ht="12.75">
      <c r="A21" s="44">
        <v>11</v>
      </c>
      <c r="B21" s="47" t="s">
        <v>149</v>
      </c>
      <c r="E21" s="53">
        <f>E17+E18+E19+E20</f>
        <v>-113</v>
      </c>
      <c r="F21" s="53">
        <f>F17+F18+F19+F20</f>
        <v>-113</v>
      </c>
      <c r="G21" s="53">
        <f>G17+G18+G19+G20</f>
        <v>0</v>
      </c>
      <c r="H21" s="50" t="str">
        <f>IF(E21=F21+G21," ","ERROR")</f>
        <v> </v>
      </c>
    </row>
    <row r="22" spans="5:8" ht="12.75">
      <c r="E22" s="55"/>
      <c r="F22" s="55"/>
      <c r="G22" s="55"/>
      <c r="H22" s="50"/>
    </row>
    <row r="23" spans="2:8" ht="12.75">
      <c r="B23" s="47" t="s">
        <v>93</v>
      </c>
      <c r="E23" s="55"/>
      <c r="F23" s="55"/>
      <c r="G23" s="55"/>
      <c r="H23" s="50"/>
    </row>
    <row r="24" spans="1:8" ht="12.75">
      <c r="A24" s="44">
        <v>12</v>
      </c>
      <c r="B24" s="47" t="s">
        <v>145</v>
      </c>
      <c r="E24" s="52"/>
      <c r="F24" s="52"/>
      <c r="G24" s="52"/>
      <c r="H24" s="50" t="str">
        <f>IF(E24=F24+G24," ","ERROR")</f>
        <v> </v>
      </c>
    </row>
    <row r="25" spans="1:8" ht="12.75">
      <c r="A25" s="44">
        <v>13</v>
      </c>
      <c r="B25" s="47" t="s">
        <v>150</v>
      </c>
      <c r="E25" s="52">
        <f>F25+G25</f>
        <v>23</v>
      </c>
      <c r="F25" s="52">
        <v>23</v>
      </c>
      <c r="G25" s="52"/>
      <c r="H25" s="50" t="str">
        <f>IF(E25=F25+G25," ","ERROR")</f>
        <v> </v>
      </c>
    </row>
    <row r="26" spans="1:8" ht="12.75">
      <c r="A26" s="44">
        <v>14</v>
      </c>
      <c r="B26" s="47" t="s">
        <v>148</v>
      </c>
      <c r="E26" s="52">
        <f>F26+G26</f>
        <v>0</v>
      </c>
      <c r="F26" s="52">
        <v>0</v>
      </c>
      <c r="G26" s="52">
        <v>0</v>
      </c>
      <c r="H26" s="50" t="str">
        <f>IF(E26=F26+G26," ","ERROR")</f>
        <v> </v>
      </c>
    </row>
    <row r="27" spans="1:8" ht="12.75">
      <c r="A27" s="44">
        <v>15</v>
      </c>
      <c r="B27" s="47" t="s">
        <v>151</v>
      </c>
      <c r="E27" s="53">
        <f>E24+E25+E26</f>
        <v>23</v>
      </c>
      <c r="F27" s="53">
        <f>F24+F25+F26</f>
        <v>23</v>
      </c>
      <c r="G27" s="53">
        <f>G24+G25+G26</f>
        <v>0</v>
      </c>
      <c r="H27" s="50" t="str">
        <f>IF(E27=F27+G27," ","ERROR")</f>
        <v> </v>
      </c>
    </row>
    <row r="28" spans="5:8" ht="12.75">
      <c r="E28" s="55"/>
      <c r="F28" s="55"/>
      <c r="G28" s="55"/>
      <c r="H28" s="50"/>
    </row>
    <row r="29" spans="1:8" ht="12.75">
      <c r="A29" s="44">
        <v>16</v>
      </c>
      <c r="B29" s="47" t="s">
        <v>96</v>
      </c>
      <c r="E29" s="52">
        <f>SUM(F29:G29)</f>
        <v>0</v>
      </c>
      <c r="F29" s="52">
        <v>0</v>
      </c>
      <c r="G29" s="52"/>
      <c r="H29" s="50" t="str">
        <f>IF(E29=F29+G29," ","ERROR")</f>
        <v> </v>
      </c>
    </row>
    <row r="30" spans="1:8" ht="12.75">
      <c r="A30" s="44">
        <v>17</v>
      </c>
      <c r="B30" s="47" t="s">
        <v>97</v>
      </c>
      <c r="E30" s="52"/>
      <c r="F30" s="52"/>
      <c r="G30" s="52"/>
      <c r="H30" s="50" t="str">
        <f>IF(E30=F30+G30," ","ERROR")</f>
        <v> </v>
      </c>
    </row>
    <row r="31" spans="1:8" ht="12.75">
      <c r="A31" s="44">
        <v>18</v>
      </c>
      <c r="B31" s="47" t="s">
        <v>152</v>
      </c>
      <c r="E31" s="52"/>
      <c r="F31" s="52"/>
      <c r="G31" s="52"/>
      <c r="H31" s="50" t="str">
        <f>IF(E31=F31+G31," ","ERROR")</f>
        <v> </v>
      </c>
    </row>
    <row r="32" spans="5:8" ht="12.75">
      <c r="E32" s="55"/>
      <c r="F32" s="55"/>
      <c r="G32" s="55"/>
      <c r="H32" s="50"/>
    </row>
    <row r="33" spans="2:8" ht="12.75">
      <c r="B33" s="47" t="s">
        <v>99</v>
      </c>
      <c r="E33" s="55"/>
      <c r="F33" s="55"/>
      <c r="G33" s="55"/>
      <c r="H33" s="50"/>
    </row>
    <row r="34" spans="1:8" ht="12.75">
      <c r="A34" s="44">
        <v>19</v>
      </c>
      <c r="B34" s="47" t="s">
        <v>145</v>
      </c>
      <c r="E34" s="52">
        <f>SUM(F34:G34)</f>
        <v>0</v>
      </c>
      <c r="F34" s="52">
        <v>0</v>
      </c>
      <c r="G34" s="52">
        <v>0</v>
      </c>
      <c r="H34" s="50" t="str">
        <f>IF(E34=F34+G34," ","ERROR")</f>
        <v> </v>
      </c>
    </row>
    <row r="35" spans="1:8" ht="12.75">
      <c r="A35" s="44">
        <v>20</v>
      </c>
      <c r="B35" s="47" t="s">
        <v>150</v>
      </c>
      <c r="E35" s="52">
        <f>SUM(F35:G35)</f>
        <v>1702</v>
      </c>
      <c r="F35" s="52">
        <v>1702</v>
      </c>
      <c r="G35" s="52"/>
      <c r="H35" s="50" t="str">
        <f>IF(E35=F35+G35," ","ERROR")</f>
        <v> </v>
      </c>
    </row>
    <row r="36" spans="1:8" ht="12.75">
      <c r="A36" s="44">
        <v>21</v>
      </c>
      <c r="B36" s="47" t="s">
        <v>148</v>
      </c>
      <c r="E36" s="52"/>
      <c r="F36" s="52"/>
      <c r="G36" s="52"/>
      <c r="H36" s="50" t="str">
        <f>IF(E36=F36+G36," ","ERROR")</f>
        <v> </v>
      </c>
    </row>
    <row r="37" spans="1:8" ht="12.75">
      <c r="A37" s="44">
        <v>22</v>
      </c>
      <c r="B37" s="47" t="s">
        <v>153</v>
      </c>
      <c r="E37" s="57">
        <f>E34+E35+E36</f>
        <v>1702</v>
      </c>
      <c r="F37" s="57">
        <f>F34+F35+F36</f>
        <v>1702</v>
      </c>
      <c r="G37" s="57">
        <f>G34+G35+G36</f>
        <v>0</v>
      </c>
      <c r="H37" s="50" t="str">
        <f>IF(E37=F37+G37," ","ERROR")</f>
        <v> </v>
      </c>
    </row>
    <row r="38" spans="1:8" ht="12.75">
      <c r="A38" s="44">
        <v>23</v>
      </c>
      <c r="B38" s="47" t="s">
        <v>101</v>
      </c>
      <c r="E38" s="58">
        <f>E21+E27+E29+E30+E31+E37</f>
        <v>1612</v>
      </c>
      <c r="F38" s="58">
        <f>F21+F27+F29+F30+F31+F37</f>
        <v>1612</v>
      </c>
      <c r="G38" s="58">
        <f>G21+G27+G29+G30+G31+G37</f>
        <v>0</v>
      </c>
      <c r="H38" s="50" t="str">
        <f>IF(E38=F38+G38," ","ERROR")</f>
        <v> </v>
      </c>
    </row>
    <row r="39" spans="5:8" ht="12.75">
      <c r="E39" s="55"/>
      <c r="F39" s="55"/>
      <c r="G39" s="55"/>
      <c r="H39" s="50"/>
    </row>
    <row r="40" spans="1:8" ht="12.75">
      <c r="A40" s="44">
        <v>24</v>
      </c>
      <c r="B40" s="47" t="s">
        <v>154</v>
      </c>
      <c r="E40" s="55">
        <f>E13-E38</f>
        <v>-1612</v>
      </c>
      <c r="F40" s="55">
        <f>F13-F38</f>
        <v>-1612</v>
      </c>
      <c r="G40" s="55">
        <f>G13-G38</f>
        <v>0</v>
      </c>
      <c r="H40" s="50" t="str">
        <f>IF(E40=F40+G40," ","ERROR")</f>
        <v> </v>
      </c>
    </row>
    <row r="41" spans="2:8" ht="12.75">
      <c r="B41" s="47"/>
      <c r="E41" s="55"/>
      <c r="F41" s="55"/>
      <c r="G41" s="55"/>
      <c r="H41" s="50"/>
    </row>
    <row r="42" spans="2:8" ht="12.75">
      <c r="B42" s="47" t="s">
        <v>155</v>
      </c>
      <c r="E42" s="55"/>
      <c r="F42" s="55"/>
      <c r="G42" s="55"/>
      <c r="H42" s="50"/>
    </row>
    <row r="43" spans="1:8" ht="12.75">
      <c r="A43" s="44">
        <v>25</v>
      </c>
      <c r="B43" s="47" t="s">
        <v>156</v>
      </c>
      <c r="D43" s="59">
        <v>0.35</v>
      </c>
      <c r="E43" s="52">
        <f>F43+G43</f>
        <v>-564</v>
      </c>
      <c r="F43" s="52">
        <f>ROUND(F40*D43,0)</f>
        <v>-564</v>
      </c>
      <c r="G43" s="52">
        <f>ROUND(G40*D43,0)</f>
        <v>0</v>
      </c>
      <c r="H43" s="50" t="str">
        <f>IF(E43=F43+G43," ","ERROR")</f>
        <v> </v>
      </c>
    </row>
    <row r="44" spans="1:8" ht="12.75">
      <c r="A44" s="44">
        <v>26</v>
      </c>
      <c r="B44" s="47" t="s">
        <v>157</v>
      </c>
      <c r="E44" s="52"/>
      <c r="F44" s="52"/>
      <c r="G44" s="52"/>
      <c r="H44" s="50" t="str">
        <f>IF(E44=F44+G44," ","ERROR")</f>
        <v> </v>
      </c>
    </row>
    <row r="45" spans="1:8" ht="12.75">
      <c r="A45"/>
      <c r="B45"/>
      <c r="C45"/>
      <c r="D45"/>
      <c r="E45" s="943"/>
      <c r="F45" s="943"/>
      <c r="G45" s="943"/>
      <c r="H45" s="50" t="str">
        <f>IF(E45=F45+G45," ","ERROR")</f>
        <v> </v>
      </c>
    </row>
    <row r="46" spans="1:8" ht="12.75">
      <c r="A46" s="278"/>
      <c r="B46" s="281"/>
      <c r="C46" s="275"/>
      <c r="D46" s="275"/>
      <c r="E46" s="288"/>
      <c r="F46" s="288"/>
      <c r="G46" s="288"/>
      <c r="H46" s="50"/>
    </row>
    <row r="47" spans="1:8" ht="12.75">
      <c r="A47" s="282">
        <v>27</v>
      </c>
      <c r="B47" s="283" t="s">
        <v>108</v>
      </c>
      <c r="C47" s="284"/>
      <c r="D47" s="284"/>
      <c r="E47" s="292">
        <f>E40-SUM(E43:E44)</f>
        <v>-1048</v>
      </c>
      <c r="F47" s="292">
        <f>F40-SUM(F43:F44)</f>
        <v>-1048</v>
      </c>
      <c r="G47" s="292">
        <f>G40-SUM(G43:G44)</f>
        <v>0</v>
      </c>
      <c r="H47" s="50" t="str">
        <f>IF(E47=F47+G47," ","ERROR")</f>
        <v> </v>
      </c>
    </row>
    <row r="48" spans="1:8" ht="12.75">
      <c r="A48" s="278"/>
      <c r="H48" s="50"/>
    </row>
    <row r="49" spans="1:8" ht="12.75">
      <c r="A49" s="278"/>
      <c r="B49" s="47" t="s">
        <v>109</v>
      </c>
      <c r="H49" s="50"/>
    </row>
    <row r="50" spans="1:8" ht="12.75">
      <c r="A50" s="278"/>
      <c r="B50" s="47" t="s">
        <v>110</v>
      </c>
      <c r="H50" s="50"/>
    </row>
    <row r="51" spans="1:8" ht="12.75">
      <c r="A51" s="282">
        <v>28</v>
      </c>
      <c r="B51" s="49" t="s">
        <v>159</v>
      </c>
      <c r="C51" s="50"/>
      <c r="D51" s="50"/>
      <c r="E51" s="51"/>
      <c r="F51" s="51"/>
      <c r="G51" s="51"/>
      <c r="H51" s="50" t="str">
        <f aca="true" t="shared" si="1" ref="H51:H61">IF(E51=F51+G51," ","ERROR")</f>
        <v> </v>
      </c>
    </row>
    <row r="52" spans="1:8" ht="12.75">
      <c r="A52" s="278">
        <v>29</v>
      </c>
      <c r="B52" s="47" t="s">
        <v>160</v>
      </c>
      <c r="E52" s="52">
        <f>F52+G52</f>
        <v>0</v>
      </c>
      <c r="F52" s="52"/>
      <c r="G52" s="52"/>
      <c r="H52" s="50" t="str">
        <f t="shared" si="1"/>
        <v> </v>
      </c>
    </row>
    <row r="53" spans="1:8" ht="12.75">
      <c r="A53" s="278">
        <v>30</v>
      </c>
      <c r="B53" s="47" t="s">
        <v>161</v>
      </c>
      <c r="E53" s="52"/>
      <c r="F53" s="52"/>
      <c r="G53" s="52"/>
      <c r="H53" s="50" t="str">
        <f t="shared" si="1"/>
        <v> </v>
      </c>
    </row>
    <row r="54" spans="1:8" ht="12.75">
      <c r="A54" s="278">
        <v>31</v>
      </c>
      <c r="B54" s="47" t="s">
        <v>162</v>
      </c>
      <c r="E54" s="52"/>
      <c r="F54" s="52"/>
      <c r="G54" s="52"/>
      <c r="H54" s="50" t="str">
        <f t="shared" si="1"/>
        <v> </v>
      </c>
    </row>
    <row r="55" spans="1:8" ht="12.75">
      <c r="A55" s="278">
        <v>32</v>
      </c>
      <c r="B55" s="47" t="s">
        <v>163</v>
      </c>
      <c r="E55" s="56"/>
      <c r="F55" s="56"/>
      <c r="G55" s="56"/>
      <c r="H55" s="50" t="str">
        <f t="shared" si="1"/>
        <v> </v>
      </c>
    </row>
    <row r="56" spans="1:8" ht="12.75">
      <c r="A56" s="278">
        <v>33</v>
      </c>
      <c r="B56" s="47" t="s">
        <v>164</v>
      </c>
      <c r="E56" s="55">
        <f>E51+E52+E53+E54+E55</f>
        <v>0</v>
      </c>
      <c r="F56" s="55">
        <f>F51+F52+F53+F54+F55</f>
        <v>0</v>
      </c>
      <c r="G56" s="55">
        <f>G51+G52+G53+G54+G55</f>
        <v>0</v>
      </c>
      <c r="H56" s="50" t="str">
        <f t="shared" si="1"/>
        <v> </v>
      </c>
    </row>
    <row r="57" spans="1:8" ht="12.75">
      <c r="A57" s="278">
        <v>34</v>
      </c>
      <c r="B57" s="47" t="s">
        <v>116</v>
      </c>
      <c r="E57" s="52">
        <f>F57+G57</f>
        <v>-251</v>
      </c>
      <c r="F57" s="52">
        <v>-251</v>
      </c>
      <c r="G57" s="52"/>
      <c r="H57" s="50" t="str">
        <f t="shared" si="1"/>
        <v> </v>
      </c>
    </row>
    <row r="58" spans="1:8" ht="12.75">
      <c r="A58" s="278">
        <v>35</v>
      </c>
      <c r="B58" s="47" t="s">
        <v>117</v>
      </c>
      <c r="E58" s="56"/>
      <c r="F58" s="56"/>
      <c r="G58" s="56"/>
      <c r="H58" s="50" t="str">
        <f t="shared" si="1"/>
        <v> </v>
      </c>
    </row>
    <row r="59" spans="1:8" ht="12.75">
      <c r="A59" s="278">
        <v>36</v>
      </c>
      <c r="B59" s="47" t="s">
        <v>165</v>
      </c>
      <c r="E59" s="55">
        <f>E57+E58</f>
        <v>-251</v>
      </c>
      <c r="F59" s="55">
        <f>F57+F58</f>
        <v>-251</v>
      </c>
      <c r="G59" s="55">
        <f>G57+G58</f>
        <v>0</v>
      </c>
      <c r="H59" s="50" t="str">
        <f t="shared" si="1"/>
        <v> </v>
      </c>
    </row>
    <row r="60" spans="1:8" ht="12.75">
      <c r="A60" s="278">
        <v>37</v>
      </c>
      <c r="B60" s="47" t="s">
        <v>119</v>
      </c>
      <c r="E60" s="52"/>
      <c r="F60" s="52"/>
      <c r="G60" s="52"/>
      <c r="H60" s="50" t="str">
        <f t="shared" si="1"/>
        <v> </v>
      </c>
    </row>
    <row r="61" spans="1:8" ht="12.75">
      <c r="A61" s="278">
        <v>38</v>
      </c>
      <c r="B61" s="47" t="s">
        <v>120</v>
      </c>
      <c r="E61" s="56"/>
      <c r="F61" s="56"/>
      <c r="G61" s="56"/>
      <c r="H61" s="50" t="str">
        <f t="shared" si="1"/>
        <v> </v>
      </c>
    </row>
    <row r="62" spans="1:8" ht="11.25" customHeight="1">
      <c r="A62" s="278"/>
      <c r="H62" s="50"/>
    </row>
    <row r="63" spans="1:8" ht="13.5" thickBot="1">
      <c r="A63" s="282">
        <v>39</v>
      </c>
      <c r="B63" s="49" t="s">
        <v>121</v>
      </c>
      <c r="C63" s="50"/>
      <c r="D63" s="50"/>
      <c r="E63" s="60">
        <f>E56-E59+E60+E61</f>
        <v>251</v>
      </c>
      <c r="F63" s="60">
        <f>F56-F59+F60+F61</f>
        <v>251</v>
      </c>
      <c r="G63" s="60">
        <f>G56-G59+G60+G61</f>
        <v>0</v>
      </c>
      <c r="H63" s="50" t="str">
        <f>IF(E63=F63+G63," ","ERROR")</f>
        <v> </v>
      </c>
    </row>
    <row r="64" spans="1:8" ht="13.5" thickTop="1">
      <c r="A64" s="41"/>
      <c r="B64" s="66"/>
      <c r="C64" s="66"/>
      <c r="D64" s="66"/>
      <c r="E64" s="719"/>
      <c r="F64" s="720"/>
      <c r="G64" s="66"/>
      <c r="H64" s="66"/>
    </row>
  </sheetData>
  <printOptions/>
  <pageMargins left="1" right="0.75" top="0.5" bottom="0.5" header="0.48" footer="0"/>
  <pageSetup horizontalDpi="600" verticalDpi="600" orientation="portrait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110"/>
  <sheetViews>
    <sheetView workbookViewId="0" topLeftCell="A1">
      <selection activeCell="G34" sqref="G34"/>
    </sheetView>
  </sheetViews>
  <sheetFormatPr defaultColWidth="9.140625" defaultRowHeight="12.75"/>
  <cols>
    <col min="1" max="1" width="5.57421875" style="511" customWidth="1"/>
    <col min="2" max="2" width="26.140625" style="510" customWidth="1"/>
    <col min="3" max="3" width="12.421875" style="510" customWidth="1"/>
    <col min="4" max="4" width="6.7109375" style="510" customWidth="1"/>
    <col min="5" max="16384" width="12.421875" style="510" customWidth="1"/>
  </cols>
  <sheetData>
    <row r="1" spans="1:3" ht="12">
      <c r="A1" s="508" t="str">
        <f>Inputs!$D$6</f>
        <v>AVISTA UTILITIES</v>
      </c>
      <c r="B1" s="509"/>
      <c r="C1" s="508"/>
    </row>
    <row r="2" spans="1:7" ht="12">
      <c r="A2" s="508" t="s">
        <v>134</v>
      </c>
      <c r="B2" s="509"/>
      <c r="C2" s="508"/>
      <c r="E2" s="508"/>
      <c r="F2" s="511" t="s">
        <v>498</v>
      </c>
      <c r="G2" s="508"/>
    </row>
    <row r="3" spans="1:7" ht="12">
      <c r="A3" s="509" t="str">
        <f>WAElec12_04!$A$4</f>
        <v>TWELVE MONTHS ENDED DECEMBER 31, 2004</v>
      </c>
      <c r="B3" s="509"/>
      <c r="C3" s="508"/>
      <c r="E3" s="508"/>
      <c r="F3" s="511" t="s">
        <v>530</v>
      </c>
      <c r="G3" s="508"/>
    </row>
    <row r="4" spans="1:7" ht="12">
      <c r="A4" s="508" t="s">
        <v>1</v>
      </c>
      <c r="B4" s="509"/>
      <c r="C4" s="508"/>
      <c r="E4" s="512"/>
      <c r="F4" s="513" t="s">
        <v>137</v>
      </c>
      <c r="G4" s="514"/>
    </row>
    <row r="5" ht="12">
      <c r="A5" s="511" t="s">
        <v>13</v>
      </c>
    </row>
    <row r="6" spans="1:7" s="511" customFormat="1" ht="12">
      <c r="A6" s="511" t="s">
        <v>138</v>
      </c>
      <c r="B6" s="515" t="s">
        <v>34</v>
      </c>
      <c r="C6" s="515"/>
      <c r="E6" s="515" t="s">
        <v>139</v>
      </c>
      <c r="F6" s="515" t="s">
        <v>140</v>
      </c>
      <c r="G6" s="515" t="s">
        <v>123</v>
      </c>
    </row>
    <row r="7" ht="12">
      <c r="B7" s="517" t="s">
        <v>80</v>
      </c>
    </row>
    <row r="8" spans="1:7" s="520" customFormat="1" ht="12">
      <c r="A8" s="518">
        <v>1</v>
      </c>
      <c r="B8" s="519" t="s">
        <v>81</v>
      </c>
      <c r="E8" s="521">
        <f>F8+G8</f>
        <v>0</v>
      </c>
      <c r="F8" s="521"/>
      <c r="G8" s="521"/>
    </row>
    <row r="9" spans="1:7" ht="12">
      <c r="A9" s="511">
        <v>2</v>
      </c>
      <c r="B9" s="517" t="s">
        <v>82</v>
      </c>
      <c r="E9" s="522"/>
      <c r="F9" s="522"/>
      <c r="G9" s="522"/>
    </row>
    <row r="10" spans="1:7" ht="12">
      <c r="A10" s="511">
        <v>3</v>
      </c>
      <c r="B10" s="517" t="s">
        <v>142</v>
      </c>
      <c r="E10" s="522"/>
      <c r="F10" s="522"/>
      <c r="G10" s="522"/>
    </row>
    <row r="11" spans="1:7" ht="12">
      <c r="A11" s="511">
        <v>4</v>
      </c>
      <c r="B11" s="517" t="s">
        <v>143</v>
      </c>
      <c r="E11" s="523">
        <f>E8+E9+E10</f>
        <v>0</v>
      </c>
      <c r="F11" s="523">
        <f>F8+F9+F10</f>
        <v>0</v>
      </c>
      <c r="G11" s="523">
        <f>G8+G9+G10</f>
        <v>0</v>
      </c>
    </row>
    <row r="12" spans="1:7" ht="12">
      <c r="A12" s="511">
        <v>5</v>
      </c>
      <c r="B12" s="517" t="s">
        <v>85</v>
      </c>
      <c r="E12" s="522">
        <f>SUM(F12:G12)</f>
        <v>0</v>
      </c>
      <c r="F12" s="522"/>
      <c r="G12" s="522">
        <v>0</v>
      </c>
    </row>
    <row r="13" spans="1:7" ht="12">
      <c r="A13" s="511">
        <v>6</v>
      </c>
      <c r="B13" s="517" t="s">
        <v>144</v>
      </c>
      <c r="E13" s="523">
        <f>E11+E12</f>
        <v>0</v>
      </c>
      <c r="F13" s="523">
        <f>F11+F12</f>
        <v>0</v>
      </c>
      <c r="G13" s="523">
        <f>G11+G12</f>
        <v>0</v>
      </c>
    </row>
    <row r="14" spans="5:7" ht="12">
      <c r="E14" s="524"/>
      <c r="F14" s="524"/>
      <c r="G14" s="524"/>
    </row>
    <row r="15" spans="2:7" ht="12">
      <c r="B15" s="517" t="s">
        <v>87</v>
      </c>
      <c r="E15" s="524"/>
      <c r="F15" s="524"/>
      <c r="G15" s="524"/>
    </row>
    <row r="16" spans="2:7" ht="12">
      <c r="B16" s="517" t="s">
        <v>88</v>
      </c>
      <c r="E16" s="524"/>
      <c r="F16" s="524"/>
      <c r="G16" s="524"/>
    </row>
    <row r="17" spans="1:7" ht="12">
      <c r="A17" s="511">
        <v>7</v>
      </c>
      <c r="B17" s="517" t="s">
        <v>145</v>
      </c>
      <c r="E17" s="522">
        <f>F17+G17</f>
        <v>0</v>
      </c>
      <c r="F17" s="522"/>
      <c r="G17" s="522"/>
    </row>
    <row r="18" spans="1:7" ht="12">
      <c r="A18" s="511">
        <v>8</v>
      </c>
      <c r="B18" s="517" t="s">
        <v>146</v>
      </c>
      <c r="E18" s="522"/>
      <c r="F18" s="522"/>
      <c r="G18" s="522"/>
    </row>
    <row r="19" spans="1:7" ht="12">
      <c r="A19" s="511">
        <v>9</v>
      </c>
      <c r="B19" s="517" t="s">
        <v>147</v>
      </c>
      <c r="E19" s="522"/>
      <c r="F19" s="522"/>
      <c r="G19" s="522"/>
    </row>
    <row r="20" spans="1:7" ht="12">
      <c r="A20" s="511">
        <v>10</v>
      </c>
      <c r="B20" s="517" t="s">
        <v>148</v>
      </c>
      <c r="E20" s="522"/>
      <c r="F20" s="522"/>
      <c r="G20" s="522"/>
    </row>
    <row r="21" spans="1:7" ht="12">
      <c r="A21" s="511">
        <v>11</v>
      </c>
      <c r="B21" s="517" t="s">
        <v>149</v>
      </c>
      <c r="E21" s="523">
        <f>E17+E18+E19+E20</f>
        <v>0</v>
      </c>
      <c r="F21" s="523">
        <f>F17+F18+F19+F20</f>
        <v>0</v>
      </c>
      <c r="G21" s="523">
        <f>G17+G18+G19+G20</f>
        <v>0</v>
      </c>
    </row>
    <row r="22" spans="5:7" ht="12">
      <c r="E22" s="524"/>
      <c r="F22" s="524"/>
      <c r="G22" s="524"/>
    </row>
    <row r="23" spans="2:7" ht="12">
      <c r="B23" s="517" t="s">
        <v>93</v>
      </c>
      <c r="E23" s="524"/>
      <c r="F23" s="524"/>
      <c r="G23" s="524"/>
    </row>
    <row r="24" spans="1:7" ht="12">
      <c r="A24" s="511">
        <v>12</v>
      </c>
      <c r="B24" s="517" t="s">
        <v>145</v>
      </c>
      <c r="E24" s="522"/>
      <c r="F24" s="522"/>
      <c r="G24" s="522"/>
    </row>
    <row r="25" spans="1:7" ht="12">
      <c r="A25" s="511">
        <v>13</v>
      </c>
      <c r="B25" s="517" t="s">
        <v>150</v>
      </c>
      <c r="E25" s="522"/>
      <c r="F25" s="522"/>
      <c r="G25" s="522"/>
    </row>
    <row r="26" spans="1:7" ht="12">
      <c r="A26" s="511">
        <v>14</v>
      </c>
      <c r="B26" s="517" t="s">
        <v>148</v>
      </c>
      <c r="E26" s="522">
        <f>F26+G26</f>
        <v>0</v>
      </c>
      <c r="F26" s="522"/>
      <c r="G26" s="525">
        <f>F109</f>
        <v>0</v>
      </c>
    </row>
    <row r="27" spans="1:7" ht="12">
      <c r="A27" s="511">
        <v>15</v>
      </c>
      <c r="B27" s="517" t="s">
        <v>151</v>
      </c>
      <c r="E27" s="523">
        <f>E24+E25+E26</f>
        <v>0</v>
      </c>
      <c r="F27" s="523">
        <f>F24+F25+F26</f>
        <v>0</v>
      </c>
      <c r="G27" s="523">
        <f>G24+G25+G26</f>
        <v>0</v>
      </c>
    </row>
    <row r="28" spans="5:7" ht="12">
      <c r="E28" s="524"/>
      <c r="F28" s="524"/>
      <c r="G28" s="524"/>
    </row>
    <row r="29" spans="1:7" ht="12">
      <c r="A29" s="511">
        <v>16</v>
      </c>
      <c r="B29" s="517" t="s">
        <v>96</v>
      </c>
      <c r="E29" s="522"/>
      <c r="F29" s="522"/>
      <c r="G29" s="522"/>
    </row>
    <row r="30" spans="1:7" ht="12">
      <c r="A30" s="511">
        <v>17</v>
      </c>
      <c r="B30" s="517" t="s">
        <v>97</v>
      </c>
      <c r="E30" s="522"/>
      <c r="F30" s="522"/>
      <c r="G30" s="522"/>
    </row>
    <row r="31" spans="1:7" ht="12">
      <c r="A31" s="511">
        <v>18</v>
      </c>
      <c r="B31" s="517" t="s">
        <v>152</v>
      </c>
      <c r="E31" s="522"/>
      <c r="F31" s="522"/>
      <c r="G31" s="522"/>
    </row>
    <row r="32" spans="5:7" ht="12">
      <c r="E32" s="524"/>
      <c r="F32" s="524"/>
      <c r="G32" s="524"/>
    </row>
    <row r="33" spans="2:7" ht="12">
      <c r="B33" s="517" t="s">
        <v>99</v>
      </c>
      <c r="E33" s="524"/>
      <c r="F33" s="524"/>
      <c r="G33" s="524"/>
    </row>
    <row r="34" spans="1:7" ht="12">
      <c r="A34" s="511">
        <v>19</v>
      </c>
      <c r="B34" s="517" t="s">
        <v>145</v>
      </c>
      <c r="E34" s="522">
        <f>F34+G34</f>
        <v>51</v>
      </c>
      <c r="F34" s="522">
        <v>51</v>
      </c>
      <c r="G34" s="522"/>
    </row>
    <row r="35" spans="1:7" ht="12">
      <c r="A35" s="511">
        <v>20</v>
      </c>
      <c r="B35" s="517" t="s">
        <v>150</v>
      </c>
      <c r="E35" s="522"/>
      <c r="F35" s="522"/>
      <c r="G35" s="522"/>
    </row>
    <row r="36" spans="1:7" ht="12">
      <c r="A36" s="511">
        <v>21</v>
      </c>
      <c r="B36" s="517" t="s">
        <v>148</v>
      </c>
      <c r="E36" s="522"/>
      <c r="F36" s="522"/>
      <c r="G36" s="522"/>
    </row>
    <row r="37" spans="1:7" ht="12">
      <c r="A37" s="511">
        <v>22</v>
      </c>
      <c r="B37" s="517" t="s">
        <v>153</v>
      </c>
      <c r="E37" s="526">
        <f>E34+E35+E36</f>
        <v>51</v>
      </c>
      <c r="F37" s="526">
        <f>F34+F35+F36</f>
        <v>51</v>
      </c>
      <c r="G37" s="526">
        <f>G34+G35+G36</f>
        <v>0</v>
      </c>
    </row>
    <row r="38" spans="1:7" ht="12">
      <c r="A38" s="511">
        <v>23</v>
      </c>
      <c r="B38" s="517" t="s">
        <v>101</v>
      </c>
      <c r="E38" s="527">
        <f>E21+E27+E29+E30+E31+E37</f>
        <v>51</v>
      </c>
      <c r="F38" s="527">
        <f>F21+F27+F29+F30+F31+F37</f>
        <v>51</v>
      </c>
      <c r="G38" s="527">
        <f>G21+G27+G29+G30+G31+G37</f>
        <v>0</v>
      </c>
    </row>
    <row r="39" spans="5:7" ht="12">
      <c r="E39" s="524"/>
      <c r="F39" s="524"/>
      <c r="G39" s="524"/>
    </row>
    <row r="40" spans="1:7" ht="12">
      <c r="A40" s="511">
        <v>24</v>
      </c>
      <c r="B40" s="517" t="s">
        <v>154</v>
      </c>
      <c r="E40" s="524">
        <f>E13-E38</f>
        <v>-51</v>
      </c>
      <c r="F40" s="524">
        <f>F13-F38</f>
        <v>-51</v>
      </c>
      <c r="G40" s="524">
        <f>G13-G38</f>
        <v>0</v>
      </c>
    </row>
    <row r="41" spans="2:7" ht="12">
      <c r="B41" s="517"/>
      <c r="E41" s="524"/>
      <c r="F41" s="524"/>
      <c r="G41" s="524"/>
    </row>
    <row r="42" spans="2:7" ht="12">
      <c r="B42" s="517" t="s">
        <v>155</v>
      </c>
      <c r="E42" s="524"/>
      <c r="F42" s="524"/>
      <c r="G42" s="524"/>
    </row>
    <row r="43" spans="1:7" ht="12">
      <c r="A43" s="511">
        <v>25</v>
      </c>
      <c r="B43" s="517" t="s">
        <v>156</v>
      </c>
      <c r="D43" s="528">
        <v>0.35</v>
      </c>
      <c r="E43" s="522">
        <f>F43+G43</f>
        <v>-18</v>
      </c>
      <c r="F43" s="522">
        <f>ROUND(F40*D43,0)</f>
        <v>-18</v>
      </c>
      <c r="G43" s="522">
        <f>ROUND(G40*D43,0)</f>
        <v>0</v>
      </c>
    </row>
    <row r="44" spans="1:7" ht="12">
      <c r="A44" s="511">
        <v>26</v>
      </c>
      <c r="B44" s="517" t="s">
        <v>157</v>
      </c>
      <c r="E44" s="522"/>
      <c r="F44" s="522"/>
      <c r="G44" s="522"/>
    </row>
    <row r="45" spans="1:7" ht="12.75">
      <c r="A45"/>
      <c r="B45"/>
      <c r="C45"/>
      <c r="D45"/>
      <c r="E45" s="943"/>
      <c r="F45" s="943"/>
      <c r="G45" s="943"/>
    </row>
    <row r="46" spans="1:7" ht="12">
      <c r="A46" s="278"/>
      <c r="B46" s="281"/>
      <c r="C46" s="275"/>
      <c r="D46" s="275"/>
      <c r="E46" s="288"/>
      <c r="F46" s="288"/>
      <c r="G46" s="288"/>
    </row>
    <row r="47" spans="1:7" s="520" customFormat="1" ht="12">
      <c r="A47" s="282">
        <v>27</v>
      </c>
      <c r="B47" s="283" t="s">
        <v>108</v>
      </c>
      <c r="C47" s="284"/>
      <c r="D47" s="284"/>
      <c r="E47" s="292">
        <f>E40-SUM(E43:E44)</f>
        <v>-33</v>
      </c>
      <c r="F47" s="292">
        <f>F40-SUM(F43:F44)</f>
        <v>-33</v>
      </c>
      <c r="G47" s="292">
        <f>G40-SUM(G43:G44)</f>
        <v>0</v>
      </c>
    </row>
    <row r="48" ht="12">
      <c r="A48" s="278"/>
    </row>
    <row r="49" spans="1:2" ht="12">
      <c r="A49" s="278"/>
      <c r="B49" s="517" t="s">
        <v>109</v>
      </c>
    </row>
    <row r="50" spans="1:2" ht="12">
      <c r="A50" s="278"/>
      <c r="B50" s="517" t="s">
        <v>110</v>
      </c>
    </row>
    <row r="51" spans="1:7" s="520" customFormat="1" ht="12">
      <c r="A51" s="282">
        <v>28</v>
      </c>
      <c r="B51" s="519" t="s">
        <v>159</v>
      </c>
      <c r="E51" s="521"/>
      <c r="F51" s="521"/>
      <c r="G51" s="521"/>
    </row>
    <row r="52" spans="1:7" ht="12">
      <c r="A52" s="278">
        <v>29</v>
      </c>
      <c r="B52" s="517" t="s">
        <v>160</v>
      </c>
      <c r="E52" s="522"/>
      <c r="F52" s="522"/>
      <c r="G52" s="522"/>
    </row>
    <row r="53" spans="1:7" ht="12">
      <c r="A53" s="278">
        <v>30</v>
      </c>
      <c r="B53" s="517" t="s">
        <v>161</v>
      </c>
      <c r="E53" s="522"/>
      <c r="F53" s="522"/>
      <c r="G53" s="522"/>
    </row>
    <row r="54" spans="1:7" ht="12">
      <c r="A54" s="278">
        <v>31</v>
      </c>
      <c r="B54" s="517" t="s">
        <v>162</v>
      </c>
      <c r="E54" s="522"/>
      <c r="F54" s="522"/>
      <c r="G54" s="522"/>
    </row>
    <row r="55" spans="1:7" ht="12">
      <c r="A55" s="278">
        <v>32</v>
      </c>
      <c r="B55" s="517" t="s">
        <v>163</v>
      </c>
      <c r="E55" s="529"/>
      <c r="F55" s="529"/>
      <c r="G55" s="529"/>
    </row>
    <row r="56" spans="1:7" ht="12">
      <c r="A56" s="278">
        <v>33</v>
      </c>
      <c r="B56" s="517" t="s">
        <v>164</v>
      </c>
      <c r="E56" s="524">
        <f>E51+E52+E53+E54+E55</f>
        <v>0</v>
      </c>
      <c r="F56" s="524">
        <f>F51+F52+F53+F54+F55</f>
        <v>0</v>
      </c>
      <c r="G56" s="524">
        <f>G51+G52+G53+G54+G55</f>
        <v>0</v>
      </c>
    </row>
    <row r="57" spans="1:7" ht="12">
      <c r="A57" s="278">
        <v>34</v>
      </c>
      <c r="B57" s="517" t="s">
        <v>116</v>
      </c>
      <c r="E57" s="522"/>
      <c r="F57" s="522"/>
      <c r="G57" s="522"/>
    </row>
    <row r="58" spans="1:7" ht="12">
      <c r="A58" s="278">
        <v>35</v>
      </c>
      <c r="B58" s="517" t="s">
        <v>117</v>
      </c>
      <c r="E58" s="529"/>
      <c r="F58" s="529"/>
      <c r="G58" s="529"/>
    </row>
    <row r="59" spans="1:7" ht="12">
      <c r="A59" s="278">
        <v>36</v>
      </c>
      <c r="B59" s="517" t="s">
        <v>165</v>
      </c>
      <c r="E59" s="524">
        <f>E57+E58</f>
        <v>0</v>
      </c>
      <c r="F59" s="524">
        <f>F57+F58</f>
        <v>0</v>
      </c>
      <c r="G59" s="524">
        <f>G57+G58</f>
        <v>0</v>
      </c>
    </row>
    <row r="60" spans="1:7" ht="12">
      <c r="A60" s="278">
        <v>37</v>
      </c>
      <c r="B60" s="517" t="s">
        <v>119</v>
      </c>
      <c r="E60" s="522"/>
      <c r="F60" s="522"/>
      <c r="G60" s="522"/>
    </row>
    <row r="61" spans="1:7" ht="12">
      <c r="A61" s="278">
        <v>38</v>
      </c>
      <c r="B61" s="517" t="s">
        <v>120</v>
      </c>
      <c r="E61" s="529"/>
      <c r="F61" s="529"/>
      <c r="G61" s="529"/>
    </row>
    <row r="62" ht="9" customHeight="1">
      <c r="A62" s="278"/>
    </row>
    <row r="63" spans="1:7" s="520" customFormat="1" ht="12.75" thickBot="1">
      <c r="A63" s="282">
        <v>39</v>
      </c>
      <c r="B63" s="519" t="s">
        <v>121</v>
      </c>
      <c r="E63" s="530">
        <f>E56-E59+E60+E61</f>
        <v>0</v>
      </c>
      <c r="F63" s="530">
        <f>F56-F59+F60+F61</f>
        <v>0</v>
      </c>
      <c r="G63" s="530">
        <f>G56-G59+G60+G61</f>
        <v>0</v>
      </c>
    </row>
    <row r="64" ht="12.75" thickTop="1"/>
    <row r="65" spans="1:7" ht="12">
      <c r="A65" s="509" t="str">
        <f>Inputs!$D$6</f>
        <v>AVISTA UTILITIES</v>
      </c>
      <c r="B65" s="509"/>
      <c r="C65" s="509"/>
      <c r="D65" s="531"/>
      <c r="E65" s="532"/>
      <c r="F65" s="531"/>
      <c r="G65" s="533"/>
    </row>
    <row r="66" spans="1:7" ht="12">
      <c r="A66" s="509" t="s">
        <v>218</v>
      </c>
      <c r="B66" s="509"/>
      <c r="C66" s="509"/>
      <c r="D66" s="531"/>
      <c r="E66" s="532"/>
      <c r="F66" s="531"/>
      <c r="G66" s="533"/>
    </row>
    <row r="67" spans="1:7" ht="12">
      <c r="A67" s="509" t="str">
        <f>A3</f>
        <v>TWELVE MONTHS ENDED DECEMBER 31, 2004</v>
      </c>
      <c r="B67" s="509"/>
      <c r="C67" s="509"/>
      <c r="D67" s="531"/>
      <c r="E67" s="532"/>
      <c r="F67" s="534" t="str">
        <f>F2</f>
        <v>ADJUST INCENTIVES</v>
      </c>
      <c r="G67" s="531"/>
    </row>
    <row r="68" spans="1:7" ht="12">
      <c r="A68" s="509" t="s">
        <v>219</v>
      </c>
      <c r="B68" s="509"/>
      <c r="C68" s="509"/>
      <c r="D68" s="531"/>
      <c r="E68" s="532"/>
      <c r="F68" s="534" t="str">
        <f>F3</f>
        <v>AND OTHER</v>
      </c>
      <c r="G68" s="531"/>
    </row>
    <row r="69" spans="2:7" ht="12">
      <c r="B69" s="531"/>
      <c r="C69" s="531"/>
      <c r="D69" s="531"/>
      <c r="E69" s="535"/>
      <c r="F69" s="536" t="str">
        <f>F4</f>
        <v>ELECTRIC</v>
      </c>
      <c r="G69" s="531"/>
    </row>
    <row r="70" spans="2:7" ht="12">
      <c r="B70" s="531"/>
      <c r="C70" s="531"/>
      <c r="D70" s="531"/>
      <c r="E70" s="532"/>
      <c r="F70" s="534"/>
      <c r="G70" s="538"/>
    </row>
    <row r="71" spans="2:7" ht="12">
      <c r="B71" s="539" t="s">
        <v>128</v>
      </c>
      <c r="C71" s="540"/>
      <c r="D71" s="531"/>
      <c r="E71" s="532"/>
      <c r="F71" s="536" t="s">
        <v>123</v>
      </c>
      <c r="G71" s="531"/>
    </row>
    <row r="72" spans="2:7" ht="12">
      <c r="B72" s="517" t="s">
        <v>80</v>
      </c>
      <c r="C72" s="531"/>
      <c r="D72" s="531"/>
      <c r="E72" s="531"/>
      <c r="F72" s="533"/>
      <c r="G72" s="531"/>
    </row>
    <row r="73" spans="2:7" ht="12">
      <c r="B73" s="519" t="s">
        <v>81</v>
      </c>
      <c r="C73" s="531"/>
      <c r="D73" s="531"/>
      <c r="E73" s="531"/>
      <c r="F73" s="541">
        <f>G8</f>
        <v>0</v>
      </c>
      <c r="G73" s="531"/>
    </row>
    <row r="74" spans="2:7" ht="12">
      <c r="B74" s="517" t="s">
        <v>82</v>
      </c>
      <c r="C74" s="531"/>
      <c r="D74" s="531"/>
      <c r="E74" s="531"/>
      <c r="F74" s="524">
        <f>G9</f>
        <v>0</v>
      </c>
      <c r="G74" s="531"/>
    </row>
    <row r="75" spans="2:7" ht="12">
      <c r="B75" s="517" t="s">
        <v>142</v>
      </c>
      <c r="C75" s="531"/>
      <c r="D75" s="531"/>
      <c r="E75" s="531"/>
      <c r="F75" s="527">
        <f>G10</f>
        <v>0</v>
      </c>
      <c r="G75" s="531"/>
    </row>
    <row r="76" spans="2:7" ht="12">
      <c r="B76" s="517" t="s">
        <v>143</v>
      </c>
      <c r="C76" s="531"/>
      <c r="D76" s="531"/>
      <c r="E76" s="531"/>
      <c r="F76" s="524">
        <f>SUM(F73:F75)</f>
        <v>0</v>
      </c>
      <c r="G76" s="531"/>
    </row>
    <row r="77" spans="2:7" ht="12">
      <c r="B77" s="517" t="s">
        <v>85</v>
      </c>
      <c r="C77" s="531"/>
      <c r="D77" s="531"/>
      <c r="E77" s="531"/>
      <c r="F77" s="527">
        <f>G12</f>
        <v>0</v>
      </c>
      <c r="G77" s="531"/>
    </row>
    <row r="78" spans="2:7" ht="12">
      <c r="B78" s="517" t="s">
        <v>144</v>
      </c>
      <c r="C78" s="531"/>
      <c r="D78" s="531"/>
      <c r="E78" s="531"/>
      <c r="F78" s="524">
        <f>F76+F77</f>
        <v>0</v>
      </c>
      <c r="G78" s="531"/>
    </row>
    <row r="79" spans="3:7" ht="12">
      <c r="C79" s="531"/>
      <c r="D79" s="531"/>
      <c r="E79" s="531"/>
      <c r="F79" s="524"/>
      <c r="G79" s="531"/>
    </row>
    <row r="80" spans="2:7" ht="12">
      <c r="B80" s="517" t="s">
        <v>87</v>
      </c>
      <c r="C80" s="531"/>
      <c r="D80" s="531"/>
      <c r="E80" s="531"/>
      <c r="F80" s="524"/>
      <c r="G80" s="531"/>
    </row>
    <row r="81" spans="2:7" ht="12">
      <c r="B81" s="517" t="s">
        <v>88</v>
      </c>
      <c r="C81" s="531"/>
      <c r="D81" s="531"/>
      <c r="E81" s="531"/>
      <c r="F81" s="524"/>
      <c r="G81" s="531"/>
    </row>
    <row r="82" spans="2:7" ht="12">
      <c r="B82" s="517" t="s">
        <v>145</v>
      </c>
      <c r="C82" s="531"/>
      <c r="D82" s="531"/>
      <c r="E82" s="531"/>
      <c r="F82" s="524">
        <f>G17</f>
        <v>0</v>
      </c>
      <c r="G82" s="531"/>
    </row>
    <row r="83" spans="2:7" ht="12">
      <c r="B83" s="517" t="s">
        <v>146</v>
      </c>
      <c r="C83" s="531"/>
      <c r="D83" s="531"/>
      <c r="E83" s="531"/>
      <c r="F83" s="524">
        <f>G18</f>
        <v>0</v>
      </c>
      <c r="G83" s="531"/>
    </row>
    <row r="84" spans="2:7" ht="12">
      <c r="B84" s="517" t="s">
        <v>147</v>
      </c>
      <c r="C84" s="531"/>
      <c r="D84" s="531"/>
      <c r="E84" s="531"/>
      <c r="F84" s="524">
        <f>G19</f>
        <v>0</v>
      </c>
      <c r="G84" s="531"/>
    </row>
    <row r="85" spans="2:7" ht="12">
      <c r="B85" s="517" t="s">
        <v>148</v>
      </c>
      <c r="C85" s="531"/>
      <c r="D85" s="531"/>
      <c r="E85" s="531"/>
      <c r="F85" s="527">
        <f>G20</f>
        <v>0</v>
      </c>
      <c r="G85" s="531"/>
    </row>
    <row r="86" spans="2:7" ht="12">
      <c r="B86" s="517" t="s">
        <v>149</v>
      </c>
      <c r="C86" s="531"/>
      <c r="D86" s="531"/>
      <c r="E86" s="531"/>
      <c r="F86" s="524">
        <f>SUM(F82:F85)</f>
        <v>0</v>
      </c>
      <c r="G86" s="531"/>
    </row>
    <row r="87" spans="3:7" ht="12">
      <c r="C87" s="531"/>
      <c r="D87" s="531"/>
      <c r="E87" s="531"/>
      <c r="F87" s="524"/>
      <c r="G87" s="531"/>
    </row>
    <row r="88" spans="2:7" ht="12">
      <c r="B88" s="517" t="s">
        <v>93</v>
      </c>
      <c r="C88" s="531"/>
      <c r="D88" s="531"/>
      <c r="E88" s="531"/>
      <c r="F88" s="524"/>
      <c r="G88" s="531"/>
    </row>
    <row r="89" spans="2:7" ht="12">
      <c r="B89" s="517" t="s">
        <v>145</v>
      </c>
      <c r="C89" s="531"/>
      <c r="D89" s="531"/>
      <c r="E89" s="531"/>
      <c r="F89" s="524">
        <f>G24</f>
        <v>0</v>
      </c>
      <c r="G89" s="531"/>
    </row>
    <row r="90" spans="2:7" ht="12">
      <c r="B90" s="517" t="s">
        <v>150</v>
      </c>
      <c r="C90" s="531"/>
      <c r="D90" s="531"/>
      <c r="E90" s="531"/>
      <c r="F90" s="524">
        <f>G25</f>
        <v>0</v>
      </c>
      <c r="G90" s="531"/>
    </row>
    <row r="91" spans="1:7" ht="12">
      <c r="A91" s="510"/>
      <c r="B91" s="517" t="s">
        <v>148</v>
      </c>
      <c r="C91" s="531"/>
      <c r="D91" s="531"/>
      <c r="E91" s="531"/>
      <c r="F91" s="524">
        <v>0</v>
      </c>
      <c r="G91" s="531"/>
    </row>
    <row r="92" spans="1:7" ht="12">
      <c r="A92" s="510"/>
      <c r="B92" s="517" t="s">
        <v>151</v>
      </c>
      <c r="C92" s="531"/>
      <c r="D92" s="531"/>
      <c r="E92" s="531"/>
      <c r="F92" s="523">
        <f>SUM(F89:F91)</f>
        <v>0</v>
      </c>
      <c r="G92" s="531"/>
    </row>
    <row r="93" spans="1:7" ht="12">
      <c r="A93" s="510"/>
      <c r="C93" s="531"/>
      <c r="D93" s="531"/>
      <c r="E93" s="531"/>
      <c r="F93" s="524"/>
      <c r="G93" s="531"/>
    </row>
    <row r="94" spans="1:7" ht="12">
      <c r="A94" s="510"/>
      <c r="B94" s="517" t="s">
        <v>96</v>
      </c>
      <c r="C94" s="531"/>
      <c r="D94" s="531"/>
      <c r="E94" s="531"/>
      <c r="F94" s="524">
        <f>G29</f>
        <v>0</v>
      </c>
      <c r="G94" s="531"/>
    </row>
    <row r="95" spans="1:7" ht="12">
      <c r="A95" s="510"/>
      <c r="B95" s="517" t="s">
        <v>97</v>
      </c>
      <c r="C95" s="531"/>
      <c r="D95" s="531"/>
      <c r="E95" s="531"/>
      <c r="F95" s="524">
        <f>G30</f>
        <v>0</v>
      </c>
      <c r="G95" s="531"/>
    </row>
    <row r="96" spans="1:7" ht="12">
      <c r="A96" s="510"/>
      <c r="B96" s="517" t="s">
        <v>152</v>
      </c>
      <c r="C96" s="531"/>
      <c r="D96" s="531"/>
      <c r="E96" s="531"/>
      <c r="F96" s="524">
        <f>G31</f>
        <v>0</v>
      </c>
      <c r="G96" s="531"/>
    </row>
    <row r="97" spans="1:7" ht="12">
      <c r="A97" s="510"/>
      <c r="C97" s="531"/>
      <c r="D97" s="531"/>
      <c r="E97" s="531"/>
      <c r="F97" s="524"/>
      <c r="G97" s="531"/>
    </row>
    <row r="98" spans="1:7" ht="12">
      <c r="A98" s="510"/>
      <c r="B98" s="517" t="s">
        <v>99</v>
      </c>
      <c r="C98" s="531"/>
      <c r="D98" s="531"/>
      <c r="E98" s="531"/>
      <c r="F98" s="524"/>
      <c r="G98" s="531"/>
    </row>
    <row r="99" spans="1:7" ht="12">
      <c r="A99" s="510"/>
      <c r="B99" s="517" t="s">
        <v>145</v>
      </c>
      <c r="C99" s="531"/>
      <c r="D99" s="531"/>
      <c r="E99" s="531"/>
      <c r="F99" s="524">
        <f>G34</f>
        <v>0</v>
      </c>
      <c r="G99" s="531"/>
    </row>
    <row r="100" spans="1:7" ht="12">
      <c r="A100" s="510"/>
      <c r="B100" s="517" t="s">
        <v>150</v>
      </c>
      <c r="C100" s="531"/>
      <c r="D100" s="531"/>
      <c r="E100" s="531"/>
      <c r="F100" s="524">
        <f>G35</f>
        <v>0</v>
      </c>
      <c r="G100" s="531"/>
    </row>
    <row r="101" spans="1:7" ht="12">
      <c r="A101" s="510"/>
      <c r="B101" s="517" t="s">
        <v>148</v>
      </c>
      <c r="C101" s="531"/>
      <c r="D101" s="531"/>
      <c r="E101" s="531"/>
      <c r="F101" s="527">
        <f>G36</f>
        <v>0</v>
      </c>
      <c r="G101" s="531"/>
    </row>
    <row r="102" spans="1:7" ht="12">
      <c r="A102" s="510"/>
      <c r="B102" s="517" t="s">
        <v>153</v>
      </c>
      <c r="C102" s="531"/>
      <c r="D102" s="531"/>
      <c r="E102" s="531"/>
      <c r="F102" s="524">
        <f>F99+F100+F101</f>
        <v>0</v>
      </c>
      <c r="G102" s="531"/>
    </row>
    <row r="103" spans="1:7" ht="12">
      <c r="A103" s="510"/>
      <c r="B103" s="531"/>
      <c r="C103" s="531"/>
      <c r="D103" s="531"/>
      <c r="E103" s="531"/>
      <c r="F103" s="524"/>
      <c r="G103" s="531"/>
    </row>
    <row r="104" spans="1:7" ht="12">
      <c r="A104" s="510"/>
      <c r="B104" s="531" t="s">
        <v>101</v>
      </c>
      <c r="C104" s="531"/>
      <c r="D104" s="531"/>
      <c r="E104" s="531"/>
      <c r="F104" s="526">
        <f>F86+F92+F94+F95+F96+F102</f>
        <v>0</v>
      </c>
      <c r="G104" s="531"/>
    </row>
    <row r="105" spans="1:7" ht="12">
      <c r="A105" s="510"/>
      <c r="B105" s="531"/>
      <c r="C105" s="531"/>
      <c r="D105" s="531"/>
      <c r="E105" s="531"/>
      <c r="F105" s="524"/>
      <c r="G105" s="531"/>
    </row>
    <row r="106" spans="1:7" ht="12">
      <c r="A106" s="510"/>
      <c r="B106" s="531" t="s">
        <v>220</v>
      </c>
      <c r="C106" s="531"/>
      <c r="D106" s="531"/>
      <c r="E106" s="531"/>
      <c r="F106" s="527">
        <f>F78-F104</f>
        <v>0</v>
      </c>
      <c r="G106" s="531"/>
    </row>
    <row r="107" spans="1:7" ht="12">
      <c r="A107" s="510"/>
      <c r="B107" s="531"/>
      <c r="C107" s="531"/>
      <c r="D107" s="531"/>
      <c r="E107" s="531"/>
      <c r="F107" s="524"/>
      <c r="G107" s="531"/>
    </row>
    <row r="108" spans="1:7" ht="12">
      <c r="A108" s="510"/>
      <c r="B108" s="531" t="s">
        <v>221</v>
      </c>
      <c r="C108" s="531"/>
      <c r="D108" s="531"/>
      <c r="E108" s="532"/>
      <c r="F108" s="524"/>
      <c r="G108" s="531"/>
    </row>
    <row r="109" spans="1:7" ht="12.75" thickBot="1">
      <c r="A109" s="510"/>
      <c r="B109" s="543" t="s">
        <v>222</v>
      </c>
      <c r="C109" s="544">
        <f>Inputs!$D$4</f>
        <v>0.01065</v>
      </c>
      <c r="D109" s="531"/>
      <c r="E109" s="532"/>
      <c r="F109" s="530">
        <f>ROUND(F106*C109,0)</f>
        <v>0</v>
      </c>
      <c r="G109" s="531"/>
    </row>
    <row r="110" spans="1:7" ht="12.75" thickTop="1">
      <c r="A110" s="510"/>
      <c r="B110" s="531"/>
      <c r="C110" s="531"/>
      <c r="D110" s="531"/>
      <c r="E110" s="532"/>
      <c r="F110" s="531"/>
      <c r="G110" s="533"/>
    </row>
  </sheetData>
  <printOptions/>
  <pageMargins left="0.75" right="0.75" top="0.5" bottom="0.5" header="0.5" footer="0.5"/>
  <pageSetup horizontalDpi="600" verticalDpi="600" orientation="portrait" scale="90" r:id="rId1"/>
  <rowBreaks count="1" manualBreakCount="1">
    <brk id="64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I110"/>
  <sheetViews>
    <sheetView workbookViewId="0" topLeftCell="A19">
      <selection activeCell="G43" sqref="G43"/>
    </sheetView>
  </sheetViews>
  <sheetFormatPr defaultColWidth="9.140625" defaultRowHeight="12.75"/>
  <cols>
    <col min="1" max="1" width="5.57421875" style="689" customWidth="1"/>
    <col min="2" max="2" width="26.140625" style="686" customWidth="1"/>
    <col min="3" max="3" width="12.421875" style="686" customWidth="1"/>
    <col min="4" max="4" width="6.7109375" style="686" customWidth="1"/>
    <col min="5" max="6" width="12.421875" style="686" customWidth="1"/>
    <col min="7" max="7" width="14.421875" style="686" customWidth="1"/>
    <col min="8" max="8" width="12.421875" style="616" customWidth="1"/>
    <col min="9" max="16384" width="12.421875" style="686" customWidth="1"/>
  </cols>
  <sheetData>
    <row r="1" spans="1:3" ht="12">
      <c r="A1" s="684" t="str">
        <f>Inputs!$D$6</f>
        <v>AVISTA UTILITIES</v>
      </c>
      <c r="B1" s="685"/>
      <c r="C1" s="684"/>
    </row>
    <row r="2" spans="1:7" ht="12">
      <c r="A2" s="684" t="s">
        <v>134</v>
      </c>
      <c r="B2" s="685"/>
      <c r="C2" s="684"/>
      <c r="E2" s="684" t="s">
        <v>243</v>
      </c>
      <c r="F2" s="684"/>
      <c r="G2" s="684"/>
    </row>
    <row r="3" spans="1:7" ht="12">
      <c r="A3" s="685" t="str">
        <f>WAElec12_04!$A$4</f>
        <v>TWELVE MONTHS ENDED DECEMBER 31, 2004</v>
      </c>
      <c r="B3" s="685"/>
      <c r="C3" s="684"/>
      <c r="E3" s="684" t="s">
        <v>244</v>
      </c>
      <c r="F3" s="684"/>
      <c r="G3" s="684"/>
    </row>
    <row r="4" spans="1:7" ht="12">
      <c r="A4" s="684" t="s">
        <v>1</v>
      </c>
      <c r="B4" s="685"/>
      <c r="C4" s="684"/>
      <c r="E4" s="687" t="s">
        <v>137</v>
      </c>
      <c r="F4" s="687"/>
      <c r="G4" s="688"/>
    </row>
    <row r="5" ht="12">
      <c r="A5" s="689" t="s">
        <v>13</v>
      </c>
    </row>
    <row r="6" spans="1:8" s="689" customFormat="1" ht="12">
      <c r="A6" s="689" t="s">
        <v>138</v>
      </c>
      <c r="B6" s="690" t="s">
        <v>34</v>
      </c>
      <c r="C6" s="690"/>
      <c r="E6" s="690" t="s">
        <v>139</v>
      </c>
      <c r="F6" s="690" t="s">
        <v>140</v>
      </c>
      <c r="G6" s="690" t="s">
        <v>123</v>
      </c>
      <c r="H6" s="624" t="s">
        <v>141</v>
      </c>
    </row>
    <row r="7" ht="12">
      <c r="B7" s="691" t="s">
        <v>80</v>
      </c>
    </row>
    <row r="8" spans="1:8" s="694" customFormat="1" ht="12">
      <c r="A8" s="692">
        <v>1</v>
      </c>
      <c r="B8" s="693" t="s">
        <v>81</v>
      </c>
      <c r="E8" s="695">
        <f>F8+G8</f>
        <v>0</v>
      </c>
      <c r="F8" s="695"/>
      <c r="G8" s="695"/>
      <c r="H8" s="628" t="str">
        <f aca="true" t="shared" si="0" ref="H8:H13">IF(E8=F8+G8," ","ERROR")</f>
        <v> </v>
      </c>
    </row>
    <row r="9" spans="1:8" ht="12">
      <c r="A9" s="689">
        <v>2</v>
      </c>
      <c r="B9" s="691" t="s">
        <v>82</v>
      </c>
      <c r="E9" s="696"/>
      <c r="F9" s="696"/>
      <c r="G9" s="696"/>
      <c r="H9" s="628" t="str">
        <f t="shared" si="0"/>
        <v> </v>
      </c>
    </row>
    <row r="10" spans="1:8" ht="12">
      <c r="A10" s="689">
        <v>3</v>
      </c>
      <c r="B10" s="691" t="s">
        <v>142</v>
      </c>
      <c r="E10" s="696"/>
      <c r="F10" s="696"/>
      <c r="G10" s="696"/>
      <c r="H10" s="628" t="str">
        <f t="shared" si="0"/>
        <v> </v>
      </c>
    </row>
    <row r="11" spans="1:8" ht="12">
      <c r="A11" s="689">
        <v>4</v>
      </c>
      <c r="B11" s="691" t="s">
        <v>143</v>
      </c>
      <c r="E11" s="697">
        <f>E8+E9+E10</f>
        <v>0</v>
      </c>
      <c r="F11" s="697">
        <f>F8+F9+F10</f>
        <v>0</v>
      </c>
      <c r="G11" s="697">
        <f>G8+G9+G10</f>
        <v>0</v>
      </c>
      <c r="H11" s="628" t="str">
        <f t="shared" si="0"/>
        <v> </v>
      </c>
    </row>
    <row r="12" spans="1:8" ht="12">
      <c r="A12" s="689">
        <v>5</v>
      </c>
      <c r="B12" s="691" t="s">
        <v>85</v>
      </c>
      <c r="E12" s="696"/>
      <c r="F12" s="696"/>
      <c r="G12" s="696"/>
      <c r="H12" s="628" t="str">
        <f t="shared" si="0"/>
        <v> </v>
      </c>
    </row>
    <row r="13" spans="1:8" ht="12">
      <c r="A13" s="689">
        <v>6</v>
      </c>
      <c r="B13" s="691" t="s">
        <v>144</v>
      </c>
      <c r="E13" s="697">
        <f>E11+E12</f>
        <v>0</v>
      </c>
      <c r="F13" s="697">
        <f>F11+F12</f>
        <v>0</v>
      </c>
      <c r="G13" s="697">
        <f>G11+G12</f>
        <v>0</v>
      </c>
      <c r="H13" s="628" t="str">
        <f t="shared" si="0"/>
        <v> </v>
      </c>
    </row>
    <row r="14" spans="5:8" ht="12">
      <c r="E14" s="698"/>
      <c r="F14" s="698"/>
      <c r="G14" s="698"/>
      <c r="H14" s="628"/>
    </row>
    <row r="15" spans="2:8" ht="12">
      <c r="B15" s="691" t="s">
        <v>87</v>
      </c>
      <c r="E15" s="698"/>
      <c r="F15" s="698"/>
      <c r="G15" s="698"/>
      <c r="H15" s="628"/>
    </row>
    <row r="16" spans="2:8" ht="12">
      <c r="B16" s="691" t="s">
        <v>88</v>
      </c>
      <c r="E16" s="698"/>
      <c r="F16" s="698"/>
      <c r="G16" s="698"/>
      <c r="H16" s="628"/>
    </row>
    <row r="17" spans="1:8" ht="12">
      <c r="A17" s="689">
        <v>7</v>
      </c>
      <c r="B17" s="691" t="s">
        <v>145</v>
      </c>
      <c r="E17" s="696"/>
      <c r="F17" s="696"/>
      <c r="G17" s="696"/>
      <c r="H17" s="628" t="str">
        <f>IF(E17=F17+G17," ","ERROR")</f>
        <v> </v>
      </c>
    </row>
    <row r="18" spans="1:8" ht="12">
      <c r="A18" s="689">
        <v>8</v>
      </c>
      <c r="B18" s="691" t="s">
        <v>146</v>
      </c>
      <c r="E18" s="696"/>
      <c r="F18" s="696"/>
      <c r="G18" s="696"/>
      <c r="H18" s="628" t="str">
        <f>IF(E18=F18+G18," ","ERROR")</f>
        <v> </v>
      </c>
    </row>
    <row r="19" spans="1:8" ht="12">
      <c r="A19" s="689">
        <v>9</v>
      </c>
      <c r="B19" s="691" t="s">
        <v>147</v>
      </c>
      <c r="E19" s="696"/>
      <c r="F19" s="696"/>
      <c r="G19" s="696"/>
      <c r="H19" s="628" t="str">
        <f>IF(E19=F19+G19," ","ERROR")</f>
        <v> </v>
      </c>
    </row>
    <row r="20" spans="1:8" ht="12">
      <c r="A20" s="689">
        <v>10</v>
      </c>
      <c r="B20" s="691" t="s">
        <v>148</v>
      </c>
      <c r="E20" s="696"/>
      <c r="F20" s="696"/>
      <c r="G20" s="696"/>
      <c r="H20" s="628" t="str">
        <f>IF(E20=F20+G20," ","ERROR")</f>
        <v> </v>
      </c>
    </row>
    <row r="21" spans="1:8" ht="12">
      <c r="A21" s="689">
        <v>11</v>
      </c>
      <c r="B21" s="691" t="s">
        <v>149</v>
      </c>
      <c r="E21" s="697">
        <f>E17+E18+E19+E20</f>
        <v>0</v>
      </c>
      <c r="F21" s="697">
        <f>F17+F18+F19+F20</f>
        <v>0</v>
      </c>
      <c r="G21" s="697">
        <f>G17+G18+G19+G20</f>
        <v>0</v>
      </c>
      <c r="H21" s="628" t="str">
        <f>IF(E21=F21+G21," ","ERROR")</f>
        <v> </v>
      </c>
    </row>
    <row r="22" spans="5:8" ht="12">
      <c r="E22" s="698"/>
      <c r="F22" s="698"/>
      <c r="G22" s="698"/>
      <c r="H22" s="628"/>
    </row>
    <row r="23" spans="2:8" ht="12">
      <c r="B23" s="691" t="s">
        <v>93</v>
      </c>
      <c r="E23" s="698"/>
      <c r="F23" s="698"/>
      <c r="G23" s="698"/>
      <c r="H23" s="628"/>
    </row>
    <row r="24" spans="1:8" ht="12">
      <c r="A24" s="689">
        <v>12</v>
      </c>
      <c r="B24" s="691" t="s">
        <v>145</v>
      </c>
      <c r="E24" s="696"/>
      <c r="F24" s="696"/>
      <c r="G24" s="696"/>
      <c r="H24" s="628" t="str">
        <f>IF(E24=F24+G24," ","ERROR")</f>
        <v> </v>
      </c>
    </row>
    <row r="25" spans="1:8" ht="12">
      <c r="A25" s="689">
        <v>13</v>
      </c>
      <c r="B25" s="691" t="s">
        <v>150</v>
      </c>
      <c r="E25" s="696"/>
      <c r="F25" s="696"/>
      <c r="G25" s="696"/>
      <c r="H25" s="628" t="str">
        <f>IF(E25=F25+G25," ","ERROR")</f>
        <v> </v>
      </c>
    </row>
    <row r="26" spans="1:8" ht="12">
      <c r="A26" s="689">
        <v>14</v>
      </c>
      <c r="B26" s="691" t="s">
        <v>148</v>
      </c>
      <c r="E26" s="696">
        <f>F26+G26</f>
        <v>0</v>
      </c>
      <c r="F26" s="696"/>
      <c r="G26" s="950">
        <f>G109</f>
        <v>0</v>
      </c>
      <c r="H26" s="628" t="str">
        <f>IF(E26=F26+G26," ","ERROR")</f>
        <v> </v>
      </c>
    </row>
    <row r="27" spans="1:8" ht="12">
      <c r="A27" s="689">
        <v>15</v>
      </c>
      <c r="B27" s="691" t="s">
        <v>151</v>
      </c>
      <c r="E27" s="697">
        <f>E24+E25+E26</f>
        <v>0</v>
      </c>
      <c r="F27" s="697">
        <f>F24+F25+F26</f>
        <v>0</v>
      </c>
      <c r="G27" s="697">
        <f>G24+G25+G26</f>
        <v>0</v>
      </c>
      <c r="H27" s="628" t="str">
        <f>IF(E27=F27+G27," ","ERROR")</f>
        <v> </v>
      </c>
    </row>
    <row r="28" spans="5:8" ht="12">
      <c r="E28" s="698"/>
      <c r="F28" s="698"/>
      <c r="G28" s="698"/>
      <c r="H28" s="628"/>
    </row>
    <row r="29" spans="1:8" ht="12">
      <c r="A29" s="689">
        <v>16</v>
      </c>
      <c r="B29" s="691" t="s">
        <v>96</v>
      </c>
      <c r="E29" s="696"/>
      <c r="F29" s="696"/>
      <c r="G29" s="696"/>
      <c r="H29" s="628" t="str">
        <f>IF(E29=F29+G29," ","ERROR")</f>
        <v> </v>
      </c>
    </row>
    <row r="30" spans="1:8" ht="12">
      <c r="A30" s="689">
        <v>17</v>
      </c>
      <c r="B30" s="691" t="s">
        <v>97</v>
      </c>
      <c r="E30" s="696"/>
      <c r="F30" s="696"/>
      <c r="G30" s="696"/>
      <c r="H30" s="628" t="str">
        <f>IF(E30=F30+G30," ","ERROR")</f>
        <v> </v>
      </c>
    </row>
    <row r="31" spans="1:8" ht="12">
      <c r="A31" s="689">
        <v>18</v>
      </c>
      <c r="B31" s="691" t="s">
        <v>152</v>
      </c>
      <c r="E31" s="696"/>
      <c r="F31" s="696"/>
      <c r="G31" s="696"/>
      <c r="H31" s="628" t="str">
        <f>IF(E31=F31+G31," ","ERROR")</f>
        <v> </v>
      </c>
    </row>
    <row r="32" spans="5:8" ht="12">
      <c r="E32" s="698"/>
      <c r="F32" s="698"/>
      <c r="G32" s="698"/>
      <c r="H32" s="628"/>
    </row>
    <row r="33" spans="2:8" ht="12">
      <c r="B33" s="691" t="s">
        <v>99</v>
      </c>
      <c r="E33" s="698"/>
      <c r="F33" s="698"/>
      <c r="G33" s="698"/>
      <c r="H33" s="628"/>
    </row>
    <row r="34" spans="1:8" ht="12">
      <c r="A34" s="689">
        <v>19</v>
      </c>
      <c r="B34" s="691" t="s">
        <v>145</v>
      </c>
      <c r="E34" s="696"/>
      <c r="F34" s="696"/>
      <c r="G34" s="696"/>
      <c r="H34" s="628" t="str">
        <f>IF(E34=F34+G34," ","ERROR")</f>
        <v> </v>
      </c>
    </row>
    <row r="35" spans="1:8" ht="12">
      <c r="A35" s="689">
        <v>20</v>
      </c>
      <c r="B35" s="691" t="s">
        <v>150</v>
      </c>
      <c r="E35" s="696"/>
      <c r="F35" s="696"/>
      <c r="G35" s="696"/>
      <c r="H35" s="628" t="str">
        <f>IF(E35=F35+G35," ","ERROR")</f>
        <v> </v>
      </c>
    </row>
    <row r="36" spans="1:8" ht="12">
      <c r="A36" s="689">
        <v>21</v>
      </c>
      <c r="B36" s="691" t="s">
        <v>148</v>
      </c>
      <c r="E36" s="696"/>
      <c r="F36" s="696"/>
      <c r="G36" s="696"/>
      <c r="H36" s="628" t="str">
        <f>IF(E36=F36+G36," ","ERROR")</f>
        <v> </v>
      </c>
    </row>
    <row r="37" spans="1:8" ht="12">
      <c r="A37" s="689">
        <v>22</v>
      </c>
      <c r="B37" s="691" t="s">
        <v>153</v>
      </c>
      <c r="E37" s="699">
        <f>E34+E35+E36</f>
        <v>0</v>
      </c>
      <c r="F37" s="699">
        <f>F34+F35+F36</f>
        <v>0</v>
      </c>
      <c r="G37" s="699">
        <f>G34+G35+G36</f>
        <v>0</v>
      </c>
      <c r="H37" s="628" t="str">
        <f>IF(E37=F37+G37," ","ERROR")</f>
        <v> </v>
      </c>
    </row>
    <row r="38" spans="1:8" ht="12">
      <c r="A38" s="689">
        <v>23</v>
      </c>
      <c r="B38" s="691" t="s">
        <v>101</v>
      </c>
      <c r="E38" s="700">
        <f>E21+E27+E29+E30+E31+E37</f>
        <v>0</v>
      </c>
      <c r="F38" s="700">
        <f>F21+F27+F29+F30+F31+F37</f>
        <v>0</v>
      </c>
      <c r="G38" s="700">
        <f>G21+G27+G29+G30+G31+G37</f>
        <v>0</v>
      </c>
      <c r="H38" s="628" t="str">
        <f>IF(E38=F38+G38," ","ERROR")</f>
        <v> </v>
      </c>
    </row>
    <row r="39" spans="5:8" ht="12">
      <c r="E39" s="698"/>
      <c r="F39" s="698"/>
      <c r="G39" s="698"/>
      <c r="H39" s="628"/>
    </row>
    <row r="40" spans="1:8" ht="12">
      <c r="A40" s="689">
        <v>24</v>
      </c>
      <c r="B40" s="691" t="s">
        <v>154</v>
      </c>
      <c r="E40" s="698">
        <f>E13-E38</f>
        <v>0</v>
      </c>
      <c r="F40" s="698">
        <f>F13-F38</f>
        <v>0</v>
      </c>
      <c r="G40" s="698">
        <f>G13-G38</f>
        <v>0</v>
      </c>
      <c r="H40" s="628" t="str">
        <f>IF(E40=F40+G40," ","ERROR")</f>
        <v> </v>
      </c>
    </row>
    <row r="41" spans="2:8" ht="12">
      <c r="B41" s="691"/>
      <c r="E41" s="698"/>
      <c r="F41" s="698"/>
      <c r="G41" s="698"/>
      <c r="H41" s="628"/>
    </row>
    <row r="42" spans="2:8" ht="12">
      <c r="B42" s="691" t="s">
        <v>155</v>
      </c>
      <c r="E42" s="698"/>
      <c r="F42" s="698"/>
      <c r="G42" s="698"/>
      <c r="H42" s="628"/>
    </row>
    <row r="43" spans="1:9" ht="12">
      <c r="A43" s="689">
        <v>25</v>
      </c>
      <c r="B43" s="691" t="s">
        <v>214</v>
      </c>
      <c r="E43" s="696">
        <f>F43+G43</f>
        <v>2661.236242108256</v>
      </c>
      <c r="F43" s="874">
        <f>DebtCalc!F60</f>
        <v>2661.236242108256</v>
      </c>
      <c r="G43" s="874"/>
      <c r="H43" s="628" t="str">
        <f>IF(E43=F43+G43," ","ERROR")</f>
        <v> </v>
      </c>
      <c r="I43" s="875" t="s">
        <v>372</v>
      </c>
    </row>
    <row r="44" spans="1:8" ht="12">
      <c r="A44" s="689">
        <v>26</v>
      </c>
      <c r="B44" s="691" t="s">
        <v>228</v>
      </c>
      <c r="E44" s="696"/>
      <c r="F44" s="696"/>
      <c r="G44" s="696"/>
      <c r="H44" s="628" t="str">
        <f>IF(E44=F44+G44," ","ERROR")</f>
        <v> </v>
      </c>
    </row>
    <row r="45" spans="1:8" ht="12.75">
      <c r="A45"/>
      <c r="B45"/>
      <c r="C45"/>
      <c r="D45"/>
      <c r="E45" s="943"/>
      <c r="F45" s="943"/>
      <c r="G45" s="943"/>
      <c r="H45" s="628" t="str">
        <f>IF(E45=F45+G45," ","ERROR")</f>
        <v> </v>
      </c>
    </row>
    <row r="46" spans="1:8" ht="12">
      <c r="A46" s="278"/>
      <c r="B46" s="281"/>
      <c r="C46" s="275"/>
      <c r="D46" s="275"/>
      <c r="E46" s="288"/>
      <c r="F46" s="288"/>
      <c r="G46" s="288"/>
      <c r="H46" s="628"/>
    </row>
    <row r="47" spans="1:8" s="694" customFormat="1" ht="12">
      <c r="A47" s="282">
        <v>27</v>
      </c>
      <c r="B47" s="283" t="s">
        <v>108</v>
      </c>
      <c r="C47" s="284"/>
      <c r="D47" s="284"/>
      <c r="E47" s="292">
        <f>E40-SUM(E43:E44)</f>
        <v>-2661.236242108256</v>
      </c>
      <c r="F47" s="292">
        <f>F40-SUM(F43:F44)</f>
        <v>-2661.236242108256</v>
      </c>
      <c r="G47" s="292">
        <f>G40-SUM(G43:G44)</f>
        <v>0</v>
      </c>
      <c r="H47" s="628" t="str">
        <f>IF(E47=F47+G47," ","ERROR")</f>
        <v> </v>
      </c>
    </row>
    <row r="48" spans="1:8" ht="12">
      <c r="A48" s="278"/>
      <c r="H48" s="628"/>
    </row>
    <row r="49" spans="1:8" ht="12">
      <c r="A49" s="278"/>
      <c r="B49" s="691" t="s">
        <v>109</v>
      </c>
      <c r="H49" s="628"/>
    </row>
    <row r="50" spans="1:8" ht="12">
      <c r="A50" s="278"/>
      <c r="B50" s="691" t="s">
        <v>110</v>
      </c>
      <c r="H50" s="628"/>
    </row>
    <row r="51" spans="1:8" s="694" customFormat="1" ht="12">
      <c r="A51" s="282">
        <v>28</v>
      </c>
      <c r="B51" s="693" t="s">
        <v>159</v>
      </c>
      <c r="E51" s="695"/>
      <c r="F51" s="695"/>
      <c r="G51" s="695"/>
      <c r="H51" s="628" t="str">
        <f aca="true" t="shared" si="1" ref="H51:H61">IF(E51=F51+G51," ","ERROR")</f>
        <v> </v>
      </c>
    </row>
    <row r="52" spans="1:8" ht="12">
      <c r="A52" s="278">
        <v>29</v>
      </c>
      <c r="B52" s="691" t="s">
        <v>160</v>
      </c>
      <c r="E52" s="696"/>
      <c r="F52" s="696"/>
      <c r="G52" s="696"/>
      <c r="H52" s="628" t="str">
        <f t="shared" si="1"/>
        <v> </v>
      </c>
    </row>
    <row r="53" spans="1:8" ht="12">
      <c r="A53" s="278">
        <v>30</v>
      </c>
      <c r="B53" s="691" t="s">
        <v>161</v>
      </c>
      <c r="E53" s="696"/>
      <c r="F53" s="696"/>
      <c r="G53" s="696"/>
      <c r="H53" s="628" t="str">
        <f t="shared" si="1"/>
        <v> </v>
      </c>
    </row>
    <row r="54" spans="1:8" ht="12">
      <c r="A54" s="278">
        <v>31</v>
      </c>
      <c r="B54" s="691" t="s">
        <v>162</v>
      </c>
      <c r="E54" s="696"/>
      <c r="F54" s="696"/>
      <c r="G54" s="696"/>
      <c r="H54" s="628" t="str">
        <f t="shared" si="1"/>
        <v> </v>
      </c>
    </row>
    <row r="55" spans="1:8" ht="12">
      <c r="A55" s="278">
        <v>32</v>
      </c>
      <c r="B55" s="691" t="s">
        <v>163</v>
      </c>
      <c r="E55" s="701"/>
      <c r="F55" s="701"/>
      <c r="G55" s="701"/>
      <c r="H55" s="628" t="str">
        <f t="shared" si="1"/>
        <v> </v>
      </c>
    </row>
    <row r="56" spans="1:8" ht="12">
      <c r="A56" s="278">
        <v>33</v>
      </c>
      <c r="B56" s="691" t="s">
        <v>164</v>
      </c>
      <c r="E56" s="698">
        <f>E51+E52+E53+E54+E55</f>
        <v>0</v>
      </c>
      <c r="F56" s="698">
        <f>F51+F52+F53+F54+F55</f>
        <v>0</v>
      </c>
      <c r="G56" s="698">
        <f>G51+G52+G53+G54+G55</f>
        <v>0</v>
      </c>
      <c r="H56" s="628" t="str">
        <f t="shared" si="1"/>
        <v> </v>
      </c>
    </row>
    <row r="57" spans="1:8" ht="12">
      <c r="A57" s="278">
        <v>34</v>
      </c>
      <c r="B57" s="691" t="s">
        <v>116</v>
      </c>
      <c r="E57" s="696"/>
      <c r="F57" s="696"/>
      <c r="G57" s="696"/>
      <c r="H57" s="628" t="str">
        <f t="shared" si="1"/>
        <v> </v>
      </c>
    </row>
    <row r="58" spans="1:8" ht="12">
      <c r="A58" s="278">
        <v>35</v>
      </c>
      <c r="B58" s="691" t="s">
        <v>117</v>
      </c>
      <c r="E58" s="701"/>
      <c r="F58" s="701"/>
      <c r="G58" s="701"/>
      <c r="H58" s="628" t="str">
        <f t="shared" si="1"/>
        <v> </v>
      </c>
    </row>
    <row r="59" spans="1:8" ht="12">
      <c r="A59" s="278">
        <v>36</v>
      </c>
      <c r="B59" s="691" t="s">
        <v>165</v>
      </c>
      <c r="E59" s="698">
        <f>E57+E58</f>
        <v>0</v>
      </c>
      <c r="F59" s="698">
        <f>F57+F58</f>
        <v>0</v>
      </c>
      <c r="G59" s="698">
        <f>G57+G58</f>
        <v>0</v>
      </c>
      <c r="H59" s="628" t="str">
        <f t="shared" si="1"/>
        <v> </v>
      </c>
    </row>
    <row r="60" spans="1:8" ht="12">
      <c r="A60" s="278">
        <v>37</v>
      </c>
      <c r="B60" s="691" t="s">
        <v>119</v>
      </c>
      <c r="E60" s="696"/>
      <c r="F60" s="696"/>
      <c r="G60" s="696"/>
      <c r="H60" s="628" t="str">
        <f t="shared" si="1"/>
        <v> </v>
      </c>
    </row>
    <row r="61" spans="1:8" ht="12">
      <c r="A61" s="278">
        <v>38</v>
      </c>
      <c r="B61" s="691" t="s">
        <v>120</v>
      </c>
      <c r="E61" s="701"/>
      <c r="F61" s="701"/>
      <c r="G61" s="701"/>
      <c r="H61" s="628" t="str">
        <f t="shared" si="1"/>
        <v> </v>
      </c>
    </row>
    <row r="62" spans="1:8" ht="12">
      <c r="A62" s="278"/>
      <c r="H62" s="628"/>
    </row>
    <row r="63" spans="1:8" s="694" customFormat="1" ht="12.75" thickBot="1">
      <c r="A63" s="282">
        <v>39</v>
      </c>
      <c r="B63" s="693" t="s">
        <v>121</v>
      </c>
      <c r="E63" s="703">
        <f>E56-E59+E60+E61</f>
        <v>0</v>
      </c>
      <c r="F63" s="703">
        <f>F56-F59+F60+F61</f>
        <v>0</v>
      </c>
      <c r="G63" s="703">
        <f>G56-G59+G60+G61</f>
        <v>0</v>
      </c>
      <c r="H63" s="628" t="str">
        <f>IF(E63=F63+G63," ","ERROR")</f>
        <v> </v>
      </c>
    </row>
    <row r="64" ht="12.75" thickTop="1"/>
    <row r="65" spans="1:8" ht="12">
      <c r="A65" s="684" t="str">
        <f>Inputs!$D$6</f>
        <v>AVISTA UTILITIES</v>
      </c>
      <c r="B65" s="685"/>
      <c r="C65" s="684"/>
      <c r="D65" s="704"/>
      <c r="E65" s="705"/>
      <c r="F65" s="704"/>
      <c r="G65" s="706"/>
      <c r="H65" s="640"/>
    </row>
    <row r="66" spans="1:8" ht="12">
      <c r="A66" s="685" t="s">
        <v>218</v>
      </c>
      <c r="B66" s="685"/>
      <c r="C66" s="685"/>
      <c r="D66" s="707"/>
      <c r="E66" s="708"/>
      <c r="F66" s="707"/>
      <c r="G66" s="709"/>
      <c r="H66" s="640"/>
    </row>
    <row r="67" spans="1:8" ht="12">
      <c r="A67" s="685" t="str">
        <f>A3</f>
        <v>TWELVE MONTHS ENDED DECEMBER 31, 2004</v>
      </c>
      <c r="B67" s="685"/>
      <c r="C67" s="685"/>
      <c r="D67" s="707"/>
      <c r="E67" s="708"/>
      <c r="F67" s="707"/>
      <c r="G67" s="710" t="str">
        <f>E2</f>
        <v>RESTATE</v>
      </c>
      <c r="H67" s="640"/>
    </row>
    <row r="68" spans="1:8" ht="12">
      <c r="A68" s="685" t="s">
        <v>219</v>
      </c>
      <c r="B68" s="685"/>
      <c r="C68" s="685"/>
      <c r="D68" s="707"/>
      <c r="E68" s="708"/>
      <c r="F68" s="707"/>
      <c r="G68" s="710" t="str">
        <f>E3</f>
        <v>DEBT INTEREST</v>
      </c>
      <c r="H68" s="640"/>
    </row>
    <row r="69" spans="2:8" ht="12">
      <c r="B69" s="707"/>
      <c r="C69" s="707"/>
      <c r="D69" s="707"/>
      <c r="E69" s="711"/>
      <c r="F69" s="712"/>
      <c r="G69" s="713" t="str">
        <f>E4</f>
        <v>ELECTRIC</v>
      </c>
      <c r="H69" s="644"/>
    </row>
    <row r="70" spans="2:8" ht="12">
      <c r="B70" s="707"/>
      <c r="C70" s="707"/>
      <c r="D70" s="707"/>
      <c r="E70" s="708"/>
      <c r="F70" s="707"/>
      <c r="G70" s="710"/>
      <c r="H70" s="640"/>
    </row>
    <row r="71" spans="2:8" ht="12">
      <c r="B71" s="714" t="s">
        <v>128</v>
      </c>
      <c r="C71" s="712"/>
      <c r="D71" s="707"/>
      <c r="E71" s="708"/>
      <c r="F71" s="707"/>
      <c r="G71" s="713" t="s">
        <v>123</v>
      </c>
      <c r="H71" s="640"/>
    </row>
    <row r="72" spans="2:8" ht="12">
      <c r="B72" s="691" t="s">
        <v>80</v>
      </c>
      <c r="C72" s="707"/>
      <c r="D72" s="707"/>
      <c r="E72" s="707"/>
      <c r="F72" s="707"/>
      <c r="G72" s="709"/>
      <c r="H72" s="639"/>
    </row>
    <row r="73" spans="2:8" ht="12">
      <c r="B73" s="693" t="s">
        <v>81</v>
      </c>
      <c r="C73" s="707"/>
      <c r="D73" s="707"/>
      <c r="E73" s="707"/>
      <c r="F73" s="707"/>
      <c r="G73" s="702">
        <f>G8</f>
        <v>0</v>
      </c>
      <c r="H73" s="639"/>
    </row>
    <row r="74" spans="2:8" ht="12">
      <c r="B74" s="691" t="s">
        <v>82</v>
      </c>
      <c r="C74" s="707"/>
      <c r="D74" s="707"/>
      <c r="E74" s="707"/>
      <c r="F74" s="707"/>
      <c r="G74" s="698">
        <f>G9</f>
        <v>0</v>
      </c>
      <c r="H74" s="639"/>
    </row>
    <row r="75" spans="2:8" ht="12">
      <c r="B75" s="691" t="s">
        <v>142</v>
      </c>
      <c r="C75" s="707"/>
      <c r="D75" s="707"/>
      <c r="E75" s="707"/>
      <c r="F75" s="707"/>
      <c r="G75" s="700">
        <f>G10</f>
        <v>0</v>
      </c>
      <c r="H75" s="639"/>
    </row>
    <row r="76" spans="2:8" ht="12">
      <c r="B76" s="691" t="s">
        <v>143</v>
      </c>
      <c r="C76" s="707"/>
      <c r="D76" s="707"/>
      <c r="E76" s="707"/>
      <c r="F76" s="707"/>
      <c r="G76" s="698">
        <f>SUM(G73:G75)</f>
        <v>0</v>
      </c>
      <c r="H76" s="639"/>
    </row>
    <row r="77" spans="2:8" ht="12">
      <c r="B77" s="691" t="s">
        <v>85</v>
      </c>
      <c r="C77" s="707"/>
      <c r="D77" s="707"/>
      <c r="E77" s="707"/>
      <c r="F77" s="707"/>
      <c r="G77" s="700">
        <f>G12</f>
        <v>0</v>
      </c>
      <c r="H77" s="639"/>
    </row>
    <row r="78" spans="2:8" ht="12">
      <c r="B78" s="691" t="s">
        <v>144</v>
      </c>
      <c r="C78" s="707"/>
      <c r="D78" s="707"/>
      <c r="E78" s="707"/>
      <c r="F78" s="707"/>
      <c r="G78" s="698">
        <f>G76+G77</f>
        <v>0</v>
      </c>
      <c r="H78" s="639"/>
    </row>
    <row r="79" spans="3:8" ht="12">
      <c r="C79" s="707"/>
      <c r="D79" s="707"/>
      <c r="E79" s="707"/>
      <c r="F79" s="707"/>
      <c r="G79" s="698"/>
      <c r="H79" s="639"/>
    </row>
    <row r="80" spans="2:8" ht="12">
      <c r="B80" s="691" t="s">
        <v>87</v>
      </c>
      <c r="C80" s="707"/>
      <c r="D80" s="707"/>
      <c r="E80" s="707"/>
      <c r="F80" s="707"/>
      <c r="G80" s="698"/>
      <c r="H80" s="639"/>
    </row>
    <row r="81" spans="2:8" ht="12">
      <c r="B81" s="691" t="s">
        <v>88</v>
      </c>
      <c r="C81" s="707"/>
      <c r="D81" s="707"/>
      <c r="E81" s="707"/>
      <c r="F81" s="707"/>
      <c r="G81" s="698"/>
      <c r="H81" s="639"/>
    </row>
    <row r="82" spans="2:8" ht="12">
      <c r="B82" s="691" t="s">
        <v>145</v>
      </c>
      <c r="C82" s="707"/>
      <c r="D82" s="707"/>
      <c r="E82" s="707"/>
      <c r="F82" s="707"/>
      <c r="G82" s="698">
        <f>G17</f>
        <v>0</v>
      </c>
      <c r="H82" s="639"/>
    </row>
    <row r="83" spans="2:8" ht="12">
      <c r="B83" s="691" t="s">
        <v>146</v>
      </c>
      <c r="C83" s="707"/>
      <c r="D83" s="707"/>
      <c r="E83" s="707"/>
      <c r="F83" s="707"/>
      <c r="G83" s="698">
        <f>G18</f>
        <v>0</v>
      </c>
      <c r="H83" s="639"/>
    </row>
    <row r="84" spans="2:8" ht="12">
      <c r="B84" s="691" t="s">
        <v>147</v>
      </c>
      <c r="C84" s="707"/>
      <c r="D84" s="707"/>
      <c r="E84" s="707"/>
      <c r="F84" s="707"/>
      <c r="G84" s="698">
        <f>G19</f>
        <v>0</v>
      </c>
      <c r="H84" s="639"/>
    </row>
    <row r="85" spans="2:8" ht="12">
      <c r="B85" s="691" t="s">
        <v>148</v>
      </c>
      <c r="C85" s="707"/>
      <c r="D85" s="707"/>
      <c r="E85" s="707"/>
      <c r="F85" s="707"/>
      <c r="G85" s="700">
        <f>G20</f>
        <v>0</v>
      </c>
      <c r="H85" s="639"/>
    </row>
    <row r="86" spans="2:8" ht="12">
      <c r="B86" s="691" t="s">
        <v>149</v>
      </c>
      <c r="C86" s="707"/>
      <c r="D86" s="707"/>
      <c r="E86" s="707"/>
      <c r="F86" s="707"/>
      <c r="G86" s="698">
        <f>SUM(G82:G85)</f>
        <v>0</v>
      </c>
      <c r="H86" s="639"/>
    </row>
    <row r="87" spans="3:8" ht="12">
      <c r="C87" s="707"/>
      <c r="D87" s="707"/>
      <c r="E87" s="707"/>
      <c r="F87" s="707"/>
      <c r="G87" s="698"/>
      <c r="H87" s="639"/>
    </row>
    <row r="88" spans="2:8" ht="12">
      <c r="B88" s="691" t="s">
        <v>93</v>
      </c>
      <c r="C88" s="707"/>
      <c r="D88" s="707"/>
      <c r="E88" s="707"/>
      <c r="F88" s="707"/>
      <c r="G88" s="698"/>
      <c r="H88" s="639"/>
    </row>
    <row r="89" spans="2:8" ht="12">
      <c r="B89" s="691" t="s">
        <v>145</v>
      </c>
      <c r="C89" s="707"/>
      <c r="D89" s="707"/>
      <c r="E89" s="707"/>
      <c r="F89" s="707"/>
      <c r="G89" s="698">
        <f>G24</f>
        <v>0</v>
      </c>
      <c r="H89" s="639"/>
    </row>
    <row r="90" spans="2:8" ht="12">
      <c r="B90" s="691" t="s">
        <v>150</v>
      </c>
      <c r="C90" s="707"/>
      <c r="D90" s="707"/>
      <c r="E90" s="707"/>
      <c r="F90" s="707"/>
      <c r="G90" s="698">
        <f>G25</f>
        <v>0</v>
      </c>
      <c r="H90" s="639"/>
    </row>
    <row r="91" spans="1:8" ht="12">
      <c r="A91" s="686"/>
      <c r="B91" s="691" t="s">
        <v>148</v>
      </c>
      <c r="C91" s="707"/>
      <c r="D91" s="707"/>
      <c r="E91" s="707"/>
      <c r="F91" s="707"/>
      <c r="G91" s="698"/>
      <c r="H91" s="639"/>
    </row>
    <row r="92" spans="1:8" ht="12">
      <c r="A92" s="686"/>
      <c r="B92" s="691" t="s">
        <v>151</v>
      </c>
      <c r="C92" s="707"/>
      <c r="D92" s="707"/>
      <c r="E92" s="707"/>
      <c r="F92" s="707"/>
      <c r="G92" s="697">
        <f>SUM(G89:G91)</f>
        <v>0</v>
      </c>
      <c r="H92" s="639"/>
    </row>
    <row r="93" spans="1:8" ht="12">
      <c r="A93" s="686"/>
      <c r="C93" s="707"/>
      <c r="D93" s="707"/>
      <c r="E93" s="707"/>
      <c r="F93" s="707"/>
      <c r="G93" s="698"/>
      <c r="H93" s="639"/>
    </row>
    <row r="94" spans="1:8" ht="12">
      <c r="A94" s="686"/>
      <c r="B94" s="691" t="s">
        <v>96</v>
      </c>
      <c r="C94" s="707"/>
      <c r="D94" s="707"/>
      <c r="E94" s="707"/>
      <c r="F94" s="707"/>
      <c r="G94" s="698">
        <f>G29</f>
        <v>0</v>
      </c>
      <c r="H94" s="639"/>
    </row>
    <row r="95" spans="1:8" ht="12">
      <c r="A95" s="686"/>
      <c r="B95" s="691" t="s">
        <v>97</v>
      </c>
      <c r="C95" s="707"/>
      <c r="D95" s="707"/>
      <c r="E95" s="707"/>
      <c r="F95" s="707"/>
      <c r="G95" s="698">
        <f>G30</f>
        <v>0</v>
      </c>
      <c r="H95" s="639"/>
    </row>
    <row r="96" spans="1:8" ht="12">
      <c r="A96" s="686"/>
      <c r="B96" s="691" t="s">
        <v>152</v>
      </c>
      <c r="C96" s="707"/>
      <c r="D96" s="707"/>
      <c r="E96" s="707"/>
      <c r="F96" s="707"/>
      <c r="G96" s="698">
        <f>G31</f>
        <v>0</v>
      </c>
      <c r="H96" s="639"/>
    </row>
    <row r="97" spans="1:8" ht="12">
      <c r="A97" s="686"/>
      <c r="C97" s="707"/>
      <c r="D97" s="707"/>
      <c r="E97" s="707"/>
      <c r="F97" s="707"/>
      <c r="G97" s="698"/>
      <c r="H97" s="639"/>
    </row>
    <row r="98" spans="1:8" ht="12">
      <c r="A98" s="686"/>
      <c r="B98" s="691" t="s">
        <v>99</v>
      </c>
      <c r="C98" s="707"/>
      <c r="D98" s="707"/>
      <c r="E98" s="707"/>
      <c r="F98" s="707"/>
      <c r="G98" s="698"/>
      <c r="H98" s="639"/>
    </row>
    <row r="99" spans="1:8" ht="12">
      <c r="A99" s="686"/>
      <c r="B99" s="691" t="s">
        <v>145</v>
      </c>
      <c r="C99" s="707"/>
      <c r="D99" s="707"/>
      <c r="E99" s="707"/>
      <c r="F99" s="707"/>
      <c r="G99" s="698">
        <f>G34</f>
        <v>0</v>
      </c>
      <c r="H99" s="639"/>
    </row>
    <row r="100" spans="1:8" ht="12">
      <c r="A100" s="686"/>
      <c r="B100" s="691" t="s">
        <v>150</v>
      </c>
      <c r="C100" s="707"/>
      <c r="D100" s="707"/>
      <c r="E100" s="707"/>
      <c r="F100" s="707"/>
      <c r="G100" s="698">
        <f>G35</f>
        <v>0</v>
      </c>
      <c r="H100" s="639"/>
    </row>
    <row r="101" spans="1:8" ht="12">
      <c r="A101" s="686"/>
      <c r="B101" s="691" t="s">
        <v>148</v>
      </c>
      <c r="C101" s="707"/>
      <c r="D101" s="707"/>
      <c r="E101" s="707"/>
      <c r="F101" s="707"/>
      <c r="G101" s="700">
        <f>G36</f>
        <v>0</v>
      </c>
      <c r="H101" s="639"/>
    </row>
    <row r="102" spans="1:8" ht="12">
      <c r="A102" s="686"/>
      <c r="B102" s="691" t="s">
        <v>153</v>
      </c>
      <c r="C102" s="707"/>
      <c r="D102" s="707"/>
      <c r="E102" s="707"/>
      <c r="F102" s="707"/>
      <c r="G102" s="698">
        <f>G99+G100+G101</f>
        <v>0</v>
      </c>
      <c r="H102" s="639"/>
    </row>
    <row r="103" spans="1:8" ht="12">
      <c r="A103" s="686"/>
      <c r="B103" s="707"/>
      <c r="C103" s="707"/>
      <c r="D103" s="707"/>
      <c r="E103" s="707"/>
      <c r="F103" s="707"/>
      <c r="G103" s="698"/>
      <c r="H103" s="639"/>
    </row>
    <row r="104" spans="1:8" ht="12">
      <c r="A104" s="686"/>
      <c r="B104" s="707" t="s">
        <v>101</v>
      </c>
      <c r="C104" s="707"/>
      <c r="D104" s="707"/>
      <c r="E104" s="707"/>
      <c r="F104" s="707"/>
      <c r="G104" s="699">
        <f>G86+G92+G94+G95+G96+G102</f>
        <v>0</v>
      </c>
      <c r="H104" s="639"/>
    </row>
    <row r="105" spans="1:8" ht="12">
      <c r="A105" s="686"/>
      <c r="B105" s="707"/>
      <c r="C105" s="707"/>
      <c r="D105" s="707"/>
      <c r="E105" s="707"/>
      <c r="F105" s="707"/>
      <c r="G105" s="698"/>
      <c r="H105" s="639"/>
    </row>
    <row r="106" spans="1:8" ht="12">
      <c r="A106" s="686"/>
      <c r="B106" s="707" t="s">
        <v>220</v>
      </c>
      <c r="C106" s="707"/>
      <c r="D106" s="707"/>
      <c r="E106" s="707"/>
      <c r="F106" s="707"/>
      <c r="G106" s="700">
        <f>G78-G104</f>
        <v>0</v>
      </c>
      <c r="H106" s="639"/>
    </row>
    <row r="107" spans="1:8" ht="12">
      <c r="A107" s="686"/>
      <c r="B107" s="707"/>
      <c r="C107" s="707"/>
      <c r="D107" s="707"/>
      <c r="E107" s="707"/>
      <c r="F107" s="707"/>
      <c r="G107" s="698"/>
      <c r="H107" s="639"/>
    </row>
    <row r="108" spans="1:8" ht="12">
      <c r="A108" s="686"/>
      <c r="B108" s="707" t="s">
        <v>221</v>
      </c>
      <c r="C108" s="707"/>
      <c r="D108" s="707"/>
      <c r="E108" s="708"/>
      <c r="F108" s="707"/>
      <c r="G108" s="698"/>
      <c r="H108" s="639"/>
    </row>
    <row r="109" spans="1:8" ht="12.75" thickBot="1">
      <c r="A109" s="686"/>
      <c r="B109" s="715" t="s">
        <v>222</v>
      </c>
      <c r="C109" s="716">
        <f>Inputs!$D$4</f>
        <v>0.01065</v>
      </c>
      <c r="D109" s="707"/>
      <c r="E109" s="708"/>
      <c r="F109" s="707"/>
      <c r="G109" s="703">
        <f>ROUND(G106*C109,0)</f>
        <v>0</v>
      </c>
      <c r="H109" s="639"/>
    </row>
    <row r="110" spans="1:8" ht="12.75" thickTop="1">
      <c r="A110" s="686"/>
      <c r="B110" s="707"/>
      <c r="C110" s="707"/>
      <c r="D110" s="707"/>
      <c r="E110" s="708"/>
      <c r="F110" s="707"/>
      <c r="G110" s="709"/>
      <c r="H110" s="639"/>
    </row>
  </sheetData>
  <printOptions/>
  <pageMargins left="1" right="0.75" top="0.75" bottom="0.5" header="0.5" footer="0.5"/>
  <pageSetup horizontalDpi="300" verticalDpi="300" orientation="portrait" scale="90" r:id="rId1"/>
  <rowBreaks count="1" manualBreakCount="1">
    <brk id="64" max="255" man="1"/>
  </rowBreaks>
  <colBreaks count="1" manualBreakCount="1">
    <brk id="7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43">
      <selection activeCell="F17" sqref="F17"/>
    </sheetView>
  </sheetViews>
  <sheetFormatPr defaultColWidth="9.140625" defaultRowHeight="12.75"/>
  <cols>
    <col min="1" max="1" width="5.57421875" style="479" customWidth="1"/>
    <col min="2" max="2" width="26.140625" style="476" customWidth="1"/>
    <col min="3" max="3" width="12.421875" style="476" customWidth="1"/>
    <col min="4" max="4" width="6.7109375" style="476" customWidth="1"/>
    <col min="5" max="16384" width="12.421875" style="476" customWidth="1"/>
  </cols>
  <sheetData>
    <row r="1" spans="1:7" ht="12">
      <c r="A1" s="474" t="str">
        <f>Inputs!$D$6</f>
        <v>AVISTA UTILITIES</v>
      </c>
      <c r="B1" s="475"/>
      <c r="C1" s="474"/>
      <c r="E1" s="76" t="s">
        <v>282</v>
      </c>
      <c r="F1" s="474"/>
      <c r="G1" s="474"/>
    </row>
    <row r="2" spans="1:7" ht="12">
      <c r="A2" s="474" t="s">
        <v>134</v>
      </c>
      <c r="B2" s="475"/>
      <c r="C2" s="474"/>
      <c r="E2" s="474" t="s">
        <v>231</v>
      </c>
      <c r="F2" s="474"/>
      <c r="G2" s="474"/>
    </row>
    <row r="3" spans="1:7" ht="12">
      <c r="A3" s="475" t="str">
        <f>WAElec12_04!$A$4</f>
        <v>TWELVE MONTHS ENDED DECEMBER 31, 2004</v>
      </c>
      <c r="B3" s="475"/>
      <c r="C3" s="474"/>
      <c r="E3" s="474" t="s">
        <v>232</v>
      </c>
      <c r="F3" s="474"/>
      <c r="G3" s="474"/>
    </row>
    <row r="4" spans="1:7" ht="12">
      <c r="A4" s="474" t="s">
        <v>1</v>
      </c>
      <c r="B4" s="475"/>
      <c r="C4" s="474"/>
      <c r="E4" s="477" t="s">
        <v>137</v>
      </c>
      <c r="F4" s="477"/>
      <c r="G4" s="478"/>
    </row>
    <row r="5" ht="12">
      <c r="A5" s="479" t="s">
        <v>13</v>
      </c>
    </row>
    <row r="6" spans="1:8" s="479" customFormat="1" ht="12">
      <c r="A6" s="479" t="s">
        <v>138</v>
      </c>
      <c r="B6" s="480" t="s">
        <v>34</v>
      </c>
      <c r="C6" s="480"/>
      <c r="E6" s="480" t="s">
        <v>139</v>
      </c>
      <c r="F6" s="480" t="s">
        <v>140</v>
      </c>
      <c r="G6" s="480" t="s">
        <v>123</v>
      </c>
      <c r="H6" s="481" t="s">
        <v>141</v>
      </c>
    </row>
    <row r="7" ht="12">
      <c r="B7" s="482" t="s">
        <v>80</v>
      </c>
    </row>
    <row r="8" spans="1:8" s="485" customFormat="1" ht="12">
      <c r="A8" s="483">
        <v>1</v>
      </c>
      <c r="B8" s="484" t="s">
        <v>81</v>
      </c>
      <c r="E8" s="486">
        <f>F8+G8</f>
        <v>0</v>
      </c>
      <c r="F8" s="486"/>
      <c r="G8" s="486"/>
      <c r="H8" s="485" t="str">
        <f aca="true" t="shared" si="0" ref="H8:H13">IF(E8=F8+G8," ","ERROR")</f>
        <v> </v>
      </c>
    </row>
    <row r="9" spans="1:8" ht="12">
      <c r="A9" s="479">
        <v>2</v>
      </c>
      <c r="B9" s="482" t="s">
        <v>82</v>
      </c>
      <c r="E9" s="487"/>
      <c r="F9" s="487"/>
      <c r="G9" s="487"/>
      <c r="H9" s="485" t="str">
        <f t="shared" si="0"/>
        <v> </v>
      </c>
    </row>
    <row r="10" spans="1:8" ht="12">
      <c r="A10" s="479">
        <v>3</v>
      </c>
      <c r="B10" s="482" t="s">
        <v>142</v>
      </c>
      <c r="E10" s="487">
        <f>SUM(F10:G10)</f>
        <v>-18180</v>
      </c>
      <c r="F10" s="487">
        <v>-18180</v>
      </c>
      <c r="G10" s="487"/>
      <c r="H10" s="485" t="str">
        <f t="shared" si="0"/>
        <v> </v>
      </c>
    </row>
    <row r="11" spans="1:8" ht="12">
      <c r="A11" s="479">
        <v>4</v>
      </c>
      <c r="B11" s="482" t="s">
        <v>143</v>
      </c>
      <c r="E11" s="488">
        <f>E8+E9+E10</f>
        <v>-18180</v>
      </c>
      <c r="F11" s="488">
        <f>F8+F9+F10</f>
        <v>-18180</v>
      </c>
      <c r="G11" s="488">
        <f>G8+G9+G10</f>
        <v>0</v>
      </c>
      <c r="H11" s="485" t="str">
        <f t="shared" si="0"/>
        <v> </v>
      </c>
    </row>
    <row r="12" spans="1:8" ht="12">
      <c r="A12" s="479">
        <v>5</v>
      </c>
      <c r="B12" s="482" t="s">
        <v>85</v>
      </c>
      <c r="E12" s="487">
        <f>SUM(F12:G12)</f>
        <v>-45246</v>
      </c>
      <c r="F12" s="487">
        <f>3+1-45250</f>
        <v>-45246</v>
      </c>
      <c r="G12" s="487"/>
      <c r="H12" s="485" t="str">
        <f t="shared" si="0"/>
        <v> </v>
      </c>
    </row>
    <row r="13" spans="1:8" ht="12">
      <c r="A13" s="479">
        <v>6</v>
      </c>
      <c r="B13" s="482" t="s">
        <v>144</v>
      </c>
      <c r="E13" s="488">
        <f>E11+E12</f>
        <v>-63426</v>
      </c>
      <c r="F13" s="488">
        <f>F11+F12</f>
        <v>-63426</v>
      </c>
      <c r="G13" s="488">
        <f>G11+G12</f>
        <v>0</v>
      </c>
      <c r="H13" s="485" t="str">
        <f t="shared" si="0"/>
        <v> </v>
      </c>
    </row>
    <row r="14" spans="5:8" ht="12">
      <c r="E14" s="489"/>
      <c r="F14" s="489"/>
      <c r="G14" s="489"/>
      <c r="H14" s="485"/>
    </row>
    <row r="15" spans="2:8" ht="12">
      <c r="B15" s="482" t="s">
        <v>87</v>
      </c>
      <c r="E15" s="489"/>
      <c r="F15" s="489"/>
      <c r="G15" s="489"/>
      <c r="H15" s="485"/>
    </row>
    <row r="16" spans="2:8" ht="12">
      <c r="B16" s="482" t="s">
        <v>88</v>
      </c>
      <c r="E16" s="489"/>
      <c r="F16" s="489"/>
      <c r="G16" s="489"/>
      <c r="H16" s="485"/>
    </row>
    <row r="17" spans="1:8" ht="12">
      <c r="A17" s="479">
        <v>7</v>
      </c>
      <c r="B17" s="482" t="s">
        <v>145</v>
      </c>
      <c r="E17" s="487">
        <f>SUM(F17:G17)</f>
        <v>-10062</v>
      </c>
      <c r="F17" s="487">
        <f>485+1+32477+1326-96-46950+20+31+76+2509+59</f>
        <v>-10062</v>
      </c>
      <c r="G17" s="487"/>
      <c r="H17" s="485" t="str">
        <f>IF(E17=F17+G17," ","ERROR")</f>
        <v> </v>
      </c>
    </row>
    <row r="18" spans="1:8" ht="12">
      <c r="A18" s="479">
        <v>8</v>
      </c>
      <c r="B18" s="482" t="s">
        <v>146</v>
      </c>
      <c r="E18" s="487">
        <f>SUM(F18:G18)</f>
        <v>-46495</v>
      </c>
      <c r="F18" s="487">
        <v>-46495</v>
      </c>
      <c r="G18" s="487"/>
      <c r="H18" s="485" t="str">
        <f>IF(E18=F18+G18," ","ERROR")</f>
        <v> </v>
      </c>
    </row>
    <row r="19" spans="1:8" ht="12">
      <c r="A19" s="479">
        <v>9</v>
      </c>
      <c r="B19" s="482" t="s">
        <v>147</v>
      </c>
      <c r="E19" s="487"/>
      <c r="F19" s="487"/>
      <c r="G19" s="487"/>
      <c r="H19" s="485" t="str">
        <f>IF(E19=F19+G19," ","ERROR")</f>
        <v> </v>
      </c>
    </row>
    <row r="20" spans="1:8" ht="12">
      <c r="A20" s="479">
        <v>10</v>
      </c>
      <c r="B20" s="482" t="s">
        <v>148</v>
      </c>
      <c r="E20" s="487"/>
      <c r="F20" s="487"/>
      <c r="G20" s="487"/>
      <c r="H20" s="485" t="str">
        <f>IF(E20=F20+G20," ","ERROR")</f>
        <v> </v>
      </c>
    </row>
    <row r="21" spans="1:8" ht="12">
      <c r="A21" s="479">
        <v>11</v>
      </c>
      <c r="B21" s="482" t="s">
        <v>149</v>
      </c>
      <c r="E21" s="488">
        <f>E17+E18+E19+E20</f>
        <v>-56557</v>
      </c>
      <c r="F21" s="488">
        <f>F17+F18+F19+F20</f>
        <v>-56557</v>
      </c>
      <c r="G21" s="488">
        <f>G17+G18+G19+G20</f>
        <v>0</v>
      </c>
      <c r="H21" s="485" t="str">
        <f>IF(E21=F21+G21," ","ERROR")</f>
        <v> </v>
      </c>
    </row>
    <row r="22" spans="5:8" ht="12">
      <c r="E22" s="489"/>
      <c r="F22" s="489"/>
      <c r="G22" s="489"/>
      <c r="H22" s="485"/>
    </row>
    <row r="23" spans="2:8" ht="12">
      <c r="B23" s="482" t="s">
        <v>93</v>
      </c>
      <c r="E23" s="489"/>
      <c r="F23" s="489"/>
      <c r="G23" s="489"/>
      <c r="H23" s="485"/>
    </row>
    <row r="24" spans="1:8" ht="12">
      <c r="A24" s="479">
        <v>12</v>
      </c>
      <c r="B24" s="482" t="s">
        <v>145</v>
      </c>
      <c r="E24" s="487"/>
      <c r="F24" s="487"/>
      <c r="G24" s="487"/>
      <c r="H24" s="485" t="str">
        <f>IF(E24=F24+G24," ","ERROR")</f>
        <v> </v>
      </c>
    </row>
    <row r="25" spans="1:8" ht="12">
      <c r="A25" s="479">
        <v>13</v>
      </c>
      <c r="B25" s="482" t="s">
        <v>150</v>
      </c>
      <c r="E25" s="487"/>
      <c r="F25" s="487"/>
      <c r="G25" s="487"/>
      <c r="H25" s="485" t="str">
        <f>IF(E25=F25+G25," ","ERROR")</f>
        <v> </v>
      </c>
    </row>
    <row r="26" spans="1:8" ht="12">
      <c r="A26" s="479">
        <v>14</v>
      </c>
      <c r="B26" s="482" t="s">
        <v>148</v>
      </c>
      <c r="E26" s="487">
        <f>F26+G26</f>
        <v>0</v>
      </c>
      <c r="F26" s="487"/>
      <c r="G26" s="878"/>
      <c r="H26" s="485" t="str">
        <f>IF(E26=F26+G26," ","ERROR")</f>
        <v> </v>
      </c>
    </row>
    <row r="27" spans="1:8" ht="12">
      <c r="A27" s="479">
        <v>15</v>
      </c>
      <c r="B27" s="482" t="s">
        <v>151</v>
      </c>
      <c r="E27" s="488">
        <f>E24+E25+E26</f>
        <v>0</v>
      </c>
      <c r="F27" s="488">
        <f>F24+F25+F26</f>
        <v>0</v>
      </c>
      <c r="G27" s="488">
        <f>G24+G25+G26</f>
        <v>0</v>
      </c>
      <c r="H27" s="485" t="str">
        <f>IF(E27=F27+G27," ","ERROR")</f>
        <v> </v>
      </c>
    </row>
    <row r="28" spans="5:8" ht="12">
      <c r="E28" s="489"/>
      <c r="F28" s="489"/>
      <c r="G28" s="489"/>
      <c r="H28" s="485"/>
    </row>
    <row r="29" spans="1:8" ht="12">
      <c r="A29" s="479">
        <v>16</v>
      </c>
      <c r="B29" s="482" t="s">
        <v>96</v>
      </c>
      <c r="E29" s="487"/>
      <c r="F29" s="487"/>
      <c r="G29" s="487"/>
      <c r="H29" s="485" t="str">
        <f>IF(E29=F29+G29," ","ERROR")</f>
        <v> </v>
      </c>
    </row>
    <row r="30" spans="1:8" ht="12">
      <c r="A30" s="479">
        <v>17</v>
      </c>
      <c r="B30" s="482" t="s">
        <v>97</v>
      </c>
      <c r="E30" s="487"/>
      <c r="F30" s="487"/>
      <c r="G30" s="487"/>
      <c r="H30" s="485" t="str">
        <f>IF(E30=F30+G30," ","ERROR")</f>
        <v> </v>
      </c>
    </row>
    <row r="31" spans="1:8" ht="12">
      <c r="A31" s="479">
        <v>18</v>
      </c>
      <c r="B31" s="482" t="s">
        <v>152</v>
      </c>
      <c r="E31" s="487"/>
      <c r="F31" s="487"/>
      <c r="G31" s="487"/>
      <c r="H31" s="485" t="str">
        <f>IF(E31=F31+G31," ","ERROR")</f>
        <v> </v>
      </c>
    </row>
    <row r="32" spans="5:8" ht="12">
      <c r="E32" s="489"/>
      <c r="F32" s="489"/>
      <c r="G32" s="489"/>
      <c r="H32" s="485"/>
    </row>
    <row r="33" spans="2:8" ht="12">
      <c r="B33" s="482" t="s">
        <v>99</v>
      </c>
      <c r="E33" s="489"/>
      <c r="F33" s="489"/>
      <c r="G33" s="489"/>
      <c r="H33" s="877"/>
    </row>
    <row r="34" spans="1:8" ht="12">
      <c r="A34" s="479">
        <v>19</v>
      </c>
      <c r="B34" s="482" t="s">
        <v>145</v>
      </c>
      <c r="E34" s="487">
        <f>F34+G34</f>
        <v>0</v>
      </c>
      <c r="F34" s="487"/>
      <c r="G34" s="487"/>
      <c r="H34" s="485" t="str">
        <f>IF(E34=F34+G34," ","ERROR")</f>
        <v> </v>
      </c>
    </row>
    <row r="35" spans="1:8" ht="12">
      <c r="A35" s="479">
        <v>20</v>
      </c>
      <c r="B35" s="482" t="s">
        <v>150</v>
      </c>
      <c r="E35" s="487"/>
      <c r="F35" s="487"/>
      <c r="G35" s="487"/>
      <c r="H35" s="485" t="str">
        <f>IF(E35=F35+G35," ","ERROR")</f>
        <v> </v>
      </c>
    </row>
    <row r="36" spans="1:8" ht="12">
      <c r="A36" s="479">
        <v>21</v>
      </c>
      <c r="B36" s="482" t="s">
        <v>148</v>
      </c>
      <c r="E36" s="487"/>
      <c r="F36" s="487"/>
      <c r="G36" s="487"/>
      <c r="H36" s="485" t="str">
        <f>IF(E36=F36+G36," ","ERROR")</f>
        <v> </v>
      </c>
    </row>
    <row r="37" spans="1:8" ht="12">
      <c r="A37" s="479">
        <v>22</v>
      </c>
      <c r="B37" s="482" t="s">
        <v>153</v>
      </c>
      <c r="E37" s="490">
        <f>E34+E35+E36</f>
        <v>0</v>
      </c>
      <c r="F37" s="490">
        <f>F34+F35+F36</f>
        <v>0</v>
      </c>
      <c r="G37" s="490">
        <f>G34+G35+G36</f>
        <v>0</v>
      </c>
      <c r="H37" s="485" t="str">
        <f>IF(E37=F37+G37," ","ERROR")</f>
        <v> </v>
      </c>
    </row>
    <row r="38" spans="1:8" ht="12">
      <c r="A38" s="479">
        <v>23</v>
      </c>
      <c r="B38" s="482" t="s">
        <v>101</v>
      </c>
      <c r="E38" s="491">
        <f>E21+E27+E29+E30+E31+E37</f>
        <v>-56557</v>
      </c>
      <c r="F38" s="491">
        <f>F21+F27+F29+F30+F31+F37</f>
        <v>-56557</v>
      </c>
      <c r="G38" s="491">
        <f>G21+G27+G29+G30+G31+G37</f>
        <v>0</v>
      </c>
      <c r="H38" s="485" t="str">
        <f>IF(E38=F38+G38," ","ERROR")</f>
        <v> </v>
      </c>
    </row>
    <row r="39" spans="5:8" ht="12">
      <c r="E39" s="489"/>
      <c r="F39" s="489"/>
      <c r="G39" s="489"/>
      <c r="H39" s="485"/>
    </row>
    <row r="40" spans="1:8" ht="12">
      <c r="A40" s="479">
        <v>24</v>
      </c>
      <c r="B40" s="482" t="s">
        <v>154</v>
      </c>
      <c r="E40" s="489">
        <f>E13-E38</f>
        <v>-6869</v>
      </c>
      <c r="F40" s="489">
        <f>F13-F38</f>
        <v>-6869</v>
      </c>
      <c r="G40" s="489">
        <f>G13-G38</f>
        <v>0</v>
      </c>
      <c r="H40" s="485" t="str">
        <f>IF(E40=F40+G40," ","ERROR")</f>
        <v> </v>
      </c>
    </row>
    <row r="41" spans="2:8" ht="12">
      <c r="B41" s="482"/>
      <c r="E41" s="489"/>
      <c r="F41" s="489"/>
      <c r="G41" s="489"/>
      <c r="H41" s="485"/>
    </row>
    <row r="42" spans="2:8" ht="12">
      <c r="B42" s="482" t="s">
        <v>155</v>
      </c>
      <c r="E42" s="489"/>
      <c r="F42" s="489"/>
      <c r="G42" s="489"/>
      <c r="H42" s="485"/>
    </row>
    <row r="43" spans="1:8" ht="12">
      <c r="A43" s="479">
        <v>25</v>
      </c>
      <c r="B43" s="482" t="s">
        <v>156</v>
      </c>
      <c r="D43" s="492">
        <v>0.35</v>
      </c>
      <c r="E43" s="487">
        <f>F43+G43</f>
        <v>-2404</v>
      </c>
      <c r="F43" s="487">
        <f>ROUND(F40*$D$43,0)</f>
        <v>-2404</v>
      </c>
      <c r="G43" s="487">
        <f>ROUND(G40*$D$43,0)</f>
        <v>0</v>
      </c>
      <c r="H43" s="485" t="str">
        <f>IF(E43=F43+G43," ","ERROR")</f>
        <v> </v>
      </c>
    </row>
    <row r="44" spans="1:8" ht="12">
      <c r="A44" s="479">
        <v>26</v>
      </c>
      <c r="B44" s="482" t="s">
        <v>157</v>
      </c>
      <c r="E44" s="487"/>
      <c r="F44" s="487"/>
      <c r="G44" s="487"/>
      <c r="H44" s="485" t="str">
        <f>IF(E44=F44+G44," ","ERROR")</f>
        <v> </v>
      </c>
    </row>
    <row r="45" spans="1:8" ht="12.75">
      <c r="A45"/>
      <c r="B45"/>
      <c r="C45"/>
      <c r="D45"/>
      <c r="E45" s="943"/>
      <c r="F45" s="943"/>
      <c r="G45" s="943"/>
      <c r="H45" s="485" t="str">
        <f>IF(E45=F45+G45," ","ERROR")</f>
        <v> </v>
      </c>
    </row>
    <row r="46" spans="1:8" ht="12">
      <c r="A46" s="278"/>
      <c r="B46" s="281"/>
      <c r="C46" s="275"/>
      <c r="D46" s="275"/>
      <c r="E46" s="288"/>
      <c r="F46" s="288"/>
      <c r="G46" s="288"/>
      <c r="H46" s="485"/>
    </row>
    <row r="47" spans="1:8" s="485" customFormat="1" ht="12">
      <c r="A47" s="282">
        <v>27</v>
      </c>
      <c r="B47" s="283" t="s">
        <v>108</v>
      </c>
      <c r="C47" s="284"/>
      <c r="D47" s="284"/>
      <c r="E47" s="292">
        <f>E40-SUM(E43:E44)</f>
        <v>-4465</v>
      </c>
      <c r="F47" s="292">
        <f>F40-SUM(F43:F44)</f>
        <v>-4465</v>
      </c>
      <c r="G47" s="292">
        <f>G40-SUM(G43:G44)</f>
        <v>0</v>
      </c>
      <c r="H47" s="485" t="str">
        <f>IF(E47=F47+G47," ","ERROR")</f>
        <v> </v>
      </c>
    </row>
    <row r="48" spans="1:8" ht="12">
      <c r="A48" s="278"/>
      <c r="H48" s="485"/>
    </row>
    <row r="49" spans="1:8" ht="12">
      <c r="A49" s="278"/>
      <c r="B49" s="482" t="s">
        <v>109</v>
      </c>
      <c r="H49" s="485"/>
    </row>
    <row r="50" spans="1:8" ht="12">
      <c r="A50" s="278"/>
      <c r="B50" s="482" t="s">
        <v>110</v>
      </c>
      <c r="H50" s="485"/>
    </row>
    <row r="51" spans="1:8" s="485" customFormat="1" ht="12">
      <c r="A51" s="282">
        <v>28</v>
      </c>
      <c r="B51" s="484" t="s">
        <v>159</v>
      </c>
      <c r="E51" s="486"/>
      <c r="F51" s="486"/>
      <c r="G51" s="486"/>
      <c r="H51" s="485" t="str">
        <f aca="true" t="shared" si="1" ref="H51:H61">IF(E51=F51+G51," ","ERROR")</f>
        <v> </v>
      </c>
    </row>
    <row r="52" spans="1:8" ht="12">
      <c r="A52" s="278">
        <v>29</v>
      </c>
      <c r="B52" s="482" t="s">
        <v>160</v>
      </c>
      <c r="E52" s="487"/>
      <c r="F52" s="487"/>
      <c r="G52" s="487"/>
      <c r="H52" s="485" t="str">
        <f t="shared" si="1"/>
        <v> </v>
      </c>
    </row>
    <row r="53" spans="1:8" ht="12">
      <c r="A53" s="278">
        <v>30</v>
      </c>
      <c r="B53" s="482" t="s">
        <v>161</v>
      </c>
      <c r="E53" s="487"/>
      <c r="F53" s="487"/>
      <c r="G53" s="487"/>
      <c r="H53" s="485" t="str">
        <f t="shared" si="1"/>
        <v> </v>
      </c>
    </row>
    <row r="54" spans="1:8" ht="12">
      <c r="A54" s="278">
        <v>31</v>
      </c>
      <c r="B54" s="482" t="s">
        <v>162</v>
      </c>
      <c r="E54" s="487"/>
      <c r="F54" s="487"/>
      <c r="G54" s="487"/>
      <c r="H54" s="485" t="str">
        <f t="shared" si="1"/>
        <v> </v>
      </c>
    </row>
    <row r="55" spans="1:8" ht="12">
      <c r="A55" s="278">
        <v>32</v>
      </c>
      <c r="B55" s="482" t="s">
        <v>163</v>
      </c>
      <c r="E55" s="493"/>
      <c r="F55" s="493"/>
      <c r="G55" s="493"/>
      <c r="H55" s="485" t="str">
        <f t="shared" si="1"/>
        <v> </v>
      </c>
    </row>
    <row r="56" spans="1:8" ht="12">
      <c r="A56" s="278">
        <v>33</v>
      </c>
      <c r="B56" s="482" t="s">
        <v>164</v>
      </c>
      <c r="E56" s="489">
        <f>E51+E52+E53+E54+E55</f>
        <v>0</v>
      </c>
      <c r="F56" s="489">
        <f>F51+F52+F53+F54+F55</f>
        <v>0</v>
      </c>
      <c r="G56" s="489">
        <f>G51+G52+G53+G54+G55</f>
        <v>0</v>
      </c>
      <c r="H56" s="485" t="str">
        <f t="shared" si="1"/>
        <v> </v>
      </c>
    </row>
    <row r="57" spans="1:8" ht="12">
      <c r="A57" s="278">
        <v>34</v>
      </c>
      <c r="B57" s="482" t="s">
        <v>116</v>
      </c>
      <c r="E57" s="487"/>
      <c r="F57" s="487"/>
      <c r="G57" s="487"/>
      <c r="H57" s="485" t="str">
        <f t="shared" si="1"/>
        <v> </v>
      </c>
    </row>
    <row r="58" spans="1:8" ht="12">
      <c r="A58" s="278">
        <v>35</v>
      </c>
      <c r="B58" s="482" t="s">
        <v>117</v>
      </c>
      <c r="E58" s="493"/>
      <c r="F58" s="493"/>
      <c r="G58" s="493"/>
      <c r="H58" s="485" t="str">
        <f t="shared" si="1"/>
        <v> </v>
      </c>
    </row>
    <row r="59" spans="1:8" ht="12">
      <c r="A59" s="278">
        <v>36</v>
      </c>
      <c r="B59" s="482" t="s">
        <v>165</v>
      </c>
      <c r="E59" s="489">
        <f>E57+E58</f>
        <v>0</v>
      </c>
      <c r="F59" s="489">
        <f>F57+F58</f>
        <v>0</v>
      </c>
      <c r="G59" s="489">
        <f>G57+G58</f>
        <v>0</v>
      </c>
      <c r="H59" s="485" t="str">
        <f t="shared" si="1"/>
        <v> </v>
      </c>
    </row>
    <row r="60" spans="1:8" ht="12">
      <c r="A60" s="278">
        <v>37</v>
      </c>
      <c r="B60" s="482" t="s">
        <v>119</v>
      </c>
      <c r="E60" s="487"/>
      <c r="F60" s="487"/>
      <c r="G60" s="487"/>
      <c r="H60" s="485" t="str">
        <f t="shared" si="1"/>
        <v> </v>
      </c>
    </row>
    <row r="61" spans="1:8" ht="12">
      <c r="A61" s="278">
        <v>38</v>
      </c>
      <c r="B61" s="482" t="s">
        <v>120</v>
      </c>
      <c r="E61" s="493"/>
      <c r="F61" s="493"/>
      <c r="G61" s="493"/>
      <c r="H61" s="485" t="str">
        <f t="shared" si="1"/>
        <v> </v>
      </c>
    </row>
    <row r="62" spans="1:8" ht="9" customHeight="1">
      <c r="A62" s="278"/>
      <c r="H62" s="485"/>
    </row>
    <row r="63" spans="1:8" s="485" customFormat="1" ht="12.75" thickBot="1">
      <c r="A63" s="282">
        <v>39</v>
      </c>
      <c r="B63" s="484" t="s">
        <v>121</v>
      </c>
      <c r="E63" s="494">
        <f>E56-E59+E60+E61</f>
        <v>0</v>
      </c>
      <c r="F63" s="494">
        <f>F56-F59+F60+F61</f>
        <v>0</v>
      </c>
      <c r="G63" s="494">
        <f>G56-G59+G60+G61</f>
        <v>0</v>
      </c>
      <c r="H63" s="485" t="str">
        <f>IF(E63=F63+G63," ","ERROR")</f>
        <v> </v>
      </c>
    </row>
    <row r="64" ht="12.75" thickTop="1"/>
    <row r="65" spans="1:8" ht="12">
      <c r="A65" s="476"/>
      <c r="B65" s="495"/>
      <c r="C65" s="495"/>
      <c r="D65" s="495"/>
      <c r="E65" s="496"/>
      <c r="F65" s="497"/>
      <c r="G65" s="495"/>
      <c r="H65" s="495"/>
    </row>
  </sheetData>
  <printOptions horizontalCentered="1"/>
  <pageMargins left="1" right="1" top="0.5" bottom="0.5" header="0.5" footer="0.5"/>
  <pageSetup fitToHeight="2" horizontalDpi="300" verticalDpi="300" orientation="portrait" scale="90" r:id="rId1"/>
  <rowBreaks count="1" manualBreakCount="1">
    <brk id="65" max="65535" man="1"/>
  </rowBreaks>
  <colBreaks count="3" manualBreakCount="3">
    <brk id="7" max="65535" man="1"/>
    <brk id="15" max="65535" man="1"/>
    <brk id="23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20">
      <selection activeCell="G31" sqref="G31"/>
    </sheetView>
  </sheetViews>
  <sheetFormatPr defaultColWidth="9.140625" defaultRowHeight="12.75"/>
  <cols>
    <col min="1" max="1" width="5.57421875" style="44" customWidth="1"/>
    <col min="2" max="2" width="26.140625" style="41" customWidth="1"/>
    <col min="3" max="3" width="12.421875" style="41" customWidth="1"/>
    <col min="4" max="4" width="6.7109375" style="41" customWidth="1"/>
    <col min="5" max="6" width="12.421875" style="41" customWidth="1"/>
    <col min="7" max="7" width="12.140625" style="41" customWidth="1"/>
    <col min="8" max="8" width="12.421875" style="476" customWidth="1"/>
    <col min="9" max="16384" width="9.140625" style="717" customWidth="1"/>
  </cols>
  <sheetData>
    <row r="1" spans="1:3" ht="12" customHeight="1">
      <c r="A1" s="39" t="str">
        <f>Inputs!$D$6</f>
        <v>AVISTA UTILITIES</v>
      </c>
      <c r="B1" s="40"/>
      <c r="C1" s="39"/>
    </row>
    <row r="2" spans="1:7" ht="12" customHeight="1">
      <c r="A2" s="39" t="s">
        <v>134</v>
      </c>
      <c r="B2" s="40"/>
      <c r="C2" s="39"/>
      <c r="E2" s="39"/>
      <c r="F2" s="44" t="s">
        <v>409</v>
      </c>
      <c r="G2" s="39"/>
    </row>
    <row r="3" spans="1:7" ht="12" customHeight="1">
      <c r="A3" s="40" t="str">
        <f>WAElec12_04!$A$4</f>
        <v>TWELVE MONTHS ENDED DECEMBER 31, 2004</v>
      </c>
      <c r="B3" s="40"/>
      <c r="C3" s="39"/>
      <c r="E3" s="39" t="s">
        <v>248</v>
      </c>
      <c r="F3" s="39"/>
      <c r="G3" s="39"/>
    </row>
    <row r="4" spans="1:7" ht="12" customHeight="1">
      <c r="A4" s="39" t="s">
        <v>1</v>
      </c>
      <c r="B4" s="40"/>
      <c r="C4" s="39"/>
      <c r="E4" s="42" t="s">
        <v>137</v>
      </c>
      <c r="F4" s="42"/>
      <c r="G4" s="43"/>
    </row>
    <row r="5" ht="12" customHeight="1">
      <c r="A5" s="44" t="s">
        <v>13</v>
      </c>
    </row>
    <row r="6" spans="1:8" ht="12" customHeight="1">
      <c r="A6" s="44" t="s">
        <v>138</v>
      </c>
      <c r="B6" s="45" t="s">
        <v>34</v>
      </c>
      <c r="C6" s="45"/>
      <c r="D6" s="44"/>
      <c r="E6" s="45" t="s">
        <v>139</v>
      </c>
      <c r="F6" s="45" t="s">
        <v>140</v>
      </c>
      <c r="G6" s="45" t="s">
        <v>123</v>
      </c>
      <c r="H6" s="481" t="s">
        <v>141</v>
      </c>
    </row>
    <row r="7" ht="12" customHeight="1">
      <c r="B7" s="47" t="s">
        <v>80</v>
      </c>
    </row>
    <row r="8" spans="1:8" ht="12" customHeight="1">
      <c r="A8" s="48">
        <v>1</v>
      </c>
      <c r="B8" s="49" t="s">
        <v>81</v>
      </c>
      <c r="C8" s="50"/>
      <c r="D8" s="50"/>
      <c r="E8" s="51">
        <f>F8+G8</f>
        <v>0</v>
      </c>
      <c r="F8" s="51"/>
      <c r="G8" s="51"/>
      <c r="H8" s="485" t="str">
        <f aca="true" t="shared" si="0" ref="H8:H13">IF(E8=F8+G8," ","ERROR")</f>
        <v> </v>
      </c>
    </row>
    <row r="9" spans="1:8" ht="12" customHeight="1">
      <c r="A9" s="44">
        <v>2</v>
      </c>
      <c r="B9" s="47" t="s">
        <v>82</v>
      </c>
      <c r="E9" s="52"/>
      <c r="F9" s="52"/>
      <c r="G9" s="52"/>
      <c r="H9" s="485" t="str">
        <f t="shared" si="0"/>
        <v> </v>
      </c>
    </row>
    <row r="10" spans="1:8" ht="12" customHeight="1">
      <c r="A10" s="44">
        <v>3</v>
      </c>
      <c r="B10" s="47" t="s">
        <v>142</v>
      </c>
      <c r="E10" s="52">
        <f>F10+G10</f>
        <v>0</v>
      </c>
      <c r="F10" s="52">
        <v>0</v>
      </c>
      <c r="G10" s="52">
        <v>0</v>
      </c>
      <c r="H10" s="485" t="str">
        <f t="shared" si="0"/>
        <v> </v>
      </c>
    </row>
    <row r="11" spans="1:8" ht="12" customHeight="1">
      <c r="A11" s="44">
        <v>4</v>
      </c>
      <c r="B11" s="47" t="s">
        <v>143</v>
      </c>
      <c r="E11" s="53">
        <f>E8+E9+E10</f>
        <v>0</v>
      </c>
      <c r="F11" s="53">
        <f>F8+F9+F10</f>
        <v>0</v>
      </c>
      <c r="G11" s="53">
        <f>G8+G9+G10</f>
        <v>0</v>
      </c>
      <c r="H11" s="485" t="str">
        <f t="shared" si="0"/>
        <v> </v>
      </c>
    </row>
    <row r="12" spans="1:8" ht="12" customHeight="1">
      <c r="A12" s="44">
        <v>5</v>
      </c>
      <c r="B12" s="47" t="s">
        <v>85</v>
      </c>
      <c r="E12" s="52">
        <f>F12+G12</f>
        <v>0</v>
      </c>
      <c r="F12" s="52">
        <v>0</v>
      </c>
      <c r="G12" s="52">
        <v>0</v>
      </c>
      <c r="H12" s="485" t="str">
        <f t="shared" si="0"/>
        <v> </v>
      </c>
    </row>
    <row r="13" spans="1:8" ht="12" customHeight="1">
      <c r="A13" s="44">
        <v>6</v>
      </c>
      <c r="B13" s="47" t="s">
        <v>144</v>
      </c>
      <c r="E13" s="53">
        <f>E11+E12</f>
        <v>0</v>
      </c>
      <c r="F13" s="53">
        <f>F11+F12</f>
        <v>0</v>
      </c>
      <c r="G13" s="53">
        <f>G11+G12</f>
        <v>0</v>
      </c>
      <c r="H13" s="485" t="str">
        <f t="shared" si="0"/>
        <v> </v>
      </c>
    </row>
    <row r="14" spans="5:8" ht="12" customHeight="1">
      <c r="E14" s="55"/>
      <c r="F14" s="55"/>
      <c r="G14" s="55"/>
      <c r="H14" s="485"/>
    </row>
    <row r="15" spans="2:8" ht="12" customHeight="1">
      <c r="B15" s="47" t="s">
        <v>87</v>
      </c>
      <c r="E15" s="55"/>
      <c r="F15" s="55"/>
      <c r="G15" s="55"/>
      <c r="H15" s="485"/>
    </row>
    <row r="16" spans="2:8" ht="12" customHeight="1">
      <c r="B16" s="47" t="s">
        <v>88</v>
      </c>
      <c r="E16" s="55"/>
      <c r="F16" s="55"/>
      <c r="G16" s="55"/>
      <c r="H16" s="485"/>
    </row>
    <row r="17" spans="1:8" ht="12" customHeight="1">
      <c r="A17" s="44">
        <v>7</v>
      </c>
      <c r="B17" s="47" t="s">
        <v>145</v>
      </c>
      <c r="E17" s="52">
        <f>F17+G17</f>
        <v>-323</v>
      </c>
      <c r="F17" s="52">
        <v>-211</v>
      </c>
      <c r="G17" s="52">
        <v>-112</v>
      </c>
      <c r="H17" s="485" t="str">
        <f>IF(E17=F17+G17," ","ERROR")</f>
        <v> </v>
      </c>
    </row>
    <row r="18" spans="1:8" ht="12" customHeight="1">
      <c r="A18" s="44">
        <v>8</v>
      </c>
      <c r="B18" s="47" t="s">
        <v>146</v>
      </c>
      <c r="E18" s="52">
        <f>F18+G18</f>
        <v>0</v>
      </c>
      <c r="F18" s="52"/>
      <c r="G18" s="52"/>
      <c r="H18" s="485" t="str">
        <f>IF(E18=F18+G18," ","ERROR")</f>
        <v> </v>
      </c>
    </row>
    <row r="19" spans="1:8" ht="12" customHeight="1">
      <c r="A19" s="44">
        <v>9</v>
      </c>
      <c r="B19" s="47" t="s">
        <v>147</v>
      </c>
      <c r="E19" s="52"/>
      <c r="F19" s="52"/>
      <c r="G19" s="52"/>
      <c r="H19" s="485" t="str">
        <f>IF(E19=F19+G19," ","ERROR")</f>
        <v> </v>
      </c>
    </row>
    <row r="20" spans="1:8" ht="12" customHeight="1">
      <c r="A20" s="44">
        <v>10</v>
      </c>
      <c r="B20" s="47" t="s">
        <v>148</v>
      </c>
      <c r="E20" s="52"/>
      <c r="F20" s="52"/>
      <c r="G20" s="52"/>
      <c r="H20" s="485" t="str">
        <f>IF(E20=F20+G20," ","ERROR")</f>
        <v> </v>
      </c>
    </row>
    <row r="21" spans="1:8" ht="12" customHeight="1">
      <c r="A21" s="44">
        <v>11</v>
      </c>
      <c r="B21" s="47" t="s">
        <v>149</v>
      </c>
      <c r="E21" s="53">
        <f>E17+E18+E19+E20</f>
        <v>-323</v>
      </c>
      <c r="F21" s="53">
        <f>F17+F18+F19+F20</f>
        <v>-211</v>
      </c>
      <c r="G21" s="53">
        <f>G17+G18+G19+G20</f>
        <v>-112</v>
      </c>
      <c r="H21" s="485" t="str">
        <f>IF(E21=F21+G21," ","ERROR")</f>
        <v> </v>
      </c>
    </row>
    <row r="22" spans="5:8" ht="12" customHeight="1">
      <c r="E22" s="55"/>
      <c r="F22" s="55"/>
      <c r="G22" s="55"/>
      <c r="H22" s="485"/>
    </row>
    <row r="23" spans="2:8" ht="12" customHeight="1">
      <c r="B23" s="47" t="s">
        <v>93</v>
      </c>
      <c r="E23" s="55"/>
      <c r="F23" s="55"/>
      <c r="G23" s="55"/>
      <c r="H23" s="485"/>
    </row>
    <row r="24" spans="1:8" ht="12" customHeight="1">
      <c r="A24" s="44">
        <v>12</v>
      </c>
      <c r="B24" s="47" t="s">
        <v>145</v>
      </c>
      <c r="E24" s="52">
        <f>F24+G24</f>
        <v>-218</v>
      </c>
      <c r="F24" s="52">
        <v>-137</v>
      </c>
      <c r="G24" s="52">
        <v>-81</v>
      </c>
      <c r="H24" s="485" t="str">
        <f>IF(E24=F24+G24," ","ERROR")</f>
        <v> </v>
      </c>
    </row>
    <row r="25" spans="1:8" ht="12" customHeight="1">
      <c r="A25" s="44">
        <v>13</v>
      </c>
      <c r="B25" s="47" t="s">
        <v>150</v>
      </c>
      <c r="E25" s="52"/>
      <c r="F25" s="52"/>
      <c r="G25" s="52"/>
      <c r="H25" s="485" t="str">
        <f>IF(E25=F25+G25," ","ERROR")</f>
        <v> </v>
      </c>
    </row>
    <row r="26" spans="1:8" ht="12" customHeight="1">
      <c r="A26" s="44">
        <v>14</v>
      </c>
      <c r="B26" s="47" t="s">
        <v>148</v>
      </c>
      <c r="E26" s="52">
        <f>F26+G26</f>
        <v>3</v>
      </c>
      <c r="F26" s="52"/>
      <c r="G26" s="947">
        <f>F109</f>
        <v>3</v>
      </c>
      <c r="H26" s="485" t="str">
        <f>IF(E26=F26+G26," ","ERROR")</f>
        <v> </v>
      </c>
    </row>
    <row r="27" spans="1:8" ht="12" customHeight="1">
      <c r="A27" s="44">
        <v>15</v>
      </c>
      <c r="B27" s="47" t="s">
        <v>151</v>
      </c>
      <c r="E27" s="53">
        <f>E24+E25+E26</f>
        <v>-215</v>
      </c>
      <c r="F27" s="53">
        <f>F24+F25+F26</f>
        <v>-137</v>
      </c>
      <c r="G27" s="53">
        <f>G24+G25+G26</f>
        <v>-78</v>
      </c>
      <c r="H27" s="485" t="str">
        <f>IF(E27=F27+G27," ","ERROR")</f>
        <v> </v>
      </c>
    </row>
    <row r="28" spans="5:8" ht="12" customHeight="1">
      <c r="E28" s="55"/>
      <c r="F28" s="55"/>
      <c r="G28" s="55"/>
      <c r="H28" s="485"/>
    </row>
    <row r="29" spans="1:8" ht="12" customHeight="1">
      <c r="A29" s="44">
        <v>16</v>
      </c>
      <c r="B29" s="47" t="s">
        <v>96</v>
      </c>
      <c r="E29" s="52">
        <f>F29+G29</f>
        <v>-111</v>
      </c>
      <c r="F29" s="52">
        <v>-73</v>
      </c>
      <c r="G29" s="52">
        <v>-38</v>
      </c>
      <c r="H29" s="485" t="str">
        <f>IF(E29=F29+G29," ","ERROR")</f>
        <v> </v>
      </c>
    </row>
    <row r="30" spans="1:8" ht="12" customHeight="1">
      <c r="A30" s="44">
        <v>17</v>
      </c>
      <c r="B30" s="47" t="s">
        <v>97</v>
      </c>
      <c r="E30" s="52">
        <f>F30+G30</f>
        <v>-2</v>
      </c>
      <c r="F30" s="52">
        <v>-1</v>
      </c>
      <c r="G30" s="52">
        <v>-1</v>
      </c>
      <c r="H30" s="485" t="str">
        <f>IF(E30=F30+G30," ","ERROR")</f>
        <v> </v>
      </c>
    </row>
    <row r="31" spans="1:8" ht="12" customHeight="1">
      <c r="A31" s="44">
        <v>18</v>
      </c>
      <c r="B31" s="47" t="s">
        <v>152</v>
      </c>
      <c r="E31" s="52">
        <f>F31+G31</f>
        <v>-14</v>
      </c>
      <c r="F31" s="52">
        <v>-8</v>
      </c>
      <c r="G31" s="52">
        <v>-6</v>
      </c>
      <c r="H31" s="485" t="str">
        <f>IF(E31=F31+G31," ","ERROR")</f>
        <v> </v>
      </c>
    </row>
    <row r="32" spans="5:8" ht="12" customHeight="1">
      <c r="E32" s="55"/>
      <c r="F32" s="55"/>
      <c r="G32" s="55"/>
      <c r="H32" s="485"/>
    </row>
    <row r="33" spans="2:8" ht="12" customHeight="1">
      <c r="B33" s="47" t="s">
        <v>99</v>
      </c>
      <c r="E33" s="55"/>
      <c r="F33" s="55"/>
      <c r="G33" s="55"/>
      <c r="H33" s="877"/>
    </row>
    <row r="34" spans="1:8" ht="12" customHeight="1">
      <c r="A34" s="44">
        <v>19</v>
      </c>
      <c r="B34" s="47" t="s">
        <v>145</v>
      </c>
      <c r="E34" s="52">
        <f>F34+G34</f>
        <v>-235</v>
      </c>
      <c r="F34" s="52">
        <v>-150</v>
      </c>
      <c r="G34" s="52">
        <v>-85</v>
      </c>
      <c r="H34" s="485" t="str">
        <f>IF(E34=F34+G34," ","ERROR")</f>
        <v> </v>
      </c>
    </row>
    <row r="35" spans="1:8" ht="12" customHeight="1">
      <c r="A35" s="44">
        <v>20</v>
      </c>
      <c r="B35" s="47" t="s">
        <v>150</v>
      </c>
      <c r="E35" s="52"/>
      <c r="F35" s="52"/>
      <c r="G35" s="52"/>
      <c r="H35" s="485" t="str">
        <f>IF(E35=F35+G35," ","ERROR")</f>
        <v> </v>
      </c>
    </row>
    <row r="36" spans="1:8" ht="12" customHeight="1">
      <c r="A36" s="44">
        <v>21</v>
      </c>
      <c r="B36" s="47" t="s">
        <v>148</v>
      </c>
      <c r="E36" s="52"/>
      <c r="F36" s="52"/>
      <c r="G36" s="52"/>
      <c r="H36" s="485" t="str">
        <f>IF(E36=F36+G36," ","ERROR")</f>
        <v> </v>
      </c>
    </row>
    <row r="37" spans="1:8" ht="12" customHeight="1">
      <c r="A37" s="44">
        <v>22</v>
      </c>
      <c r="B37" s="47" t="s">
        <v>153</v>
      </c>
      <c r="E37" s="57">
        <f>E34+E35+E36</f>
        <v>-235</v>
      </c>
      <c r="F37" s="57">
        <f>F34+F35+F36</f>
        <v>-150</v>
      </c>
      <c r="G37" s="57">
        <f>G34+G35+G36</f>
        <v>-85</v>
      </c>
      <c r="H37" s="485" t="str">
        <f>IF(E37=F37+G37," ","ERROR")</f>
        <v> </v>
      </c>
    </row>
    <row r="38" spans="1:8" ht="12" customHeight="1">
      <c r="A38" s="44">
        <v>23</v>
      </c>
      <c r="B38" s="47" t="s">
        <v>101</v>
      </c>
      <c r="E38" s="58">
        <f>E21+E27+E29+E30+E31+E37</f>
        <v>-900</v>
      </c>
      <c r="F38" s="58">
        <f>F21+F27+F29+F30+F31+F37</f>
        <v>-580</v>
      </c>
      <c r="G38" s="58">
        <f>G21+G27+G29+G30+G31+G37</f>
        <v>-320</v>
      </c>
      <c r="H38" s="485" t="str">
        <f>IF(E38=F38+G38," ","ERROR")</f>
        <v> </v>
      </c>
    </row>
    <row r="39" spans="5:8" ht="12" customHeight="1">
      <c r="E39" s="55"/>
      <c r="F39" s="55"/>
      <c r="G39" s="55"/>
      <c r="H39" s="485"/>
    </row>
    <row r="40" spans="1:8" ht="12" customHeight="1">
      <c r="A40" s="44">
        <v>24</v>
      </c>
      <c r="B40" s="47" t="s">
        <v>154</v>
      </c>
      <c r="E40" s="55">
        <f>E13-E38</f>
        <v>900</v>
      </c>
      <c r="F40" s="55">
        <f>F13-F38</f>
        <v>580</v>
      </c>
      <c r="G40" s="55">
        <f>G13-G38</f>
        <v>320</v>
      </c>
      <c r="H40" s="485" t="str">
        <f>IF(E40=F40+G40," ","ERROR")</f>
        <v> </v>
      </c>
    </row>
    <row r="41" spans="2:8" ht="12" customHeight="1">
      <c r="B41" s="47"/>
      <c r="E41" s="55"/>
      <c r="F41" s="55"/>
      <c r="G41" s="55"/>
      <c r="H41" s="485"/>
    </row>
    <row r="42" spans="2:8" ht="12" customHeight="1">
      <c r="B42" s="47" t="s">
        <v>155</v>
      </c>
      <c r="E42" s="55"/>
      <c r="F42" s="55"/>
      <c r="G42" s="55"/>
      <c r="H42" s="485"/>
    </row>
    <row r="43" spans="1:8" ht="12" customHeight="1">
      <c r="A43" s="44">
        <v>25</v>
      </c>
      <c r="B43" s="47" t="s">
        <v>156</v>
      </c>
      <c r="D43" s="59">
        <v>0.35</v>
      </c>
      <c r="E43" s="52">
        <f>F43+G43</f>
        <v>315</v>
      </c>
      <c r="F43" s="52">
        <f>ROUND(F40*$D$43,0)</f>
        <v>203</v>
      </c>
      <c r="G43" s="52">
        <f>ROUND(G40*$D$43,0)</f>
        <v>112</v>
      </c>
      <c r="H43" s="485" t="str">
        <f>IF(E43=F43+G43," ","ERROR")</f>
        <v> </v>
      </c>
    </row>
    <row r="44" spans="1:8" ht="12" customHeight="1">
      <c r="A44" s="44">
        <v>26</v>
      </c>
      <c r="B44" s="47" t="s">
        <v>157</v>
      </c>
      <c r="E44" s="52"/>
      <c r="F44" s="52"/>
      <c r="G44" s="52"/>
      <c r="H44" s="485" t="str">
        <f>IF(E44=F44+G44," ","ERROR")</f>
        <v> </v>
      </c>
    </row>
    <row r="45" spans="1:8" ht="12" customHeight="1">
      <c r="A45"/>
      <c r="B45"/>
      <c r="C45"/>
      <c r="D45"/>
      <c r="E45" s="943"/>
      <c r="F45" s="943"/>
      <c r="G45" s="943"/>
      <c r="H45" s="485" t="str">
        <f>IF(E45=F45+G45," ","ERROR")</f>
        <v> </v>
      </c>
    </row>
    <row r="46" spans="1:8" ht="12" customHeight="1">
      <c r="A46" s="278"/>
      <c r="B46" s="281"/>
      <c r="C46" s="275"/>
      <c r="D46" s="275"/>
      <c r="E46" s="288"/>
      <c r="F46" s="288"/>
      <c r="G46" s="288"/>
      <c r="H46" s="485"/>
    </row>
    <row r="47" spans="1:8" ht="12" customHeight="1">
      <c r="A47" s="282">
        <v>27</v>
      </c>
      <c r="B47" s="283" t="s">
        <v>108</v>
      </c>
      <c r="C47" s="284"/>
      <c r="D47" s="284"/>
      <c r="E47" s="292">
        <f>E40-SUM(E43:E44)</f>
        <v>585</v>
      </c>
      <c r="F47" s="292">
        <f>F40-SUM(F43:F44)</f>
        <v>377</v>
      </c>
      <c r="G47" s="292">
        <f>G40-SUM(G43:G44)</f>
        <v>208</v>
      </c>
      <c r="H47" s="485" t="str">
        <f>IF(E47=F47+G47," ","ERROR")</f>
        <v> </v>
      </c>
    </row>
    <row r="48" spans="1:8" ht="12" customHeight="1">
      <c r="A48" s="278"/>
      <c r="H48" s="485"/>
    </row>
    <row r="49" spans="1:8" ht="12" customHeight="1">
      <c r="A49" s="278"/>
      <c r="B49" s="47" t="s">
        <v>109</v>
      </c>
      <c r="H49" s="485"/>
    </row>
    <row r="50" spans="1:8" ht="12" customHeight="1">
      <c r="A50" s="278"/>
      <c r="B50" s="47" t="s">
        <v>110</v>
      </c>
      <c r="H50" s="485"/>
    </row>
    <row r="51" spans="1:8" ht="12" customHeight="1">
      <c r="A51" s="282">
        <v>28</v>
      </c>
      <c r="B51" s="49" t="s">
        <v>159</v>
      </c>
      <c r="C51" s="50"/>
      <c r="D51" s="50"/>
      <c r="E51" s="51"/>
      <c r="F51" s="51"/>
      <c r="G51" s="51"/>
      <c r="H51" s="485" t="str">
        <f aca="true" t="shared" si="1" ref="H51:H61">IF(E51=F51+G51," ","ERROR")</f>
        <v> </v>
      </c>
    </row>
    <row r="52" spans="1:8" ht="12" customHeight="1">
      <c r="A52" s="278">
        <v>29</v>
      </c>
      <c r="B52" s="47" t="s">
        <v>160</v>
      </c>
      <c r="E52" s="52"/>
      <c r="F52" s="52"/>
      <c r="G52" s="52"/>
      <c r="H52" s="485" t="str">
        <f t="shared" si="1"/>
        <v> </v>
      </c>
    </row>
    <row r="53" spans="1:8" ht="12" customHeight="1">
      <c r="A53" s="278">
        <v>30</v>
      </c>
      <c r="B53" s="47" t="s">
        <v>161</v>
      </c>
      <c r="E53" s="52"/>
      <c r="F53" s="52"/>
      <c r="G53" s="52"/>
      <c r="H53" s="485" t="str">
        <f t="shared" si="1"/>
        <v> </v>
      </c>
    </row>
    <row r="54" spans="1:8" ht="12" customHeight="1">
      <c r="A54" s="278">
        <v>31</v>
      </c>
      <c r="B54" s="47" t="s">
        <v>162</v>
      </c>
      <c r="E54" s="52"/>
      <c r="F54" s="52"/>
      <c r="G54" s="52"/>
      <c r="H54" s="485" t="str">
        <f t="shared" si="1"/>
        <v> </v>
      </c>
    </row>
    <row r="55" spans="1:8" ht="12" customHeight="1">
      <c r="A55" s="278">
        <v>32</v>
      </c>
      <c r="B55" s="47" t="s">
        <v>163</v>
      </c>
      <c r="E55" s="56"/>
      <c r="F55" s="56"/>
      <c r="G55" s="56"/>
      <c r="H55" s="485" t="str">
        <f t="shared" si="1"/>
        <v> </v>
      </c>
    </row>
    <row r="56" spans="1:8" ht="12" customHeight="1">
      <c r="A56" s="278">
        <v>33</v>
      </c>
      <c r="B56" s="47" t="s">
        <v>164</v>
      </c>
      <c r="E56" s="55">
        <f>E51+E52+E53+E54+E55</f>
        <v>0</v>
      </c>
      <c r="F56" s="55">
        <f>F51+F52+F53+F54+F55</f>
        <v>0</v>
      </c>
      <c r="G56" s="55">
        <f>G51+G52+G53+G54+G55</f>
        <v>0</v>
      </c>
      <c r="H56" s="485" t="str">
        <f t="shared" si="1"/>
        <v> </v>
      </c>
    </row>
    <row r="57" spans="1:8" ht="12" customHeight="1">
      <c r="A57" s="278">
        <v>34</v>
      </c>
      <c r="B57" s="47" t="s">
        <v>116</v>
      </c>
      <c r="E57" s="52"/>
      <c r="F57" s="52"/>
      <c r="G57" s="52"/>
      <c r="H57" s="485" t="str">
        <f t="shared" si="1"/>
        <v> </v>
      </c>
    </row>
    <row r="58" spans="1:8" ht="12" customHeight="1">
      <c r="A58" s="278">
        <v>35</v>
      </c>
      <c r="B58" s="47" t="s">
        <v>117</v>
      </c>
      <c r="E58" s="56"/>
      <c r="F58" s="56"/>
      <c r="G58" s="56"/>
      <c r="H58" s="485" t="str">
        <f t="shared" si="1"/>
        <v> </v>
      </c>
    </row>
    <row r="59" spans="1:8" ht="12" customHeight="1">
      <c r="A59" s="278">
        <v>36</v>
      </c>
      <c r="B59" s="47" t="s">
        <v>165</v>
      </c>
      <c r="E59" s="55">
        <f>E57+E58</f>
        <v>0</v>
      </c>
      <c r="F59" s="55">
        <f>F57+F58</f>
        <v>0</v>
      </c>
      <c r="G59" s="55">
        <f>G57+G58</f>
        <v>0</v>
      </c>
      <c r="H59" s="485" t="str">
        <f t="shared" si="1"/>
        <v> </v>
      </c>
    </row>
    <row r="60" spans="1:8" ht="12" customHeight="1">
      <c r="A60" s="278">
        <v>37</v>
      </c>
      <c r="B60" s="47" t="s">
        <v>119</v>
      </c>
      <c r="E60" s="52"/>
      <c r="F60" s="52"/>
      <c r="G60" s="52"/>
      <c r="H60" s="485" t="str">
        <f t="shared" si="1"/>
        <v> </v>
      </c>
    </row>
    <row r="61" spans="1:8" ht="12" customHeight="1">
      <c r="A61" s="278">
        <v>38</v>
      </c>
      <c r="B61" s="47" t="s">
        <v>120</v>
      </c>
      <c r="E61" s="56"/>
      <c r="F61" s="56"/>
      <c r="G61" s="56"/>
      <c r="H61" s="485" t="str">
        <f t="shared" si="1"/>
        <v> </v>
      </c>
    </row>
    <row r="62" spans="1:8" ht="12" customHeight="1">
      <c r="A62" s="278"/>
      <c r="H62" s="485"/>
    </row>
    <row r="63" spans="1:8" ht="12" customHeight="1" thickBot="1">
      <c r="A63" s="282">
        <v>39</v>
      </c>
      <c r="B63" s="49" t="s">
        <v>121</v>
      </c>
      <c r="C63" s="50"/>
      <c r="D63" s="50"/>
      <c r="E63" s="60">
        <f>E56-E59+E60+E61</f>
        <v>0</v>
      </c>
      <c r="F63" s="60">
        <f>F56-F59+F60+F61</f>
        <v>0</v>
      </c>
      <c r="G63" s="60">
        <f>G56-G59+G60+G61</f>
        <v>0</v>
      </c>
      <c r="H63" s="485" t="str">
        <f>IF(E63=F63+G63," ","ERROR")</f>
        <v> </v>
      </c>
    </row>
    <row r="64" ht="12" customHeight="1" thickTop="1"/>
    <row r="65" spans="1:8" ht="12" customHeight="1">
      <c r="A65" s="40" t="str">
        <f>Inputs!$D$6</f>
        <v>AVISTA UTILITIES</v>
      </c>
      <c r="B65" s="40"/>
      <c r="C65" s="40"/>
      <c r="D65" s="66"/>
      <c r="E65" s="719"/>
      <c r="F65" s="66"/>
      <c r="G65" s="720"/>
      <c r="H65" s="496"/>
    </row>
    <row r="66" spans="1:8" ht="12" customHeight="1">
      <c r="A66" s="40" t="s">
        <v>218</v>
      </c>
      <c r="B66" s="40"/>
      <c r="C66" s="40"/>
      <c r="D66" s="66"/>
      <c r="E66" s="719"/>
      <c r="F66" s="66"/>
      <c r="G66" s="720"/>
      <c r="H66" s="496"/>
    </row>
    <row r="67" spans="1:8" ht="12" customHeight="1">
      <c r="A67" s="40" t="str">
        <f>A3</f>
        <v>TWELVE MONTHS ENDED DECEMBER 31, 2004</v>
      </c>
      <c r="B67" s="40"/>
      <c r="C67" s="40"/>
      <c r="D67" s="66"/>
      <c r="E67" s="719"/>
      <c r="F67" s="721" t="str">
        <f>F2</f>
        <v>PENSION</v>
      </c>
      <c r="G67" s="66"/>
      <c r="H67" s="496"/>
    </row>
    <row r="68" spans="1:8" ht="12" customHeight="1">
      <c r="A68" s="40" t="s">
        <v>219</v>
      </c>
      <c r="B68" s="40"/>
      <c r="C68" s="40"/>
      <c r="D68" s="66"/>
      <c r="E68" s="719"/>
      <c r="F68" s="721" t="str">
        <f>E3</f>
        <v>PRO FORMA ADJUSTMENT</v>
      </c>
      <c r="G68" s="66"/>
      <c r="H68" s="496"/>
    </row>
    <row r="69" spans="2:8" ht="12" customHeight="1">
      <c r="B69" s="66"/>
      <c r="C69" s="66"/>
      <c r="D69" s="66"/>
      <c r="E69" s="722"/>
      <c r="F69" s="724" t="str">
        <f>E4</f>
        <v>ELECTRIC</v>
      </c>
      <c r="G69" s="66"/>
      <c r="H69" s="501"/>
    </row>
    <row r="70" spans="2:8" ht="12" customHeight="1">
      <c r="B70" s="66"/>
      <c r="C70" s="66"/>
      <c r="D70" s="66"/>
      <c r="E70" s="719"/>
      <c r="F70" s="721"/>
      <c r="G70" s="729"/>
      <c r="H70" s="496"/>
    </row>
    <row r="71" spans="2:8" ht="12" customHeight="1">
      <c r="B71" s="725" t="s">
        <v>128</v>
      </c>
      <c r="C71" s="723"/>
      <c r="D71" s="66"/>
      <c r="E71" s="719"/>
      <c r="F71" s="724" t="s">
        <v>123</v>
      </c>
      <c r="G71" s="66"/>
      <c r="H71" s="496"/>
    </row>
    <row r="72" spans="2:8" ht="12" customHeight="1">
      <c r="B72" s="47" t="s">
        <v>80</v>
      </c>
      <c r="C72" s="66"/>
      <c r="D72" s="66"/>
      <c r="E72" s="66"/>
      <c r="F72" s="720"/>
      <c r="G72" s="66"/>
      <c r="H72" s="495"/>
    </row>
    <row r="73" spans="2:8" ht="12" customHeight="1">
      <c r="B73" s="49" t="s">
        <v>81</v>
      </c>
      <c r="C73" s="66"/>
      <c r="D73" s="66"/>
      <c r="E73" s="66"/>
      <c r="F73" s="726">
        <f>G8</f>
        <v>0</v>
      </c>
      <c r="G73" s="66"/>
      <c r="H73" s="495"/>
    </row>
    <row r="74" spans="2:8" ht="12" customHeight="1">
      <c r="B74" s="47" t="s">
        <v>82</v>
      </c>
      <c r="C74" s="66"/>
      <c r="D74" s="66"/>
      <c r="E74" s="66"/>
      <c r="F74" s="55">
        <f>G9</f>
        <v>0</v>
      </c>
      <c r="G74" s="66"/>
      <c r="H74" s="495"/>
    </row>
    <row r="75" spans="2:8" ht="12" customHeight="1">
      <c r="B75" s="47" t="s">
        <v>142</v>
      </c>
      <c r="C75" s="66"/>
      <c r="D75" s="66"/>
      <c r="E75" s="66"/>
      <c r="F75" s="58">
        <f>G10</f>
        <v>0</v>
      </c>
      <c r="G75" s="66"/>
      <c r="H75" s="495"/>
    </row>
    <row r="76" spans="2:8" ht="12" customHeight="1">
      <c r="B76" s="47" t="s">
        <v>143</v>
      </c>
      <c r="C76" s="66"/>
      <c r="D76" s="66"/>
      <c r="E76" s="66"/>
      <c r="F76" s="55">
        <f>SUM(F73:F75)</f>
        <v>0</v>
      </c>
      <c r="G76" s="66"/>
      <c r="H76" s="495"/>
    </row>
    <row r="77" spans="2:8" ht="12" customHeight="1">
      <c r="B77" s="47" t="s">
        <v>85</v>
      </c>
      <c r="C77" s="66"/>
      <c r="D77" s="66"/>
      <c r="E77" s="66"/>
      <c r="F77" s="58">
        <f>G12</f>
        <v>0</v>
      </c>
      <c r="G77" s="66"/>
      <c r="H77" s="495"/>
    </row>
    <row r="78" spans="2:8" ht="12" customHeight="1">
      <c r="B78" s="47" t="s">
        <v>144</v>
      </c>
      <c r="C78" s="66"/>
      <c r="D78" s="66"/>
      <c r="E78" s="66"/>
      <c r="F78" s="55">
        <f>F76+F77</f>
        <v>0</v>
      </c>
      <c r="G78" s="66"/>
      <c r="H78" s="495"/>
    </row>
    <row r="79" spans="3:8" ht="12" customHeight="1">
      <c r="C79" s="66"/>
      <c r="D79" s="66"/>
      <c r="E79" s="66"/>
      <c r="F79" s="55"/>
      <c r="G79" s="66"/>
      <c r="H79" s="495"/>
    </row>
    <row r="80" spans="2:8" ht="12" customHeight="1">
      <c r="B80" s="47" t="s">
        <v>87</v>
      </c>
      <c r="C80" s="66"/>
      <c r="D80" s="66"/>
      <c r="E80" s="66"/>
      <c r="F80" s="55"/>
      <c r="G80" s="66"/>
      <c r="H80" s="495"/>
    </row>
    <row r="81" spans="2:8" ht="12" customHeight="1">
      <c r="B81" s="47" t="s">
        <v>88</v>
      </c>
      <c r="C81" s="66"/>
      <c r="D81" s="66"/>
      <c r="E81" s="66"/>
      <c r="F81" s="55"/>
      <c r="G81" s="66"/>
      <c r="H81" s="495"/>
    </row>
    <row r="82" spans="2:8" ht="12" customHeight="1">
      <c r="B82" s="47" t="s">
        <v>145</v>
      </c>
      <c r="C82" s="66"/>
      <c r="D82" s="66"/>
      <c r="E82" s="66"/>
      <c r="F82" s="55">
        <f>G17</f>
        <v>-112</v>
      </c>
      <c r="G82" s="66"/>
      <c r="H82" s="495"/>
    </row>
    <row r="83" spans="2:8" ht="12" customHeight="1">
      <c r="B83" s="47" t="s">
        <v>146</v>
      </c>
      <c r="C83" s="66"/>
      <c r="D83" s="66"/>
      <c r="E83" s="66"/>
      <c r="F83" s="55">
        <f>G18</f>
        <v>0</v>
      </c>
      <c r="G83" s="66"/>
      <c r="H83" s="495"/>
    </row>
    <row r="84" spans="2:8" ht="12" customHeight="1">
      <c r="B84" s="47" t="s">
        <v>147</v>
      </c>
      <c r="C84" s="66"/>
      <c r="D84" s="66"/>
      <c r="E84" s="66"/>
      <c r="F84" s="55">
        <f>G19</f>
        <v>0</v>
      </c>
      <c r="G84" s="66"/>
      <c r="H84" s="495"/>
    </row>
    <row r="85" spans="2:8" ht="12" customHeight="1">
      <c r="B85" s="47" t="s">
        <v>148</v>
      </c>
      <c r="C85" s="66"/>
      <c r="D85" s="66"/>
      <c r="E85" s="66"/>
      <c r="F85" s="58">
        <f>G20</f>
        <v>0</v>
      </c>
      <c r="G85" s="66"/>
      <c r="H85" s="495"/>
    </row>
    <row r="86" spans="2:8" ht="12" customHeight="1">
      <c r="B86" s="47" t="s">
        <v>149</v>
      </c>
      <c r="C86" s="66"/>
      <c r="D86" s="66"/>
      <c r="E86" s="66"/>
      <c r="F86" s="55">
        <f>SUM(F82:F85)</f>
        <v>-112</v>
      </c>
      <c r="G86" s="66"/>
      <c r="H86" s="495"/>
    </row>
    <row r="87" spans="3:8" ht="12" customHeight="1">
      <c r="C87" s="66"/>
      <c r="D87" s="66"/>
      <c r="E87" s="66"/>
      <c r="F87" s="55"/>
      <c r="G87" s="66"/>
      <c r="H87" s="495"/>
    </row>
    <row r="88" spans="2:8" ht="12" customHeight="1">
      <c r="B88" s="47" t="s">
        <v>93</v>
      </c>
      <c r="C88" s="66"/>
      <c r="D88" s="66"/>
      <c r="E88" s="66"/>
      <c r="F88" s="55"/>
      <c r="G88" s="66"/>
      <c r="H88" s="495"/>
    </row>
    <row r="89" spans="2:8" ht="12" customHeight="1">
      <c r="B89" s="47" t="s">
        <v>145</v>
      </c>
      <c r="C89" s="66"/>
      <c r="D89" s="66"/>
      <c r="E89" s="66"/>
      <c r="F89" s="55">
        <f>G24</f>
        <v>-81</v>
      </c>
      <c r="G89" s="66"/>
      <c r="H89" s="495"/>
    </row>
    <row r="90" spans="2:8" ht="12" customHeight="1">
      <c r="B90" s="47" t="s">
        <v>150</v>
      </c>
      <c r="C90" s="66"/>
      <c r="D90" s="66"/>
      <c r="E90" s="66"/>
      <c r="F90" s="55">
        <f>G25</f>
        <v>0</v>
      </c>
      <c r="G90" s="66"/>
      <c r="H90" s="495"/>
    </row>
    <row r="91" spans="1:8" ht="12" customHeight="1">
      <c r="A91" s="41"/>
      <c r="B91" s="47" t="s">
        <v>148</v>
      </c>
      <c r="C91" s="66"/>
      <c r="D91" s="66"/>
      <c r="E91" s="66"/>
      <c r="F91" s="55"/>
      <c r="G91" s="66"/>
      <c r="H91" s="495"/>
    </row>
    <row r="92" spans="1:8" ht="12" customHeight="1">
      <c r="A92" s="41"/>
      <c r="B92" s="47" t="s">
        <v>151</v>
      </c>
      <c r="C92" s="66"/>
      <c r="D92" s="66"/>
      <c r="E92" s="66"/>
      <c r="F92" s="53">
        <f>SUM(F89:F91)</f>
        <v>-81</v>
      </c>
      <c r="G92" s="66"/>
      <c r="H92" s="495"/>
    </row>
    <row r="93" spans="1:8" ht="12" customHeight="1">
      <c r="A93" s="41"/>
      <c r="C93" s="66"/>
      <c r="D93" s="66"/>
      <c r="E93" s="66"/>
      <c r="F93" s="55"/>
      <c r="G93" s="66"/>
      <c r="H93" s="495"/>
    </row>
    <row r="94" spans="1:8" ht="12" customHeight="1">
      <c r="A94" s="41"/>
      <c r="B94" s="47" t="s">
        <v>96</v>
      </c>
      <c r="C94" s="66"/>
      <c r="D94" s="66"/>
      <c r="E94" s="66"/>
      <c r="F94" s="55">
        <f>G29</f>
        <v>-38</v>
      </c>
      <c r="G94" s="66"/>
      <c r="H94" s="495"/>
    </row>
    <row r="95" spans="1:8" ht="12" customHeight="1">
      <c r="A95" s="41"/>
      <c r="B95" s="47" t="s">
        <v>97</v>
      </c>
      <c r="C95" s="66"/>
      <c r="D95" s="66"/>
      <c r="E95" s="66"/>
      <c r="F95" s="55">
        <f>G30</f>
        <v>-1</v>
      </c>
      <c r="G95" s="66"/>
      <c r="H95" s="495"/>
    </row>
    <row r="96" spans="1:8" ht="12" customHeight="1">
      <c r="A96" s="41"/>
      <c r="B96" s="47" t="s">
        <v>152</v>
      </c>
      <c r="C96" s="66"/>
      <c r="D96" s="66"/>
      <c r="E96" s="66"/>
      <c r="F96" s="55">
        <f>G31</f>
        <v>-6</v>
      </c>
      <c r="G96" s="66"/>
      <c r="H96" s="495"/>
    </row>
    <row r="97" spans="1:8" ht="12" customHeight="1">
      <c r="A97" s="41"/>
      <c r="C97" s="66"/>
      <c r="D97" s="66"/>
      <c r="E97" s="66"/>
      <c r="F97" s="55"/>
      <c r="G97" s="66"/>
      <c r="H97" s="495"/>
    </row>
    <row r="98" spans="1:8" ht="12" customHeight="1">
      <c r="A98" s="41"/>
      <c r="B98" s="47" t="s">
        <v>99</v>
      </c>
      <c r="C98" s="66"/>
      <c r="D98" s="66"/>
      <c r="E98" s="66"/>
      <c r="F98" s="55"/>
      <c r="G98" s="66"/>
      <c r="H98" s="495"/>
    </row>
    <row r="99" spans="1:8" ht="12" customHeight="1">
      <c r="A99" s="41"/>
      <c r="B99" s="47" t="s">
        <v>145</v>
      </c>
      <c r="C99" s="66"/>
      <c r="D99" s="66"/>
      <c r="E99" s="66"/>
      <c r="F99" s="55">
        <f>G34</f>
        <v>-85</v>
      </c>
      <c r="G99" s="66"/>
      <c r="H99" s="495"/>
    </row>
    <row r="100" spans="1:8" ht="12" customHeight="1">
      <c r="A100" s="41"/>
      <c r="B100" s="47" t="s">
        <v>150</v>
      </c>
      <c r="C100" s="66"/>
      <c r="D100" s="66"/>
      <c r="E100" s="66"/>
      <c r="F100" s="55">
        <f>G35</f>
        <v>0</v>
      </c>
      <c r="G100" s="66"/>
      <c r="H100" s="495"/>
    </row>
    <row r="101" spans="1:8" ht="12" customHeight="1">
      <c r="A101" s="41"/>
      <c r="B101" s="47" t="s">
        <v>148</v>
      </c>
      <c r="C101" s="66"/>
      <c r="D101" s="66"/>
      <c r="E101" s="66"/>
      <c r="F101" s="58">
        <f>G36</f>
        <v>0</v>
      </c>
      <c r="G101" s="66"/>
      <c r="H101" s="495"/>
    </row>
    <row r="102" spans="1:8" ht="12" customHeight="1">
      <c r="A102" s="41"/>
      <c r="B102" s="47" t="s">
        <v>153</v>
      </c>
      <c r="C102" s="66"/>
      <c r="D102" s="66"/>
      <c r="E102" s="66"/>
      <c r="F102" s="55">
        <f>F99+F100+F101</f>
        <v>-85</v>
      </c>
      <c r="G102" s="66"/>
      <c r="H102" s="495"/>
    </row>
    <row r="103" spans="1:8" ht="12" customHeight="1">
      <c r="A103" s="41"/>
      <c r="B103" s="66"/>
      <c r="C103" s="66"/>
      <c r="D103" s="66"/>
      <c r="E103" s="66"/>
      <c r="F103" s="55"/>
      <c r="G103" s="66"/>
      <c r="H103" s="495"/>
    </row>
    <row r="104" spans="1:8" ht="12" customHeight="1">
      <c r="A104" s="41"/>
      <c r="B104" s="66" t="s">
        <v>101</v>
      </c>
      <c r="C104" s="66"/>
      <c r="D104" s="66"/>
      <c r="E104" s="66"/>
      <c r="F104" s="57">
        <f>F86+F92+F94+F95+F96+F102</f>
        <v>-323</v>
      </c>
      <c r="G104" s="66"/>
      <c r="H104" s="495"/>
    </row>
    <row r="105" spans="1:8" ht="12" customHeight="1">
      <c r="A105" s="41"/>
      <c r="B105" s="66"/>
      <c r="C105" s="66"/>
      <c r="D105" s="66"/>
      <c r="E105" s="66"/>
      <c r="F105" s="55"/>
      <c r="G105" s="66"/>
      <c r="H105" s="495"/>
    </row>
    <row r="106" spans="1:8" ht="12" customHeight="1">
      <c r="A106" s="41"/>
      <c r="B106" s="66" t="s">
        <v>220</v>
      </c>
      <c r="C106" s="66"/>
      <c r="D106" s="66"/>
      <c r="E106" s="66"/>
      <c r="F106" s="58">
        <f>F78-F104</f>
        <v>323</v>
      </c>
      <c r="G106" s="66"/>
      <c r="H106" s="495"/>
    </row>
    <row r="107" spans="1:8" ht="12" customHeight="1">
      <c r="A107" s="41"/>
      <c r="B107" s="66"/>
      <c r="C107" s="66"/>
      <c r="D107" s="66"/>
      <c r="E107" s="66"/>
      <c r="F107" s="55"/>
      <c r="G107" s="66"/>
      <c r="H107" s="495"/>
    </row>
    <row r="108" spans="1:8" ht="12" customHeight="1">
      <c r="A108" s="41"/>
      <c r="B108" s="66" t="s">
        <v>221</v>
      </c>
      <c r="C108" s="66"/>
      <c r="D108" s="66"/>
      <c r="E108" s="719"/>
      <c r="F108" s="55"/>
      <c r="G108" s="66"/>
      <c r="H108" s="495"/>
    </row>
    <row r="109" spans="1:8" ht="12" customHeight="1" thickBot="1">
      <c r="A109" s="41"/>
      <c r="B109" s="727" t="s">
        <v>222</v>
      </c>
      <c r="C109" s="728">
        <f>Inputs!$D$4</f>
        <v>0.01065</v>
      </c>
      <c r="D109" s="66"/>
      <c r="E109" s="719"/>
      <c r="F109" s="60">
        <f>ROUND(F106*C109,0)</f>
        <v>3</v>
      </c>
      <c r="G109" s="66"/>
      <c r="H109" s="495"/>
    </row>
    <row r="110" spans="1:8" ht="12" customHeight="1" thickTop="1">
      <c r="A110" s="41"/>
      <c r="B110" s="66"/>
      <c r="C110" s="66"/>
      <c r="D110" s="66"/>
      <c r="E110" s="719"/>
      <c r="F110" s="720"/>
      <c r="G110" s="66"/>
      <c r="H110" s="495"/>
    </row>
  </sheetData>
  <printOptions/>
  <pageMargins left="1" right="0.75" top="0.5" bottom="0.5" header="0.5" footer="0.5"/>
  <pageSetup horizontalDpi="300" verticalDpi="300" orientation="portrait" scale="90" r:id="rId1"/>
  <rowBreaks count="1" manualBreakCount="1">
    <brk id="64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G110"/>
  <sheetViews>
    <sheetView workbookViewId="0" topLeftCell="B1">
      <selection activeCell="C32" sqref="C32"/>
    </sheetView>
  </sheetViews>
  <sheetFormatPr defaultColWidth="9.140625" defaultRowHeight="12.75"/>
  <cols>
    <col min="1" max="1" width="5.57421875" style="511" customWidth="1"/>
    <col min="2" max="2" width="26.140625" style="510" customWidth="1"/>
    <col min="3" max="3" width="12.421875" style="510" customWidth="1"/>
    <col min="4" max="4" width="6.7109375" style="510" customWidth="1"/>
    <col min="5" max="16384" width="12.421875" style="510" customWidth="1"/>
  </cols>
  <sheetData>
    <row r="1" spans="1:3" ht="12">
      <c r="A1" s="508" t="str">
        <f>Inputs!$D$6</f>
        <v>AVISTA UTILITIES</v>
      </c>
      <c r="B1" s="509"/>
      <c r="C1" s="508"/>
    </row>
    <row r="2" spans="1:7" ht="12">
      <c r="A2" s="508" t="s">
        <v>134</v>
      </c>
      <c r="B2" s="509"/>
      <c r="C2" s="508"/>
      <c r="E2" s="508"/>
      <c r="F2" s="511" t="s">
        <v>282</v>
      </c>
      <c r="G2" s="508"/>
    </row>
    <row r="3" spans="1:7" ht="12">
      <c r="A3" s="509" t="str">
        <f>WAElec12_04!$A$4</f>
        <v>TWELVE MONTHS ENDED DECEMBER 31, 2004</v>
      </c>
      <c r="B3" s="509"/>
      <c r="C3" s="508"/>
      <c r="E3" s="508"/>
      <c r="F3" s="511" t="s">
        <v>496</v>
      </c>
      <c r="G3" s="508"/>
    </row>
    <row r="4" spans="1:7" ht="12">
      <c r="A4" s="508" t="s">
        <v>1</v>
      </c>
      <c r="B4" s="509"/>
      <c r="C4" s="508"/>
      <c r="E4" s="512"/>
      <c r="F4" s="513" t="s">
        <v>137</v>
      </c>
      <c r="G4" s="514"/>
    </row>
    <row r="5" ht="12">
      <c r="A5" s="511" t="s">
        <v>13</v>
      </c>
    </row>
    <row r="6" spans="1:7" s="511" customFormat="1" ht="12">
      <c r="A6" s="511" t="s">
        <v>138</v>
      </c>
      <c r="B6" s="515" t="s">
        <v>34</v>
      </c>
      <c r="C6" s="515"/>
      <c r="E6" s="515" t="s">
        <v>139</v>
      </c>
      <c r="F6" s="515" t="s">
        <v>140</v>
      </c>
      <c r="G6" s="515" t="s">
        <v>123</v>
      </c>
    </row>
    <row r="7" ht="12">
      <c r="B7" s="517" t="s">
        <v>80</v>
      </c>
    </row>
    <row r="8" spans="1:7" s="520" customFormat="1" ht="12">
      <c r="A8" s="518">
        <v>1</v>
      </c>
      <c r="B8" s="519" t="s">
        <v>81</v>
      </c>
      <c r="E8" s="521">
        <f>F8+G8</f>
        <v>0</v>
      </c>
      <c r="F8" s="521"/>
      <c r="G8" s="521"/>
    </row>
    <row r="9" spans="1:7" ht="12">
      <c r="A9" s="511">
        <v>2</v>
      </c>
      <c r="B9" s="517" t="s">
        <v>82</v>
      </c>
      <c r="E9" s="522"/>
      <c r="F9" s="522"/>
      <c r="G9" s="522"/>
    </row>
    <row r="10" spans="1:7" ht="12">
      <c r="A10" s="511">
        <v>3</v>
      </c>
      <c r="B10" s="517" t="s">
        <v>142</v>
      </c>
      <c r="E10" s="522"/>
      <c r="F10" s="522"/>
      <c r="G10" s="522"/>
    </row>
    <row r="11" spans="1:7" ht="12">
      <c r="A11" s="511">
        <v>4</v>
      </c>
      <c r="B11" s="517" t="s">
        <v>143</v>
      </c>
      <c r="E11" s="523">
        <f>E8+E9+E10</f>
        <v>0</v>
      </c>
      <c r="F11" s="523">
        <f>F8+F9+F10</f>
        <v>0</v>
      </c>
      <c r="G11" s="523">
        <f>G8+G9+G10</f>
        <v>0</v>
      </c>
    </row>
    <row r="12" spans="1:7" ht="12">
      <c r="A12" s="511">
        <v>5</v>
      </c>
      <c r="B12" s="517" t="s">
        <v>85</v>
      </c>
      <c r="E12" s="522">
        <f>SUM(F12:G12)</f>
        <v>0</v>
      </c>
      <c r="F12" s="522"/>
      <c r="G12" s="522">
        <v>0</v>
      </c>
    </row>
    <row r="13" spans="1:7" ht="12">
      <c r="A13" s="511">
        <v>6</v>
      </c>
      <c r="B13" s="517" t="s">
        <v>144</v>
      </c>
      <c r="E13" s="523">
        <f>E11+E12</f>
        <v>0</v>
      </c>
      <c r="F13" s="523">
        <f>F11+F12</f>
        <v>0</v>
      </c>
      <c r="G13" s="523">
        <f>G11+G12</f>
        <v>0</v>
      </c>
    </row>
    <row r="14" spans="5:7" ht="12">
      <c r="E14" s="524"/>
      <c r="F14" s="524"/>
      <c r="G14" s="524"/>
    </row>
    <row r="15" spans="2:7" ht="12">
      <c r="B15" s="517" t="s">
        <v>87</v>
      </c>
      <c r="E15" s="524"/>
      <c r="F15" s="524"/>
      <c r="G15" s="524"/>
    </row>
    <row r="16" spans="2:7" ht="12">
      <c r="B16" s="517" t="s">
        <v>88</v>
      </c>
      <c r="E16" s="524"/>
      <c r="F16" s="524"/>
      <c r="G16" s="524"/>
    </row>
    <row r="17" spans="1:7" ht="12">
      <c r="A17" s="511">
        <v>7</v>
      </c>
      <c r="B17" s="517" t="s">
        <v>145</v>
      </c>
      <c r="E17" s="522"/>
      <c r="F17" s="522"/>
      <c r="G17" s="522"/>
    </row>
    <row r="18" spans="1:7" ht="12">
      <c r="A18" s="511">
        <v>8</v>
      </c>
      <c r="B18" s="517" t="s">
        <v>146</v>
      </c>
      <c r="E18" s="522"/>
      <c r="F18" s="522"/>
      <c r="G18" s="522"/>
    </row>
    <row r="19" spans="1:7" ht="12">
      <c r="A19" s="511">
        <v>9</v>
      </c>
      <c r="B19" s="517" t="s">
        <v>147</v>
      </c>
      <c r="E19" s="522"/>
      <c r="F19" s="522"/>
      <c r="G19" s="522"/>
    </row>
    <row r="20" spans="1:7" ht="12">
      <c r="A20" s="511">
        <v>10</v>
      </c>
      <c r="B20" s="517" t="s">
        <v>148</v>
      </c>
      <c r="E20" s="522"/>
      <c r="F20" s="522"/>
      <c r="G20" s="522"/>
    </row>
    <row r="21" spans="1:7" ht="12">
      <c r="A21" s="511">
        <v>11</v>
      </c>
      <c r="B21" s="517" t="s">
        <v>149</v>
      </c>
      <c r="E21" s="523">
        <f>E17+E18+E19+E20</f>
        <v>0</v>
      </c>
      <c r="F21" s="523">
        <f>F17+F18+F19+F20</f>
        <v>0</v>
      </c>
      <c r="G21" s="523">
        <f>G17+G18+G19+G20</f>
        <v>0</v>
      </c>
    </row>
    <row r="22" spans="5:7" ht="12">
      <c r="E22" s="524"/>
      <c r="F22" s="524"/>
      <c r="G22" s="524"/>
    </row>
    <row r="23" spans="2:7" ht="12">
      <c r="B23" s="517" t="s">
        <v>93</v>
      </c>
      <c r="E23" s="524"/>
      <c r="F23" s="524"/>
      <c r="G23" s="524"/>
    </row>
    <row r="24" spans="1:7" ht="12">
      <c r="A24" s="511">
        <v>12</v>
      </c>
      <c r="B24" s="517" t="s">
        <v>145</v>
      </c>
      <c r="E24" s="522"/>
      <c r="F24" s="522"/>
      <c r="G24" s="522"/>
    </row>
    <row r="25" spans="1:7" ht="12">
      <c r="A25" s="511">
        <v>13</v>
      </c>
      <c r="B25" s="517" t="s">
        <v>150</v>
      </c>
      <c r="E25" s="522"/>
      <c r="F25" s="522"/>
      <c r="G25" s="522"/>
    </row>
    <row r="26" spans="1:7" ht="12">
      <c r="A26" s="511">
        <v>14</v>
      </c>
      <c r="B26" s="517" t="s">
        <v>148</v>
      </c>
      <c r="E26" s="522">
        <f>F26+G26</f>
        <v>0</v>
      </c>
      <c r="F26" s="522"/>
      <c r="G26" s="525">
        <f>F109</f>
        <v>0</v>
      </c>
    </row>
    <row r="27" spans="1:7" ht="12">
      <c r="A27" s="511">
        <v>15</v>
      </c>
      <c r="B27" s="517" t="s">
        <v>151</v>
      </c>
      <c r="E27" s="523">
        <f>E24+E25+E26</f>
        <v>0</v>
      </c>
      <c r="F27" s="523">
        <f>F24+F25+F26</f>
        <v>0</v>
      </c>
      <c r="G27" s="523">
        <f>G24+G25+G26</f>
        <v>0</v>
      </c>
    </row>
    <row r="28" spans="5:7" ht="12">
      <c r="E28" s="524"/>
      <c r="F28" s="524"/>
      <c r="G28" s="524"/>
    </row>
    <row r="29" spans="1:7" ht="12">
      <c r="A29" s="511">
        <v>16</v>
      </c>
      <c r="B29" s="517" t="s">
        <v>96</v>
      </c>
      <c r="E29" s="522"/>
      <c r="F29" s="522"/>
      <c r="G29" s="522"/>
    </row>
    <row r="30" spans="1:7" ht="12">
      <c r="A30" s="511">
        <v>17</v>
      </c>
      <c r="B30" s="517" t="s">
        <v>97</v>
      </c>
      <c r="E30" s="522"/>
      <c r="F30" s="522"/>
      <c r="G30" s="522"/>
    </row>
    <row r="31" spans="1:7" ht="12">
      <c r="A31" s="511">
        <v>18</v>
      </c>
      <c r="B31" s="517" t="s">
        <v>152</v>
      </c>
      <c r="E31" s="522"/>
      <c r="F31" s="522"/>
      <c r="G31" s="522"/>
    </row>
    <row r="32" spans="5:7" ht="12">
      <c r="E32" s="524"/>
      <c r="F32" s="524"/>
      <c r="G32" s="524"/>
    </row>
    <row r="33" spans="2:7" ht="12">
      <c r="B33" s="517" t="s">
        <v>99</v>
      </c>
      <c r="E33" s="524"/>
      <c r="F33" s="524"/>
      <c r="G33" s="524"/>
    </row>
    <row r="34" spans="1:7" ht="12">
      <c r="A34" s="511">
        <v>19</v>
      </c>
      <c r="B34" s="517" t="s">
        <v>145</v>
      </c>
      <c r="E34" s="522">
        <f>F34+G34</f>
        <v>-375</v>
      </c>
      <c r="F34" s="522">
        <v>-375</v>
      </c>
      <c r="G34" s="522"/>
    </row>
    <row r="35" spans="1:7" ht="12">
      <c r="A35" s="511">
        <v>20</v>
      </c>
      <c r="B35" s="517" t="s">
        <v>150</v>
      </c>
      <c r="E35" s="522"/>
      <c r="F35" s="522"/>
      <c r="G35" s="522"/>
    </row>
    <row r="36" spans="1:7" ht="12">
      <c r="A36" s="511">
        <v>21</v>
      </c>
      <c r="B36" s="517" t="s">
        <v>148</v>
      </c>
      <c r="E36" s="522"/>
      <c r="F36" s="522"/>
      <c r="G36" s="522"/>
    </row>
    <row r="37" spans="1:7" ht="12">
      <c r="A37" s="511">
        <v>22</v>
      </c>
      <c r="B37" s="517" t="s">
        <v>153</v>
      </c>
      <c r="E37" s="526">
        <f>E34+E35+E36</f>
        <v>-375</v>
      </c>
      <c r="F37" s="526">
        <f>F34+F35+F36</f>
        <v>-375</v>
      </c>
      <c r="G37" s="526">
        <f>G34+G35+G36</f>
        <v>0</v>
      </c>
    </row>
    <row r="38" spans="1:7" ht="12">
      <c r="A38" s="511">
        <v>23</v>
      </c>
      <c r="B38" s="517" t="s">
        <v>101</v>
      </c>
      <c r="E38" s="527">
        <f>E21+E27+E29+E30+E31+E37</f>
        <v>-375</v>
      </c>
      <c r="F38" s="527">
        <f>F21+F27+F29+F30+F31+F37</f>
        <v>-375</v>
      </c>
      <c r="G38" s="527">
        <f>G21+G27+G29+G30+G31+G37</f>
        <v>0</v>
      </c>
    </row>
    <row r="39" spans="5:7" ht="12">
      <c r="E39" s="524"/>
      <c r="F39" s="524"/>
      <c r="G39" s="524"/>
    </row>
    <row r="40" spans="1:7" ht="12">
      <c r="A40" s="511">
        <v>24</v>
      </c>
      <c r="B40" s="517" t="s">
        <v>154</v>
      </c>
      <c r="E40" s="524">
        <f>E13-E38</f>
        <v>375</v>
      </c>
      <c r="F40" s="524">
        <f>F13-F38</f>
        <v>375</v>
      </c>
      <c r="G40" s="524">
        <f>G13-G38</f>
        <v>0</v>
      </c>
    </row>
    <row r="41" spans="2:7" ht="12">
      <c r="B41" s="517"/>
      <c r="E41" s="524"/>
      <c r="F41" s="524"/>
      <c r="G41" s="524"/>
    </row>
    <row r="42" spans="2:7" ht="12">
      <c r="B42" s="517" t="s">
        <v>155</v>
      </c>
      <c r="E42" s="524"/>
      <c r="F42" s="524"/>
      <c r="G42" s="524"/>
    </row>
    <row r="43" spans="1:7" ht="12">
      <c r="A43" s="511">
        <v>25</v>
      </c>
      <c r="B43" s="517" t="s">
        <v>156</v>
      </c>
      <c r="D43" s="528">
        <v>0.35</v>
      </c>
      <c r="E43" s="522">
        <f>F43+G43</f>
        <v>131</v>
      </c>
      <c r="F43" s="522">
        <f>ROUND(F40*D43,0)</f>
        <v>131</v>
      </c>
      <c r="G43" s="522">
        <f>ROUND(G40*D43,0)</f>
        <v>0</v>
      </c>
    </row>
    <row r="44" spans="1:7" ht="12">
      <c r="A44" s="511">
        <v>26</v>
      </c>
      <c r="B44" s="517" t="s">
        <v>157</v>
      </c>
      <c r="E44" s="522"/>
      <c r="F44" s="522"/>
      <c r="G44" s="522"/>
    </row>
    <row r="45" spans="1:7" ht="12.75">
      <c r="A45"/>
      <c r="B45"/>
      <c r="C45"/>
      <c r="D45"/>
      <c r="E45" s="943"/>
      <c r="F45" s="943"/>
      <c r="G45" s="943"/>
    </row>
    <row r="46" spans="1:7" ht="12">
      <c r="A46" s="278"/>
      <c r="B46" s="281"/>
      <c r="C46" s="275"/>
      <c r="D46" s="275"/>
      <c r="E46" s="288"/>
      <c r="F46" s="288"/>
      <c r="G46" s="288"/>
    </row>
    <row r="47" spans="1:7" s="520" customFormat="1" ht="12">
      <c r="A47" s="282">
        <v>27</v>
      </c>
      <c r="B47" s="283" t="s">
        <v>108</v>
      </c>
      <c r="C47" s="284"/>
      <c r="D47" s="284"/>
      <c r="E47" s="292">
        <f>E40-SUM(E43:E44)</f>
        <v>244</v>
      </c>
      <c r="F47" s="292">
        <f>F40-SUM(F43:F44)</f>
        <v>244</v>
      </c>
      <c r="G47" s="292">
        <f>G40-SUM(G43:G44)</f>
        <v>0</v>
      </c>
    </row>
    <row r="48" ht="12">
      <c r="A48" s="278"/>
    </row>
    <row r="49" spans="1:2" ht="12">
      <c r="A49" s="278"/>
      <c r="B49" s="517" t="s">
        <v>109</v>
      </c>
    </row>
    <row r="50" spans="1:2" ht="12">
      <c r="A50" s="278"/>
      <c r="B50" s="517" t="s">
        <v>110</v>
      </c>
    </row>
    <row r="51" spans="1:7" s="520" customFormat="1" ht="12">
      <c r="A51" s="282">
        <v>28</v>
      </c>
      <c r="B51" s="519" t="s">
        <v>159</v>
      </c>
      <c r="E51" s="521"/>
      <c r="F51" s="521"/>
      <c r="G51" s="521"/>
    </row>
    <row r="52" spans="1:7" ht="12">
      <c r="A52" s="278">
        <v>29</v>
      </c>
      <c r="B52" s="517" t="s">
        <v>160</v>
      </c>
      <c r="E52" s="522"/>
      <c r="F52" s="522"/>
      <c r="G52" s="522"/>
    </row>
    <row r="53" spans="1:7" ht="12">
      <c r="A53" s="278">
        <v>30</v>
      </c>
      <c r="B53" s="517" t="s">
        <v>161</v>
      </c>
      <c r="E53" s="522"/>
      <c r="F53" s="522"/>
      <c r="G53" s="522"/>
    </row>
    <row r="54" spans="1:7" ht="12">
      <c r="A54" s="278">
        <v>31</v>
      </c>
      <c r="B54" s="517" t="s">
        <v>162</v>
      </c>
      <c r="E54" s="522"/>
      <c r="F54" s="522"/>
      <c r="G54" s="522"/>
    </row>
    <row r="55" spans="1:7" ht="12">
      <c r="A55" s="278">
        <v>32</v>
      </c>
      <c r="B55" s="517" t="s">
        <v>163</v>
      </c>
      <c r="E55" s="529"/>
      <c r="F55" s="529"/>
      <c r="G55" s="529"/>
    </row>
    <row r="56" spans="1:7" ht="12">
      <c r="A56" s="278">
        <v>33</v>
      </c>
      <c r="B56" s="517" t="s">
        <v>164</v>
      </c>
      <c r="E56" s="524">
        <f>E51+E52+E53+E54+E55</f>
        <v>0</v>
      </c>
      <c r="F56" s="524">
        <f>F51+F52+F53+F54+F55</f>
        <v>0</v>
      </c>
      <c r="G56" s="524">
        <f>G51+G52+G53+G54+G55</f>
        <v>0</v>
      </c>
    </row>
    <row r="57" spans="1:7" ht="12">
      <c r="A57" s="278">
        <v>34</v>
      </c>
      <c r="B57" s="517" t="s">
        <v>116</v>
      </c>
      <c r="E57" s="522"/>
      <c r="F57" s="522"/>
      <c r="G57" s="522"/>
    </row>
    <row r="58" spans="1:7" ht="12">
      <c r="A58" s="278">
        <v>35</v>
      </c>
      <c r="B58" s="517" t="s">
        <v>117</v>
      </c>
      <c r="E58" s="529"/>
      <c r="F58" s="529"/>
      <c r="G58" s="529"/>
    </row>
    <row r="59" spans="1:7" ht="12">
      <c r="A59" s="278">
        <v>36</v>
      </c>
      <c r="B59" s="517" t="s">
        <v>165</v>
      </c>
      <c r="E59" s="524">
        <f>E57+E58</f>
        <v>0</v>
      </c>
      <c r="F59" s="524">
        <f>F57+F58</f>
        <v>0</v>
      </c>
      <c r="G59" s="524">
        <f>G57+G58</f>
        <v>0</v>
      </c>
    </row>
    <row r="60" spans="1:7" ht="12">
      <c r="A60" s="278">
        <v>37</v>
      </c>
      <c r="B60" s="517" t="s">
        <v>119</v>
      </c>
      <c r="E60" s="522"/>
      <c r="F60" s="522"/>
      <c r="G60" s="522"/>
    </row>
    <row r="61" spans="1:7" ht="12">
      <c r="A61" s="278">
        <v>38</v>
      </c>
      <c r="B61" s="517" t="s">
        <v>120</v>
      </c>
      <c r="E61" s="529"/>
      <c r="F61" s="529"/>
      <c r="G61" s="529"/>
    </row>
    <row r="62" ht="9" customHeight="1">
      <c r="A62" s="278"/>
    </row>
    <row r="63" spans="1:7" s="520" customFormat="1" ht="12.75" thickBot="1">
      <c r="A63" s="282">
        <v>39</v>
      </c>
      <c r="B63" s="519" t="s">
        <v>121</v>
      </c>
      <c r="E63" s="530">
        <f>E56-E59+E60+E61</f>
        <v>0</v>
      </c>
      <c r="F63" s="530">
        <f>F56-F59+F60+F61</f>
        <v>0</v>
      </c>
      <c r="G63" s="530">
        <f>G56-G59+G60+G61</f>
        <v>0</v>
      </c>
    </row>
    <row r="64" ht="12.75" thickTop="1"/>
    <row r="65" spans="1:7" ht="12">
      <c r="A65" s="509" t="str">
        <f>Inputs!$D$6</f>
        <v>AVISTA UTILITIES</v>
      </c>
      <c r="B65" s="509"/>
      <c r="C65" s="509"/>
      <c r="D65" s="531"/>
      <c r="E65" s="532"/>
      <c r="F65" s="531"/>
      <c r="G65" s="533"/>
    </row>
    <row r="66" spans="1:7" ht="12">
      <c r="A66" s="509" t="s">
        <v>218</v>
      </c>
      <c r="B66" s="509"/>
      <c r="C66" s="509"/>
      <c r="D66" s="531"/>
      <c r="E66" s="532"/>
      <c r="F66" s="531"/>
      <c r="G66" s="533"/>
    </row>
    <row r="67" spans="1:7" ht="12">
      <c r="A67" s="509" t="str">
        <f>A3</f>
        <v>TWELVE MONTHS ENDED DECEMBER 31, 2004</v>
      </c>
      <c r="B67" s="509"/>
      <c r="C67" s="509"/>
      <c r="D67" s="531"/>
      <c r="E67" s="532"/>
      <c r="F67" s="534" t="str">
        <f>F2</f>
        <v>PRO FORMA</v>
      </c>
      <c r="G67" s="531"/>
    </row>
    <row r="68" spans="1:7" ht="12">
      <c r="A68" s="509" t="s">
        <v>219</v>
      </c>
      <c r="B68" s="509"/>
      <c r="C68" s="509"/>
      <c r="D68" s="531"/>
      <c r="E68" s="532"/>
      <c r="F68" s="534" t="str">
        <f>F3</f>
        <v>INSURANCE</v>
      </c>
      <c r="G68" s="531"/>
    </row>
    <row r="69" spans="2:7" ht="12">
      <c r="B69" s="531"/>
      <c r="C69" s="531"/>
      <c r="D69" s="531"/>
      <c r="E69" s="535"/>
      <c r="F69" s="536" t="str">
        <f>F4</f>
        <v>ELECTRIC</v>
      </c>
      <c r="G69" s="531"/>
    </row>
    <row r="70" spans="2:7" ht="12">
      <c r="B70" s="531"/>
      <c r="C70" s="531"/>
      <c r="D70" s="531"/>
      <c r="E70" s="532"/>
      <c r="F70" s="534"/>
      <c r="G70" s="538"/>
    </row>
    <row r="71" spans="2:7" ht="12">
      <c r="B71" s="539" t="s">
        <v>128</v>
      </c>
      <c r="C71" s="540"/>
      <c r="D71" s="531"/>
      <c r="E71" s="532"/>
      <c r="F71" s="536" t="s">
        <v>123</v>
      </c>
      <c r="G71" s="531"/>
    </row>
    <row r="72" spans="2:7" ht="12">
      <c r="B72" s="517" t="s">
        <v>80</v>
      </c>
      <c r="C72" s="531"/>
      <c r="D72" s="531"/>
      <c r="E72" s="531"/>
      <c r="F72" s="533"/>
      <c r="G72" s="531"/>
    </row>
    <row r="73" spans="2:7" ht="12">
      <c r="B73" s="519" t="s">
        <v>81</v>
      </c>
      <c r="C73" s="531"/>
      <c r="D73" s="531"/>
      <c r="E73" s="531"/>
      <c r="F73" s="541">
        <f>G8</f>
        <v>0</v>
      </c>
      <c r="G73" s="531"/>
    </row>
    <row r="74" spans="2:7" ht="12">
      <c r="B74" s="517" t="s">
        <v>82</v>
      </c>
      <c r="C74" s="531"/>
      <c r="D74" s="531"/>
      <c r="E74" s="531"/>
      <c r="F74" s="524">
        <f>G9</f>
        <v>0</v>
      </c>
      <c r="G74" s="531"/>
    </row>
    <row r="75" spans="2:7" ht="12">
      <c r="B75" s="517" t="s">
        <v>142</v>
      </c>
      <c r="C75" s="531"/>
      <c r="D75" s="531"/>
      <c r="E75" s="531"/>
      <c r="F75" s="527">
        <f>G10</f>
        <v>0</v>
      </c>
      <c r="G75" s="531"/>
    </row>
    <row r="76" spans="2:7" ht="12">
      <c r="B76" s="517" t="s">
        <v>143</v>
      </c>
      <c r="C76" s="531"/>
      <c r="D76" s="531"/>
      <c r="E76" s="531"/>
      <c r="F76" s="524">
        <f>SUM(F73:F75)</f>
        <v>0</v>
      </c>
      <c r="G76" s="531"/>
    </row>
    <row r="77" spans="2:7" ht="12">
      <c r="B77" s="517" t="s">
        <v>85</v>
      </c>
      <c r="C77" s="531"/>
      <c r="D77" s="531"/>
      <c r="E77" s="531"/>
      <c r="F77" s="527">
        <f>G12</f>
        <v>0</v>
      </c>
      <c r="G77" s="531"/>
    </row>
    <row r="78" spans="2:7" ht="12">
      <c r="B78" s="517" t="s">
        <v>144</v>
      </c>
      <c r="C78" s="531"/>
      <c r="D78" s="531"/>
      <c r="E78" s="531"/>
      <c r="F78" s="524">
        <f>F76+F77</f>
        <v>0</v>
      </c>
      <c r="G78" s="531"/>
    </row>
    <row r="79" spans="3:7" ht="12">
      <c r="C79" s="531"/>
      <c r="D79" s="531"/>
      <c r="E79" s="531"/>
      <c r="F79" s="524"/>
      <c r="G79" s="531"/>
    </row>
    <row r="80" spans="2:7" ht="12">
      <c r="B80" s="517" t="s">
        <v>87</v>
      </c>
      <c r="C80" s="531"/>
      <c r="D80" s="531"/>
      <c r="E80" s="531"/>
      <c r="F80" s="524"/>
      <c r="G80" s="531"/>
    </row>
    <row r="81" spans="2:7" ht="12">
      <c r="B81" s="517" t="s">
        <v>88</v>
      </c>
      <c r="C81" s="531"/>
      <c r="D81" s="531"/>
      <c r="E81" s="531"/>
      <c r="F81" s="524"/>
      <c r="G81" s="531"/>
    </row>
    <row r="82" spans="2:7" ht="12">
      <c r="B82" s="517" t="s">
        <v>145</v>
      </c>
      <c r="C82" s="531"/>
      <c r="D82" s="531"/>
      <c r="E82" s="531"/>
      <c r="F82" s="524">
        <f>G17</f>
        <v>0</v>
      </c>
      <c r="G82" s="531"/>
    </row>
    <row r="83" spans="2:7" ht="12">
      <c r="B83" s="517" t="s">
        <v>146</v>
      </c>
      <c r="C83" s="531"/>
      <c r="D83" s="531"/>
      <c r="E83" s="531"/>
      <c r="F83" s="524">
        <f>G18</f>
        <v>0</v>
      </c>
      <c r="G83" s="531"/>
    </row>
    <row r="84" spans="2:7" ht="12">
      <c r="B84" s="517" t="s">
        <v>147</v>
      </c>
      <c r="C84" s="531"/>
      <c r="D84" s="531"/>
      <c r="E84" s="531"/>
      <c r="F84" s="524">
        <f>G19</f>
        <v>0</v>
      </c>
      <c r="G84" s="531"/>
    </row>
    <row r="85" spans="2:7" ht="12">
      <c r="B85" s="517" t="s">
        <v>148</v>
      </c>
      <c r="C85" s="531"/>
      <c r="D85" s="531"/>
      <c r="E85" s="531"/>
      <c r="F85" s="527">
        <f>G20</f>
        <v>0</v>
      </c>
      <c r="G85" s="531"/>
    </row>
    <row r="86" spans="2:7" ht="12">
      <c r="B86" s="517" t="s">
        <v>149</v>
      </c>
      <c r="C86" s="531"/>
      <c r="D86" s="531"/>
      <c r="E86" s="531"/>
      <c r="F86" s="524">
        <f>SUM(F82:F85)</f>
        <v>0</v>
      </c>
      <c r="G86" s="531"/>
    </row>
    <row r="87" spans="3:7" ht="12">
      <c r="C87" s="531"/>
      <c r="D87" s="531"/>
      <c r="E87" s="531"/>
      <c r="F87" s="524"/>
      <c r="G87" s="531"/>
    </row>
    <row r="88" spans="2:7" ht="12">
      <c r="B88" s="517" t="s">
        <v>93</v>
      </c>
      <c r="C88" s="531"/>
      <c r="D88" s="531"/>
      <c r="E88" s="531"/>
      <c r="F88" s="524"/>
      <c r="G88" s="531"/>
    </row>
    <row r="89" spans="2:7" ht="12">
      <c r="B89" s="517" t="s">
        <v>145</v>
      </c>
      <c r="C89" s="531"/>
      <c r="D89" s="531"/>
      <c r="E89" s="531"/>
      <c r="F89" s="524">
        <f>G24</f>
        <v>0</v>
      </c>
      <c r="G89" s="531"/>
    </row>
    <row r="90" spans="2:7" ht="12">
      <c r="B90" s="517" t="s">
        <v>150</v>
      </c>
      <c r="C90" s="531"/>
      <c r="D90" s="531"/>
      <c r="E90" s="531"/>
      <c r="F90" s="524">
        <f>G25</f>
        <v>0</v>
      </c>
      <c r="G90" s="531"/>
    </row>
    <row r="91" spans="1:7" ht="12">
      <c r="A91" s="510"/>
      <c r="B91" s="517" t="s">
        <v>148</v>
      </c>
      <c r="C91" s="531"/>
      <c r="D91" s="531"/>
      <c r="E91" s="531"/>
      <c r="F91" s="524">
        <v>0</v>
      </c>
      <c r="G91" s="531"/>
    </row>
    <row r="92" spans="1:7" ht="12">
      <c r="A92" s="510"/>
      <c r="B92" s="517" t="s">
        <v>151</v>
      </c>
      <c r="C92" s="531"/>
      <c r="D92" s="531"/>
      <c r="E92" s="531"/>
      <c r="F92" s="523">
        <f>SUM(F89:F91)</f>
        <v>0</v>
      </c>
      <c r="G92" s="531"/>
    </row>
    <row r="93" spans="1:7" ht="12">
      <c r="A93" s="510"/>
      <c r="C93" s="531"/>
      <c r="D93" s="531"/>
      <c r="E93" s="531"/>
      <c r="F93" s="524"/>
      <c r="G93" s="531"/>
    </row>
    <row r="94" spans="1:7" ht="12">
      <c r="A94" s="510"/>
      <c r="B94" s="517" t="s">
        <v>96</v>
      </c>
      <c r="C94" s="531"/>
      <c r="D94" s="531"/>
      <c r="E94" s="531"/>
      <c r="F94" s="524">
        <f>G29</f>
        <v>0</v>
      </c>
      <c r="G94" s="531"/>
    </row>
    <row r="95" spans="1:7" ht="12">
      <c r="A95" s="510"/>
      <c r="B95" s="517" t="s">
        <v>97</v>
      </c>
      <c r="C95" s="531"/>
      <c r="D95" s="531"/>
      <c r="E95" s="531"/>
      <c r="F95" s="524">
        <f>G30</f>
        <v>0</v>
      </c>
      <c r="G95" s="531"/>
    </row>
    <row r="96" spans="1:7" ht="12">
      <c r="A96" s="510"/>
      <c r="B96" s="517" t="s">
        <v>152</v>
      </c>
      <c r="C96" s="531"/>
      <c r="D96" s="531"/>
      <c r="E96" s="531"/>
      <c r="F96" s="524">
        <f>G31</f>
        <v>0</v>
      </c>
      <c r="G96" s="531"/>
    </row>
    <row r="97" spans="1:7" ht="12">
      <c r="A97" s="510"/>
      <c r="C97" s="531"/>
      <c r="D97" s="531"/>
      <c r="E97" s="531"/>
      <c r="F97" s="524"/>
      <c r="G97" s="531"/>
    </row>
    <row r="98" spans="1:7" ht="12">
      <c r="A98" s="510"/>
      <c r="B98" s="517" t="s">
        <v>99</v>
      </c>
      <c r="C98" s="531"/>
      <c r="D98" s="531"/>
      <c r="E98" s="531"/>
      <c r="F98" s="524"/>
      <c r="G98" s="531"/>
    </row>
    <row r="99" spans="1:7" ht="12">
      <c r="A99" s="510"/>
      <c r="B99" s="517" t="s">
        <v>145</v>
      </c>
      <c r="C99" s="531"/>
      <c r="D99" s="531"/>
      <c r="E99" s="531"/>
      <c r="F99" s="524">
        <f>G34</f>
        <v>0</v>
      </c>
      <c r="G99" s="531"/>
    </row>
    <row r="100" spans="1:7" ht="12">
      <c r="A100" s="510"/>
      <c r="B100" s="517" t="s">
        <v>150</v>
      </c>
      <c r="C100" s="531"/>
      <c r="D100" s="531"/>
      <c r="E100" s="531"/>
      <c r="F100" s="524">
        <f>G35</f>
        <v>0</v>
      </c>
      <c r="G100" s="531"/>
    </row>
    <row r="101" spans="1:7" ht="12">
      <c r="A101" s="510"/>
      <c r="B101" s="517" t="s">
        <v>148</v>
      </c>
      <c r="C101" s="531"/>
      <c r="D101" s="531"/>
      <c r="E101" s="531"/>
      <c r="F101" s="527">
        <f>G36</f>
        <v>0</v>
      </c>
      <c r="G101" s="531"/>
    </row>
    <row r="102" spans="1:7" ht="12">
      <c r="A102" s="510"/>
      <c r="B102" s="517" t="s">
        <v>153</v>
      </c>
      <c r="C102" s="531"/>
      <c r="D102" s="531"/>
      <c r="E102" s="531"/>
      <c r="F102" s="524">
        <f>F99+F100+F101</f>
        <v>0</v>
      </c>
      <c r="G102" s="531"/>
    </row>
    <row r="103" spans="1:7" ht="12">
      <c r="A103" s="510"/>
      <c r="B103" s="531"/>
      <c r="C103" s="531"/>
      <c r="D103" s="531"/>
      <c r="E103" s="531"/>
      <c r="F103" s="524"/>
      <c r="G103" s="531"/>
    </row>
    <row r="104" spans="1:7" ht="12">
      <c r="A104" s="510"/>
      <c r="B104" s="531" t="s">
        <v>101</v>
      </c>
      <c r="C104" s="531"/>
      <c r="D104" s="531"/>
      <c r="E104" s="531"/>
      <c r="F104" s="526">
        <f>F86+F92+F94+F95+F96+F102</f>
        <v>0</v>
      </c>
      <c r="G104" s="531"/>
    </row>
    <row r="105" spans="1:7" ht="12">
      <c r="A105" s="510"/>
      <c r="B105" s="531"/>
      <c r="C105" s="531"/>
      <c r="D105" s="531"/>
      <c r="E105" s="531"/>
      <c r="F105" s="524"/>
      <c r="G105" s="531"/>
    </row>
    <row r="106" spans="1:7" ht="12">
      <c r="A106" s="510"/>
      <c r="B106" s="531" t="s">
        <v>220</v>
      </c>
      <c r="C106" s="531"/>
      <c r="D106" s="531"/>
      <c r="E106" s="531"/>
      <c r="F106" s="527">
        <f>F78-F104</f>
        <v>0</v>
      </c>
      <c r="G106" s="531"/>
    </row>
    <row r="107" spans="1:7" ht="12">
      <c r="A107" s="510"/>
      <c r="B107" s="531"/>
      <c r="C107" s="531"/>
      <c r="D107" s="531"/>
      <c r="E107" s="531"/>
      <c r="F107" s="524"/>
      <c r="G107" s="531"/>
    </row>
    <row r="108" spans="1:7" ht="12">
      <c r="A108" s="510"/>
      <c r="B108" s="531" t="s">
        <v>221</v>
      </c>
      <c r="C108" s="531"/>
      <c r="D108" s="531"/>
      <c r="E108" s="532"/>
      <c r="F108" s="524"/>
      <c r="G108" s="531"/>
    </row>
    <row r="109" spans="1:7" ht="12.75" thickBot="1">
      <c r="A109" s="510"/>
      <c r="B109" s="543" t="s">
        <v>222</v>
      </c>
      <c r="C109" s="544">
        <f>Inputs!$D$4</f>
        <v>0.01065</v>
      </c>
      <c r="D109" s="531"/>
      <c r="E109" s="532"/>
      <c r="F109" s="530">
        <f>ROUND(F106*C109,0)</f>
        <v>0</v>
      </c>
      <c r="G109" s="531"/>
    </row>
    <row r="110" spans="1:7" ht="12.75" thickTop="1">
      <c r="A110" s="510"/>
      <c r="B110" s="531"/>
      <c r="C110" s="531"/>
      <c r="D110" s="531"/>
      <c r="E110" s="532"/>
      <c r="F110" s="531"/>
      <c r="G110" s="533"/>
    </row>
  </sheetData>
  <printOptions/>
  <pageMargins left="0.75" right="0.75" top="0.5" bottom="0.5" header="0.5" footer="0.5"/>
  <pageSetup horizontalDpi="600" verticalDpi="600" orientation="portrait" scale="90" r:id="rId1"/>
  <rowBreaks count="1" manualBreakCount="1">
    <brk id="64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110"/>
  <sheetViews>
    <sheetView workbookViewId="0" topLeftCell="A13">
      <selection activeCell="F34" sqref="F34:G34"/>
    </sheetView>
  </sheetViews>
  <sheetFormatPr defaultColWidth="9.140625" defaultRowHeight="12.75"/>
  <cols>
    <col min="1" max="1" width="5.57421875" style="511" customWidth="1"/>
    <col min="2" max="2" width="26.140625" style="510" customWidth="1"/>
    <col min="3" max="3" width="12.421875" style="510" customWidth="1"/>
    <col min="4" max="4" width="6.7109375" style="510" customWidth="1"/>
    <col min="5" max="16384" width="12.421875" style="510" customWidth="1"/>
  </cols>
  <sheetData>
    <row r="1" spans="1:3" ht="12">
      <c r="A1" s="508" t="str">
        <f>Inputs!$D$6</f>
        <v>AVISTA UTILITIES</v>
      </c>
      <c r="B1" s="509"/>
      <c r="C1" s="508"/>
    </row>
    <row r="2" spans="1:7" ht="12">
      <c r="A2" s="508" t="s">
        <v>134</v>
      </c>
      <c r="B2" s="509"/>
      <c r="C2" s="508"/>
      <c r="E2" s="508"/>
      <c r="F2" s="511" t="s">
        <v>475</v>
      </c>
      <c r="G2" s="508"/>
    </row>
    <row r="3" spans="1:7" ht="12">
      <c r="A3" s="509" t="str">
        <f>WAElec12_04!$A$4</f>
        <v>TWELVE MONTHS ENDED DECEMBER 31, 2004</v>
      </c>
      <c r="B3" s="509"/>
      <c r="C3" s="508"/>
      <c r="E3" s="508"/>
      <c r="F3" s="511" t="s">
        <v>282</v>
      </c>
      <c r="G3" s="508"/>
    </row>
    <row r="4" spans="1:7" ht="12">
      <c r="A4" s="508" t="s">
        <v>1</v>
      </c>
      <c r="B4" s="509"/>
      <c r="C4" s="508"/>
      <c r="E4" s="512"/>
      <c r="F4" s="513" t="s">
        <v>137</v>
      </c>
      <c r="G4" s="514"/>
    </row>
    <row r="5" ht="12">
      <c r="A5" s="511" t="s">
        <v>13</v>
      </c>
    </row>
    <row r="6" spans="1:7" s="511" customFormat="1" ht="12">
      <c r="A6" s="511" t="s">
        <v>138</v>
      </c>
      <c r="B6" s="515" t="s">
        <v>34</v>
      </c>
      <c r="C6" s="515"/>
      <c r="E6" s="515" t="s">
        <v>139</v>
      </c>
      <c r="F6" s="515" t="s">
        <v>140</v>
      </c>
      <c r="G6" s="515" t="s">
        <v>123</v>
      </c>
    </row>
    <row r="7" ht="12">
      <c r="B7" s="517" t="s">
        <v>80</v>
      </c>
    </row>
    <row r="8" spans="1:7" s="520" customFormat="1" ht="12">
      <c r="A8" s="518">
        <v>1</v>
      </c>
      <c r="B8" s="519" t="s">
        <v>81</v>
      </c>
      <c r="E8" s="521">
        <f>F8+G8</f>
        <v>0</v>
      </c>
      <c r="F8" s="521"/>
      <c r="G8" s="521"/>
    </row>
    <row r="9" spans="1:7" ht="12">
      <c r="A9" s="511">
        <v>2</v>
      </c>
      <c r="B9" s="517" t="s">
        <v>82</v>
      </c>
      <c r="E9" s="522"/>
      <c r="F9" s="522"/>
      <c r="G9" s="522"/>
    </row>
    <row r="10" spans="1:7" ht="12">
      <c r="A10" s="511">
        <v>3</v>
      </c>
      <c r="B10" s="517" t="s">
        <v>142</v>
      </c>
      <c r="E10" s="522"/>
      <c r="F10" s="522"/>
      <c r="G10" s="522"/>
    </row>
    <row r="11" spans="1:7" ht="12">
      <c r="A11" s="511">
        <v>4</v>
      </c>
      <c r="B11" s="517" t="s">
        <v>143</v>
      </c>
      <c r="E11" s="523">
        <f>E8+E9+E10</f>
        <v>0</v>
      </c>
      <c r="F11" s="523">
        <f>F8+F9+F10</f>
        <v>0</v>
      </c>
      <c r="G11" s="523">
        <f>G8+G9+G10</f>
        <v>0</v>
      </c>
    </row>
    <row r="12" spans="1:7" ht="12">
      <c r="A12" s="511">
        <v>5</v>
      </c>
      <c r="B12" s="517" t="s">
        <v>85</v>
      </c>
      <c r="E12" s="522">
        <f>SUM(F12:G12)</f>
        <v>0</v>
      </c>
      <c r="F12" s="522"/>
      <c r="G12" s="522">
        <v>0</v>
      </c>
    </row>
    <row r="13" spans="1:7" ht="12">
      <c r="A13" s="511">
        <v>6</v>
      </c>
      <c r="B13" s="517" t="s">
        <v>144</v>
      </c>
      <c r="E13" s="523">
        <f>E11+E12</f>
        <v>0</v>
      </c>
      <c r="F13" s="523">
        <f>F11+F12</f>
        <v>0</v>
      </c>
      <c r="G13" s="523">
        <f>G11+G12</f>
        <v>0</v>
      </c>
    </row>
    <row r="14" spans="5:7" ht="12">
      <c r="E14" s="524"/>
      <c r="F14" s="524"/>
      <c r="G14" s="524"/>
    </row>
    <row r="15" spans="2:7" ht="12">
      <c r="B15" s="517" t="s">
        <v>87</v>
      </c>
      <c r="E15" s="524"/>
      <c r="F15" s="524"/>
      <c r="G15" s="524"/>
    </row>
    <row r="16" spans="2:7" ht="12">
      <c r="B16" s="517" t="s">
        <v>88</v>
      </c>
      <c r="E16" s="524"/>
      <c r="F16" s="524"/>
      <c r="G16" s="524"/>
    </row>
    <row r="17" spans="1:7" ht="12">
      <c r="A17" s="511">
        <v>7</v>
      </c>
      <c r="B17" s="517" t="s">
        <v>145</v>
      </c>
      <c r="E17" s="522">
        <f>F17+G17</f>
        <v>1172</v>
      </c>
      <c r="F17" s="522">
        <v>764</v>
      </c>
      <c r="G17" s="522">
        <v>408</v>
      </c>
    </row>
    <row r="18" spans="1:7" ht="12">
      <c r="A18" s="511">
        <v>8</v>
      </c>
      <c r="B18" s="517" t="s">
        <v>146</v>
      </c>
      <c r="E18" s="522"/>
      <c r="F18" s="522"/>
      <c r="G18" s="522"/>
    </row>
    <row r="19" spans="1:7" ht="12">
      <c r="A19" s="511">
        <v>9</v>
      </c>
      <c r="B19" s="517" t="s">
        <v>147</v>
      </c>
      <c r="E19" s="522"/>
      <c r="F19" s="522"/>
      <c r="G19" s="522"/>
    </row>
    <row r="20" spans="1:7" ht="12">
      <c r="A20" s="511">
        <v>10</v>
      </c>
      <c r="B20" s="517" t="s">
        <v>148</v>
      </c>
      <c r="E20" s="522"/>
      <c r="F20" s="522"/>
      <c r="G20" s="522"/>
    </row>
    <row r="21" spans="1:7" ht="12">
      <c r="A21" s="511">
        <v>11</v>
      </c>
      <c r="B21" s="517" t="s">
        <v>149</v>
      </c>
      <c r="E21" s="523">
        <f>E17+E18+E19+E20</f>
        <v>1172</v>
      </c>
      <c r="F21" s="523">
        <f>F17+F18+F19+F20</f>
        <v>764</v>
      </c>
      <c r="G21" s="523">
        <f>G17+G18+G19+G20</f>
        <v>408</v>
      </c>
    </row>
    <row r="22" spans="5:7" ht="12">
      <c r="E22" s="524"/>
      <c r="F22" s="524"/>
      <c r="G22" s="524"/>
    </row>
    <row r="23" spans="2:7" ht="12">
      <c r="B23" s="517" t="s">
        <v>93</v>
      </c>
      <c r="E23" s="524"/>
      <c r="F23" s="524"/>
      <c r="G23" s="524"/>
    </row>
    <row r="24" spans="1:7" ht="12">
      <c r="A24" s="511">
        <v>12</v>
      </c>
      <c r="B24" s="517" t="s">
        <v>145</v>
      </c>
      <c r="E24" s="522">
        <f>F24+G24</f>
        <v>811</v>
      </c>
      <c r="F24" s="522">
        <v>511</v>
      </c>
      <c r="G24" s="522">
        <v>300</v>
      </c>
    </row>
    <row r="25" spans="1:7" ht="12">
      <c r="A25" s="511">
        <v>13</v>
      </c>
      <c r="B25" s="517" t="s">
        <v>150</v>
      </c>
      <c r="E25" s="522"/>
      <c r="F25" s="522"/>
      <c r="G25" s="522"/>
    </row>
    <row r="26" spans="1:7" ht="12">
      <c r="A26" s="511">
        <v>14</v>
      </c>
      <c r="B26" s="517" t="s">
        <v>148</v>
      </c>
      <c r="E26" s="522">
        <f>F26+G26</f>
        <v>-12</v>
      </c>
      <c r="F26" s="522"/>
      <c r="G26" s="525">
        <f>F109</f>
        <v>-12</v>
      </c>
    </row>
    <row r="27" spans="1:7" ht="12">
      <c r="A27" s="511">
        <v>15</v>
      </c>
      <c r="B27" s="517" t="s">
        <v>151</v>
      </c>
      <c r="E27" s="523">
        <f>E24+E25+E26</f>
        <v>799</v>
      </c>
      <c r="F27" s="523">
        <f>F24+F25+F26</f>
        <v>511</v>
      </c>
      <c r="G27" s="523">
        <f>G24+G25+G26</f>
        <v>288</v>
      </c>
    </row>
    <row r="28" spans="5:7" ht="12">
      <c r="E28" s="524"/>
      <c r="F28" s="524"/>
      <c r="G28" s="524"/>
    </row>
    <row r="29" spans="1:7" ht="12">
      <c r="A29" s="511">
        <v>16</v>
      </c>
      <c r="B29" s="517" t="s">
        <v>96</v>
      </c>
      <c r="E29" s="522">
        <f>F29+G29</f>
        <v>403</v>
      </c>
      <c r="F29" s="522">
        <v>263</v>
      </c>
      <c r="G29" s="522">
        <v>140</v>
      </c>
    </row>
    <row r="30" spans="1:7" ht="12">
      <c r="A30" s="511">
        <v>17</v>
      </c>
      <c r="B30" s="517" t="s">
        <v>97</v>
      </c>
      <c r="E30" s="522">
        <f>F30+G30</f>
        <v>7</v>
      </c>
      <c r="F30" s="522">
        <v>4</v>
      </c>
      <c r="G30" s="522">
        <v>3</v>
      </c>
    </row>
    <row r="31" spans="1:7" ht="12">
      <c r="A31" s="511">
        <v>18</v>
      </c>
      <c r="B31" s="517" t="s">
        <v>152</v>
      </c>
      <c r="E31" s="522">
        <f>F31+G31</f>
        <v>51</v>
      </c>
      <c r="F31" s="522">
        <v>31</v>
      </c>
      <c r="G31" s="522">
        <v>20</v>
      </c>
    </row>
    <row r="32" spans="5:7" ht="12">
      <c r="E32" s="524"/>
      <c r="F32" s="524"/>
      <c r="G32" s="524"/>
    </row>
    <row r="33" spans="2:7" ht="12">
      <c r="B33" s="517" t="s">
        <v>99</v>
      </c>
      <c r="E33" s="524"/>
      <c r="F33" s="524"/>
      <c r="G33" s="524"/>
    </row>
    <row r="34" spans="1:7" ht="12">
      <c r="A34" s="511">
        <v>19</v>
      </c>
      <c r="B34" s="517" t="s">
        <v>145</v>
      </c>
      <c r="E34" s="522">
        <f>F34+G34</f>
        <v>732</v>
      </c>
      <c r="F34" s="522">
        <v>467</v>
      </c>
      <c r="G34" s="522">
        <v>265</v>
      </c>
    </row>
    <row r="35" spans="1:7" ht="12">
      <c r="A35" s="511">
        <v>20</v>
      </c>
      <c r="B35" s="517" t="s">
        <v>150</v>
      </c>
      <c r="E35" s="522"/>
      <c r="F35" s="522"/>
      <c r="G35" s="522"/>
    </row>
    <row r="36" spans="1:7" ht="12">
      <c r="A36" s="511">
        <v>21</v>
      </c>
      <c r="B36" s="517" t="s">
        <v>148</v>
      </c>
      <c r="E36" s="522"/>
      <c r="F36" s="522"/>
      <c r="G36" s="522"/>
    </row>
    <row r="37" spans="1:7" ht="12">
      <c r="A37" s="511">
        <v>22</v>
      </c>
      <c r="B37" s="517" t="s">
        <v>153</v>
      </c>
      <c r="E37" s="526">
        <f>E34+E35+E36</f>
        <v>732</v>
      </c>
      <c r="F37" s="526">
        <f>F34+F35+F36</f>
        <v>467</v>
      </c>
      <c r="G37" s="526">
        <f>G34+G35+G36</f>
        <v>265</v>
      </c>
    </row>
    <row r="38" spans="1:7" ht="12">
      <c r="A38" s="511">
        <v>23</v>
      </c>
      <c r="B38" s="517" t="s">
        <v>101</v>
      </c>
      <c r="E38" s="527">
        <f>E21+E27+E29+E30+E31+E37</f>
        <v>3164</v>
      </c>
      <c r="F38" s="527">
        <f>F21+F27+F29+F30+F31+F37</f>
        <v>2040</v>
      </c>
      <c r="G38" s="527">
        <f>G21+G27+G29+G30+G31+G37</f>
        <v>1124</v>
      </c>
    </row>
    <row r="39" spans="5:7" ht="12">
      <c r="E39" s="524"/>
      <c r="F39" s="524"/>
      <c r="G39" s="524"/>
    </row>
    <row r="40" spans="1:7" ht="12">
      <c r="A40" s="511">
        <v>24</v>
      </c>
      <c r="B40" s="517" t="s">
        <v>154</v>
      </c>
      <c r="E40" s="524">
        <f>E13-E38</f>
        <v>-3164</v>
      </c>
      <c r="F40" s="524">
        <f>F13-F38</f>
        <v>-2040</v>
      </c>
      <c r="G40" s="524">
        <f>G13-G38</f>
        <v>-1124</v>
      </c>
    </row>
    <row r="41" spans="2:7" ht="12">
      <c r="B41" s="517"/>
      <c r="E41" s="524"/>
      <c r="F41" s="524"/>
      <c r="G41" s="524"/>
    </row>
    <row r="42" spans="2:7" ht="12">
      <c r="B42" s="517" t="s">
        <v>155</v>
      </c>
      <c r="E42" s="524"/>
      <c r="F42" s="524"/>
      <c r="G42" s="524"/>
    </row>
    <row r="43" spans="1:7" ht="12">
      <c r="A43" s="511">
        <v>25</v>
      </c>
      <c r="B43" s="517" t="s">
        <v>156</v>
      </c>
      <c r="D43" s="528">
        <v>0.35</v>
      </c>
      <c r="E43" s="522">
        <f>F43+G43</f>
        <v>-1107</v>
      </c>
      <c r="F43" s="522">
        <f>ROUND(F40*D43,0)</f>
        <v>-714</v>
      </c>
      <c r="G43" s="522">
        <f>ROUND(G40*D43,0)</f>
        <v>-393</v>
      </c>
    </row>
    <row r="44" spans="1:7" ht="12">
      <c r="A44" s="511">
        <v>26</v>
      </c>
      <c r="B44" s="517" t="s">
        <v>157</v>
      </c>
      <c r="E44" s="522"/>
      <c r="F44" s="522"/>
      <c r="G44" s="522"/>
    </row>
    <row r="45" spans="1:7" ht="12.75">
      <c r="A45"/>
      <c r="B45"/>
      <c r="C45"/>
      <c r="D45"/>
      <c r="E45" s="943"/>
      <c r="F45" s="943"/>
      <c r="G45" s="943"/>
    </row>
    <row r="46" spans="1:7" ht="12">
      <c r="A46" s="278"/>
      <c r="B46" s="281"/>
      <c r="C46" s="275"/>
      <c r="D46" s="275"/>
      <c r="E46" s="288"/>
      <c r="F46" s="288"/>
      <c r="G46" s="288"/>
    </row>
    <row r="47" spans="1:7" s="520" customFormat="1" ht="12">
      <c r="A47" s="282">
        <v>27</v>
      </c>
      <c r="B47" s="283" t="s">
        <v>108</v>
      </c>
      <c r="C47" s="284"/>
      <c r="D47" s="284"/>
      <c r="E47" s="292">
        <f>E40-SUM(E43:E44)</f>
        <v>-2057</v>
      </c>
      <c r="F47" s="292">
        <f>F40-SUM(F43:F44)</f>
        <v>-1326</v>
      </c>
      <c r="G47" s="292">
        <f>G40-SUM(G43:G44)</f>
        <v>-731</v>
      </c>
    </row>
    <row r="48" ht="12">
      <c r="A48" s="278"/>
    </row>
    <row r="49" spans="1:2" ht="12">
      <c r="A49" s="278"/>
      <c r="B49" s="517" t="s">
        <v>109</v>
      </c>
    </row>
    <row r="50" spans="1:2" ht="12">
      <c r="A50" s="278"/>
      <c r="B50" s="517" t="s">
        <v>110</v>
      </c>
    </row>
    <row r="51" spans="1:7" s="520" customFormat="1" ht="12">
      <c r="A51" s="282">
        <v>28</v>
      </c>
      <c r="B51" s="519" t="s">
        <v>159</v>
      </c>
      <c r="E51" s="521"/>
      <c r="F51" s="521"/>
      <c r="G51" s="521"/>
    </row>
    <row r="52" spans="1:7" ht="12">
      <c r="A52" s="278">
        <v>29</v>
      </c>
      <c r="B52" s="517" t="s">
        <v>160</v>
      </c>
      <c r="E52" s="522"/>
      <c r="F52" s="522"/>
      <c r="G52" s="522"/>
    </row>
    <row r="53" spans="1:7" ht="12">
      <c r="A53" s="278">
        <v>30</v>
      </c>
      <c r="B53" s="517" t="s">
        <v>161</v>
      </c>
      <c r="E53" s="522"/>
      <c r="F53" s="522"/>
      <c r="G53" s="522"/>
    </row>
    <row r="54" spans="1:7" ht="12">
      <c r="A54" s="278">
        <v>31</v>
      </c>
      <c r="B54" s="517" t="s">
        <v>162</v>
      </c>
      <c r="E54" s="522"/>
      <c r="F54" s="522"/>
      <c r="G54" s="522"/>
    </row>
    <row r="55" spans="1:7" ht="12">
      <c r="A55" s="278">
        <v>32</v>
      </c>
      <c r="B55" s="517" t="s">
        <v>163</v>
      </c>
      <c r="E55" s="529"/>
      <c r="F55" s="529"/>
      <c r="G55" s="529"/>
    </row>
    <row r="56" spans="1:7" ht="12">
      <c r="A56" s="278">
        <v>33</v>
      </c>
      <c r="B56" s="517" t="s">
        <v>164</v>
      </c>
      <c r="E56" s="524">
        <f>E51+E52+E53+E54+E55</f>
        <v>0</v>
      </c>
      <c r="F56" s="524">
        <f>F51+F52+F53+F54+F55</f>
        <v>0</v>
      </c>
      <c r="G56" s="524">
        <f>G51+G52+G53+G54+G55</f>
        <v>0</v>
      </c>
    </row>
    <row r="57" spans="1:7" ht="12">
      <c r="A57" s="278">
        <v>34</v>
      </c>
      <c r="B57" s="517" t="s">
        <v>116</v>
      </c>
      <c r="E57" s="522"/>
      <c r="F57" s="522"/>
      <c r="G57" s="522"/>
    </row>
    <row r="58" spans="1:7" ht="12">
      <c r="A58" s="278">
        <v>35</v>
      </c>
      <c r="B58" s="517" t="s">
        <v>117</v>
      </c>
      <c r="E58" s="529"/>
      <c r="F58" s="529"/>
      <c r="G58" s="529"/>
    </row>
    <row r="59" spans="1:7" ht="12">
      <c r="A59" s="278">
        <v>36</v>
      </c>
      <c r="B59" s="517" t="s">
        <v>165</v>
      </c>
      <c r="E59" s="524">
        <f>E57+E58</f>
        <v>0</v>
      </c>
      <c r="F59" s="524">
        <f>F57+F58</f>
        <v>0</v>
      </c>
      <c r="G59" s="524">
        <f>G57+G58</f>
        <v>0</v>
      </c>
    </row>
    <row r="60" spans="1:7" ht="12">
      <c r="A60" s="278">
        <v>37</v>
      </c>
      <c r="B60" s="517" t="s">
        <v>119</v>
      </c>
      <c r="E60" s="522"/>
      <c r="F60" s="522"/>
      <c r="G60" s="522"/>
    </row>
    <row r="61" spans="1:7" ht="12">
      <c r="A61" s="278">
        <v>38</v>
      </c>
      <c r="B61" s="517" t="s">
        <v>120</v>
      </c>
      <c r="E61" s="529"/>
      <c r="F61" s="529"/>
      <c r="G61" s="529"/>
    </row>
    <row r="62" ht="9" customHeight="1">
      <c r="A62" s="278"/>
    </row>
    <row r="63" spans="1:7" s="520" customFormat="1" ht="12.75" thickBot="1">
      <c r="A63" s="282">
        <v>39</v>
      </c>
      <c r="B63" s="519" t="s">
        <v>121</v>
      </c>
      <c r="E63" s="530">
        <f>E56-E59+E60+E61</f>
        <v>0</v>
      </c>
      <c r="F63" s="530">
        <f>F56-F59+F60+F61</f>
        <v>0</v>
      </c>
      <c r="G63" s="530">
        <f>G56-G59+G60+G61</f>
        <v>0</v>
      </c>
    </row>
    <row r="64" ht="12.75" thickTop="1"/>
    <row r="65" spans="1:7" ht="12">
      <c r="A65" s="509" t="str">
        <f>Inputs!$D$6</f>
        <v>AVISTA UTILITIES</v>
      </c>
      <c r="B65" s="509"/>
      <c r="C65" s="509"/>
      <c r="D65" s="531"/>
      <c r="E65" s="532"/>
      <c r="F65" s="531"/>
      <c r="G65" s="533"/>
    </row>
    <row r="66" spans="1:7" ht="12">
      <c r="A66" s="509" t="s">
        <v>218</v>
      </c>
      <c r="B66" s="509"/>
      <c r="C66" s="509"/>
      <c r="D66" s="531"/>
      <c r="E66" s="532"/>
      <c r="F66" s="531"/>
      <c r="G66" s="533"/>
    </row>
    <row r="67" spans="1:7" ht="12">
      <c r="A67" s="509" t="str">
        <f>A3</f>
        <v>TWELVE MONTHS ENDED DECEMBER 31, 2004</v>
      </c>
      <c r="B67" s="509"/>
      <c r="C67" s="509"/>
      <c r="D67" s="531"/>
      <c r="E67" s="532"/>
      <c r="F67" s="534" t="str">
        <f>F2</f>
        <v>NON-EXECUTIVE LABOR</v>
      </c>
      <c r="G67" s="531"/>
    </row>
    <row r="68" spans="1:7" ht="12">
      <c r="A68" s="509" t="s">
        <v>219</v>
      </c>
      <c r="B68" s="509"/>
      <c r="C68" s="509"/>
      <c r="D68" s="531"/>
      <c r="E68" s="532"/>
      <c r="F68" s="534" t="str">
        <f>F3</f>
        <v>PRO FORMA</v>
      </c>
      <c r="G68" s="531"/>
    </row>
    <row r="69" spans="2:7" ht="12">
      <c r="B69" s="531"/>
      <c r="C69" s="531"/>
      <c r="D69" s="531"/>
      <c r="E69" s="535"/>
      <c r="F69" s="536" t="str">
        <f>F4</f>
        <v>ELECTRIC</v>
      </c>
      <c r="G69" s="531"/>
    </row>
    <row r="70" spans="2:7" ht="12">
      <c r="B70" s="531"/>
      <c r="C70" s="531"/>
      <c r="D70" s="531"/>
      <c r="E70" s="532"/>
      <c r="F70" s="534"/>
      <c r="G70" s="538"/>
    </row>
    <row r="71" spans="2:7" ht="12">
      <c r="B71" s="539" t="s">
        <v>128</v>
      </c>
      <c r="C71" s="540"/>
      <c r="D71" s="531"/>
      <c r="E71" s="532"/>
      <c r="F71" s="536" t="s">
        <v>123</v>
      </c>
      <c r="G71" s="531"/>
    </row>
    <row r="72" spans="2:7" ht="12">
      <c r="B72" s="517" t="s">
        <v>80</v>
      </c>
      <c r="C72" s="531"/>
      <c r="D72" s="531"/>
      <c r="E72" s="531"/>
      <c r="F72" s="533"/>
      <c r="G72" s="531"/>
    </row>
    <row r="73" spans="2:7" ht="12">
      <c r="B73" s="519" t="s">
        <v>81</v>
      </c>
      <c r="C73" s="531"/>
      <c r="D73" s="531"/>
      <c r="E73" s="531"/>
      <c r="F73" s="541">
        <f>G8</f>
        <v>0</v>
      </c>
      <c r="G73" s="531"/>
    </row>
    <row r="74" spans="2:7" ht="12">
      <c r="B74" s="517" t="s">
        <v>82</v>
      </c>
      <c r="C74" s="531"/>
      <c r="D74" s="531"/>
      <c r="E74" s="531"/>
      <c r="F74" s="524">
        <f>G9</f>
        <v>0</v>
      </c>
      <c r="G74" s="531"/>
    </row>
    <row r="75" spans="2:7" ht="12">
      <c r="B75" s="517" t="s">
        <v>142</v>
      </c>
      <c r="C75" s="531"/>
      <c r="D75" s="531"/>
      <c r="E75" s="531"/>
      <c r="F75" s="527">
        <f>G10</f>
        <v>0</v>
      </c>
      <c r="G75" s="531"/>
    </row>
    <row r="76" spans="2:7" ht="12">
      <c r="B76" s="517" t="s">
        <v>143</v>
      </c>
      <c r="C76" s="531"/>
      <c r="D76" s="531"/>
      <c r="E76" s="531"/>
      <c r="F76" s="524">
        <f>SUM(F73:F75)</f>
        <v>0</v>
      </c>
      <c r="G76" s="531"/>
    </row>
    <row r="77" spans="2:7" ht="12">
      <c r="B77" s="517" t="s">
        <v>85</v>
      </c>
      <c r="C77" s="531"/>
      <c r="D77" s="531"/>
      <c r="E77" s="531"/>
      <c r="F77" s="527">
        <f>G12</f>
        <v>0</v>
      </c>
      <c r="G77" s="531"/>
    </row>
    <row r="78" spans="2:7" ht="12">
      <c r="B78" s="517" t="s">
        <v>144</v>
      </c>
      <c r="C78" s="531"/>
      <c r="D78" s="531"/>
      <c r="E78" s="531"/>
      <c r="F78" s="524">
        <f>F76+F77</f>
        <v>0</v>
      </c>
      <c r="G78" s="531"/>
    </row>
    <row r="79" spans="3:7" ht="12">
      <c r="C79" s="531"/>
      <c r="D79" s="531"/>
      <c r="E79" s="531"/>
      <c r="F79" s="524"/>
      <c r="G79" s="531"/>
    </row>
    <row r="80" spans="2:7" ht="12">
      <c r="B80" s="517" t="s">
        <v>87</v>
      </c>
      <c r="C80" s="531"/>
      <c r="D80" s="531"/>
      <c r="E80" s="531"/>
      <c r="F80" s="524"/>
      <c r="G80" s="531"/>
    </row>
    <row r="81" spans="2:7" ht="12">
      <c r="B81" s="517" t="s">
        <v>88</v>
      </c>
      <c r="C81" s="531"/>
      <c r="D81" s="531"/>
      <c r="E81" s="531"/>
      <c r="F81" s="524"/>
      <c r="G81" s="531"/>
    </row>
    <row r="82" spans="2:7" ht="12">
      <c r="B82" s="517" t="s">
        <v>145</v>
      </c>
      <c r="C82" s="531"/>
      <c r="D82" s="531"/>
      <c r="E82" s="531"/>
      <c r="F82" s="524">
        <f>G17</f>
        <v>408</v>
      </c>
      <c r="G82" s="531"/>
    </row>
    <row r="83" spans="2:7" ht="12">
      <c r="B83" s="517" t="s">
        <v>146</v>
      </c>
      <c r="C83" s="531"/>
      <c r="D83" s="531"/>
      <c r="E83" s="531"/>
      <c r="F83" s="524">
        <f>G18</f>
        <v>0</v>
      </c>
      <c r="G83" s="531"/>
    </row>
    <row r="84" spans="2:7" ht="12">
      <c r="B84" s="517" t="s">
        <v>147</v>
      </c>
      <c r="C84" s="531"/>
      <c r="D84" s="531"/>
      <c r="E84" s="531"/>
      <c r="F84" s="524">
        <f>G19</f>
        <v>0</v>
      </c>
      <c r="G84" s="531"/>
    </row>
    <row r="85" spans="2:7" ht="12">
      <c r="B85" s="517" t="s">
        <v>148</v>
      </c>
      <c r="C85" s="531"/>
      <c r="D85" s="531"/>
      <c r="E85" s="531"/>
      <c r="F85" s="527">
        <f>G20</f>
        <v>0</v>
      </c>
      <c r="G85" s="531"/>
    </row>
    <row r="86" spans="2:7" ht="12">
      <c r="B86" s="517" t="s">
        <v>149</v>
      </c>
      <c r="C86" s="531"/>
      <c r="D86" s="531"/>
      <c r="E86" s="531"/>
      <c r="F86" s="524">
        <f>SUM(F82:F85)</f>
        <v>408</v>
      </c>
      <c r="G86" s="531"/>
    </row>
    <row r="87" spans="3:7" ht="12">
      <c r="C87" s="531"/>
      <c r="D87" s="531"/>
      <c r="E87" s="531"/>
      <c r="F87" s="524"/>
      <c r="G87" s="531"/>
    </row>
    <row r="88" spans="2:7" ht="12">
      <c r="B88" s="517" t="s">
        <v>93</v>
      </c>
      <c r="C88" s="531"/>
      <c r="D88" s="531"/>
      <c r="E88" s="531"/>
      <c r="F88" s="524"/>
      <c r="G88" s="531"/>
    </row>
    <row r="89" spans="2:7" ht="12">
      <c r="B89" s="517" t="s">
        <v>145</v>
      </c>
      <c r="C89" s="531"/>
      <c r="D89" s="531"/>
      <c r="E89" s="531"/>
      <c r="F89" s="524">
        <f>G24</f>
        <v>300</v>
      </c>
      <c r="G89" s="531"/>
    </row>
    <row r="90" spans="2:7" ht="12">
      <c r="B90" s="517" t="s">
        <v>150</v>
      </c>
      <c r="C90" s="531"/>
      <c r="D90" s="531"/>
      <c r="E90" s="531"/>
      <c r="F90" s="524">
        <f>G25</f>
        <v>0</v>
      </c>
      <c r="G90" s="531"/>
    </row>
    <row r="91" spans="1:7" ht="12">
      <c r="A91" s="510"/>
      <c r="B91" s="517" t="s">
        <v>148</v>
      </c>
      <c r="C91" s="531"/>
      <c r="D91" s="531"/>
      <c r="E91" s="531"/>
      <c r="F91" s="524">
        <v>0</v>
      </c>
      <c r="G91" s="531"/>
    </row>
    <row r="92" spans="1:7" ht="12">
      <c r="A92" s="510"/>
      <c r="B92" s="517" t="s">
        <v>151</v>
      </c>
      <c r="C92" s="531"/>
      <c r="D92" s="531"/>
      <c r="E92" s="531"/>
      <c r="F92" s="523">
        <f>SUM(F89:F91)</f>
        <v>300</v>
      </c>
      <c r="G92" s="531"/>
    </row>
    <row r="93" spans="1:7" ht="12">
      <c r="A93" s="510"/>
      <c r="C93" s="531"/>
      <c r="D93" s="531"/>
      <c r="E93" s="531"/>
      <c r="F93" s="524"/>
      <c r="G93" s="531"/>
    </row>
    <row r="94" spans="1:7" ht="12">
      <c r="A94" s="510"/>
      <c r="B94" s="517" t="s">
        <v>96</v>
      </c>
      <c r="C94" s="531"/>
      <c r="D94" s="531"/>
      <c r="E94" s="531"/>
      <c r="F94" s="524">
        <f>G29</f>
        <v>140</v>
      </c>
      <c r="G94" s="531"/>
    </row>
    <row r="95" spans="1:7" ht="12">
      <c r="A95" s="510"/>
      <c r="B95" s="517" t="s">
        <v>97</v>
      </c>
      <c r="C95" s="531"/>
      <c r="D95" s="531"/>
      <c r="E95" s="531"/>
      <c r="F95" s="524">
        <f>G30</f>
        <v>3</v>
      </c>
      <c r="G95" s="531"/>
    </row>
    <row r="96" spans="1:7" ht="12">
      <c r="A96" s="510"/>
      <c r="B96" s="517" t="s">
        <v>152</v>
      </c>
      <c r="C96" s="531"/>
      <c r="D96" s="531"/>
      <c r="E96" s="531"/>
      <c r="F96" s="524">
        <f>G31</f>
        <v>20</v>
      </c>
      <c r="G96" s="531"/>
    </row>
    <row r="97" spans="1:7" ht="12">
      <c r="A97" s="510"/>
      <c r="C97" s="531"/>
      <c r="D97" s="531"/>
      <c r="E97" s="531"/>
      <c r="F97" s="524"/>
      <c r="G97" s="531"/>
    </row>
    <row r="98" spans="1:7" ht="12">
      <c r="A98" s="510"/>
      <c r="B98" s="517" t="s">
        <v>99</v>
      </c>
      <c r="C98" s="531"/>
      <c r="D98" s="531"/>
      <c r="E98" s="531"/>
      <c r="F98" s="524"/>
      <c r="G98" s="531"/>
    </row>
    <row r="99" spans="1:7" ht="12">
      <c r="A99" s="510"/>
      <c r="B99" s="517" t="s">
        <v>145</v>
      </c>
      <c r="C99" s="531"/>
      <c r="D99" s="531"/>
      <c r="E99" s="531"/>
      <c r="F99" s="524">
        <f>G34</f>
        <v>265</v>
      </c>
      <c r="G99" s="531"/>
    </row>
    <row r="100" spans="1:7" ht="12">
      <c r="A100" s="510"/>
      <c r="B100" s="517" t="s">
        <v>150</v>
      </c>
      <c r="C100" s="531"/>
      <c r="D100" s="531"/>
      <c r="E100" s="531"/>
      <c r="F100" s="524">
        <f>G35</f>
        <v>0</v>
      </c>
      <c r="G100" s="531"/>
    </row>
    <row r="101" spans="1:7" ht="12">
      <c r="A101" s="510"/>
      <c r="B101" s="517" t="s">
        <v>148</v>
      </c>
      <c r="C101" s="531"/>
      <c r="D101" s="531"/>
      <c r="E101" s="531"/>
      <c r="F101" s="527">
        <f>G36</f>
        <v>0</v>
      </c>
      <c r="G101" s="531"/>
    </row>
    <row r="102" spans="1:7" ht="12">
      <c r="A102" s="510"/>
      <c r="B102" s="517" t="s">
        <v>153</v>
      </c>
      <c r="C102" s="531"/>
      <c r="D102" s="531"/>
      <c r="E102" s="531"/>
      <c r="F102" s="524">
        <f>F99+F100+F101</f>
        <v>265</v>
      </c>
      <c r="G102" s="531"/>
    </row>
    <row r="103" spans="1:7" ht="12">
      <c r="A103" s="510"/>
      <c r="B103" s="531"/>
      <c r="C103" s="531"/>
      <c r="D103" s="531"/>
      <c r="E103" s="531"/>
      <c r="F103" s="524"/>
      <c r="G103" s="531"/>
    </row>
    <row r="104" spans="1:7" ht="12">
      <c r="A104" s="510"/>
      <c r="B104" s="531" t="s">
        <v>101</v>
      </c>
      <c r="C104" s="531"/>
      <c r="D104" s="531"/>
      <c r="E104" s="531"/>
      <c r="F104" s="526">
        <f>F86+F92+F94+F95+F96+F102</f>
        <v>1136</v>
      </c>
      <c r="G104" s="531"/>
    </row>
    <row r="105" spans="1:7" ht="12">
      <c r="A105" s="510"/>
      <c r="B105" s="531"/>
      <c r="C105" s="531"/>
      <c r="D105" s="531"/>
      <c r="E105" s="531"/>
      <c r="F105" s="524"/>
      <c r="G105" s="531"/>
    </row>
    <row r="106" spans="1:7" ht="12">
      <c r="A106" s="510"/>
      <c r="B106" s="531" t="s">
        <v>220</v>
      </c>
      <c r="C106" s="531"/>
      <c r="D106" s="531"/>
      <c r="E106" s="531"/>
      <c r="F106" s="527">
        <f>F78-F104</f>
        <v>-1136</v>
      </c>
      <c r="G106" s="531"/>
    </row>
    <row r="107" spans="1:7" ht="12">
      <c r="A107" s="510"/>
      <c r="B107" s="531"/>
      <c r="C107" s="531"/>
      <c r="D107" s="531"/>
      <c r="E107" s="531"/>
      <c r="F107" s="524"/>
      <c r="G107" s="531"/>
    </row>
    <row r="108" spans="1:7" ht="12">
      <c r="A108" s="510"/>
      <c r="B108" s="531" t="s">
        <v>221</v>
      </c>
      <c r="C108" s="531"/>
      <c r="D108" s="531"/>
      <c r="E108" s="532"/>
      <c r="F108" s="524"/>
      <c r="G108" s="531"/>
    </row>
    <row r="109" spans="1:7" ht="12.75" thickBot="1">
      <c r="A109" s="510"/>
      <c r="B109" s="543" t="s">
        <v>222</v>
      </c>
      <c r="C109" s="544">
        <f>Inputs!$D$4</f>
        <v>0.01065</v>
      </c>
      <c r="D109" s="531"/>
      <c r="E109" s="532"/>
      <c r="F109" s="530">
        <f>ROUND(F106*C109,0)</f>
        <v>-12</v>
      </c>
      <c r="G109" s="531"/>
    </row>
    <row r="110" spans="1:7" ht="12.75" thickTop="1">
      <c r="A110" s="510"/>
      <c r="B110" s="531"/>
      <c r="C110" s="531"/>
      <c r="D110" s="531"/>
      <c r="E110" s="532"/>
      <c r="F110" s="531"/>
      <c r="G110" s="533"/>
    </row>
  </sheetData>
  <printOptions/>
  <pageMargins left="0.75" right="0.75" top="0.5" bottom="0.5" header="0.5" footer="0.5"/>
  <pageSetup horizontalDpi="600" verticalDpi="600" orientation="portrait" scale="90" r:id="rId1"/>
  <rowBreaks count="1" manualBreakCount="1">
    <brk id="64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G110"/>
  <sheetViews>
    <sheetView workbookViewId="0" topLeftCell="A10">
      <selection activeCell="H17" sqref="H17"/>
    </sheetView>
  </sheetViews>
  <sheetFormatPr defaultColWidth="9.140625" defaultRowHeight="12.75"/>
  <cols>
    <col min="1" max="1" width="5.57421875" style="511" customWidth="1"/>
    <col min="2" max="2" width="26.140625" style="510" customWidth="1"/>
    <col min="3" max="3" width="12.421875" style="510" customWidth="1"/>
    <col min="4" max="4" width="6.7109375" style="510" customWidth="1"/>
    <col min="5" max="16384" width="12.421875" style="510" customWidth="1"/>
  </cols>
  <sheetData>
    <row r="1" spans="1:3" ht="12">
      <c r="A1" s="508" t="str">
        <f>Inputs!$D$6</f>
        <v>AVISTA UTILITIES</v>
      </c>
      <c r="B1" s="509"/>
      <c r="C1" s="508"/>
    </row>
    <row r="2" spans="1:7" ht="12">
      <c r="A2" s="508" t="s">
        <v>134</v>
      </c>
      <c r="B2" s="509"/>
      <c r="C2" s="508"/>
      <c r="E2" s="508"/>
      <c r="F2" s="511" t="s">
        <v>476</v>
      </c>
      <c r="G2" s="508"/>
    </row>
    <row r="3" spans="1:7" ht="12">
      <c r="A3" s="509" t="str">
        <f>WAElec12_04!$A$4</f>
        <v>TWELVE MONTHS ENDED DECEMBER 31, 2004</v>
      </c>
      <c r="B3" s="509"/>
      <c r="C3" s="508"/>
      <c r="E3" s="508"/>
      <c r="F3" s="511" t="s">
        <v>282</v>
      </c>
      <c r="G3" s="508"/>
    </row>
    <row r="4" spans="1:7" ht="12">
      <c r="A4" s="508" t="s">
        <v>1</v>
      </c>
      <c r="B4" s="509"/>
      <c r="C4" s="508"/>
      <c r="E4" s="512"/>
      <c r="F4" s="513" t="s">
        <v>137</v>
      </c>
      <c r="G4" s="514"/>
    </row>
    <row r="5" ht="12">
      <c r="A5" s="511" t="s">
        <v>13</v>
      </c>
    </row>
    <row r="6" spans="1:7" s="511" customFormat="1" ht="12">
      <c r="A6" s="511" t="s">
        <v>138</v>
      </c>
      <c r="B6" s="515" t="s">
        <v>34</v>
      </c>
      <c r="C6" s="515"/>
      <c r="E6" s="515" t="s">
        <v>139</v>
      </c>
      <c r="F6" s="515" t="s">
        <v>140</v>
      </c>
      <c r="G6" s="515" t="s">
        <v>123</v>
      </c>
    </row>
    <row r="7" ht="12">
      <c r="B7" s="517" t="s">
        <v>80</v>
      </c>
    </row>
    <row r="8" spans="1:7" s="520" customFormat="1" ht="12">
      <c r="A8" s="518">
        <v>1</v>
      </c>
      <c r="B8" s="519" t="s">
        <v>81</v>
      </c>
      <c r="E8" s="521">
        <f>F8+G8</f>
        <v>0</v>
      </c>
      <c r="F8" s="521"/>
      <c r="G8" s="521"/>
    </row>
    <row r="9" spans="1:7" ht="12">
      <c r="A9" s="511">
        <v>2</v>
      </c>
      <c r="B9" s="517" t="s">
        <v>82</v>
      </c>
      <c r="E9" s="522"/>
      <c r="F9" s="522"/>
      <c r="G9" s="522"/>
    </row>
    <row r="10" spans="1:7" ht="12">
      <c r="A10" s="511">
        <v>3</v>
      </c>
      <c r="B10" s="517" t="s">
        <v>142</v>
      </c>
      <c r="E10" s="522"/>
      <c r="F10" s="522"/>
      <c r="G10" s="522"/>
    </row>
    <row r="11" spans="1:7" ht="12">
      <c r="A11" s="511">
        <v>4</v>
      </c>
      <c r="B11" s="517" t="s">
        <v>143</v>
      </c>
      <c r="E11" s="523">
        <f>E8+E9+E10</f>
        <v>0</v>
      </c>
      <c r="F11" s="523">
        <f>F8+F9+F10</f>
        <v>0</v>
      </c>
      <c r="G11" s="523">
        <f>G8+G9+G10</f>
        <v>0</v>
      </c>
    </row>
    <row r="12" spans="1:7" ht="12">
      <c r="A12" s="511">
        <v>5</v>
      </c>
      <c r="B12" s="517" t="s">
        <v>85</v>
      </c>
      <c r="E12" s="522">
        <f>SUM(F12:G12)</f>
        <v>0</v>
      </c>
      <c r="F12" s="522"/>
      <c r="G12" s="522">
        <v>0</v>
      </c>
    </row>
    <row r="13" spans="1:7" ht="12">
      <c r="A13" s="511">
        <v>6</v>
      </c>
      <c r="B13" s="517" t="s">
        <v>144</v>
      </c>
      <c r="E13" s="523">
        <f>E11+E12</f>
        <v>0</v>
      </c>
      <c r="F13" s="523">
        <f>F11+F12</f>
        <v>0</v>
      </c>
      <c r="G13" s="523">
        <f>G11+G12</f>
        <v>0</v>
      </c>
    </row>
    <row r="14" spans="5:7" ht="12">
      <c r="E14" s="524"/>
      <c r="F14" s="524"/>
      <c r="G14" s="524"/>
    </row>
    <row r="15" spans="2:7" ht="12">
      <c r="B15" s="517" t="s">
        <v>87</v>
      </c>
      <c r="E15" s="524"/>
      <c r="F15" s="524"/>
      <c r="G15" s="524"/>
    </row>
    <row r="16" spans="2:7" ht="12">
      <c r="B16" s="517" t="s">
        <v>88</v>
      </c>
      <c r="E16" s="524"/>
      <c r="F16" s="524"/>
      <c r="G16" s="524"/>
    </row>
    <row r="17" spans="1:7" ht="12">
      <c r="A17" s="511">
        <v>7</v>
      </c>
      <c r="B17" s="517" t="s">
        <v>145</v>
      </c>
      <c r="E17" s="522">
        <f>F17+G17</f>
        <v>1</v>
      </c>
      <c r="F17" s="522">
        <v>1</v>
      </c>
      <c r="G17" s="522">
        <v>0</v>
      </c>
    </row>
    <row r="18" spans="1:7" ht="12">
      <c r="A18" s="511">
        <v>8</v>
      </c>
      <c r="B18" s="517" t="s">
        <v>146</v>
      </c>
      <c r="E18" s="522"/>
      <c r="F18" s="522"/>
      <c r="G18" s="522"/>
    </row>
    <row r="19" spans="1:7" ht="12">
      <c r="A19" s="511">
        <v>9</v>
      </c>
      <c r="B19" s="517" t="s">
        <v>147</v>
      </c>
      <c r="E19" s="522"/>
      <c r="F19" s="522"/>
      <c r="G19" s="522"/>
    </row>
    <row r="20" spans="1:7" ht="12">
      <c r="A20" s="511">
        <v>10</v>
      </c>
      <c r="B20" s="517" t="s">
        <v>148</v>
      </c>
      <c r="E20" s="522"/>
      <c r="F20" s="522"/>
      <c r="G20" s="522"/>
    </row>
    <row r="21" spans="1:7" ht="12">
      <c r="A21" s="511">
        <v>11</v>
      </c>
      <c r="B21" s="517" t="s">
        <v>149</v>
      </c>
      <c r="E21" s="523">
        <f>E17+E18+E19+E20</f>
        <v>1</v>
      </c>
      <c r="F21" s="523">
        <f>F17+F18+F19+F20</f>
        <v>1</v>
      </c>
      <c r="G21" s="523">
        <f>G17+G18+G19+G20</f>
        <v>0</v>
      </c>
    </row>
    <row r="22" spans="5:7" ht="12">
      <c r="E22" s="524"/>
      <c r="F22" s="524"/>
      <c r="G22" s="524"/>
    </row>
    <row r="23" spans="2:7" ht="12">
      <c r="B23" s="517" t="s">
        <v>93</v>
      </c>
      <c r="E23" s="524"/>
      <c r="F23" s="524"/>
      <c r="G23" s="524"/>
    </row>
    <row r="24" spans="1:7" ht="12">
      <c r="A24" s="511">
        <v>12</v>
      </c>
      <c r="B24" s="517" t="s">
        <v>145</v>
      </c>
      <c r="E24" s="522">
        <f>F24+G24</f>
        <v>-14</v>
      </c>
      <c r="F24" s="522">
        <v>-9</v>
      </c>
      <c r="G24" s="522">
        <v>-5</v>
      </c>
    </row>
    <row r="25" spans="1:7" ht="12">
      <c r="A25" s="511">
        <v>13</v>
      </c>
      <c r="B25" s="517" t="s">
        <v>150</v>
      </c>
      <c r="E25" s="522"/>
      <c r="F25" s="522"/>
      <c r="G25" s="522"/>
    </row>
    <row r="26" spans="1:7" ht="12">
      <c r="A26" s="511">
        <v>14</v>
      </c>
      <c r="B26" s="517" t="s">
        <v>148</v>
      </c>
      <c r="E26" s="522">
        <f>F26+G26</f>
        <v>0</v>
      </c>
      <c r="F26" s="522"/>
      <c r="G26" s="525">
        <f>F109</f>
        <v>0</v>
      </c>
    </row>
    <row r="27" spans="1:7" ht="12">
      <c r="A27" s="511">
        <v>15</v>
      </c>
      <c r="B27" s="517" t="s">
        <v>151</v>
      </c>
      <c r="E27" s="523">
        <f>E24+E25+E26</f>
        <v>-14</v>
      </c>
      <c r="F27" s="523">
        <f>F24+F25+F26</f>
        <v>-9</v>
      </c>
      <c r="G27" s="523">
        <f>G24+G25+G26</f>
        <v>-5</v>
      </c>
    </row>
    <row r="28" spans="5:7" ht="12">
      <c r="E28" s="524"/>
      <c r="F28" s="524"/>
      <c r="G28" s="524"/>
    </row>
    <row r="29" spans="1:7" ht="12">
      <c r="A29" s="511">
        <v>16</v>
      </c>
      <c r="B29" s="517" t="s">
        <v>96</v>
      </c>
      <c r="E29" s="522"/>
      <c r="F29" s="522"/>
      <c r="G29" s="522"/>
    </row>
    <row r="30" spans="1:7" ht="12">
      <c r="A30" s="511">
        <v>17</v>
      </c>
      <c r="B30" s="517" t="s">
        <v>97</v>
      </c>
      <c r="E30" s="522"/>
      <c r="F30" s="522"/>
      <c r="G30" s="522"/>
    </row>
    <row r="31" spans="1:7" ht="12">
      <c r="A31" s="511">
        <v>18</v>
      </c>
      <c r="B31" s="517" t="s">
        <v>152</v>
      </c>
      <c r="E31" s="522"/>
      <c r="F31" s="522"/>
      <c r="G31" s="522"/>
    </row>
    <row r="32" spans="5:7" ht="12">
      <c r="E32" s="524"/>
      <c r="F32" s="524"/>
      <c r="G32" s="524"/>
    </row>
    <row r="33" spans="2:7" ht="12">
      <c r="B33" s="517" t="s">
        <v>99</v>
      </c>
      <c r="E33" s="524"/>
      <c r="F33" s="524"/>
      <c r="G33" s="524"/>
    </row>
    <row r="34" spans="1:7" ht="12">
      <c r="A34" s="511">
        <v>19</v>
      </c>
      <c r="B34" s="517" t="s">
        <v>145</v>
      </c>
      <c r="E34" s="522">
        <f>F34+G34</f>
        <v>100</v>
      </c>
      <c r="F34" s="522">
        <v>64</v>
      </c>
      <c r="G34" s="522">
        <v>36</v>
      </c>
    </row>
    <row r="35" spans="1:7" ht="12">
      <c r="A35" s="511">
        <v>20</v>
      </c>
      <c r="B35" s="517" t="s">
        <v>150</v>
      </c>
      <c r="E35" s="522"/>
      <c r="F35" s="522"/>
      <c r="G35" s="522"/>
    </row>
    <row r="36" spans="1:7" ht="12">
      <c r="A36" s="511">
        <v>21</v>
      </c>
      <c r="B36" s="517" t="s">
        <v>148</v>
      </c>
      <c r="E36" s="522"/>
      <c r="F36" s="522"/>
      <c r="G36" s="522"/>
    </row>
    <row r="37" spans="1:7" ht="12">
      <c r="A37" s="511">
        <v>22</v>
      </c>
      <c r="B37" s="517" t="s">
        <v>153</v>
      </c>
      <c r="E37" s="526">
        <f>E34+E35+E36</f>
        <v>100</v>
      </c>
      <c r="F37" s="526">
        <f>F34+F35+F36</f>
        <v>64</v>
      </c>
      <c r="G37" s="526">
        <f>G34+G35+G36</f>
        <v>36</v>
      </c>
    </row>
    <row r="38" spans="1:7" ht="12">
      <c r="A38" s="511">
        <v>23</v>
      </c>
      <c r="B38" s="517" t="s">
        <v>101</v>
      </c>
      <c r="E38" s="527">
        <f>E21+E27+E29+E30+E31+E37</f>
        <v>87</v>
      </c>
      <c r="F38" s="527">
        <f>F21+F27+F29+F30+F31+F37</f>
        <v>56</v>
      </c>
      <c r="G38" s="527">
        <f>G21+G27+G29+G30+G31+G37</f>
        <v>31</v>
      </c>
    </row>
    <row r="39" spans="5:7" ht="12">
      <c r="E39" s="524"/>
      <c r="F39" s="524"/>
      <c r="G39" s="524"/>
    </row>
    <row r="40" spans="1:7" ht="12">
      <c r="A40" s="511">
        <v>24</v>
      </c>
      <c r="B40" s="517" t="s">
        <v>154</v>
      </c>
      <c r="E40" s="524">
        <f>E13-E38</f>
        <v>-87</v>
      </c>
      <c r="F40" s="524">
        <f>F13-F38</f>
        <v>-56</v>
      </c>
      <c r="G40" s="524">
        <f>G13-G38</f>
        <v>-31</v>
      </c>
    </row>
    <row r="41" spans="2:7" ht="12">
      <c r="B41" s="517"/>
      <c r="E41" s="524"/>
      <c r="F41" s="524"/>
      <c r="G41" s="524"/>
    </row>
    <row r="42" spans="2:7" ht="12">
      <c r="B42" s="517" t="s">
        <v>155</v>
      </c>
      <c r="E42" s="524"/>
      <c r="F42" s="524"/>
      <c r="G42" s="524"/>
    </row>
    <row r="43" spans="1:7" ht="12">
      <c r="A43" s="511">
        <v>25</v>
      </c>
      <c r="B43" s="517" t="s">
        <v>156</v>
      </c>
      <c r="D43" s="528">
        <v>0.35</v>
      </c>
      <c r="E43" s="522">
        <f>F43+G43</f>
        <v>-31</v>
      </c>
      <c r="F43" s="522">
        <f>ROUND(F40*D43,0)</f>
        <v>-20</v>
      </c>
      <c r="G43" s="522">
        <f>ROUND(G40*D43,0)</f>
        <v>-11</v>
      </c>
    </row>
    <row r="44" spans="1:7" ht="12">
      <c r="A44" s="511">
        <v>26</v>
      </c>
      <c r="B44" s="517" t="s">
        <v>157</v>
      </c>
      <c r="E44" s="522"/>
      <c r="F44" s="522"/>
      <c r="G44" s="522"/>
    </row>
    <row r="45" spans="1:7" ht="12.75">
      <c r="A45"/>
      <c r="B45"/>
      <c r="C45"/>
      <c r="D45"/>
      <c r="E45" s="943"/>
      <c r="F45" s="943"/>
      <c r="G45" s="943"/>
    </row>
    <row r="46" spans="1:7" ht="12">
      <c r="A46" s="278"/>
      <c r="B46" s="281"/>
      <c r="C46" s="275"/>
      <c r="D46" s="275"/>
      <c r="E46" s="288"/>
      <c r="F46" s="288"/>
      <c r="G46" s="288"/>
    </row>
    <row r="47" spans="1:7" s="520" customFormat="1" ht="12">
      <c r="A47" s="282">
        <v>27</v>
      </c>
      <c r="B47" s="283" t="s">
        <v>108</v>
      </c>
      <c r="C47" s="284"/>
      <c r="D47" s="284"/>
      <c r="E47" s="292">
        <f>E40-SUM(E43:E44)</f>
        <v>-56</v>
      </c>
      <c r="F47" s="292">
        <f>F40-SUM(F43:F44)</f>
        <v>-36</v>
      </c>
      <c r="G47" s="292">
        <f>G40-SUM(G43:G44)</f>
        <v>-20</v>
      </c>
    </row>
    <row r="48" ht="12">
      <c r="A48" s="278"/>
    </row>
    <row r="49" spans="1:2" ht="12">
      <c r="A49" s="278"/>
      <c r="B49" s="517" t="s">
        <v>109</v>
      </c>
    </row>
    <row r="50" spans="1:2" ht="12">
      <c r="A50" s="278"/>
      <c r="B50" s="517" t="s">
        <v>110</v>
      </c>
    </row>
    <row r="51" spans="1:7" s="520" customFormat="1" ht="12">
      <c r="A51" s="282">
        <v>28</v>
      </c>
      <c r="B51" s="519" t="s">
        <v>159</v>
      </c>
      <c r="E51" s="521"/>
      <c r="F51" s="521"/>
      <c r="G51" s="521"/>
    </row>
    <row r="52" spans="1:7" ht="12">
      <c r="A52" s="278">
        <v>29</v>
      </c>
      <c r="B52" s="517" t="s">
        <v>160</v>
      </c>
      <c r="E52" s="522"/>
      <c r="F52" s="522"/>
      <c r="G52" s="522"/>
    </row>
    <row r="53" spans="1:7" ht="12">
      <c r="A53" s="278">
        <v>30</v>
      </c>
      <c r="B53" s="517" t="s">
        <v>161</v>
      </c>
      <c r="E53" s="522"/>
      <c r="F53" s="522"/>
      <c r="G53" s="522"/>
    </row>
    <row r="54" spans="1:7" ht="12">
      <c r="A54" s="278">
        <v>31</v>
      </c>
      <c r="B54" s="517" t="s">
        <v>162</v>
      </c>
      <c r="E54" s="522"/>
      <c r="F54" s="522"/>
      <c r="G54" s="522"/>
    </row>
    <row r="55" spans="1:7" ht="12">
      <c r="A55" s="278">
        <v>32</v>
      </c>
      <c r="B55" s="517" t="s">
        <v>163</v>
      </c>
      <c r="E55" s="529"/>
      <c r="F55" s="529"/>
      <c r="G55" s="529"/>
    </row>
    <row r="56" spans="1:7" ht="12">
      <c r="A56" s="278">
        <v>33</v>
      </c>
      <c r="B56" s="517" t="s">
        <v>164</v>
      </c>
      <c r="E56" s="524">
        <f>E51+E52+E53+E54+E55</f>
        <v>0</v>
      </c>
      <c r="F56" s="524">
        <f>F51+F52+F53+F54+F55</f>
        <v>0</v>
      </c>
      <c r="G56" s="524">
        <f>G51+G52+G53+G54+G55</f>
        <v>0</v>
      </c>
    </row>
    <row r="57" spans="1:7" ht="12">
      <c r="A57" s="278">
        <v>34</v>
      </c>
      <c r="B57" s="517" t="s">
        <v>116</v>
      </c>
      <c r="E57" s="522"/>
      <c r="F57" s="522"/>
      <c r="G57" s="522"/>
    </row>
    <row r="58" spans="1:7" ht="12">
      <c r="A58" s="278">
        <v>35</v>
      </c>
      <c r="B58" s="517" t="s">
        <v>117</v>
      </c>
      <c r="E58" s="529"/>
      <c r="F58" s="529"/>
      <c r="G58" s="529"/>
    </row>
    <row r="59" spans="1:7" ht="12">
      <c r="A59" s="278">
        <v>36</v>
      </c>
      <c r="B59" s="517" t="s">
        <v>165</v>
      </c>
      <c r="E59" s="524">
        <f>E57+E58</f>
        <v>0</v>
      </c>
      <c r="F59" s="524">
        <f>F57+F58</f>
        <v>0</v>
      </c>
      <c r="G59" s="524">
        <f>G57+G58</f>
        <v>0</v>
      </c>
    </row>
    <row r="60" spans="1:7" ht="12">
      <c r="A60" s="278">
        <v>37</v>
      </c>
      <c r="B60" s="517" t="s">
        <v>119</v>
      </c>
      <c r="E60" s="522"/>
      <c r="F60" s="522"/>
      <c r="G60" s="522"/>
    </row>
    <row r="61" spans="1:7" ht="12">
      <c r="A61" s="278">
        <v>38</v>
      </c>
      <c r="B61" s="517" t="s">
        <v>120</v>
      </c>
      <c r="E61" s="529"/>
      <c r="F61" s="529"/>
      <c r="G61" s="529"/>
    </row>
    <row r="62" ht="9" customHeight="1">
      <c r="A62" s="278"/>
    </row>
    <row r="63" spans="1:7" s="520" customFormat="1" ht="12.75" thickBot="1">
      <c r="A63" s="282">
        <v>39</v>
      </c>
      <c r="B63" s="519" t="s">
        <v>121</v>
      </c>
      <c r="E63" s="530">
        <f>E56-E59+E60+E61</f>
        <v>0</v>
      </c>
      <c r="F63" s="530">
        <f>F56-F59+F60+F61</f>
        <v>0</v>
      </c>
      <c r="G63" s="530">
        <f>G56-G59+G60+G61</f>
        <v>0</v>
      </c>
    </row>
    <row r="64" ht="12.75" thickTop="1"/>
    <row r="65" spans="1:7" ht="12">
      <c r="A65" s="509" t="str">
        <f>Inputs!$D$6</f>
        <v>AVISTA UTILITIES</v>
      </c>
      <c r="B65" s="509"/>
      <c r="C65" s="509"/>
      <c r="D65" s="531"/>
      <c r="E65" s="532"/>
      <c r="F65" s="531"/>
      <c r="G65" s="533"/>
    </row>
    <row r="66" spans="1:7" ht="12">
      <c r="A66" s="509" t="s">
        <v>218</v>
      </c>
      <c r="B66" s="509"/>
      <c r="C66" s="509"/>
      <c r="D66" s="531"/>
      <c r="E66" s="532"/>
      <c r="F66" s="531"/>
      <c r="G66" s="533"/>
    </row>
    <row r="67" spans="1:7" ht="12">
      <c r="A67" s="509" t="str">
        <f>A3</f>
        <v>TWELVE MONTHS ENDED DECEMBER 31, 2004</v>
      </c>
      <c r="B67" s="509"/>
      <c r="C67" s="509"/>
      <c r="D67" s="531"/>
      <c r="E67" s="532"/>
      <c r="F67" s="534" t="str">
        <f>F2</f>
        <v>EXECUTIVE LABOR</v>
      </c>
      <c r="G67" s="531"/>
    </row>
    <row r="68" spans="1:7" ht="12">
      <c r="A68" s="509" t="s">
        <v>219</v>
      </c>
      <c r="B68" s="509"/>
      <c r="C68" s="509"/>
      <c r="D68" s="531"/>
      <c r="E68" s="532"/>
      <c r="F68" s="534" t="str">
        <f>F3</f>
        <v>PRO FORMA</v>
      </c>
      <c r="G68" s="531"/>
    </row>
    <row r="69" spans="2:7" ht="12">
      <c r="B69" s="531"/>
      <c r="C69" s="531"/>
      <c r="D69" s="531"/>
      <c r="E69" s="535"/>
      <c r="F69" s="536" t="str">
        <f>F4</f>
        <v>ELECTRIC</v>
      </c>
      <c r="G69" s="531"/>
    </row>
    <row r="70" spans="2:7" ht="12">
      <c r="B70" s="531"/>
      <c r="C70" s="531"/>
      <c r="D70" s="531"/>
      <c r="E70" s="532"/>
      <c r="F70" s="534"/>
      <c r="G70" s="538"/>
    </row>
    <row r="71" spans="2:7" ht="12">
      <c r="B71" s="539" t="s">
        <v>128</v>
      </c>
      <c r="C71" s="540"/>
      <c r="D71" s="531"/>
      <c r="E71" s="532"/>
      <c r="F71" s="536" t="s">
        <v>123</v>
      </c>
      <c r="G71" s="531"/>
    </row>
    <row r="72" spans="2:7" ht="12">
      <c r="B72" s="517" t="s">
        <v>80</v>
      </c>
      <c r="C72" s="531"/>
      <c r="D72" s="531"/>
      <c r="E72" s="531"/>
      <c r="F72" s="533"/>
      <c r="G72" s="531"/>
    </row>
    <row r="73" spans="2:7" ht="12">
      <c r="B73" s="519" t="s">
        <v>81</v>
      </c>
      <c r="C73" s="531"/>
      <c r="D73" s="531"/>
      <c r="E73" s="531"/>
      <c r="F73" s="541">
        <f>G8</f>
        <v>0</v>
      </c>
      <c r="G73" s="531"/>
    </row>
    <row r="74" spans="2:7" ht="12">
      <c r="B74" s="517" t="s">
        <v>82</v>
      </c>
      <c r="C74" s="531"/>
      <c r="D74" s="531"/>
      <c r="E74" s="531"/>
      <c r="F74" s="524">
        <f>G9</f>
        <v>0</v>
      </c>
      <c r="G74" s="531"/>
    </row>
    <row r="75" spans="2:7" ht="12">
      <c r="B75" s="517" t="s">
        <v>142</v>
      </c>
      <c r="C75" s="531"/>
      <c r="D75" s="531"/>
      <c r="E75" s="531"/>
      <c r="F75" s="527">
        <f>G10</f>
        <v>0</v>
      </c>
      <c r="G75" s="531"/>
    </row>
    <row r="76" spans="2:7" ht="12">
      <c r="B76" s="517" t="s">
        <v>143</v>
      </c>
      <c r="C76" s="531"/>
      <c r="D76" s="531"/>
      <c r="E76" s="531"/>
      <c r="F76" s="524">
        <f>SUM(F73:F75)</f>
        <v>0</v>
      </c>
      <c r="G76" s="531"/>
    </row>
    <row r="77" spans="2:7" ht="12">
      <c r="B77" s="517" t="s">
        <v>85</v>
      </c>
      <c r="C77" s="531"/>
      <c r="D77" s="531"/>
      <c r="E77" s="531"/>
      <c r="F77" s="527">
        <f>G12</f>
        <v>0</v>
      </c>
      <c r="G77" s="531"/>
    </row>
    <row r="78" spans="2:7" ht="12">
      <c r="B78" s="517" t="s">
        <v>144</v>
      </c>
      <c r="C78" s="531"/>
      <c r="D78" s="531"/>
      <c r="E78" s="531"/>
      <c r="F78" s="524">
        <f>F76+F77</f>
        <v>0</v>
      </c>
      <c r="G78" s="531"/>
    </row>
    <row r="79" spans="3:7" ht="12">
      <c r="C79" s="531"/>
      <c r="D79" s="531"/>
      <c r="E79" s="531"/>
      <c r="F79" s="524"/>
      <c r="G79" s="531"/>
    </row>
    <row r="80" spans="2:7" ht="12">
      <c r="B80" s="517" t="s">
        <v>87</v>
      </c>
      <c r="C80" s="531"/>
      <c r="D80" s="531"/>
      <c r="E80" s="531"/>
      <c r="F80" s="524"/>
      <c r="G80" s="531"/>
    </row>
    <row r="81" spans="2:7" ht="12">
      <c r="B81" s="517" t="s">
        <v>88</v>
      </c>
      <c r="C81" s="531"/>
      <c r="D81" s="531"/>
      <c r="E81" s="531"/>
      <c r="F81" s="524"/>
      <c r="G81" s="531"/>
    </row>
    <row r="82" spans="2:7" ht="12">
      <c r="B82" s="517" t="s">
        <v>145</v>
      </c>
      <c r="C82" s="531"/>
      <c r="D82" s="531"/>
      <c r="E82" s="531"/>
      <c r="F82" s="524">
        <f>G17</f>
        <v>0</v>
      </c>
      <c r="G82" s="531"/>
    </row>
    <row r="83" spans="2:7" ht="12">
      <c r="B83" s="517" t="s">
        <v>146</v>
      </c>
      <c r="C83" s="531"/>
      <c r="D83" s="531"/>
      <c r="E83" s="531"/>
      <c r="F83" s="524">
        <f>G18</f>
        <v>0</v>
      </c>
      <c r="G83" s="531"/>
    </row>
    <row r="84" spans="2:7" ht="12">
      <c r="B84" s="517" t="s">
        <v>147</v>
      </c>
      <c r="C84" s="531"/>
      <c r="D84" s="531"/>
      <c r="E84" s="531"/>
      <c r="F84" s="524">
        <f>G19</f>
        <v>0</v>
      </c>
      <c r="G84" s="531"/>
    </row>
    <row r="85" spans="2:7" ht="12">
      <c r="B85" s="517" t="s">
        <v>148</v>
      </c>
      <c r="C85" s="531"/>
      <c r="D85" s="531"/>
      <c r="E85" s="531"/>
      <c r="F85" s="527">
        <f>G20</f>
        <v>0</v>
      </c>
      <c r="G85" s="531"/>
    </row>
    <row r="86" spans="2:7" ht="12">
      <c r="B86" s="517" t="s">
        <v>149</v>
      </c>
      <c r="C86" s="531"/>
      <c r="D86" s="531"/>
      <c r="E86" s="531"/>
      <c r="F86" s="524">
        <f>SUM(F82:F85)</f>
        <v>0</v>
      </c>
      <c r="G86" s="531"/>
    </row>
    <row r="87" spans="3:7" ht="12">
      <c r="C87" s="531"/>
      <c r="D87" s="531"/>
      <c r="E87" s="531"/>
      <c r="F87" s="524"/>
      <c r="G87" s="531"/>
    </row>
    <row r="88" spans="2:7" ht="12">
      <c r="B88" s="517" t="s">
        <v>93</v>
      </c>
      <c r="C88" s="531"/>
      <c r="D88" s="531"/>
      <c r="E88" s="531"/>
      <c r="F88" s="524"/>
      <c r="G88" s="531"/>
    </row>
    <row r="89" spans="2:7" ht="12">
      <c r="B89" s="517" t="s">
        <v>145</v>
      </c>
      <c r="C89" s="531"/>
      <c r="D89" s="531"/>
      <c r="E89" s="531"/>
      <c r="F89" s="524">
        <f>G24</f>
        <v>-5</v>
      </c>
      <c r="G89" s="531"/>
    </row>
    <row r="90" spans="2:7" ht="12">
      <c r="B90" s="517" t="s">
        <v>150</v>
      </c>
      <c r="C90" s="531"/>
      <c r="D90" s="531"/>
      <c r="E90" s="531"/>
      <c r="F90" s="524">
        <f>G25</f>
        <v>0</v>
      </c>
      <c r="G90" s="531"/>
    </row>
    <row r="91" spans="1:7" ht="12">
      <c r="A91" s="510"/>
      <c r="B91" s="517" t="s">
        <v>148</v>
      </c>
      <c r="C91" s="531"/>
      <c r="D91" s="531"/>
      <c r="E91" s="531"/>
      <c r="F91" s="524">
        <v>0</v>
      </c>
      <c r="G91" s="531"/>
    </row>
    <row r="92" spans="1:7" ht="12">
      <c r="A92" s="510"/>
      <c r="B92" s="517" t="s">
        <v>151</v>
      </c>
      <c r="C92" s="531"/>
      <c r="D92" s="531"/>
      <c r="E92" s="531"/>
      <c r="F92" s="523">
        <f>SUM(F89:F91)</f>
        <v>-5</v>
      </c>
      <c r="G92" s="531"/>
    </row>
    <row r="93" spans="1:7" ht="12">
      <c r="A93" s="510"/>
      <c r="C93" s="531"/>
      <c r="D93" s="531"/>
      <c r="E93" s="531"/>
      <c r="F93" s="524"/>
      <c r="G93" s="531"/>
    </row>
    <row r="94" spans="1:7" ht="12">
      <c r="A94" s="510"/>
      <c r="B94" s="517" t="s">
        <v>96</v>
      </c>
      <c r="C94" s="531"/>
      <c r="D94" s="531"/>
      <c r="E94" s="531"/>
      <c r="F94" s="524">
        <f>G29</f>
        <v>0</v>
      </c>
      <c r="G94" s="531"/>
    </row>
    <row r="95" spans="1:7" ht="12">
      <c r="A95" s="510"/>
      <c r="B95" s="517" t="s">
        <v>97</v>
      </c>
      <c r="C95" s="531"/>
      <c r="D95" s="531"/>
      <c r="E95" s="531"/>
      <c r="F95" s="524">
        <f>G30</f>
        <v>0</v>
      </c>
      <c r="G95" s="531"/>
    </row>
    <row r="96" spans="1:7" ht="12">
      <c r="A96" s="510"/>
      <c r="B96" s="517" t="s">
        <v>152</v>
      </c>
      <c r="C96" s="531"/>
      <c r="D96" s="531"/>
      <c r="E96" s="531"/>
      <c r="F96" s="524">
        <f>G31</f>
        <v>0</v>
      </c>
      <c r="G96" s="531"/>
    </row>
    <row r="97" spans="1:7" ht="12">
      <c r="A97" s="510"/>
      <c r="C97" s="531"/>
      <c r="D97" s="531"/>
      <c r="E97" s="531"/>
      <c r="F97" s="524"/>
      <c r="G97" s="531"/>
    </row>
    <row r="98" spans="1:7" ht="12">
      <c r="A98" s="510"/>
      <c r="B98" s="517" t="s">
        <v>99</v>
      </c>
      <c r="C98" s="531"/>
      <c r="D98" s="531"/>
      <c r="E98" s="531"/>
      <c r="F98" s="524"/>
      <c r="G98" s="531"/>
    </row>
    <row r="99" spans="1:7" ht="12">
      <c r="A99" s="510"/>
      <c r="B99" s="517" t="s">
        <v>145</v>
      </c>
      <c r="C99" s="531"/>
      <c r="D99" s="531"/>
      <c r="E99" s="531"/>
      <c r="F99" s="524">
        <f>G34</f>
        <v>36</v>
      </c>
      <c r="G99" s="531"/>
    </row>
    <row r="100" spans="1:7" ht="12">
      <c r="A100" s="510"/>
      <c r="B100" s="517" t="s">
        <v>150</v>
      </c>
      <c r="C100" s="531"/>
      <c r="D100" s="531"/>
      <c r="E100" s="531"/>
      <c r="F100" s="524">
        <f>G35</f>
        <v>0</v>
      </c>
      <c r="G100" s="531"/>
    </row>
    <row r="101" spans="1:7" ht="12">
      <c r="A101" s="510"/>
      <c r="B101" s="517" t="s">
        <v>148</v>
      </c>
      <c r="C101" s="531"/>
      <c r="D101" s="531"/>
      <c r="E101" s="531"/>
      <c r="F101" s="527">
        <f>G36</f>
        <v>0</v>
      </c>
      <c r="G101" s="531"/>
    </row>
    <row r="102" spans="1:7" ht="12">
      <c r="A102" s="510"/>
      <c r="B102" s="517" t="s">
        <v>153</v>
      </c>
      <c r="C102" s="531"/>
      <c r="D102" s="531"/>
      <c r="E102" s="531"/>
      <c r="F102" s="524">
        <f>F99+F100+F101</f>
        <v>36</v>
      </c>
      <c r="G102" s="531"/>
    </row>
    <row r="103" spans="1:7" ht="12">
      <c r="A103" s="510"/>
      <c r="B103" s="531"/>
      <c r="C103" s="531"/>
      <c r="D103" s="531"/>
      <c r="E103" s="531"/>
      <c r="F103" s="524"/>
      <c r="G103" s="531"/>
    </row>
    <row r="104" spans="1:7" ht="12">
      <c r="A104" s="510"/>
      <c r="B104" s="531" t="s">
        <v>101</v>
      </c>
      <c r="C104" s="531"/>
      <c r="D104" s="531"/>
      <c r="E104" s="531"/>
      <c r="F104" s="526">
        <f>F86+F92+F94+F95+F96+F102</f>
        <v>31</v>
      </c>
      <c r="G104" s="531"/>
    </row>
    <row r="105" spans="1:7" ht="12">
      <c r="A105" s="510"/>
      <c r="B105" s="531"/>
      <c r="C105" s="531"/>
      <c r="D105" s="531"/>
      <c r="E105" s="531"/>
      <c r="F105" s="524"/>
      <c r="G105" s="531"/>
    </row>
    <row r="106" spans="1:7" ht="12">
      <c r="A106" s="510"/>
      <c r="B106" s="531" t="s">
        <v>220</v>
      </c>
      <c r="C106" s="531"/>
      <c r="D106" s="531"/>
      <c r="E106" s="531"/>
      <c r="F106" s="527">
        <f>F78-F104</f>
        <v>-31</v>
      </c>
      <c r="G106" s="531"/>
    </row>
    <row r="107" spans="1:7" ht="12">
      <c r="A107" s="510"/>
      <c r="B107" s="531"/>
      <c r="C107" s="531"/>
      <c r="D107" s="531"/>
      <c r="E107" s="531"/>
      <c r="F107" s="524"/>
      <c r="G107" s="531"/>
    </row>
    <row r="108" spans="1:7" ht="12">
      <c r="A108" s="510"/>
      <c r="B108" s="531" t="s">
        <v>221</v>
      </c>
      <c r="C108" s="531"/>
      <c r="D108" s="531"/>
      <c r="E108" s="532"/>
      <c r="F108" s="524"/>
      <c r="G108" s="531"/>
    </row>
    <row r="109" spans="1:7" ht="12.75" thickBot="1">
      <c r="A109" s="510"/>
      <c r="B109" s="543" t="s">
        <v>222</v>
      </c>
      <c r="C109" s="544">
        <f>Inputs!$D$4</f>
        <v>0.01065</v>
      </c>
      <c r="D109" s="531"/>
      <c r="E109" s="532"/>
      <c r="F109" s="530">
        <f>ROUND(F106*C109,0)</f>
        <v>0</v>
      </c>
      <c r="G109" s="531"/>
    </row>
    <row r="110" spans="1:7" ht="12.75" thickTop="1">
      <c r="A110" s="510"/>
      <c r="B110" s="531"/>
      <c r="C110" s="531"/>
      <c r="D110" s="531"/>
      <c r="E110" s="532"/>
      <c r="F110" s="531"/>
      <c r="G110" s="533"/>
    </row>
  </sheetData>
  <printOptions/>
  <pageMargins left="0.75" right="0.75" top="0.5" bottom="0.5" header="0.5" footer="0.5"/>
  <pageSetup horizontalDpi="600" verticalDpi="600" orientation="portrait" scale="90" r:id="rId1"/>
  <rowBreaks count="1" manualBreakCount="1">
    <brk id="64" max="25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G110"/>
  <sheetViews>
    <sheetView workbookViewId="0" topLeftCell="A65">
      <selection activeCell="F25" sqref="F25"/>
    </sheetView>
  </sheetViews>
  <sheetFormatPr defaultColWidth="9.140625" defaultRowHeight="12.75"/>
  <cols>
    <col min="1" max="1" width="5.57421875" style="511" customWidth="1"/>
    <col min="2" max="2" width="26.140625" style="510" customWidth="1"/>
    <col min="3" max="3" width="12.421875" style="510" customWidth="1"/>
    <col min="4" max="4" width="6.7109375" style="510" customWidth="1"/>
    <col min="5" max="16384" width="12.421875" style="510" customWidth="1"/>
  </cols>
  <sheetData>
    <row r="1" spans="1:3" ht="12">
      <c r="A1" s="508" t="str">
        <f>Inputs!$D$6</f>
        <v>AVISTA UTILITIES</v>
      </c>
      <c r="B1" s="509"/>
      <c r="C1" s="508"/>
    </row>
    <row r="2" spans="1:7" ht="12">
      <c r="A2" s="508" t="s">
        <v>134</v>
      </c>
      <c r="B2" s="509"/>
      <c r="C2" s="508"/>
      <c r="E2" s="508"/>
      <c r="F2" s="511" t="s">
        <v>477</v>
      </c>
      <c r="G2" s="508"/>
    </row>
    <row r="3" spans="1:7" ht="12">
      <c r="A3" s="509" t="str">
        <f>WAElec12_04!$A$4</f>
        <v>TWELVE MONTHS ENDED DECEMBER 31, 2004</v>
      </c>
      <c r="B3" s="509"/>
      <c r="C3" s="508"/>
      <c r="E3" s="508"/>
      <c r="F3" s="511" t="s">
        <v>478</v>
      </c>
      <c r="G3" s="508"/>
    </row>
    <row r="4" spans="1:7" ht="12">
      <c r="A4" s="508" t="s">
        <v>1</v>
      </c>
      <c r="B4" s="509"/>
      <c r="C4" s="508"/>
      <c r="E4" s="512"/>
      <c r="F4" s="513" t="s">
        <v>137</v>
      </c>
      <c r="G4" s="514"/>
    </row>
    <row r="5" ht="12">
      <c r="A5" s="511" t="s">
        <v>13</v>
      </c>
    </row>
    <row r="6" spans="1:7" s="511" customFormat="1" ht="12">
      <c r="A6" s="511" t="s">
        <v>138</v>
      </c>
      <c r="B6" s="515" t="s">
        <v>34</v>
      </c>
      <c r="C6" s="515"/>
      <c r="E6" s="515" t="s">
        <v>139</v>
      </c>
      <c r="F6" s="515" t="s">
        <v>140</v>
      </c>
      <c r="G6" s="515" t="s">
        <v>123</v>
      </c>
    </row>
    <row r="7" ht="12">
      <c r="B7" s="517" t="s">
        <v>80</v>
      </c>
    </row>
    <row r="8" spans="1:7" s="520" customFormat="1" ht="12">
      <c r="A8" s="518">
        <v>1</v>
      </c>
      <c r="B8" s="519" t="s">
        <v>81</v>
      </c>
      <c r="E8" s="521">
        <f>F8+G8</f>
        <v>0</v>
      </c>
      <c r="F8" s="521"/>
      <c r="G8" s="521"/>
    </row>
    <row r="9" spans="1:7" ht="12">
      <c r="A9" s="511">
        <v>2</v>
      </c>
      <c r="B9" s="517" t="s">
        <v>82</v>
      </c>
      <c r="E9" s="522"/>
      <c r="F9" s="522"/>
      <c r="G9" s="522"/>
    </row>
    <row r="10" spans="1:7" ht="12">
      <c r="A10" s="511">
        <v>3</v>
      </c>
      <c r="B10" s="517" t="s">
        <v>142</v>
      </c>
      <c r="E10" s="522"/>
      <c r="F10" s="522"/>
      <c r="G10" s="522"/>
    </row>
    <row r="11" spans="1:7" ht="12">
      <c r="A11" s="511">
        <v>4</v>
      </c>
      <c r="B11" s="517" t="s">
        <v>143</v>
      </c>
      <c r="E11" s="523">
        <f>E8+E9+E10</f>
        <v>0</v>
      </c>
      <c r="F11" s="523">
        <f>F8+F9+F10</f>
        <v>0</v>
      </c>
      <c r="G11" s="523">
        <f>G8+G9+G10</f>
        <v>0</v>
      </c>
    </row>
    <row r="12" spans="1:7" ht="12">
      <c r="A12" s="511">
        <v>5</v>
      </c>
      <c r="B12" s="517" t="s">
        <v>85</v>
      </c>
      <c r="E12" s="522">
        <f>SUM(F12:G12)</f>
        <v>0</v>
      </c>
      <c r="F12" s="522"/>
      <c r="G12" s="522">
        <v>0</v>
      </c>
    </row>
    <row r="13" spans="1:7" ht="12">
      <c r="A13" s="511">
        <v>6</v>
      </c>
      <c r="B13" s="517" t="s">
        <v>144</v>
      </c>
      <c r="E13" s="523">
        <f>E11+E12</f>
        <v>0</v>
      </c>
      <c r="F13" s="523">
        <f>F11+F12</f>
        <v>0</v>
      </c>
      <c r="G13" s="523">
        <f>G11+G12</f>
        <v>0</v>
      </c>
    </row>
    <row r="14" spans="5:7" ht="12">
      <c r="E14" s="524"/>
      <c r="F14" s="524"/>
      <c r="G14" s="524"/>
    </row>
    <row r="15" spans="2:7" ht="12">
      <c r="B15" s="517" t="s">
        <v>87</v>
      </c>
      <c r="E15" s="524"/>
      <c r="F15" s="524"/>
      <c r="G15" s="524"/>
    </row>
    <row r="16" spans="2:7" ht="12">
      <c r="B16" s="517" t="s">
        <v>88</v>
      </c>
      <c r="E16" s="524"/>
      <c r="F16" s="524"/>
      <c r="G16" s="524"/>
    </row>
    <row r="17" spans="1:7" ht="12">
      <c r="A17" s="511">
        <v>7</v>
      </c>
      <c r="B17" s="517" t="s">
        <v>145</v>
      </c>
      <c r="E17" s="522"/>
      <c r="F17" s="522">
        <f>-236+8</f>
        <v>-228</v>
      </c>
      <c r="G17" s="522"/>
    </row>
    <row r="18" spans="1:7" ht="12">
      <c r="A18" s="511">
        <v>8</v>
      </c>
      <c r="B18" s="517" t="s">
        <v>146</v>
      </c>
      <c r="E18" s="522"/>
      <c r="F18" s="522"/>
      <c r="G18" s="522"/>
    </row>
    <row r="19" spans="1:7" ht="12">
      <c r="A19" s="511">
        <v>9</v>
      </c>
      <c r="B19" s="517" t="s">
        <v>147</v>
      </c>
      <c r="E19" s="522"/>
      <c r="F19" s="522"/>
      <c r="G19" s="522"/>
    </row>
    <row r="20" spans="1:7" ht="12">
      <c r="A20" s="511">
        <v>10</v>
      </c>
      <c r="B20" s="517" t="s">
        <v>148</v>
      </c>
      <c r="E20" s="522"/>
      <c r="F20" s="522"/>
      <c r="G20" s="522"/>
    </row>
    <row r="21" spans="1:7" ht="12">
      <c r="A21" s="511">
        <v>11</v>
      </c>
      <c r="B21" s="517" t="s">
        <v>149</v>
      </c>
      <c r="E21" s="523">
        <f>E17+E18+E19+E20</f>
        <v>0</v>
      </c>
      <c r="F21" s="523">
        <f>F17+F18+F19+F20</f>
        <v>-228</v>
      </c>
      <c r="G21" s="523">
        <f>G17+G18+G19+G20</f>
        <v>0</v>
      </c>
    </row>
    <row r="22" spans="5:7" ht="12">
      <c r="E22" s="524"/>
      <c r="F22" s="524"/>
      <c r="G22" s="524"/>
    </row>
    <row r="23" spans="2:7" ht="12">
      <c r="B23" s="517" t="s">
        <v>93</v>
      </c>
      <c r="E23" s="524"/>
      <c r="F23" s="524"/>
      <c r="G23" s="524"/>
    </row>
    <row r="24" spans="1:7" ht="12">
      <c r="A24" s="511">
        <v>12</v>
      </c>
      <c r="B24" s="517" t="s">
        <v>145</v>
      </c>
      <c r="E24" s="522"/>
      <c r="F24" s="522">
        <f>883-163</f>
        <v>720</v>
      </c>
      <c r="G24" s="522"/>
    </row>
    <row r="25" spans="1:7" ht="12">
      <c r="A25" s="511">
        <v>13</v>
      </c>
      <c r="B25" s="517" t="s">
        <v>150</v>
      </c>
      <c r="E25" s="522"/>
      <c r="F25" s="522"/>
      <c r="G25" s="522"/>
    </row>
    <row r="26" spans="1:7" ht="12">
      <c r="A26" s="511">
        <v>14</v>
      </c>
      <c r="B26" s="517" t="s">
        <v>148</v>
      </c>
      <c r="E26" s="522">
        <f>F26+G26</f>
        <v>0</v>
      </c>
      <c r="F26" s="522"/>
      <c r="G26" s="525">
        <f>F109</f>
        <v>0</v>
      </c>
    </row>
    <row r="27" spans="1:7" ht="12">
      <c r="A27" s="511">
        <v>15</v>
      </c>
      <c r="B27" s="517" t="s">
        <v>151</v>
      </c>
      <c r="E27" s="523">
        <f>E24+E25+E26</f>
        <v>0</v>
      </c>
      <c r="F27" s="523">
        <f>F24+F25+F26</f>
        <v>720</v>
      </c>
      <c r="G27" s="523">
        <f>G24+G25+G26</f>
        <v>0</v>
      </c>
    </row>
    <row r="28" spans="5:7" ht="12">
      <c r="E28" s="524"/>
      <c r="F28" s="524"/>
      <c r="G28" s="524"/>
    </row>
    <row r="29" spans="1:7" ht="12">
      <c r="A29" s="511">
        <v>16</v>
      </c>
      <c r="B29" s="517" t="s">
        <v>96</v>
      </c>
      <c r="E29" s="522"/>
      <c r="F29" s="522"/>
      <c r="G29" s="522"/>
    </row>
    <row r="30" spans="1:7" ht="12">
      <c r="A30" s="511">
        <v>17</v>
      </c>
      <c r="B30" s="517" t="s">
        <v>97</v>
      </c>
      <c r="E30" s="522"/>
      <c r="F30" s="522"/>
      <c r="G30" s="522"/>
    </row>
    <row r="31" spans="1:7" ht="12">
      <c r="A31" s="511">
        <v>18</v>
      </c>
      <c r="B31" s="517" t="s">
        <v>152</v>
      </c>
      <c r="E31" s="522"/>
      <c r="F31" s="522"/>
      <c r="G31" s="522"/>
    </row>
    <row r="32" spans="5:7" ht="12">
      <c r="E32" s="524"/>
      <c r="F32" s="524"/>
      <c r="G32" s="524"/>
    </row>
    <row r="33" spans="2:7" ht="12">
      <c r="B33" s="517" t="s">
        <v>99</v>
      </c>
      <c r="E33" s="524"/>
      <c r="F33" s="524"/>
      <c r="G33" s="524"/>
    </row>
    <row r="34" spans="1:7" ht="12">
      <c r="A34" s="511">
        <v>19</v>
      </c>
      <c r="B34" s="517" t="s">
        <v>145</v>
      </c>
      <c r="E34" s="522">
        <f>F34+G34</f>
        <v>0</v>
      </c>
      <c r="F34" s="522"/>
      <c r="G34" s="522"/>
    </row>
    <row r="35" spans="1:7" ht="12">
      <c r="A35" s="511">
        <v>20</v>
      </c>
      <c r="B35" s="517" t="s">
        <v>150</v>
      </c>
      <c r="E35" s="522"/>
      <c r="F35" s="522"/>
      <c r="G35" s="522"/>
    </row>
    <row r="36" spans="1:7" ht="12">
      <c r="A36" s="511">
        <v>21</v>
      </c>
      <c r="B36" s="517" t="s">
        <v>148</v>
      </c>
      <c r="E36" s="522"/>
      <c r="F36" s="522"/>
      <c r="G36" s="522"/>
    </row>
    <row r="37" spans="1:7" ht="12">
      <c r="A37" s="511">
        <v>22</v>
      </c>
      <c r="B37" s="517" t="s">
        <v>153</v>
      </c>
      <c r="E37" s="526">
        <f>E34+E35+E36</f>
        <v>0</v>
      </c>
      <c r="F37" s="526">
        <f>F34+F35+F36</f>
        <v>0</v>
      </c>
      <c r="G37" s="526">
        <f>G34+G35+G36</f>
        <v>0</v>
      </c>
    </row>
    <row r="38" spans="1:7" ht="12">
      <c r="A38" s="511">
        <v>23</v>
      </c>
      <c r="B38" s="517" t="s">
        <v>101</v>
      </c>
      <c r="E38" s="527">
        <f>E21+E27+E29+E30+E31+E37</f>
        <v>0</v>
      </c>
      <c r="F38" s="527">
        <f>F21+F27+F29+F30+F31+F37</f>
        <v>492</v>
      </c>
      <c r="G38" s="527">
        <f>G21+G27+G29+G30+G31+G37</f>
        <v>0</v>
      </c>
    </row>
    <row r="39" spans="5:7" ht="12">
      <c r="E39" s="524"/>
      <c r="F39" s="524"/>
      <c r="G39" s="524"/>
    </row>
    <row r="40" spans="1:7" ht="12">
      <c r="A40" s="511">
        <v>24</v>
      </c>
      <c r="B40" s="517" t="s">
        <v>154</v>
      </c>
      <c r="E40" s="524">
        <f>E13-E38</f>
        <v>0</v>
      </c>
      <c r="F40" s="524">
        <f>F13-F38</f>
        <v>-492</v>
      </c>
      <c r="G40" s="524">
        <f>G13-G38</f>
        <v>0</v>
      </c>
    </row>
    <row r="41" spans="2:7" ht="12">
      <c r="B41" s="517"/>
      <c r="E41" s="524"/>
      <c r="F41" s="524"/>
      <c r="G41" s="524"/>
    </row>
    <row r="42" spans="2:7" ht="12">
      <c r="B42" s="517" t="s">
        <v>155</v>
      </c>
      <c r="E42" s="524"/>
      <c r="F42" s="524"/>
      <c r="G42" s="524"/>
    </row>
    <row r="43" spans="1:7" ht="12">
      <c r="A43" s="511">
        <v>25</v>
      </c>
      <c r="B43" s="517" t="s">
        <v>156</v>
      </c>
      <c r="D43" s="528">
        <v>0.35</v>
      </c>
      <c r="E43" s="522">
        <f>F43+G43</f>
        <v>-172</v>
      </c>
      <c r="F43" s="522">
        <f>ROUND(F40*D43,0)</f>
        <v>-172</v>
      </c>
      <c r="G43" s="522">
        <f>ROUND(G40*D43,0)</f>
        <v>0</v>
      </c>
    </row>
    <row r="44" spans="1:7" ht="12">
      <c r="A44" s="511">
        <v>26</v>
      </c>
      <c r="B44" s="517" t="s">
        <v>157</v>
      </c>
      <c r="E44" s="522"/>
      <c r="F44" s="522"/>
      <c r="G44" s="522"/>
    </row>
    <row r="45" spans="1:7" ht="12.75">
      <c r="A45"/>
      <c r="B45"/>
      <c r="C45"/>
      <c r="D45"/>
      <c r="E45" s="943"/>
      <c r="F45" s="943"/>
      <c r="G45" s="943"/>
    </row>
    <row r="46" spans="1:7" ht="12">
      <c r="A46" s="278"/>
      <c r="B46" s="281"/>
      <c r="C46" s="275"/>
      <c r="D46" s="275"/>
      <c r="E46" s="288"/>
      <c r="F46" s="288"/>
      <c r="G46" s="288"/>
    </row>
    <row r="47" spans="1:7" s="520" customFormat="1" ht="12">
      <c r="A47" s="282">
        <v>27</v>
      </c>
      <c r="B47" s="283" t="s">
        <v>108</v>
      </c>
      <c r="C47" s="284"/>
      <c r="D47" s="284"/>
      <c r="E47" s="292">
        <f>E40-SUM(E43:E44)</f>
        <v>172</v>
      </c>
      <c r="F47" s="292">
        <f>F40-SUM(F43:F44)</f>
        <v>-320</v>
      </c>
      <c r="G47" s="292">
        <f>G40-SUM(G43:G44)</f>
        <v>0</v>
      </c>
    </row>
    <row r="48" ht="12">
      <c r="A48" s="278"/>
    </row>
    <row r="49" spans="1:2" ht="12">
      <c r="A49" s="278"/>
      <c r="B49" s="517" t="s">
        <v>109</v>
      </c>
    </row>
    <row r="50" spans="1:2" ht="12">
      <c r="A50" s="278"/>
      <c r="B50" s="517" t="s">
        <v>110</v>
      </c>
    </row>
    <row r="51" spans="1:7" s="520" customFormat="1" ht="12">
      <c r="A51" s="282">
        <v>28</v>
      </c>
      <c r="B51" s="519" t="s">
        <v>159</v>
      </c>
      <c r="E51" s="521"/>
      <c r="F51" s="521"/>
      <c r="G51" s="521"/>
    </row>
    <row r="52" spans="1:7" ht="12">
      <c r="A52" s="278">
        <v>29</v>
      </c>
      <c r="B52" s="517" t="s">
        <v>160</v>
      </c>
      <c r="E52" s="522"/>
      <c r="F52" s="522"/>
      <c r="G52" s="522"/>
    </row>
    <row r="53" spans="1:7" ht="12">
      <c r="A53" s="278">
        <v>30</v>
      </c>
      <c r="B53" s="517" t="s">
        <v>161</v>
      </c>
      <c r="E53" s="522"/>
      <c r="F53" s="522"/>
      <c r="G53" s="522"/>
    </row>
    <row r="54" spans="1:7" ht="12">
      <c r="A54" s="278">
        <v>31</v>
      </c>
      <c r="B54" s="517" t="s">
        <v>162</v>
      </c>
      <c r="E54" s="522"/>
      <c r="F54" s="522"/>
      <c r="G54" s="522"/>
    </row>
    <row r="55" spans="1:7" ht="12">
      <c r="A55" s="278">
        <v>32</v>
      </c>
      <c r="B55" s="517" t="s">
        <v>163</v>
      </c>
      <c r="E55" s="529"/>
      <c r="F55" s="529"/>
      <c r="G55" s="529"/>
    </row>
    <row r="56" spans="1:7" ht="12">
      <c r="A56" s="278">
        <v>33</v>
      </c>
      <c r="B56" s="517" t="s">
        <v>164</v>
      </c>
      <c r="E56" s="524">
        <f>E51+E52+E53+E54+E55</f>
        <v>0</v>
      </c>
      <c r="F56" s="524">
        <f>F51+F52+F53+F54+F55</f>
        <v>0</v>
      </c>
      <c r="G56" s="524">
        <f>G51+G52+G53+G54+G55</f>
        <v>0</v>
      </c>
    </row>
    <row r="57" spans="1:7" ht="12">
      <c r="A57" s="278">
        <v>34</v>
      </c>
      <c r="B57" s="517" t="s">
        <v>116</v>
      </c>
      <c r="E57" s="522"/>
      <c r="F57" s="522"/>
      <c r="G57" s="522"/>
    </row>
    <row r="58" spans="1:7" ht="12">
      <c r="A58" s="278">
        <v>35</v>
      </c>
      <c r="B58" s="517" t="s">
        <v>117</v>
      </c>
      <c r="E58" s="529"/>
      <c r="F58" s="529"/>
      <c r="G58" s="529"/>
    </row>
    <row r="59" spans="1:7" ht="12">
      <c r="A59" s="278">
        <v>36</v>
      </c>
      <c r="B59" s="517" t="s">
        <v>165</v>
      </c>
      <c r="E59" s="524">
        <f>E57+E58</f>
        <v>0</v>
      </c>
      <c r="F59" s="524">
        <f>F57+F58</f>
        <v>0</v>
      </c>
      <c r="G59" s="524">
        <f>G57+G58</f>
        <v>0</v>
      </c>
    </row>
    <row r="60" spans="1:7" ht="12">
      <c r="A60" s="278">
        <v>37</v>
      </c>
      <c r="B60" s="517" t="s">
        <v>119</v>
      </c>
      <c r="E60" s="522"/>
      <c r="F60" s="522"/>
      <c r="G60" s="522"/>
    </row>
    <row r="61" spans="1:7" ht="12">
      <c r="A61" s="278">
        <v>38</v>
      </c>
      <c r="B61" s="517" t="s">
        <v>120</v>
      </c>
      <c r="E61" s="529"/>
      <c r="F61" s="529"/>
      <c r="G61" s="529"/>
    </row>
    <row r="62" ht="9" customHeight="1">
      <c r="A62" s="278"/>
    </row>
    <row r="63" spans="1:7" s="520" customFormat="1" ht="12.75" thickBot="1">
      <c r="A63" s="282">
        <v>39</v>
      </c>
      <c r="B63" s="519" t="s">
        <v>121</v>
      </c>
      <c r="E63" s="530">
        <f>E56-E59+E60+E61</f>
        <v>0</v>
      </c>
      <c r="F63" s="530">
        <f>F56-F59+F60+F61</f>
        <v>0</v>
      </c>
      <c r="G63" s="530">
        <f>G56-G59+G60+G61</f>
        <v>0</v>
      </c>
    </row>
    <row r="64" ht="12.75" thickTop="1"/>
    <row r="65" spans="1:7" ht="12">
      <c r="A65" s="509" t="str">
        <f>Inputs!$D$6</f>
        <v>AVISTA UTILITIES</v>
      </c>
      <c r="B65" s="509"/>
      <c r="C65" s="509"/>
      <c r="D65" s="531"/>
      <c r="E65" s="532"/>
      <c r="F65" s="531"/>
      <c r="G65" s="533"/>
    </row>
    <row r="66" spans="1:7" ht="12">
      <c r="A66" s="509" t="s">
        <v>218</v>
      </c>
      <c r="B66" s="509"/>
      <c r="C66" s="509"/>
      <c r="D66" s="531"/>
      <c r="E66" s="532"/>
      <c r="F66" s="531"/>
      <c r="G66" s="533"/>
    </row>
    <row r="67" spans="1:7" ht="12">
      <c r="A67" s="509" t="str">
        <f>A3</f>
        <v>TWELVE MONTHS ENDED DECEMBER 31, 2004</v>
      </c>
      <c r="B67" s="509"/>
      <c r="C67" s="509"/>
      <c r="D67" s="531"/>
      <c r="E67" s="532"/>
      <c r="F67" s="534" t="str">
        <f>F2</f>
        <v>VEGETATION</v>
      </c>
      <c r="G67" s="531"/>
    </row>
    <row r="68" spans="1:7" ht="12">
      <c r="A68" s="509" t="s">
        <v>219</v>
      </c>
      <c r="B68" s="509"/>
      <c r="C68" s="509"/>
      <c r="D68" s="531"/>
      <c r="E68" s="532"/>
      <c r="F68" s="534" t="str">
        <f>F3</f>
        <v>MANAGEMENT PRO FORMA</v>
      </c>
      <c r="G68" s="531"/>
    </row>
    <row r="69" spans="2:7" ht="12">
      <c r="B69" s="531"/>
      <c r="C69" s="531"/>
      <c r="D69" s="531"/>
      <c r="E69" s="535"/>
      <c r="F69" s="536" t="str">
        <f>F4</f>
        <v>ELECTRIC</v>
      </c>
      <c r="G69" s="531"/>
    </row>
    <row r="70" spans="2:7" ht="12">
      <c r="B70" s="531"/>
      <c r="C70" s="531"/>
      <c r="D70" s="531"/>
      <c r="E70" s="532"/>
      <c r="F70" s="534"/>
      <c r="G70" s="538"/>
    </row>
    <row r="71" spans="2:7" ht="12">
      <c r="B71" s="539" t="s">
        <v>128</v>
      </c>
      <c r="C71" s="540"/>
      <c r="D71" s="531"/>
      <c r="E71" s="532"/>
      <c r="F71" s="536" t="s">
        <v>123</v>
      </c>
      <c r="G71" s="531"/>
    </row>
    <row r="72" spans="2:7" ht="12">
      <c r="B72" s="517" t="s">
        <v>80</v>
      </c>
      <c r="C72" s="531"/>
      <c r="D72" s="531"/>
      <c r="E72" s="531"/>
      <c r="F72" s="533"/>
      <c r="G72" s="531"/>
    </row>
    <row r="73" spans="2:7" ht="12">
      <c r="B73" s="519" t="s">
        <v>81</v>
      </c>
      <c r="C73" s="531"/>
      <c r="D73" s="531"/>
      <c r="E73" s="531"/>
      <c r="F73" s="541">
        <f>G8</f>
        <v>0</v>
      </c>
      <c r="G73" s="531"/>
    </row>
    <row r="74" spans="2:7" ht="12">
      <c r="B74" s="517" t="s">
        <v>82</v>
      </c>
      <c r="C74" s="531"/>
      <c r="D74" s="531"/>
      <c r="E74" s="531"/>
      <c r="F74" s="524">
        <f>G9</f>
        <v>0</v>
      </c>
      <c r="G74" s="531"/>
    </row>
    <row r="75" spans="2:7" ht="12">
      <c r="B75" s="517" t="s">
        <v>142</v>
      </c>
      <c r="C75" s="531"/>
      <c r="D75" s="531"/>
      <c r="E75" s="531"/>
      <c r="F75" s="527">
        <f>G10</f>
        <v>0</v>
      </c>
      <c r="G75" s="531"/>
    </row>
    <row r="76" spans="2:7" ht="12">
      <c r="B76" s="517" t="s">
        <v>143</v>
      </c>
      <c r="C76" s="531"/>
      <c r="D76" s="531"/>
      <c r="E76" s="531"/>
      <c r="F76" s="524">
        <f>SUM(F73:F75)</f>
        <v>0</v>
      </c>
      <c r="G76" s="531"/>
    </row>
    <row r="77" spans="2:7" ht="12">
      <c r="B77" s="517" t="s">
        <v>85</v>
      </c>
      <c r="C77" s="531"/>
      <c r="D77" s="531"/>
      <c r="E77" s="531"/>
      <c r="F77" s="527">
        <f>G12</f>
        <v>0</v>
      </c>
      <c r="G77" s="531"/>
    </row>
    <row r="78" spans="2:7" ht="12">
      <c r="B78" s="517" t="s">
        <v>144</v>
      </c>
      <c r="C78" s="531"/>
      <c r="D78" s="531"/>
      <c r="E78" s="531"/>
      <c r="F78" s="524">
        <f>F76+F77</f>
        <v>0</v>
      </c>
      <c r="G78" s="531"/>
    </row>
    <row r="79" spans="3:7" ht="12">
      <c r="C79" s="531"/>
      <c r="D79" s="531"/>
      <c r="E79" s="531"/>
      <c r="F79" s="524"/>
      <c r="G79" s="531"/>
    </row>
    <row r="80" spans="2:7" ht="12">
      <c r="B80" s="517" t="s">
        <v>87</v>
      </c>
      <c r="C80" s="531"/>
      <c r="D80" s="531"/>
      <c r="E80" s="531"/>
      <c r="F80" s="524"/>
      <c r="G80" s="531"/>
    </row>
    <row r="81" spans="2:7" ht="12">
      <c r="B81" s="517" t="s">
        <v>88</v>
      </c>
      <c r="C81" s="531"/>
      <c r="D81" s="531"/>
      <c r="E81" s="531"/>
      <c r="F81" s="524"/>
      <c r="G81" s="531"/>
    </row>
    <row r="82" spans="2:7" ht="12">
      <c r="B82" s="517" t="s">
        <v>145</v>
      </c>
      <c r="C82" s="531"/>
      <c r="D82" s="531"/>
      <c r="E82" s="531"/>
      <c r="F82" s="524">
        <f>G17</f>
        <v>0</v>
      </c>
      <c r="G82" s="531"/>
    </row>
    <row r="83" spans="2:7" ht="12">
      <c r="B83" s="517" t="s">
        <v>146</v>
      </c>
      <c r="C83" s="531"/>
      <c r="D83" s="531"/>
      <c r="E83" s="531"/>
      <c r="F83" s="524">
        <f>G18</f>
        <v>0</v>
      </c>
      <c r="G83" s="531"/>
    </row>
    <row r="84" spans="2:7" ht="12">
      <c r="B84" s="517" t="s">
        <v>147</v>
      </c>
      <c r="C84" s="531"/>
      <c r="D84" s="531"/>
      <c r="E84" s="531"/>
      <c r="F84" s="524">
        <f>G19</f>
        <v>0</v>
      </c>
      <c r="G84" s="531"/>
    </row>
    <row r="85" spans="2:7" ht="12">
      <c r="B85" s="517" t="s">
        <v>148</v>
      </c>
      <c r="C85" s="531"/>
      <c r="D85" s="531"/>
      <c r="E85" s="531"/>
      <c r="F85" s="527">
        <f>G20</f>
        <v>0</v>
      </c>
      <c r="G85" s="531"/>
    </row>
    <row r="86" spans="2:7" ht="12">
      <c r="B86" s="517" t="s">
        <v>149</v>
      </c>
      <c r="C86" s="531"/>
      <c r="D86" s="531"/>
      <c r="E86" s="531"/>
      <c r="F86" s="524">
        <f>SUM(F82:F85)</f>
        <v>0</v>
      </c>
      <c r="G86" s="531"/>
    </row>
    <row r="87" spans="3:7" ht="12">
      <c r="C87" s="531"/>
      <c r="D87" s="531"/>
      <c r="E87" s="531"/>
      <c r="F87" s="524"/>
      <c r="G87" s="531"/>
    </row>
    <row r="88" spans="2:7" ht="12">
      <c r="B88" s="517" t="s">
        <v>93</v>
      </c>
      <c r="C88" s="531"/>
      <c r="D88" s="531"/>
      <c r="E88" s="531"/>
      <c r="F88" s="524"/>
      <c r="G88" s="531"/>
    </row>
    <row r="89" spans="2:7" ht="12">
      <c r="B89" s="517" t="s">
        <v>145</v>
      </c>
      <c r="C89" s="531"/>
      <c r="D89" s="531"/>
      <c r="E89" s="531"/>
      <c r="F89" s="524">
        <f>G24</f>
        <v>0</v>
      </c>
      <c r="G89" s="531"/>
    </row>
    <row r="90" spans="2:7" ht="12">
      <c r="B90" s="517" t="s">
        <v>150</v>
      </c>
      <c r="C90" s="531"/>
      <c r="D90" s="531"/>
      <c r="E90" s="531"/>
      <c r="F90" s="524">
        <f>G25</f>
        <v>0</v>
      </c>
      <c r="G90" s="531"/>
    </row>
    <row r="91" spans="1:7" ht="12">
      <c r="A91" s="510"/>
      <c r="B91" s="517" t="s">
        <v>148</v>
      </c>
      <c r="C91" s="531"/>
      <c r="D91" s="531"/>
      <c r="E91" s="531"/>
      <c r="F91" s="524">
        <v>0</v>
      </c>
      <c r="G91" s="531"/>
    </row>
    <row r="92" spans="1:7" ht="12">
      <c r="A92" s="510"/>
      <c r="B92" s="517" t="s">
        <v>151</v>
      </c>
      <c r="C92" s="531"/>
      <c r="D92" s="531"/>
      <c r="E92" s="531"/>
      <c r="F92" s="523">
        <f>SUM(F89:F91)</f>
        <v>0</v>
      </c>
      <c r="G92" s="531"/>
    </row>
    <row r="93" spans="1:7" ht="12">
      <c r="A93" s="510"/>
      <c r="C93" s="531"/>
      <c r="D93" s="531"/>
      <c r="E93" s="531"/>
      <c r="F93" s="524"/>
      <c r="G93" s="531"/>
    </row>
    <row r="94" spans="1:7" ht="12">
      <c r="A94" s="510"/>
      <c r="B94" s="517" t="s">
        <v>96</v>
      </c>
      <c r="C94" s="531"/>
      <c r="D94" s="531"/>
      <c r="E94" s="531"/>
      <c r="F94" s="524">
        <f>G29</f>
        <v>0</v>
      </c>
      <c r="G94" s="531"/>
    </row>
    <row r="95" spans="1:7" ht="12">
      <c r="A95" s="510"/>
      <c r="B95" s="517" t="s">
        <v>97</v>
      </c>
      <c r="C95" s="531"/>
      <c r="D95" s="531"/>
      <c r="E95" s="531"/>
      <c r="F95" s="524">
        <f>G30</f>
        <v>0</v>
      </c>
      <c r="G95" s="531"/>
    </row>
    <row r="96" spans="1:7" ht="12">
      <c r="A96" s="510"/>
      <c r="B96" s="517" t="s">
        <v>152</v>
      </c>
      <c r="C96" s="531"/>
      <c r="D96" s="531"/>
      <c r="E96" s="531"/>
      <c r="F96" s="524">
        <f>G31</f>
        <v>0</v>
      </c>
      <c r="G96" s="531"/>
    </row>
    <row r="97" spans="1:7" ht="12">
      <c r="A97" s="510"/>
      <c r="C97" s="531"/>
      <c r="D97" s="531"/>
      <c r="E97" s="531"/>
      <c r="F97" s="524"/>
      <c r="G97" s="531"/>
    </row>
    <row r="98" spans="1:7" ht="12">
      <c r="A98" s="510"/>
      <c r="B98" s="517" t="s">
        <v>99</v>
      </c>
      <c r="C98" s="531"/>
      <c r="D98" s="531"/>
      <c r="E98" s="531"/>
      <c r="F98" s="524"/>
      <c r="G98" s="531"/>
    </row>
    <row r="99" spans="1:7" ht="12">
      <c r="A99" s="510"/>
      <c r="B99" s="517" t="s">
        <v>145</v>
      </c>
      <c r="C99" s="531"/>
      <c r="D99" s="531"/>
      <c r="E99" s="531"/>
      <c r="F99" s="524">
        <f>G34</f>
        <v>0</v>
      </c>
      <c r="G99" s="531"/>
    </row>
    <row r="100" spans="1:7" ht="12">
      <c r="A100" s="510"/>
      <c r="B100" s="517" t="s">
        <v>150</v>
      </c>
      <c r="C100" s="531"/>
      <c r="D100" s="531"/>
      <c r="E100" s="531"/>
      <c r="F100" s="524">
        <f>G35</f>
        <v>0</v>
      </c>
      <c r="G100" s="531"/>
    </row>
    <row r="101" spans="1:7" ht="12">
      <c r="A101" s="510"/>
      <c r="B101" s="517" t="s">
        <v>148</v>
      </c>
      <c r="C101" s="531"/>
      <c r="D101" s="531"/>
      <c r="E101" s="531"/>
      <c r="F101" s="527">
        <f>G36</f>
        <v>0</v>
      </c>
      <c r="G101" s="531"/>
    </row>
    <row r="102" spans="1:7" ht="12">
      <c r="A102" s="510"/>
      <c r="B102" s="517" t="s">
        <v>153</v>
      </c>
      <c r="C102" s="531"/>
      <c r="D102" s="531"/>
      <c r="E102" s="531"/>
      <c r="F102" s="524">
        <f>F99+F100+F101</f>
        <v>0</v>
      </c>
      <c r="G102" s="531"/>
    </row>
    <row r="103" spans="1:7" ht="12">
      <c r="A103" s="510"/>
      <c r="B103" s="531"/>
      <c r="C103" s="531"/>
      <c r="D103" s="531"/>
      <c r="E103" s="531"/>
      <c r="F103" s="524"/>
      <c r="G103" s="531"/>
    </row>
    <row r="104" spans="1:7" ht="12">
      <c r="A104" s="510"/>
      <c r="B104" s="531" t="s">
        <v>101</v>
      </c>
      <c r="C104" s="531"/>
      <c r="D104" s="531"/>
      <c r="E104" s="531"/>
      <c r="F104" s="526">
        <f>F86+F92+F94+F95+F96+F102</f>
        <v>0</v>
      </c>
      <c r="G104" s="531"/>
    </row>
    <row r="105" spans="1:7" ht="12">
      <c r="A105" s="510"/>
      <c r="B105" s="531"/>
      <c r="C105" s="531"/>
      <c r="D105" s="531"/>
      <c r="E105" s="531"/>
      <c r="F105" s="524"/>
      <c r="G105" s="531"/>
    </row>
    <row r="106" spans="1:7" ht="12">
      <c r="A106" s="510"/>
      <c r="B106" s="531" t="s">
        <v>220</v>
      </c>
      <c r="C106" s="531"/>
      <c r="D106" s="531"/>
      <c r="E106" s="531"/>
      <c r="F106" s="527">
        <f>F78-F104</f>
        <v>0</v>
      </c>
      <c r="G106" s="531"/>
    </row>
    <row r="107" spans="1:7" ht="12">
      <c r="A107" s="510"/>
      <c r="B107" s="531"/>
      <c r="C107" s="531"/>
      <c r="D107" s="531"/>
      <c r="E107" s="531"/>
      <c r="F107" s="524"/>
      <c r="G107" s="531"/>
    </row>
    <row r="108" spans="1:7" ht="12">
      <c r="A108" s="510"/>
      <c r="B108" s="531" t="s">
        <v>221</v>
      </c>
      <c r="C108" s="531"/>
      <c r="D108" s="531"/>
      <c r="E108" s="532"/>
      <c r="F108" s="524"/>
      <c r="G108" s="531"/>
    </row>
    <row r="109" spans="1:7" ht="12.75" thickBot="1">
      <c r="A109" s="510"/>
      <c r="B109" s="543" t="s">
        <v>222</v>
      </c>
      <c r="C109" s="544">
        <f>Inputs!$D$4</f>
        <v>0.01065</v>
      </c>
      <c r="D109" s="531"/>
      <c r="E109" s="532"/>
      <c r="F109" s="530">
        <f>ROUND(F106*C109,0)</f>
        <v>0</v>
      </c>
      <c r="G109" s="531"/>
    </row>
    <row r="110" spans="1:7" ht="12.75" thickTop="1">
      <c r="A110" s="510"/>
      <c r="B110" s="531"/>
      <c r="C110" s="531"/>
      <c r="D110" s="531"/>
      <c r="E110" s="532"/>
      <c r="F110" s="531"/>
      <c r="G110" s="533"/>
    </row>
  </sheetData>
  <printOptions/>
  <pageMargins left="0.75" right="0.75" top="0.5" bottom="0.5" header="0.5" footer="0.5"/>
  <pageSetup horizontalDpi="600" verticalDpi="600" orientation="portrait" scale="90" r:id="rId1"/>
  <rowBreaks count="1" manualBreakCount="1">
    <brk id="64" max="25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G110"/>
  <sheetViews>
    <sheetView workbookViewId="0" topLeftCell="A34">
      <selection activeCell="F65" sqref="F65"/>
    </sheetView>
  </sheetViews>
  <sheetFormatPr defaultColWidth="9.140625" defaultRowHeight="12.75"/>
  <cols>
    <col min="1" max="1" width="5.57421875" style="511" customWidth="1"/>
    <col min="2" max="2" width="26.140625" style="510" customWidth="1"/>
    <col min="3" max="3" width="12.421875" style="510" customWidth="1"/>
    <col min="4" max="4" width="6.7109375" style="510" customWidth="1"/>
    <col min="5" max="16384" width="12.421875" style="510" customWidth="1"/>
  </cols>
  <sheetData>
    <row r="1" spans="1:3" ht="12">
      <c r="A1" s="508" t="str">
        <f>Inputs!$D$6</f>
        <v>AVISTA UTILITIES</v>
      </c>
      <c r="B1" s="509"/>
      <c r="C1" s="508"/>
    </row>
    <row r="2" spans="1:7" ht="12">
      <c r="A2" s="508" t="s">
        <v>134</v>
      </c>
      <c r="B2" s="509"/>
      <c r="C2" s="508"/>
      <c r="E2" s="508"/>
      <c r="F2" s="511" t="s">
        <v>479</v>
      </c>
      <c r="G2" s="508"/>
    </row>
    <row r="3" spans="1:7" ht="12">
      <c r="A3" s="509" t="str">
        <f>WAElec12_04!$A$4</f>
        <v>TWELVE MONTHS ENDED DECEMBER 31, 2004</v>
      </c>
      <c r="B3" s="509"/>
      <c r="C3" s="508"/>
      <c r="E3" s="508"/>
      <c r="F3" s="511" t="s">
        <v>480</v>
      </c>
      <c r="G3" s="508"/>
    </row>
    <row r="4" spans="1:7" ht="12">
      <c r="A4" s="508" t="s">
        <v>1</v>
      </c>
      <c r="B4" s="509"/>
      <c r="C4" s="508"/>
      <c r="E4" s="512"/>
      <c r="F4" s="513" t="s">
        <v>137</v>
      </c>
      <c r="G4" s="514"/>
    </row>
    <row r="5" ht="12">
      <c r="A5" s="511" t="s">
        <v>13</v>
      </c>
    </row>
    <row r="6" spans="1:7" s="511" customFormat="1" ht="12">
      <c r="A6" s="511" t="s">
        <v>138</v>
      </c>
      <c r="B6" s="515" t="s">
        <v>34</v>
      </c>
      <c r="C6" s="515"/>
      <c r="E6" s="515" t="s">
        <v>139</v>
      </c>
      <c r="F6" s="515" t="s">
        <v>140</v>
      </c>
      <c r="G6" s="515" t="s">
        <v>123</v>
      </c>
    </row>
    <row r="7" ht="12">
      <c r="B7" s="517" t="s">
        <v>80</v>
      </c>
    </row>
    <row r="8" spans="1:7" s="520" customFormat="1" ht="12">
      <c r="A8" s="518">
        <v>1</v>
      </c>
      <c r="B8" s="519" t="s">
        <v>81</v>
      </c>
      <c r="E8" s="521">
        <f>F8+G8</f>
        <v>0</v>
      </c>
      <c r="F8" s="521"/>
      <c r="G8" s="521"/>
    </row>
    <row r="9" spans="1:7" ht="12">
      <c r="A9" s="511">
        <v>2</v>
      </c>
      <c r="B9" s="517" t="s">
        <v>82</v>
      </c>
      <c r="E9" s="522"/>
      <c r="F9" s="522"/>
      <c r="G9" s="522"/>
    </row>
    <row r="10" spans="1:7" ht="12">
      <c r="A10" s="511">
        <v>3</v>
      </c>
      <c r="B10" s="517" t="s">
        <v>142</v>
      </c>
      <c r="E10" s="522"/>
      <c r="F10" s="522"/>
      <c r="G10" s="522"/>
    </row>
    <row r="11" spans="1:7" ht="12">
      <c r="A11" s="511">
        <v>4</v>
      </c>
      <c r="B11" s="517" t="s">
        <v>143</v>
      </c>
      <c r="E11" s="523">
        <f>E8+E9+E10</f>
        <v>0</v>
      </c>
      <c r="F11" s="523">
        <f>F8+F9+F10</f>
        <v>0</v>
      </c>
      <c r="G11" s="523">
        <f>G8+G9+G10</f>
        <v>0</v>
      </c>
    </row>
    <row r="12" spans="1:7" ht="12">
      <c r="A12" s="511">
        <v>5</v>
      </c>
      <c r="B12" s="517" t="s">
        <v>85</v>
      </c>
      <c r="E12" s="522">
        <f>SUM(F12:G12)</f>
        <v>0</v>
      </c>
      <c r="F12" s="522"/>
      <c r="G12" s="522">
        <v>0</v>
      </c>
    </row>
    <row r="13" spans="1:7" ht="12">
      <c r="A13" s="511">
        <v>6</v>
      </c>
      <c r="B13" s="517" t="s">
        <v>144</v>
      </c>
      <c r="E13" s="523">
        <f>E11+E12</f>
        <v>0</v>
      </c>
      <c r="F13" s="523">
        <f>F11+F12</f>
        <v>0</v>
      </c>
      <c r="G13" s="523">
        <f>G11+G12</f>
        <v>0</v>
      </c>
    </row>
    <row r="14" spans="5:7" ht="12">
      <c r="E14" s="524"/>
      <c r="F14" s="524"/>
      <c r="G14" s="524"/>
    </row>
    <row r="15" spans="2:7" ht="12">
      <c r="B15" s="517" t="s">
        <v>87</v>
      </c>
      <c r="E15" s="524"/>
      <c r="F15" s="524"/>
      <c r="G15" s="524"/>
    </row>
    <row r="16" spans="2:7" ht="12">
      <c r="B16" s="517" t="s">
        <v>88</v>
      </c>
      <c r="E16" s="524"/>
      <c r="F16" s="524"/>
      <c r="G16" s="524"/>
    </row>
    <row r="17" spans="1:7" ht="12">
      <c r="A17" s="511">
        <v>7</v>
      </c>
      <c r="B17" s="517" t="s">
        <v>145</v>
      </c>
      <c r="E17" s="522"/>
      <c r="F17" s="522"/>
      <c r="G17" s="522"/>
    </row>
    <row r="18" spans="1:7" ht="12">
      <c r="A18" s="511">
        <v>8</v>
      </c>
      <c r="B18" s="517" t="s">
        <v>146</v>
      </c>
      <c r="E18" s="522"/>
      <c r="F18" s="522"/>
      <c r="G18" s="522"/>
    </row>
    <row r="19" spans="1:7" ht="12">
      <c r="A19" s="511">
        <v>9</v>
      </c>
      <c r="B19" s="517" t="s">
        <v>147</v>
      </c>
      <c r="E19" s="522">
        <f>F19+G19</f>
        <v>434</v>
      </c>
      <c r="F19" s="522">
        <v>434</v>
      </c>
      <c r="G19" s="522"/>
    </row>
    <row r="20" spans="1:7" ht="12">
      <c r="A20" s="511">
        <v>10</v>
      </c>
      <c r="B20" s="517" t="s">
        <v>148</v>
      </c>
      <c r="E20" s="522">
        <f>F20+G20</f>
        <v>278</v>
      </c>
      <c r="F20" s="522">
        <v>278</v>
      </c>
      <c r="G20" s="522"/>
    </row>
    <row r="21" spans="1:7" ht="12">
      <c r="A21" s="511">
        <v>11</v>
      </c>
      <c r="B21" s="517" t="s">
        <v>149</v>
      </c>
      <c r="E21" s="523">
        <f>E17+E18+E19+E20</f>
        <v>712</v>
      </c>
      <c r="F21" s="523">
        <f>F17+F18+F19+F20</f>
        <v>712</v>
      </c>
      <c r="G21" s="523">
        <f>G17+G18+G19+G20</f>
        <v>0</v>
      </c>
    </row>
    <row r="22" spans="5:7" ht="12">
      <c r="E22" s="524"/>
      <c r="F22" s="524"/>
      <c r="G22" s="524"/>
    </row>
    <row r="23" spans="2:7" ht="12">
      <c r="B23" s="517" t="s">
        <v>93</v>
      </c>
      <c r="E23" s="524"/>
      <c r="F23" s="524"/>
      <c r="G23" s="524"/>
    </row>
    <row r="24" spans="1:7" ht="12">
      <c r="A24" s="511">
        <v>12</v>
      </c>
      <c r="B24" s="517" t="s">
        <v>145</v>
      </c>
      <c r="E24" s="522"/>
      <c r="F24" s="522"/>
      <c r="G24" s="522"/>
    </row>
    <row r="25" spans="1:7" ht="12">
      <c r="A25" s="511">
        <v>13</v>
      </c>
      <c r="B25" s="517" t="s">
        <v>150</v>
      </c>
      <c r="E25" s="522"/>
      <c r="F25" s="522"/>
      <c r="G25" s="522"/>
    </row>
    <row r="26" spans="1:7" ht="12">
      <c r="A26" s="511">
        <v>14</v>
      </c>
      <c r="B26" s="517" t="s">
        <v>148</v>
      </c>
      <c r="E26" s="522">
        <f>F26+G26</f>
        <v>0</v>
      </c>
      <c r="F26" s="522"/>
      <c r="G26" s="525">
        <f>F109</f>
        <v>0</v>
      </c>
    </row>
    <row r="27" spans="1:7" ht="12">
      <c r="A27" s="511">
        <v>15</v>
      </c>
      <c r="B27" s="517" t="s">
        <v>151</v>
      </c>
      <c r="E27" s="523">
        <f>E24+E25+E26</f>
        <v>0</v>
      </c>
      <c r="F27" s="523">
        <f>F24+F25+F26</f>
        <v>0</v>
      </c>
      <c r="G27" s="523">
        <f>G24+G25+G26</f>
        <v>0</v>
      </c>
    </row>
    <row r="28" spans="5:7" ht="12">
      <c r="E28" s="524"/>
      <c r="F28" s="524"/>
      <c r="G28" s="524"/>
    </row>
    <row r="29" spans="1:7" ht="12">
      <c r="A29" s="511">
        <v>16</v>
      </c>
      <c r="B29" s="517" t="s">
        <v>96</v>
      </c>
      <c r="E29" s="522"/>
      <c r="F29" s="522"/>
      <c r="G29" s="522"/>
    </row>
    <row r="30" spans="1:7" ht="12">
      <c r="A30" s="511">
        <v>17</v>
      </c>
      <c r="B30" s="517" t="s">
        <v>97</v>
      </c>
      <c r="E30" s="522"/>
      <c r="F30" s="522"/>
      <c r="G30" s="522"/>
    </row>
    <row r="31" spans="1:7" ht="12">
      <c r="A31" s="511">
        <v>18</v>
      </c>
      <c r="B31" s="517" t="s">
        <v>152</v>
      </c>
      <c r="E31" s="522"/>
      <c r="F31" s="522"/>
      <c r="G31" s="522"/>
    </row>
    <row r="32" spans="5:7" ht="12">
      <c r="E32" s="524"/>
      <c r="F32" s="524"/>
      <c r="G32" s="524"/>
    </row>
    <row r="33" spans="2:7" ht="12">
      <c r="B33" s="517" t="s">
        <v>99</v>
      </c>
      <c r="E33" s="524"/>
      <c r="F33" s="524"/>
      <c r="G33" s="524"/>
    </row>
    <row r="34" spans="1:7" ht="12">
      <c r="A34" s="511">
        <v>19</v>
      </c>
      <c r="B34" s="517" t="s">
        <v>145</v>
      </c>
      <c r="E34" s="522">
        <f>F34+G34</f>
        <v>0</v>
      </c>
      <c r="F34" s="522"/>
      <c r="G34" s="522"/>
    </row>
    <row r="35" spans="1:7" ht="12">
      <c r="A35" s="511">
        <v>20</v>
      </c>
      <c r="B35" s="517" t="s">
        <v>150</v>
      </c>
      <c r="E35" s="522"/>
      <c r="F35" s="522"/>
      <c r="G35" s="522"/>
    </row>
    <row r="36" spans="1:7" ht="12">
      <c r="A36" s="511">
        <v>21</v>
      </c>
      <c r="B36" s="517" t="s">
        <v>148</v>
      </c>
      <c r="E36" s="522"/>
      <c r="F36" s="522"/>
      <c r="G36" s="522"/>
    </row>
    <row r="37" spans="1:7" ht="12">
      <c r="A37" s="511">
        <v>22</v>
      </c>
      <c r="B37" s="517" t="s">
        <v>153</v>
      </c>
      <c r="E37" s="526">
        <f>E34+E35+E36</f>
        <v>0</v>
      </c>
      <c r="F37" s="526">
        <f>F34+F35+F36</f>
        <v>0</v>
      </c>
      <c r="G37" s="526">
        <f>G34+G35+G36</f>
        <v>0</v>
      </c>
    </row>
    <row r="38" spans="1:7" ht="12">
      <c r="A38" s="511">
        <v>23</v>
      </c>
      <c r="B38" s="517" t="s">
        <v>101</v>
      </c>
      <c r="E38" s="527">
        <f>E21+E27+E29+E30+E31+E37</f>
        <v>712</v>
      </c>
      <c r="F38" s="527">
        <f>F21+F27+F29+F30+F31+F37</f>
        <v>712</v>
      </c>
      <c r="G38" s="527">
        <f>G21+G27+G29+G30+G31+G37</f>
        <v>0</v>
      </c>
    </row>
    <row r="39" spans="5:7" ht="12">
      <c r="E39" s="524"/>
      <c r="F39" s="524"/>
      <c r="G39" s="524"/>
    </row>
    <row r="40" spans="1:7" ht="12">
      <c r="A40" s="511">
        <v>24</v>
      </c>
      <c r="B40" s="517" t="s">
        <v>154</v>
      </c>
      <c r="E40" s="524">
        <f>E13-E38</f>
        <v>-712</v>
      </c>
      <c r="F40" s="524">
        <f>F13-F38</f>
        <v>-712</v>
      </c>
      <c r="G40" s="524">
        <f>G13-G38</f>
        <v>0</v>
      </c>
    </row>
    <row r="41" spans="2:7" ht="12">
      <c r="B41" s="517"/>
      <c r="E41" s="524"/>
      <c r="F41" s="524"/>
      <c r="G41" s="524"/>
    </row>
    <row r="42" spans="2:7" ht="12">
      <c r="B42" s="517" t="s">
        <v>155</v>
      </c>
      <c r="E42" s="524"/>
      <c r="F42" s="524"/>
      <c r="G42" s="524"/>
    </row>
    <row r="43" spans="1:7" ht="12">
      <c r="A43" s="511">
        <v>25</v>
      </c>
      <c r="B43" s="517" t="s">
        <v>156</v>
      </c>
      <c r="D43" s="528">
        <v>0.35</v>
      </c>
      <c r="E43" s="522">
        <f>F43+G43</f>
        <v>-575</v>
      </c>
      <c r="F43" s="522">
        <v>-575</v>
      </c>
      <c r="G43" s="522">
        <f>ROUND(G40*D43,0)</f>
        <v>0</v>
      </c>
    </row>
    <row r="44" spans="1:7" ht="12">
      <c r="A44" s="511">
        <v>26</v>
      </c>
      <c r="B44" s="517" t="s">
        <v>157</v>
      </c>
      <c r="E44" s="522">
        <f>F44+G44</f>
        <v>326</v>
      </c>
      <c r="F44" s="522">
        <v>326</v>
      </c>
      <c r="G44" s="522"/>
    </row>
    <row r="45" spans="1:7" ht="12.75">
      <c r="A45"/>
      <c r="B45"/>
      <c r="C45"/>
      <c r="D45"/>
      <c r="E45" s="943"/>
      <c r="F45" s="943"/>
      <c r="G45" s="943"/>
    </row>
    <row r="46" spans="1:7" ht="12">
      <c r="A46" s="278"/>
      <c r="B46" s="281"/>
      <c r="C46" s="275"/>
      <c r="D46" s="275"/>
      <c r="E46" s="288"/>
      <c r="F46" s="288"/>
      <c r="G46" s="288"/>
    </row>
    <row r="47" spans="1:7" s="520" customFormat="1" ht="12">
      <c r="A47" s="282">
        <v>27</v>
      </c>
      <c r="B47" s="283" t="s">
        <v>108</v>
      </c>
      <c r="C47" s="284"/>
      <c r="D47" s="284"/>
      <c r="E47" s="292">
        <f>E40-SUM(E43:E44)</f>
        <v>-463</v>
      </c>
      <c r="F47" s="292">
        <f>F40-SUM(F43:F44)</f>
        <v>-463</v>
      </c>
      <c r="G47" s="292">
        <f>G40-SUM(G43:G44)</f>
        <v>0</v>
      </c>
    </row>
    <row r="48" ht="12">
      <c r="A48" s="278"/>
    </row>
    <row r="49" spans="1:2" ht="12">
      <c r="A49" s="278"/>
      <c r="B49" s="517" t="s">
        <v>109</v>
      </c>
    </row>
    <row r="50" spans="1:2" ht="12">
      <c r="A50" s="278"/>
      <c r="B50" s="517" t="s">
        <v>110</v>
      </c>
    </row>
    <row r="51" spans="1:7" s="520" customFormat="1" ht="12">
      <c r="A51" s="282">
        <v>28</v>
      </c>
      <c r="B51" s="519" t="s">
        <v>159</v>
      </c>
      <c r="E51" s="521"/>
      <c r="F51" s="521"/>
      <c r="G51" s="521"/>
    </row>
    <row r="52" spans="1:7" ht="12">
      <c r="A52" s="278">
        <v>29</v>
      </c>
      <c r="B52" s="517" t="s">
        <v>160</v>
      </c>
      <c r="E52" s="522"/>
      <c r="F52" s="522"/>
      <c r="G52" s="522"/>
    </row>
    <row r="53" spans="1:7" ht="12">
      <c r="A53" s="278">
        <v>30</v>
      </c>
      <c r="B53" s="517" t="s">
        <v>161</v>
      </c>
      <c r="E53" s="522">
        <f>F53+G53</f>
        <v>18543</v>
      </c>
      <c r="F53" s="522">
        <v>18543</v>
      </c>
      <c r="G53" s="522"/>
    </row>
    <row r="54" spans="1:7" ht="12">
      <c r="A54" s="278">
        <v>31</v>
      </c>
      <c r="B54" s="517" t="s">
        <v>162</v>
      </c>
      <c r="E54" s="522"/>
      <c r="F54" s="522"/>
      <c r="G54" s="522"/>
    </row>
    <row r="55" spans="1:7" ht="12">
      <c r="A55" s="278">
        <v>32</v>
      </c>
      <c r="B55" s="517" t="s">
        <v>163</v>
      </c>
      <c r="E55" s="529"/>
      <c r="F55" s="529"/>
      <c r="G55" s="529"/>
    </row>
    <row r="56" spans="1:7" ht="12">
      <c r="A56" s="278">
        <v>33</v>
      </c>
      <c r="B56" s="517" t="s">
        <v>164</v>
      </c>
      <c r="E56" s="524">
        <f>E51+E52+E53+E54+E55</f>
        <v>18543</v>
      </c>
      <c r="F56" s="524">
        <f>F51+F52+F53+F54+F55</f>
        <v>18543</v>
      </c>
      <c r="G56" s="524">
        <f>G51+G52+G53+G54+G55</f>
        <v>0</v>
      </c>
    </row>
    <row r="57" spans="1:7" ht="12">
      <c r="A57" s="278">
        <v>34</v>
      </c>
      <c r="B57" s="517" t="s">
        <v>116</v>
      </c>
      <c r="E57" s="522">
        <f>F57+G57</f>
        <v>217</v>
      </c>
      <c r="F57" s="522">
        <v>217</v>
      </c>
      <c r="G57" s="522"/>
    </row>
    <row r="58" spans="1:7" ht="12">
      <c r="A58" s="278">
        <v>35</v>
      </c>
      <c r="B58" s="517" t="s">
        <v>117</v>
      </c>
      <c r="E58" s="529"/>
      <c r="F58" s="529"/>
      <c r="G58" s="529"/>
    </row>
    <row r="59" spans="1:7" ht="12">
      <c r="A59" s="278">
        <v>36</v>
      </c>
      <c r="B59" s="517" t="s">
        <v>165</v>
      </c>
      <c r="E59" s="524">
        <f>E57+E58</f>
        <v>217</v>
      </c>
      <c r="F59" s="524">
        <f>F57+F58</f>
        <v>217</v>
      </c>
      <c r="G59" s="524">
        <f>G57+G58</f>
        <v>0</v>
      </c>
    </row>
    <row r="60" spans="1:7" ht="12">
      <c r="A60" s="278">
        <v>37</v>
      </c>
      <c r="B60" s="517" t="s">
        <v>119</v>
      </c>
      <c r="E60" s="522"/>
      <c r="F60" s="522"/>
      <c r="G60" s="522"/>
    </row>
    <row r="61" spans="1:7" ht="12">
      <c r="A61" s="278">
        <v>38</v>
      </c>
      <c r="B61" s="517" t="s">
        <v>120</v>
      </c>
      <c r="E61" s="529">
        <f>F61+G61</f>
        <v>-329</v>
      </c>
      <c r="F61" s="529">
        <v>-329</v>
      </c>
      <c r="G61" s="529"/>
    </row>
    <row r="62" ht="9" customHeight="1">
      <c r="A62" s="278"/>
    </row>
    <row r="63" spans="1:7" s="520" customFormat="1" ht="12.75" thickBot="1">
      <c r="A63" s="282">
        <v>39</v>
      </c>
      <c r="B63" s="519" t="s">
        <v>121</v>
      </c>
      <c r="E63" s="530">
        <f>E56-E59+E60+E61</f>
        <v>17997</v>
      </c>
      <c r="F63" s="530">
        <f>F56-F59+F60+F61</f>
        <v>17997</v>
      </c>
      <c r="G63" s="530">
        <f>G56-G59+G60+G61</f>
        <v>0</v>
      </c>
    </row>
    <row r="64" ht="12.75" thickTop="1"/>
    <row r="65" spans="1:7" ht="12">
      <c r="A65" s="509" t="str">
        <f>Inputs!$D$6</f>
        <v>AVISTA UTILITIES</v>
      </c>
      <c r="B65" s="509"/>
      <c r="C65" s="509"/>
      <c r="D65" s="531"/>
      <c r="E65" s="532"/>
      <c r="F65" s="531"/>
      <c r="G65" s="533"/>
    </row>
    <row r="66" spans="1:7" ht="12">
      <c r="A66" s="509" t="s">
        <v>218</v>
      </c>
      <c r="B66" s="509"/>
      <c r="C66" s="509"/>
      <c r="D66" s="531"/>
      <c r="E66" s="532"/>
      <c r="F66" s="531"/>
      <c r="G66" s="533"/>
    </row>
    <row r="67" spans="1:7" ht="12">
      <c r="A67" s="509" t="str">
        <f>A3</f>
        <v>TWELVE MONTHS ENDED DECEMBER 31, 2004</v>
      </c>
      <c r="B67" s="509"/>
      <c r="C67" s="509"/>
      <c r="D67" s="531"/>
      <c r="E67" s="532"/>
      <c r="F67" s="534" t="str">
        <f>F2</f>
        <v>TRANSMISSION</v>
      </c>
      <c r="G67" s="531"/>
    </row>
    <row r="68" spans="1:7" ht="12">
      <c r="A68" s="509" t="s">
        <v>219</v>
      </c>
      <c r="B68" s="509"/>
      <c r="C68" s="509"/>
      <c r="D68" s="531"/>
      <c r="E68" s="532"/>
      <c r="F68" s="534" t="str">
        <f>F3</f>
        <v>PROJECT PRO FORMA</v>
      </c>
      <c r="G68" s="531"/>
    </row>
    <row r="69" spans="2:7" ht="12">
      <c r="B69" s="531"/>
      <c r="C69" s="531"/>
      <c r="D69" s="531"/>
      <c r="E69" s="535"/>
      <c r="F69" s="536" t="str">
        <f>F4</f>
        <v>ELECTRIC</v>
      </c>
      <c r="G69" s="531"/>
    </row>
    <row r="70" spans="2:7" ht="12">
      <c r="B70" s="531"/>
      <c r="C70" s="531"/>
      <c r="D70" s="531"/>
      <c r="E70" s="532"/>
      <c r="F70" s="534"/>
      <c r="G70" s="538"/>
    </row>
    <row r="71" spans="2:7" ht="12">
      <c r="B71" s="539" t="s">
        <v>128</v>
      </c>
      <c r="C71" s="540"/>
      <c r="D71" s="531"/>
      <c r="E71" s="532"/>
      <c r="F71" s="536" t="s">
        <v>123</v>
      </c>
      <c r="G71" s="531"/>
    </row>
    <row r="72" spans="2:7" ht="12">
      <c r="B72" s="517" t="s">
        <v>80</v>
      </c>
      <c r="C72" s="531"/>
      <c r="D72" s="531"/>
      <c r="E72" s="531"/>
      <c r="F72" s="533"/>
      <c r="G72" s="531"/>
    </row>
    <row r="73" spans="2:7" ht="12">
      <c r="B73" s="519" t="s">
        <v>81</v>
      </c>
      <c r="C73" s="531"/>
      <c r="D73" s="531"/>
      <c r="E73" s="531"/>
      <c r="F73" s="541">
        <f>G8</f>
        <v>0</v>
      </c>
      <c r="G73" s="531"/>
    </row>
    <row r="74" spans="2:7" ht="12">
      <c r="B74" s="517" t="s">
        <v>82</v>
      </c>
      <c r="C74" s="531"/>
      <c r="D74" s="531"/>
      <c r="E74" s="531"/>
      <c r="F74" s="524">
        <f>G9</f>
        <v>0</v>
      </c>
      <c r="G74" s="531"/>
    </row>
    <row r="75" spans="2:7" ht="12">
      <c r="B75" s="517" t="s">
        <v>142</v>
      </c>
      <c r="C75" s="531"/>
      <c r="D75" s="531"/>
      <c r="E75" s="531"/>
      <c r="F75" s="527">
        <f>G10</f>
        <v>0</v>
      </c>
      <c r="G75" s="531"/>
    </row>
    <row r="76" spans="2:7" ht="12">
      <c r="B76" s="517" t="s">
        <v>143</v>
      </c>
      <c r="C76" s="531"/>
      <c r="D76" s="531"/>
      <c r="E76" s="531"/>
      <c r="F76" s="524">
        <f>SUM(F73:F75)</f>
        <v>0</v>
      </c>
      <c r="G76" s="531"/>
    </row>
    <row r="77" spans="2:7" ht="12">
      <c r="B77" s="517" t="s">
        <v>85</v>
      </c>
      <c r="C77" s="531"/>
      <c r="D77" s="531"/>
      <c r="E77" s="531"/>
      <c r="F77" s="527">
        <f>G12</f>
        <v>0</v>
      </c>
      <c r="G77" s="531"/>
    </row>
    <row r="78" spans="2:7" ht="12">
      <c r="B78" s="517" t="s">
        <v>144</v>
      </c>
      <c r="C78" s="531"/>
      <c r="D78" s="531"/>
      <c r="E78" s="531"/>
      <c r="F78" s="524">
        <f>F76+F77</f>
        <v>0</v>
      </c>
      <c r="G78" s="531"/>
    </row>
    <row r="79" spans="3:7" ht="12">
      <c r="C79" s="531"/>
      <c r="D79" s="531"/>
      <c r="E79" s="531"/>
      <c r="F79" s="524"/>
      <c r="G79" s="531"/>
    </row>
    <row r="80" spans="2:7" ht="12">
      <c r="B80" s="517" t="s">
        <v>87</v>
      </c>
      <c r="C80" s="531"/>
      <c r="D80" s="531"/>
      <c r="E80" s="531"/>
      <c r="F80" s="524"/>
      <c r="G80" s="531"/>
    </row>
    <row r="81" spans="2:7" ht="12">
      <c r="B81" s="517" t="s">
        <v>88</v>
      </c>
      <c r="C81" s="531"/>
      <c r="D81" s="531"/>
      <c r="E81" s="531"/>
      <c r="F81" s="524"/>
      <c r="G81" s="531"/>
    </row>
    <row r="82" spans="2:7" ht="12">
      <c r="B82" s="517" t="s">
        <v>145</v>
      </c>
      <c r="C82" s="531"/>
      <c r="D82" s="531"/>
      <c r="E82" s="531"/>
      <c r="F82" s="524">
        <f>G17</f>
        <v>0</v>
      </c>
      <c r="G82" s="531"/>
    </row>
    <row r="83" spans="2:7" ht="12">
      <c r="B83" s="517" t="s">
        <v>146</v>
      </c>
      <c r="C83" s="531"/>
      <c r="D83" s="531"/>
      <c r="E83" s="531"/>
      <c r="F83" s="524">
        <f>G18</f>
        <v>0</v>
      </c>
      <c r="G83" s="531"/>
    </row>
    <row r="84" spans="2:7" ht="12">
      <c r="B84" s="517" t="s">
        <v>147</v>
      </c>
      <c r="C84" s="531"/>
      <c r="D84" s="531"/>
      <c r="E84" s="531"/>
      <c r="F84" s="524">
        <f>G19</f>
        <v>0</v>
      </c>
      <c r="G84" s="531"/>
    </row>
    <row r="85" spans="2:7" ht="12">
      <c r="B85" s="517" t="s">
        <v>148</v>
      </c>
      <c r="C85" s="531"/>
      <c r="D85" s="531"/>
      <c r="E85" s="531"/>
      <c r="F85" s="527">
        <f>G20</f>
        <v>0</v>
      </c>
      <c r="G85" s="531"/>
    </row>
    <row r="86" spans="2:7" ht="12">
      <c r="B86" s="517" t="s">
        <v>149</v>
      </c>
      <c r="C86" s="531"/>
      <c r="D86" s="531"/>
      <c r="E86" s="531"/>
      <c r="F86" s="524">
        <f>SUM(F82:F85)</f>
        <v>0</v>
      </c>
      <c r="G86" s="531"/>
    </row>
    <row r="87" spans="3:7" ht="12">
      <c r="C87" s="531"/>
      <c r="D87" s="531"/>
      <c r="E87" s="531"/>
      <c r="F87" s="524"/>
      <c r="G87" s="531"/>
    </row>
    <row r="88" spans="2:7" ht="12">
      <c r="B88" s="517" t="s">
        <v>93</v>
      </c>
      <c r="C88" s="531"/>
      <c r="D88" s="531"/>
      <c r="E88" s="531"/>
      <c r="F88" s="524"/>
      <c r="G88" s="531"/>
    </row>
    <row r="89" spans="2:7" ht="12">
      <c r="B89" s="517" t="s">
        <v>145</v>
      </c>
      <c r="C89" s="531"/>
      <c r="D89" s="531"/>
      <c r="E89" s="531"/>
      <c r="F89" s="524">
        <f>G24</f>
        <v>0</v>
      </c>
      <c r="G89" s="531"/>
    </row>
    <row r="90" spans="2:7" ht="12">
      <c r="B90" s="517" t="s">
        <v>150</v>
      </c>
      <c r="C90" s="531"/>
      <c r="D90" s="531"/>
      <c r="E90" s="531"/>
      <c r="F90" s="524">
        <f>G25</f>
        <v>0</v>
      </c>
      <c r="G90" s="531"/>
    </row>
    <row r="91" spans="1:7" ht="12">
      <c r="A91" s="510"/>
      <c r="B91" s="517" t="s">
        <v>148</v>
      </c>
      <c r="C91" s="531"/>
      <c r="D91" s="531"/>
      <c r="E91" s="531"/>
      <c r="F91" s="524">
        <v>0</v>
      </c>
      <c r="G91" s="531"/>
    </row>
    <row r="92" spans="1:7" ht="12">
      <c r="A92" s="510"/>
      <c r="B92" s="517" t="s">
        <v>151</v>
      </c>
      <c r="C92" s="531"/>
      <c r="D92" s="531"/>
      <c r="E92" s="531"/>
      <c r="F92" s="523">
        <f>SUM(F89:F91)</f>
        <v>0</v>
      </c>
      <c r="G92" s="531"/>
    </row>
    <row r="93" spans="1:7" ht="12">
      <c r="A93" s="510"/>
      <c r="C93" s="531"/>
      <c r="D93" s="531"/>
      <c r="E93" s="531"/>
      <c r="F93" s="524"/>
      <c r="G93" s="531"/>
    </row>
    <row r="94" spans="1:7" ht="12">
      <c r="A94" s="510"/>
      <c r="B94" s="517" t="s">
        <v>96</v>
      </c>
      <c r="C94" s="531"/>
      <c r="D94" s="531"/>
      <c r="E94" s="531"/>
      <c r="F94" s="524">
        <f>G29</f>
        <v>0</v>
      </c>
      <c r="G94" s="531"/>
    </row>
    <row r="95" spans="1:7" ht="12">
      <c r="A95" s="510"/>
      <c r="B95" s="517" t="s">
        <v>97</v>
      </c>
      <c r="C95" s="531"/>
      <c r="D95" s="531"/>
      <c r="E95" s="531"/>
      <c r="F95" s="524">
        <f>G30</f>
        <v>0</v>
      </c>
      <c r="G95" s="531"/>
    </row>
    <row r="96" spans="1:7" ht="12">
      <c r="A96" s="510"/>
      <c r="B96" s="517" t="s">
        <v>152</v>
      </c>
      <c r="C96" s="531"/>
      <c r="D96" s="531"/>
      <c r="E96" s="531"/>
      <c r="F96" s="524">
        <f>G31</f>
        <v>0</v>
      </c>
      <c r="G96" s="531"/>
    </row>
    <row r="97" spans="1:7" ht="12">
      <c r="A97" s="510"/>
      <c r="C97" s="531"/>
      <c r="D97" s="531"/>
      <c r="E97" s="531"/>
      <c r="F97" s="524"/>
      <c r="G97" s="531"/>
    </row>
    <row r="98" spans="1:7" ht="12">
      <c r="A98" s="510"/>
      <c r="B98" s="517" t="s">
        <v>99</v>
      </c>
      <c r="C98" s="531"/>
      <c r="D98" s="531"/>
      <c r="E98" s="531"/>
      <c r="F98" s="524"/>
      <c r="G98" s="531"/>
    </row>
    <row r="99" spans="1:7" ht="12">
      <c r="A99" s="510"/>
      <c r="B99" s="517" t="s">
        <v>145</v>
      </c>
      <c r="C99" s="531"/>
      <c r="D99" s="531"/>
      <c r="E99" s="531"/>
      <c r="F99" s="524">
        <f>G34</f>
        <v>0</v>
      </c>
      <c r="G99" s="531"/>
    </row>
    <row r="100" spans="1:7" ht="12">
      <c r="A100" s="510"/>
      <c r="B100" s="517" t="s">
        <v>150</v>
      </c>
      <c r="C100" s="531"/>
      <c r="D100" s="531"/>
      <c r="E100" s="531"/>
      <c r="F100" s="524">
        <f>G35</f>
        <v>0</v>
      </c>
      <c r="G100" s="531"/>
    </row>
    <row r="101" spans="1:7" ht="12">
      <c r="A101" s="510"/>
      <c r="B101" s="517" t="s">
        <v>148</v>
      </c>
      <c r="C101" s="531"/>
      <c r="D101" s="531"/>
      <c r="E101" s="531"/>
      <c r="F101" s="527">
        <f>G36</f>
        <v>0</v>
      </c>
      <c r="G101" s="531"/>
    </row>
    <row r="102" spans="1:7" ht="12">
      <c r="A102" s="510"/>
      <c r="B102" s="517" t="s">
        <v>153</v>
      </c>
      <c r="C102" s="531"/>
      <c r="D102" s="531"/>
      <c r="E102" s="531"/>
      <c r="F102" s="524">
        <f>F99+F100+F101</f>
        <v>0</v>
      </c>
      <c r="G102" s="531"/>
    </row>
    <row r="103" spans="1:7" ht="12">
      <c r="A103" s="510"/>
      <c r="B103" s="531"/>
      <c r="C103" s="531"/>
      <c r="D103" s="531"/>
      <c r="E103" s="531"/>
      <c r="F103" s="524"/>
      <c r="G103" s="531"/>
    </row>
    <row r="104" spans="1:7" ht="12">
      <c r="A104" s="510"/>
      <c r="B104" s="531" t="s">
        <v>101</v>
      </c>
      <c r="C104" s="531"/>
      <c r="D104" s="531"/>
      <c r="E104" s="531"/>
      <c r="F104" s="526">
        <f>F86+F92+F94+F95+F96+F102</f>
        <v>0</v>
      </c>
      <c r="G104" s="531"/>
    </row>
    <row r="105" spans="1:7" ht="12">
      <c r="A105" s="510"/>
      <c r="B105" s="531"/>
      <c r="C105" s="531"/>
      <c r="D105" s="531"/>
      <c r="E105" s="531"/>
      <c r="F105" s="524"/>
      <c r="G105" s="531"/>
    </row>
    <row r="106" spans="1:7" ht="12">
      <c r="A106" s="510"/>
      <c r="B106" s="531" t="s">
        <v>220</v>
      </c>
      <c r="C106" s="531"/>
      <c r="D106" s="531"/>
      <c r="E106" s="531"/>
      <c r="F106" s="527">
        <f>F78-F104</f>
        <v>0</v>
      </c>
      <c r="G106" s="531"/>
    </row>
    <row r="107" spans="1:7" ht="12">
      <c r="A107" s="510"/>
      <c r="B107" s="531"/>
      <c r="C107" s="531"/>
      <c r="D107" s="531"/>
      <c r="E107" s="531"/>
      <c r="F107" s="524"/>
      <c r="G107" s="531"/>
    </row>
    <row r="108" spans="1:7" ht="12">
      <c r="A108" s="510"/>
      <c r="B108" s="531" t="s">
        <v>221</v>
      </c>
      <c r="C108" s="531"/>
      <c r="D108" s="531"/>
      <c r="E108" s="532"/>
      <c r="F108" s="524"/>
      <c r="G108" s="531"/>
    </row>
    <row r="109" spans="1:7" ht="12.75" thickBot="1">
      <c r="A109" s="510"/>
      <c r="B109" s="543" t="s">
        <v>222</v>
      </c>
      <c r="C109" s="544">
        <f>Inputs!$D$4</f>
        <v>0.01065</v>
      </c>
      <c r="D109" s="531"/>
      <c r="E109" s="532"/>
      <c r="F109" s="530">
        <f>ROUND(F106*C109,0)</f>
        <v>0</v>
      </c>
      <c r="G109" s="531"/>
    </row>
    <row r="110" spans="1:7" ht="12.75" thickTop="1">
      <c r="A110" s="510"/>
      <c r="B110" s="531"/>
      <c r="C110" s="531"/>
      <c r="D110" s="531"/>
      <c r="E110" s="532"/>
      <c r="F110" s="531"/>
      <c r="G110" s="533"/>
    </row>
  </sheetData>
  <printOptions/>
  <pageMargins left="0.75" right="0.75" top="0.5" bottom="0.5" header="0.5" footer="0.5"/>
  <pageSetup horizontalDpi="600" verticalDpi="600" orientation="portrait" scale="90" r:id="rId1"/>
  <rowBreaks count="1" manualBreakCount="1">
    <brk id="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31"/>
  <sheetViews>
    <sheetView zoomScale="75" zoomScaleNormal="75" workbookViewId="0" topLeftCell="A45">
      <selection activeCell="E57" sqref="E57"/>
    </sheetView>
  </sheetViews>
  <sheetFormatPr defaultColWidth="9.140625" defaultRowHeight="12.75"/>
  <cols>
    <col min="1" max="1" width="5.57421875" style="44" customWidth="1"/>
    <col min="2" max="2" width="26.140625" style="41" customWidth="1"/>
    <col min="3" max="3" width="12.421875" style="41" customWidth="1"/>
    <col min="4" max="4" width="6.7109375" style="41" customWidth="1"/>
    <col min="5" max="5" width="14.7109375" style="41" customWidth="1"/>
    <col min="6" max="8" width="12.421875" style="41" customWidth="1"/>
    <col min="9" max="9" width="14.7109375" style="41" customWidth="1"/>
    <col min="10" max="16384" width="12.421875" style="41" customWidth="1"/>
  </cols>
  <sheetData>
    <row r="1" spans="1:3" ht="12">
      <c r="A1" s="39" t="str">
        <f>Inputs!$D$6</f>
        <v>AVISTA UTILITIES</v>
      </c>
      <c r="B1" s="40"/>
      <c r="C1" s="39"/>
    </row>
    <row r="2" spans="1:11" ht="12">
      <c r="A2" s="39" t="s">
        <v>134</v>
      </c>
      <c r="B2" s="40"/>
      <c r="C2" s="39"/>
      <c r="E2" s="39" t="s">
        <v>135</v>
      </c>
      <c r="F2" s="39"/>
      <c r="G2" s="39"/>
      <c r="I2" s="39"/>
      <c r="J2" s="44" t="s">
        <v>280</v>
      </c>
      <c r="K2" s="39"/>
    </row>
    <row r="3" spans="1:11" ht="12">
      <c r="A3" s="40" t="str">
        <f>WAElec12_04!$A$4</f>
        <v>TWELVE MONTHS ENDED DECEMBER 31, 2004</v>
      </c>
      <c r="B3" s="40"/>
      <c r="C3" s="39"/>
      <c r="E3" s="39" t="s">
        <v>136</v>
      </c>
      <c r="F3" s="39"/>
      <c r="G3" s="39"/>
      <c r="I3" s="39" t="s">
        <v>281</v>
      </c>
      <c r="J3" s="39"/>
      <c r="K3" s="39"/>
    </row>
    <row r="4" spans="1:11" ht="12">
      <c r="A4" s="39" t="s">
        <v>1</v>
      </c>
      <c r="B4" s="40"/>
      <c r="C4" s="39"/>
      <c r="E4" s="42" t="s">
        <v>137</v>
      </c>
      <c r="F4" s="42"/>
      <c r="G4" s="43"/>
      <c r="I4" s="42" t="s">
        <v>137</v>
      </c>
      <c r="J4" s="42"/>
      <c r="K4" s="43"/>
    </row>
    <row r="5" ht="12">
      <c r="A5" s="44" t="s">
        <v>13</v>
      </c>
    </row>
    <row r="6" spans="1:11" s="44" customFormat="1" ht="12">
      <c r="A6" s="44" t="s">
        <v>138</v>
      </c>
      <c r="B6" s="45" t="s">
        <v>34</v>
      </c>
      <c r="C6" s="45"/>
      <c r="E6" s="45" t="s">
        <v>139</v>
      </c>
      <c r="F6" s="45" t="s">
        <v>140</v>
      </c>
      <c r="G6" s="45" t="s">
        <v>123</v>
      </c>
      <c r="H6" s="46" t="s">
        <v>141</v>
      </c>
      <c r="I6" s="45" t="s">
        <v>139</v>
      </c>
      <c r="J6" s="45" t="s">
        <v>140</v>
      </c>
      <c r="K6" s="45"/>
    </row>
    <row r="7" ht="12">
      <c r="B7" s="47" t="s">
        <v>80</v>
      </c>
    </row>
    <row r="8" spans="1:11" s="50" customFormat="1" ht="12">
      <c r="A8" s="48">
        <v>1</v>
      </c>
      <c r="B8" s="49" t="s">
        <v>81</v>
      </c>
      <c r="E8" s="51">
        <f>F8+G8</f>
        <v>506427</v>
      </c>
      <c r="F8" s="51">
        <f aca="true" t="shared" si="0" ref="F8:G10">F71</f>
        <v>323681</v>
      </c>
      <c r="G8" s="51">
        <f t="shared" si="0"/>
        <v>182746</v>
      </c>
      <c r="H8" s="50" t="str">
        <f aca="true" t="shared" si="1" ref="H8:H13">IF(E8=F8+G8," ","ERROR")</f>
        <v> </v>
      </c>
      <c r="I8" s="51">
        <f>J8+K8</f>
        <v>252300</v>
      </c>
      <c r="J8" s="51">
        <f>J71</f>
        <v>252300</v>
      </c>
      <c r="K8" s="51"/>
    </row>
    <row r="9" spans="1:11" ht="12">
      <c r="A9" s="44">
        <v>2</v>
      </c>
      <c r="B9" s="47" t="s">
        <v>82</v>
      </c>
      <c r="E9" s="52">
        <f>F9+G9</f>
        <v>865</v>
      </c>
      <c r="F9" s="52">
        <f t="shared" si="0"/>
        <v>752</v>
      </c>
      <c r="G9" s="52">
        <f t="shared" si="0"/>
        <v>113</v>
      </c>
      <c r="H9" s="50" t="str">
        <f t="shared" si="1"/>
        <v> </v>
      </c>
      <c r="I9" s="52">
        <f>J9+K9</f>
        <v>0</v>
      </c>
      <c r="J9" s="52">
        <f>J72</f>
        <v>0</v>
      </c>
      <c r="K9" s="52"/>
    </row>
    <row r="10" spans="1:11" ht="12">
      <c r="A10" s="44">
        <v>3</v>
      </c>
      <c r="B10" s="47" t="s">
        <v>142</v>
      </c>
      <c r="E10" s="52">
        <f>F10+G10</f>
        <v>89994</v>
      </c>
      <c r="F10" s="52">
        <f t="shared" si="0"/>
        <v>58640</v>
      </c>
      <c r="G10" s="52">
        <f t="shared" si="0"/>
        <v>31354</v>
      </c>
      <c r="H10" s="50" t="str">
        <f t="shared" si="1"/>
        <v> </v>
      </c>
      <c r="I10" s="52">
        <f>J10+K10</f>
        <v>85288</v>
      </c>
      <c r="J10" s="52">
        <f>J73</f>
        <v>85288</v>
      </c>
      <c r="K10" s="52"/>
    </row>
    <row r="11" spans="1:11" ht="12">
      <c r="A11" s="44">
        <v>4</v>
      </c>
      <c r="B11" s="47" t="s">
        <v>143</v>
      </c>
      <c r="E11" s="53">
        <f>E8+E9+E10</f>
        <v>597286</v>
      </c>
      <c r="F11" s="53">
        <f>F8+F9+F10</f>
        <v>383073</v>
      </c>
      <c r="G11" s="53">
        <f>G8+G9+G10</f>
        <v>214213</v>
      </c>
      <c r="H11" s="50" t="str">
        <f t="shared" si="1"/>
        <v> </v>
      </c>
      <c r="I11" s="53">
        <f>I8+I9+I10</f>
        <v>337588</v>
      </c>
      <c r="J11" s="53">
        <f>J8+J9+J10</f>
        <v>337588</v>
      </c>
      <c r="K11" s="53"/>
    </row>
    <row r="12" spans="1:11" ht="12">
      <c r="A12" s="44">
        <v>5</v>
      </c>
      <c r="B12" s="47" t="s">
        <v>85</v>
      </c>
      <c r="E12" s="54">
        <f>F12+G12</f>
        <v>82389</v>
      </c>
      <c r="F12" s="52">
        <f>F74</f>
        <v>53644</v>
      </c>
      <c r="G12" s="52">
        <f>G74</f>
        <v>28745</v>
      </c>
      <c r="H12" s="50" t="str">
        <f t="shared" si="1"/>
        <v> </v>
      </c>
      <c r="I12" s="54">
        <f>J12+K12</f>
        <v>12128</v>
      </c>
      <c r="J12" s="52">
        <f>J74</f>
        <v>12128</v>
      </c>
      <c r="K12" s="52"/>
    </row>
    <row r="13" spans="1:11" ht="12">
      <c r="A13" s="44">
        <v>6</v>
      </c>
      <c r="B13" s="47" t="s">
        <v>144</v>
      </c>
      <c r="E13" s="53">
        <f>E11+E12</f>
        <v>679675</v>
      </c>
      <c r="F13" s="53">
        <f>F11+F12</f>
        <v>436717</v>
      </c>
      <c r="G13" s="53">
        <f>G11+G12</f>
        <v>242958</v>
      </c>
      <c r="H13" s="50" t="str">
        <f t="shared" si="1"/>
        <v> </v>
      </c>
      <c r="I13" s="53">
        <f>I11+I12</f>
        <v>349716</v>
      </c>
      <c r="J13" s="53">
        <f>J11+J12</f>
        <v>349716</v>
      </c>
      <c r="K13" s="53"/>
    </row>
    <row r="14" spans="5:11" ht="12">
      <c r="E14" s="55"/>
      <c r="F14" s="55"/>
      <c r="G14" s="55"/>
      <c r="H14" s="50"/>
      <c r="I14" s="55"/>
      <c r="J14" s="55"/>
      <c r="K14" s="55"/>
    </row>
    <row r="15" spans="2:11" ht="12">
      <c r="B15" s="47" t="s">
        <v>87</v>
      </c>
      <c r="E15" s="55"/>
      <c r="F15" s="55"/>
      <c r="G15" s="55"/>
      <c r="H15" s="50"/>
      <c r="I15" s="55"/>
      <c r="J15" s="55"/>
      <c r="K15" s="55"/>
    </row>
    <row r="16" spans="2:11" ht="12">
      <c r="B16" s="47" t="s">
        <v>88</v>
      </c>
      <c r="E16" s="55"/>
      <c r="F16" s="55"/>
      <c r="G16" s="55"/>
      <c r="H16" s="50"/>
      <c r="I16" s="55"/>
      <c r="J16" s="55"/>
      <c r="K16" s="55"/>
    </row>
    <row r="17" spans="1:11" ht="12">
      <c r="A17" s="44">
        <v>7</v>
      </c>
      <c r="B17" s="47" t="s">
        <v>145</v>
      </c>
      <c r="E17" s="52">
        <f>F17+G17</f>
        <v>207260</v>
      </c>
      <c r="F17" s="52">
        <f>F78+F79+F80+F81+F85</f>
        <v>130540</v>
      </c>
      <c r="G17" s="52">
        <f>G78+G79+G80+G81+G85</f>
        <v>76720</v>
      </c>
      <c r="H17" s="50" t="str">
        <f>IF(E17=F17+G17," ","ERROR")</f>
        <v> </v>
      </c>
      <c r="I17" s="52">
        <f>J17+K17</f>
        <v>45281</v>
      </c>
      <c r="J17" s="52">
        <f>J78+J79+J80+J81+J85</f>
        <v>45281</v>
      </c>
      <c r="K17" s="52"/>
    </row>
    <row r="18" spans="1:11" ht="12">
      <c r="A18" s="44">
        <v>8</v>
      </c>
      <c r="B18" s="47" t="s">
        <v>146</v>
      </c>
      <c r="E18" s="52">
        <f>F18+G18</f>
        <v>172891</v>
      </c>
      <c r="F18" s="52">
        <f>F82</f>
        <v>97537</v>
      </c>
      <c r="G18" s="52">
        <f>G82</f>
        <v>75354</v>
      </c>
      <c r="H18" s="50" t="str">
        <f>IF(E18=F18+G18," ","ERROR")</f>
        <v> </v>
      </c>
      <c r="I18" s="52">
        <f>J18+K18</f>
        <v>131281</v>
      </c>
      <c r="J18" s="52">
        <f>J82</f>
        <v>131281</v>
      </c>
      <c r="K18" s="52"/>
    </row>
    <row r="19" spans="1:11" ht="12">
      <c r="A19" s="44">
        <v>9</v>
      </c>
      <c r="B19" s="47" t="s">
        <v>147</v>
      </c>
      <c r="E19" s="52">
        <f>F19+G19</f>
        <v>21823</v>
      </c>
      <c r="F19" s="52">
        <f>F86</f>
        <v>16259</v>
      </c>
      <c r="G19" s="52">
        <f>G86</f>
        <v>5564</v>
      </c>
      <c r="H19" s="50" t="str">
        <f>IF(E19=F19+G19," ","ERROR")</f>
        <v> </v>
      </c>
      <c r="I19" s="52">
        <f>J19+K19</f>
        <v>9264</v>
      </c>
      <c r="J19" s="52">
        <f>J86</f>
        <v>9264</v>
      </c>
      <c r="K19" s="52"/>
    </row>
    <row r="20" spans="1:11" ht="12">
      <c r="A20" s="44">
        <v>10</v>
      </c>
      <c r="B20" s="47" t="s">
        <v>148</v>
      </c>
      <c r="E20" s="56">
        <f>F20+G20</f>
        <v>11589</v>
      </c>
      <c r="F20" s="52">
        <f>F87</f>
        <v>7551</v>
      </c>
      <c r="G20" s="52">
        <f>G87</f>
        <v>4038</v>
      </c>
      <c r="H20" s="50" t="str">
        <f>IF(E20=F20+G20," ","ERROR")</f>
        <v> </v>
      </c>
      <c r="I20" s="56">
        <f>J20+K20</f>
        <v>10056</v>
      </c>
      <c r="J20" s="52">
        <f>J87</f>
        <v>10056</v>
      </c>
      <c r="K20" s="52"/>
    </row>
    <row r="21" spans="1:11" ht="12">
      <c r="A21" s="44">
        <v>11</v>
      </c>
      <c r="B21" s="47" t="s">
        <v>149</v>
      </c>
      <c r="E21" s="52">
        <f>E17+E18+E19+E20</f>
        <v>413563</v>
      </c>
      <c r="F21" s="53">
        <f>F17+F18+F19+F20</f>
        <v>251887</v>
      </c>
      <c r="G21" s="53">
        <f>G17+G18+G19+G20</f>
        <v>161676</v>
      </c>
      <c r="H21" s="50" t="str">
        <f>IF(E21=F21+G21," ","ERROR")</f>
        <v> </v>
      </c>
      <c r="I21" s="52">
        <f>I17+I18+I19+I20</f>
        <v>195882</v>
      </c>
      <c r="J21" s="53">
        <f>J17+J18+J19+J20</f>
        <v>195882</v>
      </c>
      <c r="K21" s="53"/>
    </row>
    <row r="22" spans="5:11" ht="12">
      <c r="E22" s="52"/>
      <c r="F22" s="55"/>
      <c r="G22" s="55"/>
      <c r="H22" s="50"/>
      <c r="I22" s="52"/>
      <c r="J22" s="55"/>
      <c r="K22" s="55"/>
    </row>
    <row r="23" spans="2:11" ht="12">
      <c r="B23" s="47" t="s">
        <v>93</v>
      </c>
      <c r="E23" s="52"/>
      <c r="F23" s="55"/>
      <c r="G23" s="55"/>
      <c r="H23" s="50"/>
      <c r="I23" s="52"/>
      <c r="J23" s="55"/>
      <c r="K23" s="55"/>
    </row>
    <row r="24" spans="1:11" ht="12">
      <c r="A24" s="44">
        <v>12</v>
      </c>
      <c r="B24" s="47" t="s">
        <v>145</v>
      </c>
      <c r="E24" s="52">
        <f>F24+G24</f>
        <v>19108</v>
      </c>
      <c r="F24" s="52">
        <f aca="true" t="shared" si="2" ref="F24:G26">F90</f>
        <v>12289</v>
      </c>
      <c r="G24" s="52">
        <f t="shared" si="2"/>
        <v>6819</v>
      </c>
      <c r="H24" s="50" t="str">
        <f>IF(E24=F24+G24," ","ERROR")</f>
        <v> </v>
      </c>
      <c r="I24" s="52">
        <f>J24+K24</f>
        <v>10889</v>
      </c>
      <c r="J24" s="52">
        <f>J90</f>
        <v>10889</v>
      </c>
      <c r="K24" s="52"/>
    </row>
    <row r="25" spans="1:11" ht="12">
      <c r="A25" s="44">
        <v>13</v>
      </c>
      <c r="B25" s="47" t="s">
        <v>150</v>
      </c>
      <c r="E25" s="52">
        <f>F25+G25</f>
        <v>16172</v>
      </c>
      <c r="F25" s="52">
        <f t="shared" si="2"/>
        <v>10044</v>
      </c>
      <c r="G25" s="52">
        <f t="shared" si="2"/>
        <v>6128</v>
      </c>
      <c r="H25" s="50" t="str">
        <f>IF(E25=F25+G25," ","ERROR")</f>
        <v> </v>
      </c>
      <c r="I25" s="52">
        <f>J25+K25</f>
        <v>7820</v>
      </c>
      <c r="J25" s="52">
        <f>J91</f>
        <v>7820</v>
      </c>
      <c r="K25" s="52"/>
    </row>
    <row r="26" spans="1:11" ht="12">
      <c r="A26" s="44">
        <v>14</v>
      </c>
      <c r="B26" s="47" t="s">
        <v>148</v>
      </c>
      <c r="E26" s="56">
        <f>F26+G26</f>
        <v>35982</v>
      </c>
      <c r="F26" s="52">
        <f t="shared" si="2"/>
        <v>29575</v>
      </c>
      <c r="G26" s="52">
        <f t="shared" si="2"/>
        <v>6407</v>
      </c>
      <c r="H26" s="50" t="str">
        <f>IF(E26=F26+G26," ","ERROR")</f>
        <v> </v>
      </c>
      <c r="I26" s="56">
        <f>J26+K26</f>
        <v>13769</v>
      </c>
      <c r="J26" s="52">
        <f>J92</f>
        <v>13769</v>
      </c>
      <c r="K26" s="52"/>
    </row>
    <row r="27" spans="1:11" ht="12">
      <c r="A27" s="44">
        <v>15</v>
      </c>
      <c r="B27" s="47" t="s">
        <v>151</v>
      </c>
      <c r="E27" s="52">
        <f>E24+E25+E26</f>
        <v>71262</v>
      </c>
      <c r="F27" s="53">
        <f>F24+F25+F26</f>
        <v>51908</v>
      </c>
      <c r="G27" s="53">
        <f>G24+G25+G26</f>
        <v>19354</v>
      </c>
      <c r="H27" s="50" t="str">
        <f>IF(E27=F27+G27," ","ERROR")</f>
        <v> </v>
      </c>
      <c r="I27" s="52">
        <f>I24+I25+I26</f>
        <v>32478</v>
      </c>
      <c r="J27" s="53">
        <f>J24+J25+J26</f>
        <v>32478</v>
      </c>
      <c r="K27" s="53"/>
    </row>
    <row r="28" spans="5:11" ht="12">
      <c r="E28" s="55"/>
      <c r="F28" s="55"/>
      <c r="G28" s="55"/>
      <c r="H28" s="50"/>
      <c r="I28" s="55"/>
      <c r="J28" s="55"/>
      <c r="K28" s="55"/>
    </row>
    <row r="29" spans="1:11" ht="12">
      <c r="A29" s="44">
        <v>16</v>
      </c>
      <c r="B29" s="47" t="s">
        <v>96</v>
      </c>
      <c r="E29" s="52">
        <f>F29+G29</f>
        <v>12875</v>
      </c>
      <c r="F29" s="52">
        <f aca="true" t="shared" si="3" ref="F29:G31">F94</f>
        <v>8444</v>
      </c>
      <c r="G29" s="52">
        <f t="shared" si="3"/>
        <v>4431</v>
      </c>
      <c r="H29" s="50" t="str">
        <f>IF(E29=F29+G29," ","ERROR")</f>
        <v> </v>
      </c>
      <c r="I29" s="52">
        <f>J29+K29</f>
        <v>5886</v>
      </c>
      <c r="J29" s="52">
        <f>J94</f>
        <v>5886</v>
      </c>
      <c r="K29" s="52"/>
    </row>
    <row r="30" spans="1:11" ht="12">
      <c r="A30" s="44">
        <v>17</v>
      </c>
      <c r="B30" s="47" t="s">
        <v>97</v>
      </c>
      <c r="E30" s="52">
        <f>F30+G30</f>
        <v>11603</v>
      </c>
      <c r="F30" s="52">
        <f t="shared" si="3"/>
        <v>7220</v>
      </c>
      <c r="G30" s="52">
        <f t="shared" si="3"/>
        <v>4383</v>
      </c>
      <c r="H30" s="50" t="str">
        <f>IF(E30=F30+G30," ","ERROR")</f>
        <v> </v>
      </c>
      <c r="I30" s="52">
        <f>J30+K30</f>
        <v>3733</v>
      </c>
      <c r="J30" s="52">
        <f>J95</f>
        <v>3733</v>
      </c>
      <c r="K30" s="52"/>
    </row>
    <row r="31" spans="1:11" ht="12">
      <c r="A31" s="44">
        <v>18</v>
      </c>
      <c r="B31" s="47" t="s">
        <v>152</v>
      </c>
      <c r="E31" s="52">
        <f>F31+G31</f>
        <v>1151</v>
      </c>
      <c r="F31" s="52">
        <f t="shared" si="3"/>
        <v>703</v>
      </c>
      <c r="G31" s="52">
        <f t="shared" si="3"/>
        <v>448</v>
      </c>
      <c r="H31" s="50" t="str">
        <f>IF(E31=F31+G31," ","ERROR")</f>
        <v> </v>
      </c>
      <c r="I31" s="52">
        <f>J31+K31</f>
        <v>310</v>
      </c>
      <c r="J31" s="52">
        <f>J96</f>
        <v>310</v>
      </c>
      <c r="K31" s="52"/>
    </row>
    <row r="32" spans="5:11" ht="12">
      <c r="E32" s="55"/>
      <c r="F32" s="55"/>
      <c r="G32" s="55"/>
      <c r="H32" s="50"/>
      <c r="I32" s="55"/>
      <c r="J32" s="55"/>
      <c r="K32" s="55"/>
    </row>
    <row r="33" spans="2:11" ht="12">
      <c r="B33" s="47" t="s">
        <v>99</v>
      </c>
      <c r="E33" s="55"/>
      <c r="F33" s="55"/>
      <c r="G33" s="55"/>
      <c r="H33" s="50"/>
      <c r="I33" s="55"/>
      <c r="J33" s="55"/>
      <c r="K33" s="55"/>
    </row>
    <row r="34" spans="1:11" ht="12">
      <c r="A34" s="44">
        <v>19</v>
      </c>
      <c r="B34" s="47" t="s">
        <v>145</v>
      </c>
      <c r="E34" s="52">
        <f>F34+G34</f>
        <v>51166</v>
      </c>
      <c r="F34" s="52">
        <f aca="true" t="shared" si="4" ref="F34:G36">F98</f>
        <v>32768</v>
      </c>
      <c r="G34" s="52">
        <f t="shared" si="4"/>
        <v>18398</v>
      </c>
      <c r="H34" s="50" t="str">
        <f>IF(E34=F34+G34," ","ERROR")</f>
        <v> </v>
      </c>
      <c r="I34" s="52">
        <f>J34+K34</f>
        <v>28545</v>
      </c>
      <c r="J34" s="52">
        <f>J98</f>
        <v>28545</v>
      </c>
      <c r="K34" s="52"/>
    </row>
    <row r="35" spans="1:11" ht="12">
      <c r="A35" s="44">
        <v>20</v>
      </c>
      <c r="B35" s="47" t="s">
        <v>150</v>
      </c>
      <c r="E35" s="52">
        <f>F35+G35</f>
        <v>6888</v>
      </c>
      <c r="F35" s="52">
        <f t="shared" si="4"/>
        <v>4370</v>
      </c>
      <c r="G35" s="52">
        <f t="shared" si="4"/>
        <v>2518</v>
      </c>
      <c r="H35" s="50" t="str">
        <f>IF(E35=F35+G35," ","ERROR")</f>
        <v> </v>
      </c>
      <c r="I35" s="52">
        <f>J35+K35</f>
        <v>3749</v>
      </c>
      <c r="J35" s="52">
        <f>J99</f>
        <v>3749</v>
      </c>
      <c r="K35" s="52"/>
    </row>
    <row r="36" spans="1:11" ht="12">
      <c r="A36" s="44">
        <v>21</v>
      </c>
      <c r="B36" s="47" t="s">
        <v>148</v>
      </c>
      <c r="E36" s="52">
        <f>F36+G36</f>
        <v>0</v>
      </c>
      <c r="F36" s="52">
        <f t="shared" si="4"/>
        <v>0</v>
      </c>
      <c r="G36" s="52">
        <f t="shared" si="4"/>
        <v>0</v>
      </c>
      <c r="H36" s="50" t="str">
        <f>IF(E36=F36+G36," ","ERROR")</f>
        <v> </v>
      </c>
      <c r="I36" s="52">
        <f>J36+K36</f>
        <v>74</v>
      </c>
      <c r="J36" s="52">
        <f>J100</f>
        <v>74</v>
      </c>
      <c r="K36" s="52"/>
    </row>
    <row r="37" spans="1:11" ht="12">
      <c r="A37" s="44">
        <v>22</v>
      </c>
      <c r="B37" s="47" t="s">
        <v>153</v>
      </c>
      <c r="E37" s="57">
        <f>E34+E35+E36</f>
        <v>58054</v>
      </c>
      <c r="F37" s="57">
        <f>F34+F35+F36</f>
        <v>37138</v>
      </c>
      <c r="G37" s="57">
        <f>G34+G35+G36</f>
        <v>20916</v>
      </c>
      <c r="H37" s="50" t="str">
        <f>IF(E37=F37+G37," ","ERROR")</f>
        <v> </v>
      </c>
      <c r="I37" s="57">
        <f>I34+I35+I36</f>
        <v>32368</v>
      </c>
      <c r="J37" s="57">
        <f>J34+J35+J36</f>
        <v>32368</v>
      </c>
      <c r="K37" s="57"/>
    </row>
    <row r="38" spans="1:11" ht="12">
      <c r="A38" s="44">
        <v>23</v>
      </c>
      <c r="B38" s="47" t="s">
        <v>101</v>
      </c>
      <c r="E38" s="58">
        <f>E21+E27+E29+E30+E31+E37</f>
        <v>568508</v>
      </c>
      <c r="F38" s="58">
        <f>F21+F27+F29+F30+F31+F37</f>
        <v>357300</v>
      </c>
      <c r="G38" s="58">
        <f>G21+G27+G29+G30+G31+G37</f>
        <v>211208</v>
      </c>
      <c r="H38" s="50" t="str">
        <f>IF(E38=F38+G38," ","ERROR")</f>
        <v> </v>
      </c>
      <c r="I38" s="58">
        <f>I21+I27+I29+I30+I31+I37</f>
        <v>270657</v>
      </c>
      <c r="J38" s="58">
        <f>J21+J27+J29+J30+J31+J37</f>
        <v>270657</v>
      </c>
      <c r="K38" s="58"/>
    </row>
    <row r="39" spans="5:11" ht="12">
      <c r="E39" s="55"/>
      <c r="F39" s="55"/>
      <c r="G39" s="55"/>
      <c r="H39" s="50"/>
      <c r="I39" s="55"/>
      <c r="J39" s="55"/>
      <c r="K39" s="55"/>
    </row>
    <row r="40" spans="1:11" ht="12">
      <c r="A40" s="44">
        <v>24</v>
      </c>
      <c r="B40" s="47" t="s">
        <v>154</v>
      </c>
      <c r="E40" s="55">
        <f>E13-E38</f>
        <v>111167</v>
      </c>
      <c r="F40" s="55">
        <f>F13-F38</f>
        <v>79417</v>
      </c>
      <c r="G40" s="55">
        <f>G13-G38</f>
        <v>31750</v>
      </c>
      <c r="H40" s="50" t="str">
        <f>IF(E40=F40+G40," ","ERROR")</f>
        <v> </v>
      </c>
      <c r="I40" s="55">
        <f>I13-I38</f>
        <v>79059</v>
      </c>
      <c r="J40" s="55">
        <f>J13-J38</f>
        <v>79059</v>
      </c>
      <c r="K40" s="55"/>
    </row>
    <row r="41" spans="2:11" ht="12">
      <c r="B41" s="47"/>
      <c r="E41" s="55"/>
      <c r="F41" s="55"/>
      <c r="G41" s="55"/>
      <c r="H41" s="50"/>
      <c r="I41" s="55"/>
      <c r="J41" s="55"/>
      <c r="K41" s="55"/>
    </row>
    <row r="42" spans="2:11" ht="12">
      <c r="B42" s="47" t="s">
        <v>155</v>
      </c>
      <c r="E42" s="55"/>
      <c r="F42" s="55"/>
      <c r="G42" s="55"/>
      <c r="H42" s="50"/>
      <c r="I42" s="55"/>
      <c r="J42" s="55"/>
      <c r="K42" s="55"/>
    </row>
    <row r="43" spans="1:11" ht="12">
      <c r="A43" s="44">
        <v>25</v>
      </c>
      <c r="B43" s="47" t="s">
        <v>156</v>
      </c>
      <c r="D43" s="59">
        <v>0.35</v>
      </c>
      <c r="E43" s="52">
        <f>F43+G43</f>
        <v>16864</v>
      </c>
      <c r="F43" s="52">
        <f aca="true" t="shared" si="5" ref="F43:G45">F107</f>
        <v>11617</v>
      </c>
      <c r="G43" s="52">
        <f t="shared" si="5"/>
        <v>5247</v>
      </c>
      <c r="H43" s="50" t="str">
        <f>IF(E43=F43+G43," ","ERROR")</f>
        <v> </v>
      </c>
      <c r="I43" s="52">
        <f>J43+K43</f>
        <v>18828</v>
      </c>
      <c r="J43" s="52">
        <f>J107</f>
        <v>18828</v>
      </c>
      <c r="K43" s="52"/>
    </row>
    <row r="44" spans="1:11" ht="12">
      <c r="A44" s="44">
        <v>26</v>
      </c>
      <c r="B44" s="47" t="s">
        <v>157</v>
      </c>
      <c r="E44" s="52">
        <f>F44+G44</f>
        <v>1046</v>
      </c>
      <c r="F44" s="52">
        <f t="shared" si="5"/>
        <v>2004</v>
      </c>
      <c r="G44" s="52">
        <f t="shared" si="5"/>
        <v>-958</v>
      </c>
      <c r="H44" s="50" t="str">
        <f>IF(E44=F44+G44," ","ERROR")</f>
        <v> </v>
      </c>
      <c r="I44" s="52">
        <f>J44+K44</f>
        <v>3120</v>
      </c>
      <c r="J44" s="52">
        <f>J108</f>
        <v>3120</v>
      </c>
      <c r="K44" s="52"/>
    </row>
    <row r="45" spans="2:11" ht="12">
      <c r="B45" s="47" t="s">
        <v>158</v>
      </c>
      <c r="E45" s="52">
        <f>F45+G45</f>
        <v>0</v>
      </c>
      <c r="F45" s="52">
        <f t="shared" si="5"/>
        <v>0</v>
      </c>
      <c r="G45" s="52">
        <f t="shared" si="5"/>
        <v>0</v>
      </c>
      <c r="H45" s="50" t="str">
        <f>IF(E45=F45+G45," ","ERROR")</f>
        <v> </v>
      </c>
      <c r="I45" s="52">
        <f>J45+K45</f>
        <v>-26</v>
      </c>
      <c r="J45" s="52">
        <f>J109</f>
        <v>-26</v>
      </c>
      <c r="K45" s="52"/>
    </row>
    <row r="46" spans="2:11" ht="12">
      <c r="B46" s="944" t="s">
        <v>107</v>
      </c>
      <c r="E46" s="56"/>
      <c r="F46" s="56"/>
      <c r="G46" s="56"/>
      <c r="H46" s="50" t="str">
        <f>IF(E46=F46+G46," ","ERROR")</f>
        <v> </v>
      </c>
      <c r="I46" s="56">
        <f>J46+K46</f>
        <v>5402</v>
      </c>
      <c r="J46" s="56">
        <v>5402</v>
      </c>
      <c r="K46" s="56"/>
    </row>
    <row r="47" spans="1:11" s="50" customFormat="1" ht="12.75" thickBot="1">
      <c r="A47" s="48">
        <v>27</v>
      </c>
      <c r="B47" s="49" t="s">
        <v>108</v>
      </c>
      <c r="E47" s="60">
        <f>E40-(E42+E43+E44+E45+E46)</f>
        <v>93257</v>
      </c>
      <c r="F47" s="60">
        <f>F40-(F42+F43+F44+F45+F46)</f>
        <v>65796</v>
      </c>
      <c r="G47" s="60">
        <f>G40-(G42+G43+G44+G45+G46)</f>
        <v>27461</v>
      </c>
      <c r="H47" s="50" t="str">
        <f>IF(E47=F47+G47," ","ERROR")</f>
        <v> </v>
      </c>
      <c r="I47" s="60">
        <f>I40-(I42+I43+I44+I45+I46)</f>
        <v>51735</v>
      </c>
      <c r="J47" s="60">
        <f>J40-(J42+J43+J44+J45+J46)</f>
        <v>51735</v>
      </c>
      <c r="K47" s="60"/>
    </row>
    <row r="48" ht="12.75" thickTop="1">
      <c r="H48" s="50"/>
    </row>
    <row r="49" spans="2:8" ht="12">
      <c r="B49" s="47" t="s">
        <v>109</v>
      </c>
      <c r="H49" s="50"/>
    </row>
    <row r="50" spans="2:8" ht="12">
      <c r="B50" s="47" t="s">
        <v>110</v>
      </c>
      <c r="H50" s="50"/>
    </row>
    <row r="51" spans="1:11" s="50" customFormat="1" ht="12">
      <c r="A51" s="48">
        <v>28</v>
      </c>
      <c r="B51" s="49" t="s">
        <v>159</v>
      </c>
      <c r="E51" s="51">
        <f>F51+G51</f>
        <v>33047</v>
      </c>
      <c r="F51" s="51">
        <f>F116</f>
        <v>21374</v>
      </c>
      <c r="G51" s="51">
        <f>G116</f>
        <v>11673</v>
      </c>
      <c r="H51" s="50" t="str">
        <f aca="true" t="shared" si="6" ref="H51:H61">IF(E51=F51+G51," ","ERROR")</f>
        <v> </v>
      </c>
      <c r="I51" s="51">
        <f>J51+K51</f>
        <v>12705</v>
      </c>
      <c r="J51" s="51">
        <f>J116</f>
        <v>12705</v>
      </c>
      <c r="K51" s="51"/>
    </row>
    <row r="52" spans="1:11" ht="12">
      <c r="A52" s="44">
        <v>29</v>
      </c>
      <c r="B52" s="47" t="s">
        <v>160</v>
      </c>
      <c r="E52" s="52">
        <f>F52+G52</f>
        <v>858193</v>
      </c>
      <c r="F52" s="52">
        <f aca="true" t="shared" si="7" ref="F52:G55">F121</f>
        <v>559199</v>
      </c>
      <c r="G52" s="52">
        <f t="shared" si="7"/>
        <v>298994</v>
      </c>
      <c r="H52" s="50" t="str">
        <f t="shared" si="6"/>
        <v> </v>
      </c>
      <c r="I52" s="52">
        <f>J52+K52</f>
        <v>424393</v>
      </c>
      <c r="J52" s="52">
        <f>J121</f>
        <v>424393</v>
      </c>
      <c r="K52" s="52"/>
    </row>
    <row r="53" spans="1:11" ht="12">
      <c r="A53" s="44">
        <v>30</v>
      </c>
      <c r="B53" s="47" t="s">
        <v>161</v>
      </c>
      <c r="E53" s="52">
        <f>F53+G53</f>
        <v>323173</v>
      </c>
      <c r="F53" s="52">
        <f t="shared" si="7"/>
        <v>210579</v>
      </c>
      <c r="G53" s="52">
        <f t="shared" si="7"/>
        <v>112594</v>
      </c>
      <c r="H53" s="50" t="str">
        <f t="shared" si="6"/>
        <v> </v>
      </c>
      <c r="I53" s="52">
        <f>J53+K53</f>
        <v>176294</v>
      </c>
      <c r="J53" s="52">
        <f>J122</f>
        <v>176294</v>
      </c>
      <c r="K53" s="52"/>
    </row>
    <row r="54" spans="1:11" ht="12">
      <c r="A54" s="44">
        <v>31</v>
      </c>
      <c r="B54" s="47" t="s">
        <v>162</v>
      </c>
      <c r="E54" s="52">
        <f>F54+G54</f>
        <v>739328</v>
      </c>
      <c r="F54" s="52">
        <f t="shared" si="7"/>
        <v>459739</v>
      </c>
      <c r="G54" s="52">
        <f t="shared" si="7"/>
        <v>279589</v>
      </c>
      <c r="H54" s="50" t="str">
        <f t="shared" si="6"/>
        <v> </v>
      </c>
      <c r="I54" s="52">
        <f>J54+K54</f>
        <v>364352</v>
      </c>
      <c r="J54" s="52">
        <f>J123</f>
        <v>364352</v>
      </c>
      <c r="K54" s="52"/>
    </row>
    <row r="55" spans="1:11" ht="12">
      <c r="A55" s="44">
        <v>32</v>
      </c>
      <c r="B55" s="47" t="s">
        <v>163</v>
      </c>
      <c r="E55" s="56">
        <f>F55+G55</f>
        <v>101259</v>
      </c>
      <c r="F55" s="56">
        <f t="shared" si="7"/>
        <v>63155</v>
      </c>
      <c r="G55" s="56">
        <f t="shared" si="7"/>
        <v>38104</v>
      </c>
      <c r="H55" s="50" t="str">
        <f t="shared" si="6"/>
        <v> </v>
      </c>
      <c r="I55" s="56">
        <f>J55+K55</f>
        <v>54525</v>
      </c>
      <c r="J55" s="56">
        <f>J124</f>
        <v>54525</v>
      </c>
      <c r="K55" s="56"/>
    </row>
    <row r="56" spans="1:11" ht="12">
      <c r="A56" s="44">
        <v>33</v>
      </c>
      <c r="B56" s="47" t="s">
        <v>164</v>
      </c>
      <c r="E56" s="55">
        <f>E51+E52+E53+E54+E55</f>
        <v>2055000</v>
      </c>
      <c r="F56" s="55">
        <f>F51+F52+F53+F54+F55</f>
        <v>1314046</v>
      </c>
      <c r="G56" s="55">
        <f>G51+G52+G53+G54+G55</f>
        <v>740954</v>
      </c>
      <c r="H56" s="50" t="str">
        <f t="shared" si="6"/>
        <v> </v>
      </c>
      <c r="I56" s="55">
        <f>I51+I52+I53+I54+I55</f>
        <v>1032269</v>
      </c>
      <c r="J56" s="55">
        <f>J51+J52+J53+J54+J55</f>
        <v>1032269</v>
      </c>
      <c r="K56" s="55"/>
    </row>
    <row r="57" spans="1:11" ht="12">
      <c r="A57" s="44">
        <v>34</v>
      </c>
      <c r="B57" s="47" t="s">
        <v>116</v>
      </c>
      <c r="E57" s="52">
        <f>F57+G57</f>
        <v>681278</v>
      </c>
      <c r="F57" s="52">
        <f>F127</f>
        <v>436127</v>
      </c>
      <c r="G57" s="52">
        <f>G127</f>
        <v>245151</v>
      </c>
      <c r="H57" s="50" t="str">
        <f t="shared" si="6"/>
        <v> </v>
      </c>
      <c r="I57" s="52">
        <f>J57+K57</f>
        <v>304658</v>
      </c>
      <c r="J57" s="52">
        <f>J127</f>
        <v>304658</v>
      </c>
      <c r="K57" s="52"/>
    </row>
    <row r="58" spans="1:11" ht="12">
      <c r="A58" s="44">
        <v>35</v>
      </c>
      <c r="B58" s="47" t="s">
        <v>117</v>
      </c>
      <c r="E58" s="56">
        <f>F58+G58</f>
        <v>16536</v>
      </c>
      <c r="F58" s="56">
        <f>F128</f>
        <v>10630</v>
      </c>
      <c r="G58" s="56">
        <f>G128</f>
        <v>5906</v>
      </c>
      <c r="H58" s="50" t="str">
        <f t="shared" si="6"/>
        <v> </v>
      </c>
      <c r="I58" s="56">
        <f>J58+K58</f>
        <v>1694</v>
      </c>
      <c r="J58" s="56">
        <f>J128</f>
        <v>1694</v>
      </c>
      <c r="K58" s="56"/>
    </row>
    <row r="59" spans="1:11" ht="12">
      <c r="A59" s="44">
        <v>36</v>
      </c>
      <c r="B59" s="47" t="s">
        <v>165</v>
      </c>
      <c r="E59" s="55">
        <f>E57+E58</f>
        <v>697814</v>
      </c>
      <c r="F59" s="55">
        <f>F57+F58</f>
        <v>446757</v>
      </c>
      <c r="G59" s="55">
        <f>G57+G58</f>
        <v>251057</v>
      </c>
      <c r="H59" s="50" t="str">
        <f t="shared" si="6"/>
        <v> </v>
      </c>
      <c r="I59" s="55">
        <f>I57+I58</f>
        <v>306352</v>
      </c>
      <c r="J59" s="55">
        <f>J57+J58</f>
        <v>306352</v>
      </c>
      <c r="K59" s="55"/>
    </row>
    <row r="60" spans="1:11" ht="12">
      <c r="A60" s="44">
        <v>37</v>
      </c>
      <c r="B60" s="47" t="s">
        <v>119</v>
      </c>
      <c r="E60" s="52"/>
      <c r="F60" s="52"/>
      <c r="G60" s="52"/>
      <c r="H60" s="50" t="str">
        <f t="shared" si="6"/>
        <v> </v>
      </c>
      <c r="I60" s="52"/>
      <c r="J60" s="52"/>
      <c r="K60" s="52"/>
    </row>
    <row r="61" spans="1:11" ht="12">
      <c r="A61" s="44">
        <v>38</v>
      </c>
      <c r="B61" s="47" t="s">
        <v>120</v>
      </c>
      <c r="E61" s="56"/>
      <c r="F61" s="56"/>
      <c r="G61" s="56"/>
      <c r="H61" s="50" t="str">
        <f t="shared" si="6"/>
        <v> </v>
      </c>
      <c r="I61" s="56"/>
      <c r="J61" s="56"/>
      <c r="K61" s="56"/>
    </row>
    <row r="62" ht="9" customHeight="1">
      <c r="H62" s="50"/>
    </row>
    <row r="63" spans="1:11" s="50" customFormat="1" ht="12.75" thickBot="1">
      <c r="A63" s="48">
        <v>39</v>
      </c>
      <c r="B63" s="49" t="s">
        <v>121</v>
      </c>
      <c r="E63" s="60">
        <f>F63+G63</f>
        <v>1357186</v>
      </c>
      <c r="F63" s="60">
        <f>F56-F59+F60+F61</f>
        <v>867289</v>
      </c>
      <c r="G63" s="60">
        <f>G56-G59+G60+G61</f>
        <v>489897</v>
      </c>
      <c r="H63" s="50" t="str">
        <f>IF(E63=F63+G63," ","ERROR")</f>
        <v> </v>
      </c>
      <c r="I63" s="60">
        <f>J63+K63</f>
        <v>725917</v>
      </c>
      <c r="J63" s="60">
        <f>J56-J59+J60+J61</f>
        <v>725917</v>
      </c>
      <c r="K63" s="60"/>
    </row>
    <row r="64" spans="5:11" s="752" customFormat="1" ht="14.25" customHeight="1" thickTop="1">
      <c r="E64" s="36">
        <f>E47/E63</f>
        <v>0.06871349984453126</v>
      </c>
      <c r="F64" s="36">
        <f>F47/F63</f>
        <v>0.07586398536128096</v>
      </c>
      <c r="G64" s="36">
        <f>G47/G63</f>
        <v>0.056054640056991574</v>
      </c>
      <c r="I64" s="36">
        <f>I47/I63</f>
        <v>0.07126847835220831</v>
      </c>
      <c r="J64" s="36">
        <f>J47/J63</f>
        <v>0.07126847835220831</v>
      </c>
      <c r="K64" s="36"/>
    </row>
    <row r="65" spans="2:11" ht="12">
      <c r="B65" s="249" t="s">
        <v>166</v>
      </c>
      <c r="C65" s="250"/>
      <c r="D65" s="250"/>
      <c r="E65" s="250"/>
      <c r="F65" s="250"/>
      <c r="G65" s="251"/>
      <c r="I65" s="250"/>
      <c r="J65" s="250"/>
      <c r="K65" s="251"/>
    </row>
    <row r="66" spans="2:10" ht="12">
      <c r="B66" s="41" t="s">
        <v>108</v>
      </c>
      <c r="E66" s="61">
        <f>F66+G66</f>
        <v>93257</v>
      </c>
      <c r="F66" s="998">
        <v>65796</v>
      </c>
      <c r="G66" s="998">
        <v>27461</v>
      </c>
      <c r="I66" s="61">
        <f>J66+K66</f>
        <v>51735</v>
      </c>
      <c r="J66" s="41">
        <v>51735</v>
      </c>
    </row>
    <row r="67" spans="2:10" ht="12">
      <c r="B67" s="41" t="s">
        <v>167</v>
      </c>
      <c r="E67" s="41">
        <f>F67+G67</f>
        <v>1357186</v>
      </c>
      <c r="F67" s="998">
        <v>867289</v>
      </c>
      <c r="G67" s="998">
        <v>489897</v>
      </c>
      <c r="I67" s="41">
        <f>J67+K67</f>
        <v>553316</v>
      </c>
      <c r="J67" s="41">
        <v>553316</v>
      </c>
    </row>
    <row r="69" ht="12">
      <c r="B69" s="62" t="s">
        <v>168</v>
      </c>
    </row>
    <row r="70" spans="2:9" ht="12">
      <c r="B70" s="63" t="s">
        <v>80</v>
      </c>
      <c r="C70" s="63"/>
      <c r="D70" s="63"/>
      <c r="E70" s="64"/>
      <c r="I70" s="64"/>
    </row>
    <row r="71" spans="2:11" ht="12">
      <c r="B71" s="63" t="s">
        <v>169</v>
      </c>
      <c r="C71" s="63"/>
      <c r="D71" s="63"/>
      <c r="E71" s="61">
        <f>F71+G71</f>
        <v>506427</v>
      </c>
      <c r="F71" s="999">
        <f>324433-F72</f>
        <v>323681</v>
      </c>
      <c r="G71" s="999">
        <f>182859-G72</f>
        <v>182746</v>
      </c>
      <c r="I71" s="61">
        <f>J71+K71</f>
        <v>252300</v>
      </c>
      <c r="J71" s="61">
        <v>252300</v>
      </c>
      <c r="K71" s="61"/>
    </row>
    <row r="72" spans="2:11" ht="12">
      <c r="B72" s="63" t="s">
        <v>170</v>
      </c>
      <c r="C72" s="63"/>
      <c r="D72" s="63"/>
      <c r="E72" s="61">
        <f>F72+G72</f>
        <v>865</v>
      </c>
      <c r="F72" s="999">
        <v>752</v>
      </c>
      <c r="G72" s="999">
        <v>113</v>
      </c>
      <c r="I72" s="61">
        <f>J72+K72</f>
        <v>0</v>
      </c>
      <c r="J72" s="61">
        <v>0</v>
      </c>
      <c r="K72" s="61"/>
    </row>
    <row r="73" spans="2:11" ht="12">
      <c r="B73" s="63" t="s">
        <v>83</v>
      </c>
      <c r="C73" s="63"/>
      <c r="D73" s="63"/>
      <c r="E73" s="61">
        <f>F73+G73</f>
        <v>89994</v>
      </c>
      <c r="F73" s="999">
        <v>58640</v>
      </c>
      <c r="G73" s="999">
        <v>31354</v>
      </c>
      <c r="I73" s="61">
        <f>J73+K73</f>
        <v>85288</v>
      </c>
      <c r="J73" s="61">
        <v>85288</v>
      </c>
      <c r="K73" s="61"/>
    </row>
    <row r="74" spans="2:11" ht="12">
      <c r="B74" s="63" t="s">
        <v>171</v>
      </c>
      <c r="C74" s="63"/>
      <c r="D74" s="63"/>
      <c r="E74" s="65">
        <f>F74+G74</f>
        <v>82389</v>
      </c>
      <c r="F74" s="1000">
        <v>53644</v>
      </c>
      <c r="G74" s="1000">
        <v>28745</v>
      </c>
      <c r="I74" s="65">
        <f>J74+K74</f>
        <v>12128</v>
      </c>
      <c r="J74" s="65">
        <v>12128</v>
      </c>
      <c r="K74" s="65"/>
    </row>
    <row r="75" spans="2:11" ht="12">
      <c r="B75" s="63" t="s">
        <v>172</v>
      </c>
      <c r="C75" s="63"/>
      <c r="D75" s="63"/>
      <c r="E75" s="65">
        <f>SUM(E71:E74)</f>
        <v>679675</v>
      </c>
      <c r="F75" s="65">
        <f>SUM(F71:F74)</f>
        <v>436717</v>
      </c>
      <c r="G75" s="65">
        <f>SUM(G71:G74)</f>
        <v>242958</v>
      </c>
      <c r="I75" s="65">
        <f>SUM(I71:I74)</f>
        <v>349716</v>
      </c>
      <c r="J75" s="65">
        <f>SUM(J71:J74)</f>
        <v>349716</v>
      </c>
      <c r="K75" s="65"/>
    </row>
    <row r="76" spans="2:11" ht="12">
      <c r="B76" s="63"/>
      <c r="C76" s="63"/>
      <c r="D76" s="63"/>
      <c r="E76" s="61"/>
      <c r="F76" s="61"/>
      <c r="G76" s="61"/>
      <c r="I76" s="61"/>
      <c r="J76" s="61"/>
      <c r="K76" s="61"/>
    </row>
    <row r="77" spans="2:11" ht="12">
      <c r="B77" s="63" t="s">
        <v>173</v>
      </c>
      <c r="C77" s="63"/>
      <c r="D77" s="63"/>
      <c r="E77" s="61"/>
      <c r="F77" s="61"/>
      <c r="G77" s="61"/>
      <c r="I77" s="61"/>
      <c r="J77" s="61"/>
      <c r="K77" s="61"/>
    </row>
    <row r="78" spans="2:11" ht="12">
      <c r="B78" s="63" t="s">
        <v>174</v>
      </c>
      <c r="C78" s="63"/>
      <c r="D78" s="63"/>
      <c r="E78" s="61">
        <f>F78+G78</f>
        <v>30665</v>
      </c>
      <c r="F78" s="999">
        <v>19981</v>
      </c>
      <c r="G78" s="999">
        <v>10684</v>
      </c>
      <c r="I78" s="61">
        <f>J78+K78</f>
        <v>15193</v>
      </c>
      <c r="J78" s="61">
        <v>15193</v>
      </c>
      <c r="K78" s="61"/>
    </row>
    <row r="79" spans="2:11" ht="12">
      <c r="B79" s="63" t="s">
        <v>175</v>
      </c>
      <c r="C79" s="63"/>
      <c r="D79" s="63"/>
      <c r="E79" s="61">
        <f>F79+G79</f>
        <v>14031</v>
      </c>
      <c r="F79" s="999">
        <v>9143</v>
      </c>
      <c r="G79" s="999">
        <v>4888</v>
      </c>
      <c r="I79" s="61">
        <f>J79+K79</f>
        <v>6561</v>
      </c>
      <c r="J79" s="61">
        <v>6561</v>
      </c>
      <c r="K79" s="61"/>
    </row>
    <row r="80" spans="2:11" ht="12">
      <c r="B80" s="63" t="s">
        <v>176</v>
      </c>
      <c r="C80" s="63"/>
      <c r="D80" s="63"/>
      <c r="E80" s="61">
        <f>F80+G80</f>
        <v>28935</v>
      </c>
      <c r="F80" s="999">
        <v>18854</v>
      </c>
      <c r="G80" s="999">
        <v>10081</v>
      </c>
      <c r="I80" s="61">
        <f>J80+K80</f>
        <v>8247</v>
      </c>
      <c r="J80" s="61">
        <v>8247</v>
      </c>
      <c r="K80" s="61"/>
    </row>
    <row r="81" spans="2:11" ht="12">
      <c r="B81" s="63" t="s">
        <v>177</v>
      </c>
      <c r="C81" s="63"/>
      <c r="D81" s="63"/>
      <c r="E81" s="61">
        <f>F81+G81</f>
        <v>117514</v>
      </c>
      <c r="F81" s="999">
        <f>169598-F82</f>
        <v>72061</v>
      </c>
      <c r="G81" s="999">
        <f>120807-G82</f>
        <v>45453</v>
      </c>
      <c r="I81" s="61">
        <f>J81+K81</f>
        <v>5467</v>
      </c>
      <c r="J81" s="61">
        <v>5467</v>
      </c>
      <c r="K81" s="61"/>
    </row>
    <row r="82" spans="2:11" ht="12">
      <c r="B82" s="63" t="s">
        <v>90</v>
      </c>
      <c r="C82" s="63"/>
      <c r="D82" s="63"/>
      <c r="E82" s="65">
        <f>F82+G82</f>
        <v>172891</v>
      </c>
      <c r="F82" s="1000">
        <v>97537</v>
      </c>
      <c r="G82" s="1000">
        <v>75354</v>
      </c>
      <c r="I82" s="65">
        <f>J82+K82</f>
        <v>131281</v>
      </c>
      <c r="J82" s="65">
        <v>131281</v>
      </c>
      <c r="K82" s="65"/>
    </row>
    <row r="83" spans="2:11" ht="12">
      <c r="B83" s="63" t="s">
        <v>178</v>
      </c>
      <c r="C83" s="66"/>
      <c r="D83" s="63"/>
      <c r="E83" s="65">
        <f>SUM(E78:E82)</f>
        <v>364036</v>
      </c>
      <c r="F83" s="65">
        <f>SUM(F78:F82)</f>
        <v>217576</v>
      </c>
      <c r="G83" s="65">
        <f>SUM(G78:G82)</f>
        <v>146460</v>
      </c>
      <c r="I83" s="65">
        <f>SUM(I78:I82)</f>
        <v>166749</v>
      </c>
      <c r="J83" s="65">
        <f>SUM(J78:J82)</f>
        <v>166749</v>
      </c>
      <c r="K83" s="65"/>
    </row>
    <row r="84" spans="2:11" ht="12">
      <c r="B84" s="63" t="s">
        <v>179</v>
      </c>
      <c r="C84" s="63"/>
      <c r="D84" s="63"/>
      <c r="E84" s="918"/>
      <c r="F84" s="61"/>
      <c r="G84" s="61"/>
      <c r="I84" s="61"/>
      <c r="J84" s="61"/>
      <c r="K84" s="61"/>
    </row>
    <row r="85" spans="2:11" ht="12">
      <c r="B85" s="63" t="s">
        <v>180</v>
      </c>
      <c r="C85" s="63"/>
      <c r="D85" s="63"/>
      <c r="E85" s="61">
        <f>F85+G85</f>
        <v>16115</v>
      </c>
      <c r="F85" s="1001">
        <v>10501</v>
      </c>
      <c r="G85" s="999">
        <v>5614</v>
      </c>
      <c r="I85" s="61">
        <f>J85+K85</f>
        <v>9813</v>
      </c>
      <c r="J85" s="774">
        <v>9813</v>
      </c>
      <c r="K85" s="61"/>
    </row>
    <row r="86" spans="2:12" ht="12">
      <c r="B86" s="63" t="s">
        <v>181</v>
      </c>
      <c r="C86" s="63"/>
      <c r="D86" s="63"/>
      <c r="E86" s="61">
        <f>F86+G86</f>
        <v>21823</v>
      </c>
      <c r="F86" s="999">
        <f>23810-F87</f>
        <v>16259</v>
      </c>
      <c r="G86" s="999">
        <f>9602-G87</f>
        <v>5564</v>
      </c>
      <c r="I86" s="61">
        <f>J86+K86</f>
        <v>9264</v>
      </c>
      <c r="J86" s="61">
        <f>9544+4157-4437</f>
        <v>9264</v>
      </c>
      <c r="K86" s="61"/>
      <c r="L86" s="786"/>
    </row>
    <row r="87" spans="2:12" ht="12">
      <c r="B87" s="63" t="s">
        <v>182</v>
      </c>
      <c r="C87" s="63"/>
      <c r="D87" s="63"/>
      <c r="E87" s="65">
        <f>F87+G87</f>
        <v>11589</v>
      </c>
      <c r="F87" s="1000">
        <v>7551</v>
      </c>
      <c r="G87" s="1000">
        <v>4038</v>
      </c>
      <c r="I87" s="65">
        <f>J87+K87</f>
        <v>10056</v>
      </c>
      <c r="J87" s="65">
        <f>8997+1059</f>
        <v>10056</v>
      </c>
      <c r="K87" s="65"/>
      <c r="L87" s="786"/>
    </row>
    <row r="88" spans="2:11" ht="12">
      <c r="B88" s="63" t="s">
        <v>183</v>
      </c>
      <c r="C88" s="63"/>
      <c r="D88" s="66"/>
      <c r="E88" s="65">
        <f>E83+E85+E86+E87</f>
        <v>413563</v>
      </c>
      <c r="F88" s="65">
        <f>F83+F85+F86+F87</f>
        <v>251887</v>
      </c>
      <c r="G88" s="65">
        <f>G83+G85+G86+G87</f>
        <v>161676</v>
      </c>
      <c r="I88" s="65">
        <f>I83+I85+I86+I87</f>
        <v>195882</v>
      </c>
      <c r="J88" s="65">
        <f>J83+J85+J86+J87</f>
        <v>195882</v>
      </c>
      <c r="K88" s="65"/>
    </row>
    <row r="89" spans="2:11" ht="12">
      <c r="B89" s="63" t="s">
        <v>184</v>
      </c>
      <c r="C89" s="63"/>
      <c r="D89" s="63"/>
      <c r="E89" s="61"/>
      <c r="F89" s="61"/>
      <c r="G89" s="61"/>
      <c r="I89" s="61"/>
      <c r="J89" s="61"/>
      <c r="K89" s="61"/>
    </row>
    <row r="90" spans="2:11" ht="12">
      <c r="B90" s="63" t="s">
        <v>185</v>
      </c>
      <c r="C90" s="63"/>
      <c r="D90" s="63"/>
      <c r="E90" s="61">
        <f>F90+G90</f>
        <v>19108</v>
      </c>
      <c r="F90" s="999">
        <v>12289</v>
      </c>
      <c r="G90" s="999">
        <v>6819</v>
      </c>
      <c r="I90" s="61">
        <f>J90+K90</f>
        <v>10889</v>
      </c>
      <c r="J90" s="61">
        <v>10889</v>
      </c>
      <c r="K90" s="61"/>
    </row>
    <row r="91" spans="2:12" ht="12">
      <c r="B91" s="63" t="s">
        <v>181</v>
      </c>
      <c r="C91" s="63"/>
      <c r="D91" s="63"/>
      <c r="E91" s="61">
        <f>F91+G91</f>
        <v>16172</v>
      </c>
      <c r="F91" s="999">
        <v>10044</v>
      </c>
      <c r="G91" s="999">
        <v>6128</v>
      </c>
      <c r="I91" s="61">
        <f>J91+K91</f>
        <v>7820</v>
      </c>
      <c r="J91" s="61">
        <v>7820</v>
      </c>
      <c r="K91" s="61"/>
      <c r="L91" s="786"/>
    </row>
    <row r="92" spans="2:12" ht="12">
      <c r="B92" s="63" t="s">
        <v>182</v>
      </c>
      <c r="C92" s="63"/>
      <c r="D92" s="63"/>
      <c r="E92" s="65">
        <f>F92+G92</f>
        <v>35982</v>
      </c>
      <c r="F92" s="1000">
        <v>29575</v>
      </c>
      <c r="G92" s="1000">
        <v>6407</v>
      </c>
      <c r="I92" s="65">
        <f>J92+K92</f>
        <v>13769</v>
      </c>
      <c r="J92" s="65">
        <f>3971+9798</f>
        <v>13769</v>
      </c>
      <c r="K92" s="65"/>
      <c r="L92" s="786"/>
    </row>
    <row r="93" spans="2:11" ht="12">
      <c r="B93" s="63" t="s">
        <v>186</v>
      </c>
      <c r="C93" s="66"/>
      <c r="D93" s="63"/>
      <c r="E93" s="65">
        <f>SUM(E90:E92)</f>
        <v>71262</v>
      </c>
      <c r="F93" s="65">
        <f>SUM(F90:F92)</f>
        <v>51908</v>
      </c>
      <c r="G93" s="65">
        <f>SUM(G90:G92)</f>
        <v>19354</v>
      </c>
      <c r="I93" s="65">
        <f>SUM(I90:I92)</f>
        <v>32478</v>
      </c>
      <c r="J93" s="65">
        <f>SUM(J90:J92)</f>
        <v>32478</v>
      </c>
      <c r="K93" s="65"/>
    </row>
    <row r="94" spans="2:11" ht="12">
      <c r="B94" s="63" t="s">
        <v>187</v>
      </c>
      <c r="C94" s="63"/>
      <c r="D94" s="63"/>
      <c r="E94" s="61">
        <f>F94+G94</f>
        <v>12875</v>
      </c>
      <c r="F94" s="999">
        <v>8444</v>
      </c>
      <c r="G94" s="999">
        <v>4431</v>
      </c>
      <c r="I94" s="61">
        <f>J94+K94</f>
        <v>5886</v>
      </c>
      <c r="J94" s="61">
        <v>5886</v>
      </c>
      <c r="K94" s="61"/>
    </row>
    <row r="95" spans="2:11" ht="12">
      <c r="B95" s="63" t="s">
        <v>188</v>
      </c>
      <c r="C95" s="63"/>
      <c r="D95" s="63"/>
      <c r="E95" s="61">
        <f>F95+G95</f>
        <v>11603</v>
      </c>
      <c r="F95" s="999">
        <v>7220</v>
      </c>
      <c r="G95" s="999">
        <v>4383</v>
      </c>
      <c r="I95" s="61">
        <f>J95+K95</f>
        <v>3733</v>
      </c>
      <c r="J95" s="61">
        <v>3733</v>
      </c>
      <c r="K95" s="61"/>
    </row>
    <row r="96" spans="2:11" ht="12">
      <c r="B96" s="63" t="s">
        <v>189</v>
      </c>
      <c r="C96" s="63"/>
      <c r="D96" s="63"/>
      <c r="E96" s="61">
        <f>F96+G96</f>
        <v>1151</v>
      </c>
      <c r="F96" s="999">
        <v>703</v>
      </c>
      <c r="G96" s="999">
        <v>448</v>
      </c>
      <c r="I96" s="61">
        <f>J96+K96</f>
        <v>310</v>
      </c>
      <c r="J96" s="61">
        <v>310</v>
      </c>
      <c r="K96" s="61"/>
    </row>
    <row r="97" spans="2:11" ht="12">
      <c r="B97" s="63" t="s">
        <v>190</v>
      </c>
      <c r="C97" s="63"/>
      <c r="D97" s="63"/>
      <c r="E97" s="61"/>
      <c r="F97" s="999"/>
      <c r="G97" s="999"/>
      <c r="I97" s="61"/>
      <c r="J97" s="61"/>
      <c r="K97" s="61"/>
    </row>
    <row r="98" spans="2:11" ht="12">
      <c r="B98" s="63" t="s">
        <v>191</v>
      </c>
      <c r="C98" s="63"/>
      <c r="D98" s="63"/>
      <c r="E98" s="61">
        <f>F98+G98</f>
        <v>51166</v>
      </c>
      <c r="F98" s="999">
        <v>32768</v>
      </c>
      <c r="G98" s="999">
        <v>18398</v>
      </c>
      <c r="I98" s="61">
        <f>J98+K98</f>
        <v>28545</v>
      </c>
      <c r="J98" s="61">
        <v>28545</v>
      </c>
      <c r="K98" s="61"/>
    </row>
    <row r="99" spans="2:12" ht="12">
      <c r="B99" s="63" t="s">
        <v>181</v>
      </c>
      <c r="C99" s="63"/>
      <c r="D99" s="63"/>
      <c r="E99" s="61">
        <f>F99+G99</f>
        <v>6888</v>
      </c>
      <c r="F99" s="999">
        <f>ROUND((1946842+1899739+523092)/1000,0)</f>
        <v>4370</v>
      </c>
      <c r="G99" s="999">
        <f>ROUND((1165145+1060970+292137)/1000,0)</f>
        <v>2518</v>
      </c>
      <c r="I99" s="61">
        <f>J99+K99</f>
        <v>3749</v>
      </c>
      <c r="J99" s="61">
        <v>3749</v>
      </c>
      <c r="K99" s="61"/>
      <c r="L99" s="786"/>
    </row>
    <row r="100" spans="2:12" ht="12">
      <c r="B100" s="63" t="s">
        <v>182</v>
      </c>
      <c r="C100" s="63"/>
      <c r="D100" s="63"/>
      <c r="E100" s="65">
        <f>F100+G100</f>
        <v>0</v>
      </c>
      <c r="F100" s="1000">
        <v>0</v>
      </c>
      <c r="G100" s="1000">
        <v>0</v>
      </c>
      <c r="I100" s="65">
        <f>J100+K100</f>
        <v>74</v>
      </c>
      <c r="J100" s="65">
        <v>74</v>
      </c>
      <c r="K100" s="65"/>
      <c r="L100" s="786"/>
    </row>
    <row r="101" spans="2:11" ht="12">
      <c r="B101" s="63" t="s">
        <v>192</v>
      </c>
      <c r="C101" s="66"/>
      <c r="D101" s="63"/>
      <c r="E101" s="65">
        <f>SUM(E98:E100)</f>
        <v>58054</v>
      </c>
      <c r="F101" s="65">
        <f>SUM(F98:F100)</f>
        <v>37138</v>
      </c>
      <c r="G101" s="65">
        <f>SUM(G98:G100)</f>
        <v>20916</v>
      </c>
      <c r="I101" s="65">
        <f>SUM(I98:I100)</f>
        <v>32368</v>
      </c>
      <c r="J101" s="65">
        <f>SUM(J98:J100)</f>
        <v>32368</v>
      </c>
      <c r="K101" s="65"/>
    </row>
    <row r="102" spans="2:11" ht="12">
      <c r="B102" s="63"/>
      <c r="C102" s="63"/>
      <c r="D102" s="63"/>
      <c r="E102" s="61"/>
      <c r="F102" s="61"/>
      <c r="G102" s="61"/>
      <c r="I102" s="61"/>
      <c r="J102" s="61"/>
      <c r="K102" s="61"/>
    </row>
    <row r="103" spans="2:11" ht="12">
      <c r="B103" s="63" t="s">
        <v>193</v>
      </c>
      <c r="C103" s="63"/>
      <c r="D103" s="63"/>
      <c r="E103" s="67">
        <f>E88+E93+E94+E95+E96+E101</f>
        <v>568508</v>
      </c>
      <c r="F103" s="67">
        <f>F88+F93+F94+F95+F96+F101</f>
        <v>357300</v>
      </c>
      <c r="G103" s="67">
        <f>G88+G93+G94+G95+G96+G101</f>
        <v>211208</v>
      </c>
      <c r="I103" s="67">
        <f>I88+I93+I94+I95+I96+I101</f>
        <v>270657</v>
      </c>
      <c r="J103" s="67">
        <f>J88+J93+J94+J95+J96+J101</f>
        <v>270657</v>
      </c>
      <c r="K103" s="67"/>
    </row>
    <row r="104" spans="2:11" ht="12">
      <c r="B104" s="63"/>
      <c r="C104" s="63"/>
      <c r="D104" s="63"/>
      <c r="E104" s="61"/>
      <c r="F104" s="61"/>
      <c r="G104" s="61"/>
      <c r="I104" s="61"/>
      <c r="J104" s="61"/>
      <c r="K104" s="61"/>
    </row>
    <row r="105" spans="2:11" ht="12">
      <c r="B105" s="63" t="s">
        <v>194</v>
      </c>
      <c r="C105" s="63"/>
      <c r="D105" s="63"/>
      <c r="E105" s="65">
        <f>E75-E103</f>
        <v>111167</v>
      </c>
      <c r="F105" s="65">
        <f>F75-F103</f>
        <v>79417</v>
      </c>
      <c r="G105" s="65">
        <f>G75-G103</f>
        <v>31750</v>
      </c>
      <c r="I105" s="65">
        <f>I75-I103</f>
        <v>79059</v>
      </c>
      <c r="J105" s="65">
        <f>J75-J103</f>
        <v>79059</v>
      </c>
      <c r="K105" s="65"/>
    </row>
    <row r="106" spans="2:11" ht="12">
      <c r="B106" s="63"/>
      <c r="C106" s="63"/>
      <c r="D106" s="63"/>
      <c r="E106" s="61"/>
      <c r="F106" s="61"/>
      <c r="G106" s="61"/>
      <c r="I106" s="61"/>
      <c r="J106" s="61"/>
      <c r="K106" s="61"/>
    </row>
    <row r="107" spans="2:11" ht="12">
      <c r="B107" s="63" t="s">
        <v>195</v>
      </c>
      <c r="C107" s="63"/>
      <c r="D107" s="63"/>
      <c r="E107" s="61">
        <f>F107+G107</f>
        <v>16864</v>
      </c>
      <c r="F107" s="999">
        <f>11616+1</f>
        <v>11617</v>
      </c>
      <c r="G107" s="999">
        <f>5247</f>
        <v>5247</v>
      </c>
      <c r="I107" s="61">
        <f>J107+K107</f>
        <v>18828</v>
      </c>
      <c r="J107" s="61">
        <f>18828</f>
        <v>18828</v>
      </c>
      <c r="K107" s="61"/>
    </row>
    <row r="108" spans="2:11" ht="12">
      <c r="B108" s="63" t="s">
        <v>196</v>
      </c>
      <c r="C108" s="63"/>
      <c r="D108" s="63"/>
      <c r="E108" s="61">
        <f>F108+G108</f>
        <v>1046</v>
      </c>
      <c r="F108" s="999">
        <v>2004</v>
      </c>
      <c r="G108" s="999">
        <v>-958</v>
      </c>
      <c r="I108" s="61">
        <f>J108+K108</f>
        <v>3120</v>
      </c>
      <c r="J108" s="61">
        <v>3120</v>
      </c>
      <c r="K108" s="61"/>
    </row>
    <row r="109" spans="2:11" ht="12">
      <c r="B109" s="63" t="s">
        <v>197</v>
      </c>
      <c r="C109" s="63"/>
      <c r="D109" s="63"/>
      <c r="E109" s="65">
        <f>F109+G109</f>
        <v>0</v>
      </c>
      <c r="F109" s="1000">
        <v>0</v>
      </c>
      <c r="G109" s="1000">
        <v>0</v>
      </c>
      <c r="I109" s="65">
        <f>J109+K109</f>
        <v>-26</v>
      </c>
      <c r="J109" s="65">
        <v>-26</v>
      </c>
      <c r="K109" s="65"/>
    </row>
    <row r="110" spans="2:11" ht="12">
      <c r="B110" s="63" t="s">
        <v>198</v>
      </c>
      <c r="C110" s="66"/>
      <c r="D110" s="63"/>
      <c r="E110" s="65">
        <f>E107+E108+E109</f>
        <v>17910</v>
      </c>
      <c r="F110" s="65">
        <f>F107+F108+F109</f>
        <v>13621</v>
      </c>
      <c r="G110" s="65">
        <f>G107+G108+G109</f>
        <v>4289</v>
      </c>
      <c r="I110" s="65">
        <f>I107+I108+I109</f>
        <v>21922</v>
      </c>
      <c r="J110" s="65">
        <f>J107+J108+J109</f>
        <v>21922</v>
      </c>
      <c r="K110" s="65"/>
    </row>
    <row r="111" spans="1:11" ht="12">
      <c r="A111" s="47" t="s">
        <v>107</v>
      </c>
      <c r="B111" s="63"/>
      <c r="C111" s="63"/>
      <c r="D111" s="63"/>
      <c r="E111" s="61"/>
      <c r="F111" s="61"/>
      <c r="G111" s="61"/>
      <c r="I111" s="61"/>
      <c r="J111" s="61">
        <v>-5402</v>
      </c>
      <c r="K111" s="61"/>
    </row>
    <row r="112" spans="2:11" ht="12">
      <c r="B112" s="63" t="s">
        <v>108</v>
      </c>
      <c r="C112" s="63"/>
      <c r="D112" s="68"/>
      <c r="E112" s="69">
        <f>E105-E110</f>
        <v>93257</v>
      </c>
      <c r="F112" s="69">
        <f>F105-F110</f>
        <v>65796</v>
      </c>
      <c r="G112" s="69">
        <f>G105-G110</f>
        <v>27461</v>
      </c>
      <c r="I112" s="69">
        <f>I105-I110</f>
        <v>57137</v>
      </c>
      <c r="J112" s="69">
        <f>J105-J110+J111</f>
        <v>51735</v>
      </c>
      <c r="K112" s="69"/>
    </row>
    <row r="113" spans="2:11" ht="12">
      <c r="B113" s="63"/>
      <c r="C113" s="63"/>
      <c r="D113" s="63"/>
      <c r="E113" s="70"/>
      <c r="F113" s="70" t="str">
        <f>IF(F112=F66,"O.K.","Error")</f>
        <v>O.K.</v>
      </c>
      <c r="G113" s="70" t="str">
        <f>IF(G112=G66,"O.K.","Error")</f>
        <v>O.K.</v>
      </c>
      <c r="I113" s="70"/>
      <c r="J113" s="70" t="str">
        <f>IF(J112=J66,"O.K.","Error")</f>
        <v>O.K.</v>
      </c>
      <c r="K113" s="70"/>
    </row>
    <row r="114" spans="2:11" ht="12">
      <c r="B114" s="63"/>
      <c r="C114" s="63"/>
      <c r="D114" s="63"/>
      <c r="E114" s="61"/>
      <c r="F114" s="61"/>
      <c r="G114" s="61"/>
      <c r="I114" s="61"/>
      <c r="J114" s="61"/>
      <c r="K114" s="61"/>
    </row>
    <row r="115" spans="2:11" ht="12">
      <c r="B115" s="62" t="s">
        <v>199</v>
      </c>
      <c r="C115" s="66"/>
      <c r="D115" s="62"/>
      <c r="E115" s="61"/>
      <c r="F115" s="61"/>
      <c r="G115" s="61"/>
      <c r="I115" s="61"/>
      <c r="J115" s="61"/>
      <c r="K115" s="61"/>
    </row>
    <row r="116" spans="2:11" ht="12">
      <c r="B116" s="63" t="s">
        <v>200</v>
      </c>
      <c r="C116" s="63"/>
      <c r="D116" s="63"/>
      <c r="E116" s="61">
        <f>F116+G116</f>
        <v>33047</v>
      </c>
      <c r="F116" s="999">
        <v>21374</v>
      </c>
      <c r="G116" s="999">
        <v>11673</v>
      </c>
      <c r="I116" s="61">
        <f>J116+K116</f>
        <v>12705</v>
      </c>
      <c r="J116" s="61">
        <v>12705</v>
      </c>
      <c r="K116" s="61"/>
    </row>
    <row r="117" spans="2:11" ht="12">
      <c r="B117" s="63" t="s">
        <v>201</v>
      </c>
      <c r="C117" s="63"/>
      <c r="D117" s="63"/>
      <c r="E117" s="61"/>
      <c r="F117" s="999"/>
      <c r="G117" s="999"/>
      <c r="I117" s="61"/>
      <c r="J117" s="61"/>
      <c r="K117" s="61"/>
    </row>
    <row r="118" spans="2:11" ht="12">
      <c r="B118" s="63" t="s">
        <v>202</v>
      </c>
      <c r="C118" s="63"/>
      <c r="D118" s="63"/>
      <c r="E118" s="61">
        <f>F118+G118</f>
        <v>371603</v>
      </c>
      <c r="F118" s="999">
        <v>242137</v>
      </c>
      <c r="G118" s="999">
        <v>129466</v>
      </c>
      <c r="I118" s="61">
        <f>J118+K118</f>
        <v>230971</v>
      </c>
      <c r="J118" s="61">
        <v>230971</v>
      </c>
      <c r="K118" s="61"/>
    </row>
    <row r="119" spans="2:11" ht="12">
      <c r="B119" s="63" t="s">
        <v>203</v>
      </c>
      <c r="C119" s="63"/>
      <c r="D119" s="63"/>
      <c r="E119" s="61">
        <f>F119+G119</f>
        <v>323377</v>
      </c>
      <c r="F119" s="999">
        <v>210712</v>
      </c>
      <c r="G119" s="999">
        <v>112665</v>
      </c>
      <c r="I119" s="61">
        <f>J119+K119</f>
        <v>184890</v>
      </c>
      <c r="J119" s="61">
        <v>184890</v>
      </c>
      <c r="K119" s="61"/>
    </row>
    <row r="120" spans="2:11" ht="12">
      <c r="B120" s="63" t="s">
        <v>204</v>
      </c>
      <c r="C120" s="63"/>
      <c r="D120" s="63"/>
      <c r="E120" s="65">
        <f>F120+G120</f>
        <v>163213</v>
      </c>
      <c r="F120" s="1000">
        <v>106350</v>
      </c>
      <c r="G120" s="1000">
        <v>56863</v>
      </c>
      <c r="I120" s="65">
        <f>J120+K120</f>
        <v>8532</v>
      </c>
      <c r="J120" s="65">
        <v>8532</v>
      </c>
      <c r="K120" s="65"/>
    </row>
    <row r="121" spans="2:11" ht="12">
      <c r="B121" s="63" t="s">
        <v>205</v>
      </c>
      <c r="C121" s="63"/>
      <c r="D121" s="63"/>
      <c r="E121" s="65">
        <f>SUM(E118:E120)</f>
        <v>858193</v>
      </c>
      <c r="F121" s="65">
        <f>SUM(F118:F120)</f>
        <v>559199</v>
      </c>
      <c r="G121" s="65">
        <f>SUM(G118:G120)</f>
        <v>298994</v>
      </c>
      <c r="I121" s="65">
        <f>SUM(I118:I120)</f>
        <v>424393</v>
      </c>
      <c r="J121" s="65">
        <f>SUM(J118:J120)</f>
        <v>424393</v>
      </c>
      <c r="K121" s="65"/>
    </row>
    <row r="122" spans="2:11" ht="12">
      <c r="B122" s="63" t="s">
        <v>206</v>
      </c>
      <c r="C122" s="63"/>
      <c r="D122" s="63"/>
      <c r="E122" s="61">
        <f>F122+G122</f>
        <v>323173</v>
      </c>
      <c r="F122" s="999">
        <v>210579</v>
      </c>
      <c r="G122" s="999">
        <v>112594</v>
      </c>
      <c r="I122" s="61">
        <f>J122+K122</f>
        <v>176294</v>
      </c>
      <c r="J122" s="61">
        <v>176294</v>
      </c>
      <c r="K122" s="61"/>
    </row>
    <row r="123" spans="2:11" ht="12">
      <c r="B123" s="63" t="s">
        <v>207</v>
      </c>
      <c r="C123" s="63"/>
      <c r="D123" s="63"/>
      <c r="E123" s="61">
        <f>F123+G123</f>
        <v>739328</v>
      </c>
      <c r="F123" s="999">
        <v>459739</v>
      </c>
      <c r="G123" s="999">
        <v>279589</v>
      </c>
      <c r="I123" s="61">
        <f>J123+K123</f>
        <v>364352</v>
      </c>
      <c r="J123" s="61">
        <v>364352</v>
      </c>
      <c r="K123" s="61"/>
    </row>
    <row r="124" spans="2:11" ht="12">
      <c r="B124" s="63" t="s">
        <v>208</v>
      </c>
      <c r="C124" s="63"/>
      <c r="D124" s="63"/>
      <c r="E124" s="65">
        <f>F124+G124</f>
        <v>101259</v>
      </c>
      <c r="F124" s="1000">
        <v>63155</v>
      </c>
      <c r="G124" s="1000">
        <v>38104</v>
      </c>
      <c r="I124" s="65">
        <f>J124+K124</f>
        <v>54525</v>
      </c>
      <c r="J124" s="65">
        <v>54525</v>
      </c>
      <c r="K124" s="65"/>
    </row>
    <row r="125" spans="2:11" ht="12">
      <c r="B125" s="63"/>
      <c r="C125" s="63" t="s">
        <v>209</v>
      </c>
      <c r="D125" s="63"/>
      <c r="E125" s="65">
        <f>E116+SUM(E121:E124)</f>
        <v>2055000</v>
      </c>
      <c r="F125" s="65">
        <f>F116+SUM(F121:F124)</f>
        <v>1314046</v>
      </c>
      <c r="G125" s="65">
        <f>G116+SUM(G121:G124)</f>
        <v>740954</v>
      </c>
      <c r="I125" s="65">
        <f>I116+SUM(I121:I124)</f>
        <v>1032269</v>
      </c>
      <c r="J125" s="65">
        <f>J116+SUM(J121:J124)</f>
        <v>1032269</v>
      </c>
      <c r="K125" s="65"/>
    </row>
    <row r="126" spans="2:11" ht="12">
      <c r="B126" s="63"/>
      <c r="C126" s="63"/>
      <c r="D126" s="63"/>
      <c r="E126" s="61"/>
      <c r="F126" s="61"/>
      <c r="G126" s="61"/>
      <c r="I126" s="61"/>
      <c r="J126" s="61"/>
      <c r="K126" s="61"/>
    </row>
    <row r="127" spans="2:11" ht="12">
      <c r="B127" s="63" t="s">
        <v>116</v>
      </c>
      <c r="C127" s="63"/>
      <c r="D127" s="63"/>
      <c r="E127" s="61">
        <f>F127+G127</f>
        <v>681278</v>
      </c>
      <c r="F127" s="999">
        <v>436127</v>
      </c>
      <c r="G127" s="999">
        <v>245151</v>
      </c>
      <c r="I127" s="61">
        <f>J127+K127</f>
        <v>304658</v>
      </c>
      <c r="J127" s="61">
        <v>304658</v>
      </c>
      <c r="K127" s="61"/>
    </row>
    <row r="128" spans="2:11" ht="12">
      <c r="B128" s="63" t="s">
        <v>210</v>
      </c>
      <c r="C128" s="63"/>
      <c r="D128" s="63"/>
      <c r="E128" s="61">
        <f>F128+G128</f>
        <v>16536</v>
      </c>
      <c r="F128" s="999">
        <v>10630</v>
      </c>
      <c r="G128" s="999">
        <v>5906</v>
      </c>
      <c r="I128" s="61">
        <f>J128+K128</f>
        <v>1694</v>
      </c>
      <c r="J128" s="61">
        <v>1694</v>
      </c>
      <c r="K128" s="61"/>
    </row>
    <row r="129" spans="2:11" ht="12">
      <c r="B129" s="63"/>
      <c r="C129" s="63"/>
      <c r="D129" s="63"/>
      <c r="E129" s="65"/>
      <c r="F129" s="65"/>
      <c r="G129" s="65"/>
      <c r="I129" s="65"/>
      <c r="J129" s="65"/>
      <c r="K129" s="65"/>
    </row>
    <row r="130" spans="2:11" ht="12">
      <c r="B130" s="63" t="s">
        <v>211</v>
      </c>
      <c r="C130" s="63"/>
      <c r="D130" s="63"/>
      <c r="E130" s="69">
        <f>E125-E127-E128</f>
        <v>1357186</v>
      </c>
      <c r="F130" s="252">
        <f>F125-F127-F128</f>
        <v>867289</v>
      </c>
      <c r="G130" s="252">
        <f>G125-G127-G128</f>
        <v>489897</v>
      </c>
      <c r="I130" s="69">
        <f>I125-I127-I128</f>
        <v>725917</v>
      </c>
      <c r="J130" s="252">
        <f>J125-J127-J128</f>
        <v>725917</v>
      </c>
      <c r="K130" s="252"/>
    </row>
    <row r="131" spans="2:11" ht="12">
      <c r="B131" s="63"/>
      <c r="C131" s="63"/>
      <c r="D131" s="63"/>
      <c r="E131" s="66"/>
      <c r="F131" s="70" t="str">
        <f>IF(F130=F67,"O.K.","Error")</f>
        <v>O.K.</v>
      </c>
      <c r="G131" s="70" t="str">
        <f>IF(G130=G67,"O.K.","Error")</f>
        <v>O.K.</v>
      </c>
      <c r="I131" s="66"/>
      <c r="J131" s="70" t="str">
        <f>IF(J130=J67,"O.K.","Error")</f>
        <v>Error</v>
      </c>
      <c r="K131" s="70"/>
    </row>
  </sheetData>
  <printOptions horizontalCentered="1"/>
  <pageMargins left="1" right="1" top="0.5" bottom="0.5" header="0.5" footer="0.5"/>
  <pageSetup horizontalDpi="300" verticalDpi="300" orientation="portrait" scale="9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10"/>
  <sheetViews>
    <sheetView workbookViewId="0" topLeftCell="A1">
      <selection activeCell="F61" sqref="F61"/>
    </sheetView>
  </sheetViews>
  <sheetFormatPr defaultColWidth="9.140625" defaultRowHeight="12.75"/>
  <cols>
    <col min="1" max="1" width="5.57421875" style="511" customWidth="1"/>
    <col min="2" max="2" width="26.140625" style="510" customWidth="1"/>
    <col min="3" max="3" width="12.421875" style="510" customWidth="1"/>
    <col min="4" max="4" width="6.7109375" style="510" customWidth="1"/>
    <col min="5" max="16384" width="12.421875" style="510" customWidth="1"/>
  </cols>
  <sheetData>
    <row r="1" spans="1:3" ht="12">
      <c r="A1" s="508" t="str">
        <f>Inputs!$D$6</f>
        <v>AVISTA UTILITIES</v>
      </c>
      <c r="B1" s="509"/>
      <c r="C1" s="508"/>
    </row>
    <row r="2" spans="1:7" ht="12">
      <c r="A2" s="508" t="s">
        <v>134</v>
      </c>
      <c r="B2" s="509"/>
      <c r="C2" s="508"/>
      <c r="E2" s="508"/>
      <c r="F2" s="511" t="s">
        <v>481</v>
      </c>
      <c r="G2" s="508"/>
    </row>
    <row r="3" spans="1:7" ht="12">
      <c r="A3" s="509" t="str">
        <f>WAElec12_04!$A$4</f>
        <v>TWELVE MONTHS ENDED DECEMBER 31, 2004</v>
      </c>
      <c r="B3" s="509"/>
      <c r="C3" s="508"/>
      <c r="E3" s="508"/>
      <c r="F3" s="511" t="s">
        <v>480</v>
      </c>
      <c r="G3" s="508"/>
    </row>
    <row r="4" spans="1:7" ht="12">
      <c r="A4" s="508" t="s">
        <v>1</v>
      </c>
      <c r="B4" s="509"/>
      <c r="C4" s="508"/>
      <c r="E4" s="512"/>
      <c r="F4" s="513" t="s">
        <v>137</v>
      </c>
      <c r="G4" s="514"/>
    </row>
    <row r="5" ht="12">
      <c r="A5" s="511" t="s">
        <v>13</v>
      </c>
    </row>
    <row r="6" spans="1:7" s="511" customFormat="1" ht="12">
      <c r="A6" s="511" t="s">
        <v>138</v>
      </c>
      <c r="B6" s="515" t="s">
        <v>34</v>
      </c>
      <c r="C6" s="515"/>
      <c r="E6" s="515" t="s">
        <v>139</v>
      </c>
      <c r="F6" s="515" t="s">
        <v>140</v>
      </c>
      <c r="G6" s="515" t="s">
        <v>123</v>
      </c>
    </row>
    <row r="7" ht="12">
      <c r="B7" s="517" t="s">
        <v>80</v>
      </c>
    </row>
    <row r="8" spans="1:7" s="520" customFormat="1" ht="12">
      <c r="A8" s="518">
        <v>1</v>
      </c>
      <c r="B8" s="519" t="s">
        <v>81</v>
      </c>
      <c r="E8" s="521">
        <f>F8+G8</f>
        <v>0</v>
      </c>
      <c r="F8" s="521"/>
      <c r="G8" s="521"/>
    </row>
    <row r="9" spans="1:7" ht="12">
      <c r="A9" s="511">
        <v>2</v>
      </c>
      <c r="B9" s="517" t="s">
        <v>82</v>
      </c>
      <c r="E9" s="522"/>
      <c r="F9" s="522"/>
      <c r="G9" s="522"/>
    </row>
    <row r="10" spans="1:7" ht="12">
      <c r="A10" s="511">
        <v>3</v>
      </c>
      <c r="B10" s="517" t="s">
        <v>142</v>
      </c>
      <c r="E10" s="522"/>
      <c r="F10" s="522"/>
      <c r="G10" s="522"/>
    </row>
    <row r="11" spans="1:7" ht="12">
      <c r="A11" s="511">
        <v>4</v>
      </c>
      <c r="B11" s="517" t="s">
        <v>143</v>
      </c>
      <c r="E11" s="523">
        <f>E8+E9+E10</f>
        <v>0</v>
      </c>
      <c r="F11" s="523">
        <f>F8+F9+F10</f>
        <v>0</v>
      </c>
      <c r="G11" s="523">
        <f>G8+G9+G10</f>
        <v>0</v>
      </c>
    </row>
    <row r="12" spans="1:7" ht="12">
      <c r="A12" s="511">
        <v>5</v>
      </c>
      <c r="B12" s="517" t="s">
        <v>85</v>
      </c>
      <c r="E12" s="522">
        <f>SUM(F12:G12)</f>
        <v>0</v>
      </c>
      <c r="F12" s="522"/>
      <c r="G12" s="522">
        <v>0</v>
      </c>
    </row>
    <row r="13" spans="1:7" ht="12">
      <c r="A13" s="511">
        <v>6</v>
      </c>
      <c r="B13" s="517" t="s">
        <v>144</v>
      </c>
      <c r="E13" s="523">
        <f>E11+E12</f>
        <v>0</v>
      </c>
      <c r="F13" s="523">
        <f>F11+F12</f>
        <v>0</v>
      </c>
      <c r="G13" s="523">
        <f>G11+G12</f>
        <v>0</v>
      </c>
    </row>
    <row r="14" spans="5:7" ht="12">
      <c r="E14" s="524"/>
      <c r="F14" s="524"/>
      <c r="G14" s="524"/>
    </row>
    <row r="15" spans="2:7" ht="12">
      <c r="B15" s="517" t="s">
        <v>87</v>
      </c>
      <c r="E15" s="524"/>
      <c r="F15" s="524"/>
      <c r="G15" s="524"/>
    </row>
    <row r="16" spans="2:7" ht="12">
      <c r="B16" s="517" t="s">
        <v>88</v>
      </c>
      <c r="E16" s="524"/>
      <c r="F16" s="524"/>
      <c r="G16" s="524"/>
    </row>
    <row r="17" spans="1:7" ht="12">
      <c r="A17" s="511">
        <v>7</v>
      </c>
      <c r="B17" s="517" t="s">
        <v>145</v>
      </c>
      <c r="E17" s="522"/>
      <c r="F17" s="522"/>
      <c r="G17" s="522"/>
    </row>
    <row r="18" spans="1:7" ht="12">
      <c r="A18" s="511">
        <v>8</v>
      </c>
      <c r="B18" s="517" t="s">
        <v>146</v>
      </c>
      <c r="E18" s="522"/>
      <c r="F18" s="522"/>
      <c r="G18" s="522"/>
    </row>
    <row r="19" spans="1:7" ht="12">
      <c r="A19" s="511">
        <v>9</v>
      </c>
      <c r="B19" s="517" t="s">
        <v>147</v>
      </c>
      <c r="E19" s="522"/>
      <c r="F19" s="522"/>
      <c r="G19" s="522"/>
    </row>
    <row r="20" spans="1:7" ht="12">
      <c r="A20" s="511">
        <v>10</v>
      </c>
      <c r="B20" s="517" t="s">
        <v>148</v>
      </c>
      <c r="E20" s="522"/>
      <c r="F20" s="522"/>
      <c r="G20" s="522"/>
    </row>
    <row r="21" spans="1:7" ht="12">
      <c r="A21" s="511">
        <v>11</v>
      </c>
      <c r="B21" s="517" t="s">
        <v>149</v>
      </c>
      <c r="E21" s="523">
        <f>E17+E18+E19+E20</f>
        <v>0</v>
      </c>
      <c r="F21" s="523">
        <f>F17+F18+F19+F20</f>
        <v>0</v>
      </c>
      <c r="G21" s="523">
        <f>G17+G18+G19+G20</f>
        <v>0</v>
      </c>
    </row>
    <row r="22" spans="5:7" ht="12">
      <c r="E22" s="524"/>
      <c r="F22" s="524"/>
      <c r="G22" s="524"/>
    </row>
    <row r="23" spans="2:7" ht="12">
      <c r="B23" s="517" t="s">
        <v>93</v>
      </c>
      <c r="E23" s="524"/>
      <c r="F23" s="524"/>
      <c r="G23" s="524"/>
    </row>
    <row r="24" spans="1:7" ht="12">
      <c r="A24" s="511">
        <v>12</v>
      </c>
      <c r="B24" s="517" t="s">
        <v>145</v>
      </c>
      <c r="E24" s="522"/>
      <c r="F24" s="522"/>
      <c r="G24" s="522"/>
    </row>
    <row r="25" spans="1:7" ht="12">
      <c r="A25" s="511">
        <v>13</v>
      </c>
      <c r="B25" s="517" t="s">
        <v>150</v>
      </c>
      <c r="E25" s="522"/>
      <c r="F25" s="522"/>
      <c r="G25" s="522"/>
    </row>
    <row r="26" spans="1:7" ht="12">
      <c r="A26" s="511">
        <v>14</v>
      </c>
      <c r="B26" s="517" t="s">
        <v>148</v>
      </c>
      <c r="E26" s="522">
        <f>F26+G26</f>
        <v>0</v>
      </c>
      <c r="F26" s="522"/>
      <c r="G26" s="525">
        <f>F109</f>
        <v>0</v>
      </c>
    </row>
    <row r="27" spans="1:7" ht="12">
      <c r="A27" s="511">
        <v>15</v>
      </c>
      <c r="B27" s="517" t="s">
        <v>151</v>
      </c>
      <c r="E27" s="523">
        <f>E24+E25+E26</f>
        <v>0</v>
      </c>
      <c r="F27" s="523">
        <f>F24+F25+F26</f>
        <v>0</v>
      </c>
      <c r="G27" s="523">
        <f>G24+G25+G26</f>
        <v>0</v>
      </c>
    </row>
    <row r="28" spans="5:7" ht="12">
      <c r="E28" s="524"/>
      <c r="F28" s="524"/>
      <c r="G28" s="524"/>
    </row>
    <row r="29" spans="1:7" ht="12">
      <c r="A29" s="511">
        <v>16</v>
      </c>
      <c r="B29" s="517" t="s">
        <v>96</v>
      </c>
      <c r="E29" s="522"/>
      <c r="F29" s="522"/>
      <c r="G29" s="522"/>
    </row>
    <row r="30" spans="1:7" ht="12">
      <c r="A30" s="511">
        <v>17</v>
      </c>
      <c r="B30" s="517" t="s">
        <v>97</v>
      </c>
      <c r="E30" s="522"/>
      <c r="F30" s="522"/>
      <c r="G30" s="522"/>
    </row>
    <row r="31" spans="1:7" ht="12">
      <c r="A31" s="511">
        <v>18</v>
      </c>
      <c r="B31" s="517" t="s">
        <v>152</v>
      </c>
      <c r="E31" s="522"/>
      <c r="F31" s="522"/>
      <c r="G31" s="522"/>
    </row>
    <row r="32" spans="5:7" ht="12">
      <c r="E32" s="524"/>
      <c r="F32" s="524"/>
      <c r="G32" s="524"/>
    </row>
    <row r="33" spans="2:7" ht="12">
      <c r="B33" s="517" t="s">
        <v>99</v>
      </c>
      <c r="E33" s="524"/>
      <c r="F33" s="524"/>
      <c r="G33" s="524"/>
    </row>
    <row r="34" spans="1:7" ht="12">
      <c r="A34" s="511">
        <v>19</v>
      </c>
      <c r="B34" s="517" t="s">
        <v>145</v>
      </c>
      <c r="E34" s="522">
        <f>F34+G34</f>
        <v>0</v>
      </c>
      <c r="F34" s="522"/>
      <c r="G34" s="522"/>
    </row>
    <row r="35" spans="1:7" ht="12">
      <c r="A35" s="511">
        <v>20</v>
      </c>
      <c r="B35" s="517" t="s">
        <v>150</v>
      </c>
      <c r="E35" s="522"/>
      <c r="F35" s="522"/>
      <c r="G35" s="522"/>
    </row>
    <row r="36" spans="1:7" ht="12">
      <c r="A36" s="511">
        <v>21</v>
      </c>
      <c r="B36" s="517" t="s">
        <v>148</v>
      </c>
      <c r="E36" s="522"/>
      <c r="F36" s="522"/>
      <c r="G36" s="522"/>
    </row>
    <row r="37" spans="1:7" ht="12">
      <c r="A37" s="511">
        <v>22</v>
      </c>
      <c r="B37" s="517" t="s">
        <v>153</v>
      </c>
      <c r="E37" s="526">
        <f>E34+E35+E36</f>
        <v>0</v>
      </c>
      <c r="F37" s="526">
        <f>F34+F35+F36</f>
        <v>0</v>
      </c>
      <c r="G37" s="526">
        <f>G34+G35+G36</f>
        <v>0</v>
      </c>
    </row>
    <row r="38" spans="1:7" ht="12">
      <c r="A38" s="511">
        <v>23</v>
      </c>
      <c r="B38" s="517" t="s">
        <v>101</v>
      </c>
      <c r="E38" s="527">
        <f>E21+E27+E29+E30+E31+E37</f>
        <v>0</v>
      </c>
      <c r="F38" s="527">
        <f>F21+F27+F29+F30+F31+F37</f>
        <v>0</v>
      </c>
      <c r="G38" s="527">
        <f>G21+G27+G29+G30+G31+G37</f>
        <v>0</v>
      </c>
    </row>
    <row r="39" spans="5:7" ht="12">
      <c r="E39" s="524"/>
      <c r="F39" s="524"/>
      <c r="G39" s="524"/>
    </row>
    <row r="40" spans="1:7" ht="12">
      <c r="A40" s="511">
        <v>24</v>
      </c>
      <c r="B40" s="517" t="s">
        <v>154</v>
      </c>
      <c r="E40" s="524">
        <f>E13-E38</f>
        <v>0</v>
      </c>
      <c r="F40" s="524">
        <f>F13-F38</f>
        <v>0</v>
      </c>
      <c r="G40" s="524">
        <f>G13-G38</f>
        <v>0</v>
      </c>
    </row>
    <row r="41" spans="2:7" ht="12">
      <c r="B41" s="517"/>
      <c r="E41" s="524"/>
      <c r="F41" s="524"/>
      <c r="G41" s="524"/>
    </row>
    <row r="42" spans="2:7" ht="12">
      <c r="B42" s="517" t="s">
        <v>155</v>
      </c>
      <c r="E42" s="524"/>
      <c r="F42" s="524"/>
      <c r="G42" s="524"/>
    </row>
    <row r="43" spans="1:7" ht="12">
      <c r="A43" s="511">
        <v>25</v>
      </c>
      <c r="B43" s="517" t="s">
        <v>156</v>
      </c>
      <c r="D43" s="528">
        <v>0.35</v>
      </c>
      <c r="E43" s="522">
        <f>F43+G43</f>
        <v>0</v>
      </c>
      <c r="F43" s="522"/>
      <c r="G43" s="522">
        <f>ROUND(G40*D43,0)</f>
        <v>0</v>
      </c>
    </row>
    <row r="44" spans="1:7" ht="12">
      <c r="A44" s="511">
        <v>26</v>
      </c>
      <c r="B44" s="517" t="s">
        <v>157</v>
      </c>
      <c r="E44" s="522"/>
      <c r="F44" s="522"/>
      <c r="G44" s="522"/>
    </row>
    <row r="45" spans="1:7" ht="12.75">
      <c r="A45"/>
      <c r="B45"/>
      <c r="C45"/>
      <c r="D45"/>
      <c r="E45" s="943"/>
      <c r="F45" s="943"/>
      <c r="G45" s="943"/>
    </row>
    <row r="46" spans="1:7" ht="12">
      <c r="A46" s="278"/>
      <c r="B46" s="281"/>
      <c r="C46" s="275"/>
      <c r="D46" s="275"/>
      <c r="E46" s="288"/>
      <c r="F46" s="288"/>
      <c r="G46" s="288"/>
    </row>
    <row r="47" spans="1:7" s="520" customFormat="1" ht="12">
      <c r="A47" s="282">
        <v>27</v>
      </c>
      <c r="B47" s="283" t="s">
        <v>108</v>
      </c>
      <c r="C47" s="284"/>
      <c r="D47" s="284"/>
      <c r="E47" s="292">
        <f>E40-SUM(E43:E44)</f>
        <v>0</v>
      </c>
      <c r="F47" s="292">
        <f>F40-SUM(F43:F44)</f>
        <v>0</v>
      </c>
      <c r="G47" s="292">
        <f>G40-SUM(G43:G44)</f>
        <v>0</v>
      </c>
    </row>
    <row r="48" ht="12">
      <c r="A48" s="278"/>
    </row>
    <row r="49" spans="1:2" ht="12">
      <c r="A49" s="278"/>
      <c r="B49" s="517" t="s">
        <v>109</v>
      </c>
    </row>
    <row r="50" spans="1:2" ht="12">
      <c r="A50" s="278"/>
      <c r="B50" s="517" t="s">
        <v>110</v>
      </c>
    </row>
    <row r="51" spans="1:7" s="520" customFormat="1" ht="12">
      <c r="A51" s="282">
        <v>28</v>
      </c>
      <c r="B51" s="519" t="s">
        <v>159</v>
      </c>
      <c r="E51" s="521"/>
      <c r="F51" s="521"/>
      <c r="G51" s="521"/>
    </row>
    <row r="52" spans="1:7" ht="12">
      <c r="A52" s="278">
        <v>29</v>
      </c>
      <c r="B52" s="517" t="s">
        <v>160</v>
      </c>
      <c r="E52" s="522"/>
      <c r="F52" s="522"/>
      <c r="G52" s="522"/>
    </row>
    <row r="53" spans="1:7" ht="12">
      <c r="A53" s="278">
        <v>30</v>
      </c>
      <c r="B53" s="517" t="s">
        <v>161</v>
      </c>
      <c r="E53" s="522"/>
      <c r="F53" s="522"/>
      <c r="G53" s="522"/>
    </row>
    <row r="54" spans="1:7" ht="12">
      <c r="A54" s="278">
        <v>31</v>
      </c>
      <c r="B54" s="517" t="s">
        <v>162</v>
      </c>
      <c r="E54" s="522"/>
      <c r="F54" s="522"/>
      <c r="G54" s="522"/>
    </row>
    <row r="55" spans="1:7" ht="12">
      <c r="A55" s="278">
        <v>32</v>
      </c>
      <c r="B55" s="517" t="s">
        <v>163</v>
      </c>
      <c r="E55" s="529"/>
      <c r="F55" s="529"/>
      <c r="G55" s="529"/>
    </row>
    <row r="56" spans="1:7" ht="12">
      <c r="A56" s="278">
        <v>33</v>
      </c>
      <c r="B56" s="517" t="s">
        <v>164</v>
      </c>
      <c r="E56" s="524">
        <f>E51+E52+E53+E54+E55</f>
        <v>0</v>
      </c>
      <c r="F56" s="524">
        <f>F51+F52+F53+F54+F55</f>
        <v>0</v>
      </c>
      <c r="G56" s="524">
        <f>G51+G52+G53+G54+G55</f>
        <v>0</v>
      </c>
    </row>
    <row r="57" spans="1:7" ht="12">
      <c r="A57" s="278">
        <v>34</v>
      </c>
      <c r="B57" s="517" t="s">
        <v>116</v>
      </c>
      <c r="E57" s="522"/>
      <c r="F57" s="522"/>
      <c r="G57" s="522"/>
    </row>
    <row r="58" spans="1:7" ht="12">
      <c r="A58" s="278">
        <v>35</v>
      </c>
      <c r="B58" s="517" t="s">
        <v>117</v>
      </c>
      <c r="E58" s="529"/>
      <c r="F58" s="529"/>
      <c r="G58" s="529"/>
    </row>
    <row r="59" spans="1:7" ht="12">
      <c r="A59" s="278">
        <v>36</v>
      </c>
      <c r="B59" s="517" t="s">
        <v>165</v>
      </c>
      <c r="E59" s="524">
        <f>E57+E58</f>
        <v>0</v>
      </c>
      <c r="F59" s="524">
        <f>F57+F58</f>
        <v>0</v>
      </c>
      <c r="G59" s="524">
        <f>G57+G58</f>
        <v>0</v>
      </c>
    </row>
    <row r="60" spans="1:7" ht="12">
      <c r="A60" s="278">
        <v>37</v>
      </c>
      <c r="B60" s="517" t="s">
        <v>119</v>
      </c>
      <c r="E60" s="522"/>
      <c r="F60" s="522"/>
      <c r="G60" s="522"/>
    </row>
    <row r="61" spans="1:7" ht="12">
      <c r="A61" s="278">
        <v>38</v>
      </c>
      <c r="B61" s="517" t="s">
        <v>120</v>
      </c>
      <c r="E61" s="529"/>
      <c r="F61" s="529"/>
      <c r="G61" s="529"/>
    </row>
    <row r="62" ht="9" customHeight="1">
      <c r="A62" s="278"/>
    </row>
    <row r="63" spans="1:7" s="520" customFormat="1" ht="12.75" thickBot="1">
      <c r="A63" s="282">
        <v>39</v>
      </c>
      <c r="B63" s="519" t="s">
        <v>121</v>
      </c>
      <c r="E63" s="530">
        <f>E56-E59+E60+E61</f>
        <v>0</v>
      </c>
      <c r="F63" s="530">
        <f>F56-F59+F60+F61</f>
        <v>0</v>
      </c>
      <c r="G63" s="530">
        <f>G56-G59+G60+G61</f>
        <v>0</v>
      </c>
    </row>
    <row r="64" ht="12.75" thickTop="1"/>
    <row r="65" spans="1:7" ht="12">
      <c r="A65" s="509" t="str">
        <f>Inputs!$D$6</f>
        <v>AVISTA UTILITIES</v>
      </c>
      <c r="B65" s="509"/>
      <c r="C65" s="509"/>
      <c r="D65" s="531"/>
      <c r="E65" s="532"/>
      <c r="F65" s="531"/>
      <c r="G65" s="533"/>
    </row>
    <row r="66" spans="1:7" ht="12">
      <c r="A66" s="509" t="s">
        <v>218</v>
      </c>
      <c r="B66" s="509"/>
      <c r="C66" s="509"/>
      <c r="D66" s="531"/>
      <c r="E66" s="532"/>
      <c r="F66" s="531"/>
      <c r="G66" s="533"/>
    </row>
    <row r="67" spans="1:7" ht="12">
      <c r="A67" s="509" t="str">
        <f>A3</f>
        <v>TWELVE MONTHS ENDED DECEMBER 31, 2004</v>
      </c>
      <c r="B67" s="509"/>
      <c r="C67" s="509"/>
      <c r="D67" s="531"/>
      <c r="E67" s="532"/>
      <c r="F67" s="534" t="str">
        <f>F2</f>
        <v>CABINET GORGE</v>
      </c>
      <c r="G67" s="531"/>
    </row>
    <row r="68" spans="1:7" ht="12">
      <c r="A68" s="509" t="s">
        <v>219</v>
      </c>
      <c r="B68" s="509"/>
      <c r="C68" s="509"/>
      <c r="D68" s="531"/>
      <c r="E68" s="532"/>
      <c r="F68" s="534" t="str">
        <f>F3</f>
        <v>PROJECT PRO FORMA</v>
      </c>
      <c r="G68" s="531"/>
    </row>
    <row r="69" spans="2:7" ht="12">
      <c r="B69" s="531"/>
      <c r="C69" s="531"/>
      <c r="D69" s="531"/>
      <c r="E69" s="535"/>
      <c r="F69" s="536" t="str">
        <f>F4</f>
        <v>ELECTRIC</v>
      </c>
      <c r="G69" s="531"/>
    </row>
    <row r="70" spans="2:7" ht="12">
      <c r="B70" s="531"/>
      <c r="C70" s="531"/>
      <c r="D70" s="531"/>
      <c r="E70" s="532"/>
      <c r="F70" s="534"/>
      <c r="G70" s="538"/>
    </row>
    <row r="71" spans="2:7" ht="12">
      <c r="B71" s="539" t="s">
        <v>128</v>
      </c>
      <c r="C71" s="540"/>
      <c r="D71" s="531"/>
      <c r="E71" s="532"/>
      <c r="F71" s="536" t="s">
        <v>123</v>
      </c>
      <c r="G71" s="531"/>
    </row>
    <row r="72" spans="2:7" ht="12">
      <c r="B72" s="517" t="s">
        <v>80</v>
      </c>
      <c r="C72" s="531"/>
      <c r="D72" s="531"/>
      <c r="E72" s="531"/>
      <c r="F72" s="533"/>
      <c r="G72" s="531"/>
    </row>
    <row r="73" spans="2:7" ht="12">
      <c r="B73" s="519" t="s">
        <v>81</v>
      </c>
      <c r="C73" s="531"/>
      <c r="D73" s="531"/>
      <c r="E73" s="531"/>
      <c r="F73" s="541">
        <f>G8</f>
        <v>0</v>
      </c>
      <c r="G73" s="531"/>
    </row>
    <row r="74" spans="2:7" ht="12">
      <c r="B74" s="517" t="s">
        <v>82</v>
      </c>
      <c r="C74" s="531"/>
      <c r="D74" s="531"/>
      <c r="E74" s="531"/>
      <c r="F74" s="524">
        <f>G9</f>
        <v>0</v>
      </c>
      <c r="G74" s="531"/>
    </row>
    <row r="75" spans="2:7" ht="12">
      <c r="B75" s="517" t="s">
        <v>142</v>
      </c>
      <c r="C75" s="531"/>
      <c r="D75" s="531"/>
      <c r="E75" s="531"/>
      <c r="F75" s="527">
        <f>G10</f>
        <v>0</v>
      </c>
      <c r="G75" s="531"/>
    </row>
    <row r="76" spans="2:7" ht="12">
      <c r="B76" s="517" t="s">
        <v>143</v>
      </c>
      <c r="C76" s="531"/>
      <c r="D76" s="531"/>
      <c r="E76" s="531"/>
      <c r="F76" s="524">
        <f>SUM(F73:F75)</f>
        <v>0</v>
      </c>
      <c r="G76" s="531"/>
    </row>
    <row r="77" spans="2:7" ht="12">
      <c r="B77" s="517" t="s">
        <v>85</v>
      </c>
      <c r="C77" s="531"/>
      <c r="D77" s="531"/>
      <c r="E77" s="531"/>
      <c r="F77" s="527">
        <f>G12</f>
        <v>0</v>
      </c>
      <c r="G77" s="531"/>
    </row>
    <row r="78" spans="2:7" ht="12">
      <c r="B78" s="517" t="s">
        <v>144</v>
      </c>
      <c r="C78" s="531"/>
      <c r="D78" s="531"/>
      <c r="E78" s="531"/>
      <c r="F78" s="524">
        <f>F76+F77</f>
        <v>0</v>
      </c>
      <c r="G78" s="531"/>
    </row>
    <row r="79" spans="3:7" ht="12">
      <c r="C79" s="531"/>
      <c r="D79" s="531"/>
      <c r="E79" s="531"/>
      <c r="F79" s="524"/>
      <c r="G79" s="531"/>
    </row>
    <row r="80" spans="2:7" ht="12">
      <c r="B80" s="517" t="s">
        <v>87</v>
      </c>
      <c r="C80" s="531"/>
      <c r="D80" s="531"/>
      <c r="E80" s="531"/>
      <c r="F80" s="524"/>
      <c r="G80" s="531"/>
    </row>
    <row r="81" spans="2:7" ht="12">
      <c r="B81" s="517" t="s">
        <v>88</v>
      </c>
      <c r="C81" s="531"/>
      <c r="D81" s="531"/>
      <c r="E81" s="531"/>
      <c r="F81" s="524"/>
      <c r="G81" s="531"/>
    </row>
    <row r="82" spans="2:7" ht="12">
      <c r="B82" s="517" t="s">
        <v>145</v>
      </c>
      <c r="C82" s="531"/>
      <c r="D82" s="531"/>
      <c r="E82" s="531"/>
      <c r="F82" s="524">
        <f>G17</f>
        <v>0</v>
      </c>
      <c r="G82" s="531"/>
    </row>
    <row r="83" spans="2:7" ht="12">
      <c r="B83" s="517" t="s">
        <v>146</v>
      </c>
      <c r="C83" s="531"/>
      <c r="D83" s="531"/>
      <c r="E83" s="531"/>
      <c r="F83" s="524">
        <f>G18</f>
        <v>0</v>
      </c>
      <c r="G83" s="531"/>
    </row>
    <row r="84" spans="2:7" ht="12">
      <c r="B84" s="517" t="s">
        <v>147</v>
      </c>
      <c r="C84" s="531"/>
      <c r="D84" s="531"/>
      <c r="E84" s="531"/>
      <c r="F84" s="524">
        <f>G19</f>
        <v>0</v>
      </c>
      <c r="G84" s="531"/>
    </row>
    <row r="85" spans="2:7" ht="12">
      <c r="B85" s="517" t="s">
        <v>148</v>
      </c>
      <c r="C85" s="531"/>
      <c r="D85" s="531"/>
      <c r="E85" s="531"/>
      <c r="F85" s="527">
        <f>G20</f>
        <v>0</v>
      </c>
      <c r="G85" s="531"/>
    </row>
    <row r="86" spans="2:7" ht="12">
      <c r="B86" s="517" t="s">
        <v>149</v>
      </c>
      <c r="C86" s="531"/>
      <c r="D86" s="531"/>
      <c r="E86" s="531"/>
      <c r="F86" s="524">
        <f>SUM(F82:F85)</f>
        <v>0</v>
      </c>
      <c r="G86" s="531"/>
    </row>
    <row r="87" spans="3:7" ht="12">
      <c r="C87" s="531"/>
      <c r="D87" s="531"/>
      <c r="E87" s="531"/>
      <c r="F87" s="524"/>
      <c r="G87" s="531"/>
    </row>
    <row r="88" spans="2:7" ht="12">
      <c r="B88" s="517" t="s">
        <v>93</v>
      </c>
      <c r="C88" s="531"/>
      <c r="D88" s="531"/>
      <c r="E88" s="531"/>
      <c r="F88" s="524"/>
      <c r="G88" s="531"/>
    </row>
    <row r="89" spans="2:7" ht="12">
      <c r="B89" s="517" t="s">
        <v>145</v>
      </c>
      <c r="C89" s="531"/>
      <c r="D89" s="531"/>
      <c r="E89" s="531"/>
      <c r="F89" s="524">
        <f>G24</f>
        <v>0</v>
      </c>
      <c r="G89" s="531"/>
    </row>
    <row r="90" spans="2:7" ht="12">
      <c r="B90" s="517" t="s">
        <v>150</v>
      </c>
      <c r="C90" s="531"/>
      <c r="D90" s="531"/>
      <c r="E90" s="531"/>
      <c r="F90" s="524">
        <f>G25</f>
        <v>0</v>
      </c>
      <c r="G90" s="531"/>
    </row>
    <row r="91" spans="1:7" ht="12">
      <c r="A91" s="510"/>
      <c r="B91" s="517" t="s">
        <v>148</v>
      </c>
      <c r="C91" s="531"/>
      <c r="D91" s="531"/>
      <c r="E91" s="531"/>
      <c r="F91" s="524">
        <v>0</v>
      </c>
      <c r="G91" s="531"/>
    </row>
    <row r="92" spans="1:7" ht="12">
      <c r="A92" s="510"/>
      <c r="B92" s="517" t="s">
        <v>151</v>
      </c>
      <c r="C92" s="531"/>
      <c r="D92" s="531"/>
      <c r="E92" s="531"/>
      <c r="F92" s="523">
        <f>SUM(F89:F91)</f>
        <v>0</v>
      </c>
      <c r="G92" s="531"/>
    </row>
    <row r="93" spans="1:7" ht="12">
      <c r="A93" s="510"/>
      <c r="C93" s="531"/>
      <c r="D93" s="531"/>
      <c r="E93" s="531"/>
      <c r="F93" s="524"/>
      <c r="G93" s="531"/>
    </row>
    <row r="94" spans="1:7" ht="12">
      <c r="A94" s="510"/>
      <c r="B94" s="517" t="s">
        <v>96</v>
      </c>
      <c r="C94" s="531"/>
      <c r="D94" s="531"/>
      <c r="E94" s="531"/>
      <c r="F94" s="524">
        <f>G29</f>
        <v>0</v>
      </c>
      <c r="G94" s="531"/>
    </row>
    <row r="95" spans="1:7" ht="12">
      <c r="A95" s="510"/>
      <c r="B95" s="517" t="s">
        <v>97</v>
      </c>
      <c r="C95" s="531"/>
      <c r="D95" s="531"/>
      <c r="E95" s="531"/>
      <c r="F95" s="524">
        <f>G30</f>
        <v>0</v>
      </c>
      <c r="G95" s="531"/>
    </row>
    <row r="96" spans="1:7" ht="12">
      <c r="A96" s="510"/>
      <c r="B96" s="517" t="s">
        <v>152</v>
      </c>
      <c r="C96" s="531"/>
      <c r="D96" s="531"/>
      <c r="E96" s="531"/>
      <c r="F96" s="524">
        <f>G31</f>
        <v>0</v>
      </c>
      <c r="G96" s="531"/>
    </row>
    <row r="97" spans="1:7" ht="12">
      <c r="A97" s="510"/>
      <c r="C97" s="531"/>
      <c r="D97" s="531"/>
      <c r="E97" s="531"/>
      <c r="F97" s="524"/>
      <c r="G97" s="531"/>
    </row>
    <row r="98" spans="1:7" ht="12">
      <c r="A98" s="510"/>
      <c r="B98" s="517" t="s">
        <v>99</v>
      </c>
      <c r="C98" s="531"/>
      <c r="D98" s="531"/>
      <c r="E98" s="531"/>
      <c r="F98" s="524"/>
      <c r="G98" s="531"/>
    </row>
    <row r="99" spans="1:7" ht="12">
      <c r="A99" s="510"/>
      <c r="B99" s="517" t="s">
        <v>145</v>
      </c>
      <c r="C99" s="531"/>
      <c r="D99" s="531"/>
      <c r="E99" s="531"/>
      <c r="F99" s="524">
        <f>G34</f>
        <v>0</v>
      </c>
      <c r="G99" s="531"/>
    </row>
    <row r="100" spans="1:7" ht="12">
      <c r="A100" s="510"/>
      <c r="B100" s="517" t="s">
        <v>150</v>
      </c>
      <c r="C100" s="531"/>
      <c r="D100" s="531"/>
      <c r="E100" s="531"/>
      <c r="F100" s="524">
        <f>G35</f>
        <v>0</v>
      </c>
      <c r="G100" s="531"/>
    </row>
    <row r="101" spans="1:7" ht="12">
      <c r="A101" s="510"/>
      <c r="B101" s="517" t="s">
        <v>148</v>
      </c>
      <c r="C101" s="531"/>
      <c r="D101" s="531"/>
      <c r="E101" s="531"/>
      <c r="F101" s="527">
        <f>G36</f>
        <v>0</v>
      </c>
      <c r="G101" s="531"/>
    </row>
    <row r="102" spans="1:7" ht="12">
      <c r="A102" s="510"/>
      <c r="B102" s="517" t="s">
        <v>153</v>
      </c>
      <c r="C102" s="531"/>
      <c r="D102" s="531"/>
      <c r="E102" s="531"/>
      <c r="F102" s="524">
        <f>F99+F100+F101</f>
        <v>0</v>
      </c>
      <c r="G102" s="531"/>
    </row>
    <row r="103" spans="1:7" ht="12">
      <c r="A103" s="510"/>
      <c r="B103" s="531"/>
      <c r="C103" s="531"/>
      <c r="D103" s="531"/>
      <c r="E103" s="531"/>
      <c r="F103" s="524"/>
      <c r="G103" s="531"/>
    </row>
    <row r="104" spans="1:7" ht="12">
      <c r="A104" s="510"/>
      <c r="B104" s="531" t="s">
        <v>101</v>
      </c>
      <c r="C104" s="531"/>
      <c r="D104" s="531"/>
      <c r="E104" s="531"/>
      <c r="F104" s="526">
        <f>F86+F92+F94+F95+F96+F102</f>
        <v>0</v>
      </c>
      <c r="G104" s="531"/>
    </row>
    <row r="105" spans="1:7" ht="12">
      <c r="A105" s="510"/>
      <c r="B105" s="531"/>
      <c r="C105" s="531"/>
      <c r="D105" s="531"/>
      <c r="E105" s="531"/>
      <c r="F105" s="524"/>
      <c r="G105" s="531"/>
    </row>
    <row r="106" spans="1:7" ht="12">
      <c r="A106" s="510"/>
      <c r="B106" s="531" t="s">
        <v>220</v>
      </c>
      <c r="C106" s="531"/>
      <c r="D106" s="531"/>
      <c r="E106" s="531"/>
      <c r="F106" s="527">
        <f>F78-F104</f>
        <v>0</v>
      </c>
      <c r="G106" s="531"/>
    </row>
    <row r="107" spans="1:7" ht="12">
      <c r="A107" s="510"/>
      <c r="B107" s="531"/>
      <c r="C107" s="531"/>
      <c r="D107" s="531"/>
      <c r="E107" s="531"/>
      <c r="F107" s="524"/>
      <c r="G107" s="531"/>
    </row>
    <row r="108" spans="1:7" ht="12">
      <c r="A108" s="510"/>
      <c r="B108" s="531" t="s">
        <v>221</v>
      </c>
      <c r="C108" s="531"/>
      <c r="D108" s="531"/>
      <c r="E108" s="532"/>
      <c r="F108" s="524"/>
      <c r="G108" s="531"/>
    </row>
    <row r="109" spans="1:7" ht="12.75" thickBot="1">
      <c r="A109" s="510"/>
      <c r="B109" s="543" t="s">
        <v>222</v>
      </c>
      <c r="C109" s="544">
        <f>Inputs!$D$4</f>
        <v>0.01065</v>
      </c>
      <c r="D109" s="531"/>
      <c r="E109" s="532"/>
      <c r="F109" s="530">
        <f>ROUND(F106*C109,0)</f>
        <v>0</v>
      </c>
      <c r="G109" s="531"/>
    </row>
    <row r="110" spans="1:7" ht="12.75" thickTop="1">
      <c r="A110" s="510"/>
      <c r="B110" s="531"/>
      <c r="C110" s="531"/>
      <c r="D110" s="531"/>
      <c r="E110" s="532"/>
      <c r="F110" s="531"/>
      <c r="G110" s="533"/>
    </row>
  </sheetData>
  <printOptions/>
  <pageMargins left="0.75" right="0.75" top="0.5" bottom="0.5" header="0.5" footer="0.5"/>
  <pageSetup horizontalDpi="600" verticalDpi="600" orientation="portrait" scale="90" r:id="rId1"/>
  <rowBreaks count="1" manualBreakCount="1">
    <brk id="64" max="25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34">
      <selection activeCell="G62" sqref="G62"/>
    </sheetView>
  </sheetViews>
  <sheetFormatPr defaultColWidth="9.140625" defaultRowHeight="12.75"/>
  <cols>
    <col min="1" max="1" width="5.57421875" style="44" customWidth="1"/>
    <col min="2" max="2" width="26.140625" style="41" customWidth="1"/>
    <col min="3" max="3" width="12.421875" style="41" customWidth="1"/>
    <col min="4" max="4" width="6.7109375" style="41" customWidth="1"/>
    <col min="5" max="8" width="12.421875" style="41" customWidth="1"/>
  </cols>
  <sheetData>
    <row r="1" spans="1:3" ht="12.75">
      <c r="A1" s="39" t="str">
        <f>Inputs!$D$6</f>
        <v>AVISTA UTILITIES</v>
      </c>
      <c r="B1" s="40"/>
      <c r="C1" s="39"/>
    </row>
    <row r="2" spans="1:7" ht="12.75">
      <c r="A2" s="39" t="s">
        <v>134</v>
      </c>
      <c r="B2" s="40"/>
      <c r="C2" s="39"/>
      <c r="E2" s="39"/>
      <c r="F2" s="44"/>
      <c r="G2" s="39"/>
    </row>
    <row r="3" spans="1:7" ht="12.75">
      <c r="A3" s="40" t="str">
        <f>WAElec12_04!$A$4</f>
        <v>TWELVE MONTHS ENDED DECEMBER 31, 2004</v>
      </c>
      <c r="B3" s="40"/>
      <c r="C3" s="39"/>
      <c r="E3" s="39"/>
      <c r="F3" s="44" t="s">
        <v>485</v>
      </c>
      <c r="G3" s="39"/>
    </row>
    <row r="4" spans="1:7" ht="12.75">
      <c r="A4" s="39" t="s">
        <v>1</v>
      </c>
      <c r="B4" s="40"/>
      <c r="C4" s="39"/>
      <c r="E4" s="42"/>
      <c r="F4" s="718" t="s">
        <v>137</v>
      </c>
      <c r="G4" s="43"/>
    </row>
    <row r="5" ht="12.75">
      <c r="A5" s="44" t="s">
        <v>13</v>
      </c>
    </row>
    <row r="6" spans="1:8" ht="12.75">
      <c r="A6" s="44" t="s">
        <v>138</v>
      </c>
      <c r="B6" s="45" t="s">
        <v>34</v>
      </c>
      <c r="C6" s="45"/>
      <c r="D6" s="44"/>
      <c r="E6" s="45" t="s">
        <v>139</v>
      </c>
      <c r="F6" s="45" t="s">
        <v>140</v>
      </c>
      <c r="G6" s="45" t="s">
        <v>123</v>
      </c>
      <c r="H6" s="46" t="s">
        <v>141</v>
      </c>
    </row>
    <row r="7" ht="12.75">
      <c r="B7" s="47" t="s">
        <v>80</v>
      </c>
    </row>
    <row r="8" spans="1:8" ht="12.75">
      <c r="A8" s="48">
        <v>1</v>
      </c>
      <c r="B8" s="49" t="s">
        <v>81</v>
      </c>
      <c r="C8" s="50"/>
      <c r="D8" s="50"/>
      <c r="E8" s="51">
        <f>F8+G8</f>
        <v>0</v>
      </c>
      <c r="F8" s="51">
        <v>0</v>
      </c>
      <c r="G8" s="51">
        <v>0</v>
      </c>
      <c r="H8" s="50" t="str">
        <f aca="true" t="shared" si="0" ref="H8:H13">IF(E8=F8+G8," ","ERROR")</f>
        <v> </v>
      </c>
    </row>
    <row r="9" spans="1:8" ht="12.75">
      <c r="A9" s="44">
        <v>2</v>
      </c>
      <c r="B9" s="47" t="s">
        <v>82</v>
      </c>
      <c r="E9" s="52"/>
      <c r="F9" s="52"/>
      <c r="G9" s="52"/>
      <c r="H9" s="50" t="str">
        <f t="shared" si="0"/>
        <v> </v>
      </c>
    </row>
    <row r="10" spans="1:8" ht="12.75">
      <c r="A10" s="44">
        <v>3</v>
      </c>
      <c r="B10" s="47" t="s">
        <v>142</v>
      </c>
      <c r="E10" s="52"/>
      <c r="F10" s="52"/>
      <c r="G10" s="52"/>
      <c r="H10" s="50" t="str">
        <f t="shared" si="0"/>
        <v> </v>
      </c>
    </row>
    <row r="11" spans="1:8" ht="12.75">
      <c r="A11" s="44">
        <v>4</v>
      </c>
      <c r="B11" s="47" t="s">
        <v>143</v>
      </c>
      <c r="E11" s="53">
        <f>E8+E9+E10</f>
        <v>0</v>
      </c>
      <c r="F11" s="53">
        <f>F8+F9+F10</f>
        <v>0</v>
      </c>
      <c r="G11" s="53">
        <f>G8+G9+G10</f>
        <v>0</v>
      </c>
      <c r="H11" s="50" t="str">
        <f t="shared" si="0"/>
        <v> </v>
      </c>
    </row>
    <row r="12" spans="1:8" ht="12.75">
      <c r="A12" s="44">
        <v>5</v>
      </c>
      <c r="B12" s="47" t="s">
        <v>85</v>
      </c>
      <c r="E12" s="52"/>
      <c r="F12" s="52"/>
      <c r="G12" s="52"/>
      <c r="H12" s="50" t="str">
        <f t="shared" si="0"/>
        <v> </v>
      </c>
    </row>
    <row r="13" spans="1:8" ht="12.75">
      <c r="A13" s="44">
        <v>6</v>
      </c>
      <c r="B13" s="47" t="s">
        <v>144</v>
      </c>
      <c r="E13" s="53">
        <f>E11+E12</f>
        <v>0</v>
      </c>
      <c r="F13" s="53">
        <f>F11+F12</f>
        <v>0</v>
      </c>
      <c r="G13" s="53">
        <f>G11+G12</f>
        <v>0</v>
      </c>
      <c r="H13" s="50" t="str">
        <f t="shared" si="0"/>
        <v> </v>
      </c>
    </row>
    <row r="14" spans="5:8" ht="12.75">
      <c r="E14" s="55"/>
      <c r="F14" s="55"/>
      <c r="G14" s="55"/>
      <c r="H14" s="50"/>
    </row>
    <row r="15" spans="2:8" ht="12.75">
      <c r="B15" s="47" t="s">
        <v>87</v>
      </c>
      <c r="E15" s="55"/>
      <c r="F15" s="55"/>
      <c r="G15" s="55"/>
      <c r="H15" s="50"/>
    </row>
    <row r="16" spans="2:8" ht="12.75">
      <c r="B16" s="47" t="s">
        <v>88</v>
      </c>
      <c r="E16" s="55"/>
      <c r="F16" s="55"/>
      <c r="G16" s="55"/>
      <c r="H16" s="50"/>
    </row>
    <row r="17" spans="1:8" ht="12.75">
      <c r="A17" s="44">
        <v>7</v>
      </c>
      <c r="B17" s="47" t="s">
        <v>145</v>
      </c>
      <c r="E17" s="52">
        <f>F17+G17</f>
        <v>-42</v>
      </c>
      <c r="F17" s="52">
        <v>-27</v>
      </c>
      <c r="G17" s="52">
        <v>-15</v>
      </c>
      <c r="H17" s="50" t="str">
        <f>IF(E17=F17+G17," ","ERROR")</f>
        <v> </v>
      </c>
    </row>
    <row r="18" spans="1:8" ht="12.75">
      <c r="A18" s="44">
        <v>8</v>
      </c>
      <c r="B18" s="47" t="s">
        <v>146</v>
      </c>
      <c r="E18" s="52"/>
      <c r="F18" s="52"/>
      <c r="G18" s="52"/>
      <c r="H18" s="50" t="str">
        <f>IF(E18=F18+G18," ","ERROR")</f>
        <v> </v>
      </c>
    </row>
    <row r="19" spans="1:8" ht="12.75">
      <c r="A19" s="44">
        <v>9</v>
      </c>
      <c r="B19" s="47" t="s">
        <v>147</v>
      </c>
      <c r="E19" s="52">
        <f>F19+G19</f>
        <v>-23</v>
      </c>
      <c r="F19" s="52">
        <v>-15</v>
      </c>
      <c r="G19" s="52">
        <v>-8</v>
      </c>
      <c r="H19" s="50" t="str">
        <f>IF(E19=F19+G19," ","ERROR")</f>
        <v> </v>
      </c>
    </row>
    <row r="20" spans="1:8" ht="12.75">
      <c r="A20" s="44">
        <v>10</v>
      </c>
      <c r="B20" s="47" t="s">
        <v>148</v>
      </c>
      <c r="E20" s="52">
        <f>F20+G20</f>
        <v>-11</v>
      </c>
      <c r="F20" s="52">
        <v>-7</v>
      </c>
      <c r="G20" s="52">
        <v>-4</v>
      </c>
      <c r="H20" s="50" t="str">
        <f>IF(E20=F20+G20," ","ERROR")</f>
        <v> </v>
      </c>
    </row>
    <row r="21" spans="1:8" ht="12.75">
      <c r="A21" s="44">
        <v>11</v>
      </c>
      <c r="B21" s="47" t="s">
        <v>149</v>
      </c>
      <c r="E21" s="53">
        <f>E17+E18+E19+E20</f>
        <v>-76</v>
      </c>
      <c r="F21" s="53">
        <f>F17+F18+F19+F20</f>
        <v>-49</v>
      </c>
      <c r="G21" s="53">
        <f>G17+G18+G19+G20</f>
        <v>-27</v>
      </c>
      <c r="H21" s="50" t="str">
        <f>IF(E21=F21+G21," ","ERROR")</f>
        <v> </v>
      </c>
    </row>
    <row r="22" spans="5:8" ht="12.75">
      <c r="E22" s="55"/>
      <c r="F22" s="55"/>
      <c r="G22" s="55"/>
      <c r="H22" s="50"/>
    </row>
    <row r="23" spans="2:8" ht="12.75">
      <c r="B23" s="47" t="s">
        <v>93</v>
      </c>
      <c r="E23" s="55"/>
      <c r="F23" s="55"/>
      <c r="G23" s="55"/>
      <c r="H23" s="50"/>
    </row>
    <row r="24" spans="1:8" ht="12.75">
      <c r="A24" s="44">
        <v>12</v>
      </c>
      <c r="B24" s="47" t="s">
        <v>145</v>
      </c>
      <c r="E24" s="52"/>
      <c r="F24" s="52"/>
      <c r="G24" s="52"/>
      <c r="H24" s="50" t="str">
        <f>IF(E24=F24+G24," ","ERROR")</f>
        <v> </v>
      </c>
    </row>
    <row r="25" spans="1:8" ht="12.75">
      <c r="A25" s="44">
        <v>13</v>
      </c>
      <c r="B25" s="47" t="s">
        <v>150</v>
      </c>
      <c r="E25" s="52"/>
      <c r="F25" s="52"/>
      <c r="G25" s="52"/>
      <c r="H25" s="50" t="str">
        <f>IF(E25=F25+G25," ","ERROR")</f>
        <v> </v>
      </c>
    </row>
    <row r="26" spans="1:8" ht="12.75">
      <c r="A26" s="44">
        <v>14</v>
      </c>
      <c r="B26" s="47" t="s">
        <v>148</v>
      </c>
      <c r="E26" s="52">
        <f>F26+G26</f>
        <v>0</v>
      </c>
      <c r="F26" s="52">
        <v>0</v>
      </c>
      <c r="G26" s="52">
        <v>0</v>
      </c>
      <c r="H26" s="50" t="str">
        <f>IF(E26=F26+G26," ","ERROR")</f>
        <v> </v>
      </c>
    </row>
    <row r="27" spans="1:8" ht="12.75">
      <c r="A27" s="44">
        <v>15</v>
      </c>
      <c r="B27" s="47" t="s">
        <v>151</v>
      </c>
      <c r="E27" s="53">
        <f>E24+E25+E26</f>
        <v>0</v>
      </c>
      <c r="F27" s="53">
        <f>F24+F25+F26</f>
        <v>0</v>
      </c>
      <c r="G27" s="53">
        <f>G24+G25+G26</f>
        <v>0</v>
      </c>
      <c r="H27" s="50" t="str">
        <f>IF(E27=F27+G27," ","ERROR")</f>
        <v> </v>
      </c>
    </row>
    <row r="28" spans="5:8" ht="12.75">
      <c r="E28" s="55"/>
      <c r="F28" s="55"/>
      <c r="G28" s="55"/>
      <c r="H28" s="50"/>
    </row>
    <row r="29" spans="1:8" ht="12.75">
      <c r="A29" s="44">
        <v>16</v>
      </c>
      <c r="B29" s="47" t="s">
        <v>96</v>
      </c>
      <c r="E29" s="52">
        <f>SUM(F29:G29)</f>
        <v>0</v>
      </c>
      <c r="F29" s="52">
        <v>0</v>
      </c>
      <c r="G29" s="52">
        <v>0</v>
      </c>
      <c r="H29" s="50" t="str">
        <f>IF(E29=F29+G29," ","ERROR")</f>
        <v> </v>
      </c>
    </row>
    <row r="30" spans="1:8" ht="12.75">
      <c r="A30" s="44">
        <v>17</v>
      </c>
      <c r="B30" s="47" t="s">
        <v>97</v>
      </c>
      <c r="E30" s="52"/>
      <c r="F30" s="52"/>
      <c r="G30" s="52"/>
      <c r="H30" s="50" t="str">
        <f>IF(E30=F30+G30," ","ERROR")</f>
        <v> </v>
      </c>
    </row>
    <row r="31" spans="1:8" ht="12.75">
      <c r="A31" s="44">
        <v>18</v>
      </c>
      <c r="B31" s="47" t="s">
        <v>152</v>
      </c>
      <c r="E31" s="52"/>
      <c r="F31" s="52"/>
      <c r="G31" s="52"/>
      <c r="H31" s="50" t="str">
        <f>IF(E31=F31+G31," ","ERROR")</f>
        <v> </v>
      </c>
    </row>
    <row r="32" spans="5:8" ht="12.75">
      <c r="E32" s="55"/>
      <c r="F32" s="55"/>
      <c r="G32" s="55"/>
      <c r="H32" s="50"/>
    </row>
    <row r="33" spans="2:8" ht="12.75">
      <c r="B33" s="47" t="s">
        <v>99</v>
      </c>
      <c r="E33" s="55"/>
      <c r="F33" s="55"/>
      <c r="G33" s="55"/>
      <c r="H33" s="50"/>
    </row>
    <row r="34" spans="1:8" ht="12.75">
      <c r="A34" s="44">
        <v>19</v>
      </c>
      <c r="B34" s="47" t="s">
        <v>145</v>
      </c>
      <c r="E34" s="52">
        <f>SUM(F34:G34)</f>
        <v>0</v>
      </c>
      <c r="F34" s="52">
        <v>0</v>
      </c>
      <c r="G34" s="52">
        <v>0</v>
      </c>
      <c r="H34" s="50" t="str">
        <f>IF(E34=F34+G34," ","ERROR")</f>
        <v> </v>
      </c>
    </row>
    <row r="35" spans="1:8" ht="12.75">
      <c r="A35" s="44">
        <v>20</v>
      </c>
      <c r="B35" s="47" t="s">
        <v>150</v>
      </c>
      <c r="E35" s="52"/>
      <c r="F35" s="52"/>
      <c r="G35" s="52"/>
      <c r="H35" s="50" t="str">
        <f>IF(E35=F35+G35," ","ERROR")</f>
        <v> </v>
      </c>
    </row>
    <row r="36" spans="1:8" ht="12.75">
      <c r="A36" s="44">
        <v>21</v>
      </c>
      <c r="B36" s="47" t="s">
        <v>148</v>
      </c>
      <c r="E36" s="52"/>
      <c r="F36" s="52"/>
      <c r="G36" s="52"/>
      <c r="H36" s="50" t="str">
        <f>IF(E36=F36+G36," ","ERROR")</f>
        <v> </v>
      </c>
    </row>
    <row r="37" spans="1:8" ht="12.75">
      <c r="A37" s="44">
        <v>22</v>
      </c>
      <c r="B37" s="47" t="s">
        <v>153</v>
      </c>
      <c r="E37" s="57">
        <f>E34+E35+E36</f>
        <v>0</v>
      </c>
      <c r="F37" s="57">
        <f>F34+F35+F36</f>
        <v>0</v>
      </c>
      <c r="G37" s="57">
        <f>G34+G35+G36</f>
        <v>0</v>
      </c>
      <c r="H37" s="50" t="str">
        <f>IF(E37=F37+G37," ","ERROR")</f>
        <v> </v>
      </c>
    </row>
    <row r="38" spans="1:8" ht="12.75">
      <c r="A38" s="44">
        <v>23</v>
      </c>
      <c r="B38" s="47" t="s">
        <v>101</v>
      </c>
      <c r="E38" s="58">
        <f>E21+E27+E29+E30+E31+E37</f>
        <v>-76</v>
      </c>
      <c r="F38" s="58">
        <f>F21+F27+F29+F30+F31+F37</f>
        <v>-49</v>
      </c>
      <c r="G38" s="58">
        <f>G21+G27+G29+G30+G31+G37</f>
        <v>-27</v>
      </c>
      <c r="H38" s="50" t="str">
        <f>IF(E38=F38+G38," ","ERROR")</f>
        <v> </v>
      </c>
    </row>
    <row r="39" spans="5:8" ht="12.75">
      <c r="E39" s="55"/>
      <c r="F39" s="55"/>
      <c r="G39" s="55"/>
      <c r="H39" s="50"/>
    </row>
    <row r="40" spans="1:8" ht="12.75">
      <c r="A40" s="44">
        <v>24</v>
      </c>
      <c r="B40" s="47" t="s">
        <v>154</v>
      </c>
      <c r="E40" s="55">
        <f>E13-E38</f>
        <v>76</v>
      </c>
      <c r="F40" s="55">
        <f>F13-F38</f>
        <v>49</v>
      </c>
      <c r="G40" s="55">
        <f>G13-G38</f>
        <v>27</v>
      </c>
      <c r="H40" s="50" t="str">
        <f>IF(E40=F40+G40," ","ERROR")</f>
        <v> </v>
      </c>
    </row>
    <row r="41" spans="2:8" ht="12.75">
      <c r="B41" s="47"/>
      <c r="E41" s="55"/>
      <c r="F41" s="55"/>
      <c r="G41" s="55"/>
      <c r="H41" s="50"/>
    </row>
    <row r="42" spans="2:8" ht="12.75">
      <c r="B42" s="47" t="s">
        <v>155</v>
      </c>
      <c r="E42" s="55"/>
      <c r="F42" s="55"/>
      <c r="G42" s="55"/>
      <c r="H42" s="50"/>
    </row>
    <row r="43" spans="1:8" ht="12.75">
      <c r="A43" s="44">
        <v>25</v>
      </c>
      <c r="B43" s="47" t="s">
        <v>156</v>
      </c>
      <c r="D43" s="59">
        <v>0.35</v>
      </c>
      <c r="E43" s="52">
        <f>F43+G43</f>
        <v>26</v>
      </c>
      <c r="F43" s="52">
        <f>ROUND(F40*D43,0)</f>
        <v>17</v>
      </c>
      <c r="G43" s="52">
        <f>ROUND(G40*D43,0)</f>
        <v>9</v>
      </c>
      <c r="H43" s="50" t="str">
        <f>IF(E43=F43+G43," ","ERROR")</f>
        <v> </v>
      </c>
    </row>
    <row r="44" spans="1:8" ht="12.75">
      <c r="A44" s="44">
        <v>26</v>
      </c>
      <c r="B44" s="47" t="s">
        <v>157</v>
      </c>
      <c r="E44" s="52"/>
      <c r="F44" s="52"/>
      <c r="G44" s="52"/>
      <c r="H44" s="50" t="str">
        <f>IF(E44=F44+G44," ","ERROR")</f>
        <v> </v>
      </c>
    </row>
    <row r="45" spans="1:8" ht="12.75">
      <c r="A45"/>
      <c r="B45"/>
      <c r="C45"/>
      <c r="D45"/>
      <c r="E45" s="943"/>
      <c r="F45" s="943"/>
      <c r="G45" s="943"/>
      <c r="H45" s="50" t="str">
        <f>IF(E45=F45+G45," ","ERROR")</f>
        <v> </v>
      </c>
    </row>
    <row r="46" spans="1:8" ht="12.75">
      <c r="A46" s="278"/>
      <c r="B46" s="281"/>
      <c r="C46" s="275"/>
      <c r="D46" s="275"/>
      <c r="E46" s="288"/>
      <c r="F46" s="288"/>
      <c r="G46" s="288"/>
      <c r="H46" s="50"/>
    </row>
    <row r="47" spans="1:8" ht="12.75">
      <c r="A47" s="282">
        <v>27</v>
      </c>
      <c r="B47" s="283" t="s">
        <v>108</v>
      </c>
      <c r="C47" s="284"/>
      <c r="D47" s="284"/>
      <c r="E47" s="292">
        <f>E40-SUM(E43:E44)</f>
        <v>50</v>
      </c>
      <c r="F47" s="292">
        <f>F40-SUM(F43:F44)</f>
        <v>32</v>
      </c>
      <c r="G47" s="292">
        <f>G40-SUM(G43:G44)</f>
        <v>18</v>
      </c>
      <c r="H47" s="50" t="str">
        <f>IF(E47=F47+G47," ","ERROR")</f>
        <v> </v>
      </c>
    </row>
    <row r="48" spans="1:8" ht="12.75">
      <c r="A48" s="278"/>
      <c r="H48" s="50"/>
    </row>
    <row r="49" spans="1:8" ht="12.75">
      <c r="A49" s="278"/>
      <c r="B49" s="47" t="s">
        <v>109</v>
      </c>
      <c r="H49" s="50"/>
    </row>
    <row r="50" spans="1:8" ht="12.75">
      <c r="A50" s="278"/>
      <c r="B50" s="47" t="s">
        <v>110</v>
      </c>
      <c r="H50" s="50"/>
    </row>
    <row r="51" spans="1:8" ht="12.75">
      <c r="A51" s="282">
        <v>28</v>
      </c>
      <c r="B51" s="49" t="s">
        <v>159</v>
      </c>
      <c r="C51" s="50"/>
      <c r="D51" s="50"/>
      <c r="E51" s="51"/>
      <c r="F51" s="51"/>
      <c r="G51" s="51"/>
      <c r="H51" s="50" t="str">
        <f aca="true" t="shared" si="1" ref="H51:H61">IF(E51=F51+G51," ","ERROR")</f>
        <v> </v>
      </c>
    </row>
    <row r="52" spans="1:8" ht="12.75">
      <c r="A52" s="278">
        <v>29</v>
      </c>
      <c r="B52" s="47" t="s">
        <v>160</v>
      </c>
      <c r="E52" s="52">
        <f>F52+G52</f>
        <v>-458</v>
      </c>
      <c r="F52" s="52">
        <v>-298</v>
      </c>
      <c r="G52" s="52">
        <v>-160</v>
      </c>
      <c r="H52" s="50" t="str">
        <f t="shared" si="1"/>
        <v> </v>
      </c>
    </row>
    <row r="53" spans="1:8" ht="12.75">
      <c r="A53" s="278">
        <v>30</v>
      </c>
      <c r="B53" s="47" t="s">
        <v>161</v>
      </c>
      <c r="E53" s="52"/>
      <c r="F53" s="52"/>
      <c r="G53" s="52"/>
      <c r="H53" s="50" t="str">
        <f t="shared" si="1"/>
        <v> </v>
      </c>
    </row>
    <row r="54" spans="1:8" ht="12.75">
      <c r="A54" s="278">
        <v>31</v>
      </c>
      <c r="B54" s="47" t="s">
        <v>162</v>
      </c>
      <c r="E54" s="52"/>
      <c r="F54" s="52"/>
      <c r="G54" s="52"/>
      <c r="H54" s="50" t="str">
        <f t="shared" si="1"/>
        <v> </v>
      </c>
    </row>
    <row r="55" spans="1:8" ht="12.75">
      <c r="A55" s="278">
        <v>32</v>
      </c>
      <c r="B55" s="47" t="s">
        <v>163</v>
      </c>
      <c r="E55" s="56"/>
      <c r="F55" s="56"/>
      <c r="G55" s="56"/>
      <c r="H55" s="50" t="str">
        <f t="shared" si="1"/>
        <v> </v>
      </c>
    </row>
    <row r="56" spans="1:8" ht="12.75">
      <c r="A56" s="278">
        <v>33</v>
      </c>
      <c r="B56" s="47" t="s">
        <v>164</v>
      </c>
      <c r="E56" s="55">
        <f>E51+E52+E53+E54+E55</f>
        <v>-458</v>
      </c>
      <c r="F56" s="55">
        <f>F51+F52+F53+F54+F55</f>
        <v>-298</v>
      </c>
      <c r="G56" s="55">
        <f>G51+G52+G53+G54+G55</f>
        <v>-160</v>
      </c>
      <c r="H56" s="50" t="str">
        <f t="shared" si="1"/>
        <v> </v>
      </c>
    </row>
    <row r="57" spans="1:8" ht="12.75">
      <c r="A57" s="278">
        <v>34</v>
      </c>
      <c r="B57" s="47" t="s">
        <v>116</v>
      </c>
      <c r="E57" s="52">
        <f>F57+G57</f>
        <v>-207</v>
      </c>
      <c r="F57" s="52">
        <v>-135</v>
      </c>
      <c r="G57" s="52">
        <v>-72</v>
      </c>
      <c r="H57" s="50" t="str">
        <f t="shared" si="1"/>
        <v> </v>
      </c>
    </row>
    <row r="58" spans="1:8" ht="12.75">
      <c r="A58" s="278">
        <v>35</v>
      </c>
      <c r="B58" s="47" t="s">
        <v>117</v>
      </c>
      <c r="E58" s="56"/>
      <c r="F58" s="56"/>
      <c r="G58" s="56"/>
      <c r="H58" s="50" t="str">
        <f t="shared" si="1"/>
        <v> </v>
      </c>
    </row>
    <row r="59" spans="1:8" ht="12.75">
      <c r="A59" s="278">
        <v>36</v>
      </c>
      <c r="B59" s="47" t="s">
        <v>165</v>
      </c>
      <c r="E59" s="55">
        <f>E57+E58</f>
        <v>-207</v>
      </c>
      <c r="F59" s="55">
        <f>F57+F58</f>
        <v>-135</v>
      </c>
      <c r="G59" s="55">
        <f>G57+G58</f>
        <v>-72</v>
      </c>
      <c r="H59" s="50" t="str">
        <f t="shared" si="1"/>
        <v> </v>
      </c>
    </row>
    <row r="60" spans="1:8" ht="12.75">
      <c r="A60" s="278">
        <v>37</v>
      </c>
      <c r="B60" s="47" t="s">
        <v>119</v>
      </c>
      <c r="E60" s="52"/>
      <c r="F60" s="52"/>
      <c r="G60" s="52"/>
      <c r="H60" s="50" t="str">
        <f t="shared" si="1"/>
        <v> </v>
      </c>
    </row>
    <row r="61" spans="1:8" ht="12.75">
      <c r="A61" s="278">
        <v>38</v>
      </c>
      <c r="B61" s="47" t="s">
        <v>120</v>
      </c>
      <c r="E61" s="56">
        <f>F61+G61</f>
        <v>0</v>
      </c>
      <c r="F61" s="56">
        <v>0</v>
      </c>
      <c r="G61" s="56">
        <v>0</v>
      </c>
      <c r="H61" s="50" t="str">
        <f t="shared" si="1"/>
        <v> </v>
      </c>
    </row>
    <row r="62" spans="1:8" ht="11.25" customHeight="1">
      <c r="A62" s="278"/>
      <c r="H62" s="50"/>
    </row>
    <row r="63" spans="1:8" ht="13.5" thickBot="1">
      <c r="A63" s="282">
        <v>39</v>
      </c>
      <c r="B63" s="49" t="s">
        <v>121</v>
      </c>
      <c r="C63" s="50"/>
      <c r="D63" s="50"/>
      <c r="E63" s="60">
        <f>E56-E59+E60+E61</f>
        <v>-251</v>
      </c>
      <c r="F63" s="60">
        <f>F56-F59+F60+F61</f>
        <v>-163</v>
      </c>
      <c r="G63" s="60">
        <f>G56-G59+G60+G61</f>
        <v>-88</v>
      </c>
      <c r="H63" s="50" t="str">
        <f>IF(E63=F63+G63," ","ERROR")</f>
        <v> </v>
      </c>
    </row>
    <row r="64" spans="1:8" ht="13.5" thickTop="1">
      <c r="A64" s="41"/>
      <c r="B64" s="66"/>
      <c r="C64" s="66"/>
      <c r="D64" s="66"/>
      <c r="E64" s="719"/>
      <c r="F64" s="720"/>
      <c r="G64" s="66"/>
      <c r="H64" s="66"/>
    </row>
  </sheetData>
  <printOptions/>
  <pageMargins left="0.75" right="0.75" top="0.5" bottom="0.5" header="0.5" footer="0.5"/>
  <pageSetup horizontalDpi="600" verticalDpi="600" orientation="portrait" scale="9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41">
      <selection activeCell="F44" sqref="F44"/>
    </sheetView>
  </sheetViews>
  <sheetFormatPr defaultColWidth="9.140625" defaultRowHeight="12.75"/>
  <cols>
    <col min="1" max="1" width="5.57421875" style="44" customWidth="1"/>
    <col min="2" max="2" width="26.140625" style="41" customWidth="1"/>
    <col min="3" max="3" width="12.421875" style="41" customWidth="1"/>
    <col min="4" max="4" width="6.7109375" style="41" customWidth="1"/>
    <col min="5" max="8" width="12.421875" style="41" customWidth="1"/>
  </cols>
  <sheetData>
    <row r="1" spans="1:3" ht="12.75">
      <c r="A1" s="39" t="str">
        <f>Inputs!$D$6</f>
        <v>AVISTA UTILITIES</v>
      </c>
      <c r="B1" s="40"/>
      <c r="C1" s="39"/>
    </row>
    <row r="2" spans="1:7" ht="12.75">
      <c r="A2" s="39" t="s">
        <v>134</v>
      </c>
      <c r="B2" s="40"/>
      <c r="C2" s="39"/>
      <c r="E2" s="39"/>
      <c r="F2" s="44" t="s">
        <v>500</v>
      </c>
      <c r="G2" s="39"/>
    </row>
    <row r="3" spans="1:7" ht="12.75">
      <c r="A3" s="40" t="str">
        <f>WAElec12_04!$A$4</f>
        <v>TWELVE MONTHS ENDED DECEMBER 31, 2004</v>
      </c>
      <c r="B3" s="40"/>
      <c r="C3" s="39"/>
      <c r="E3" s="39"/>
      <c r="F3" s="44" t="s">
        <v>289</v>
      </c>
      <c r="G3" s="39"/>
    </row>
    <row r="4" spans="1:7" ht="12.75">
      <c r="A4" s="39" t="s">
        <v>1</v>
      </c>
      <c r="B4" s="40"/>
      <c r="C4" s="39"/>
      <c r="E4" s="42"/>
      <c r="F4" s="718" t="s">
        <v>137</v>
      </c>
      <c r="G4" s="43"/>
    </row>
    <row r="5" ht="12.75">
      <c r="A5" s="44" t="s">
        <v>13</v>
      </c>
    </row>
    <row r="6" spans="1:8" ht="12.75">
      <c r="A6" s="44" t="s">
        <v>138</v>
      </c>
      <c r="B6" s="45" t="s">
        <v>34</v>
      </c>
      <c r="C6" s="45"/>
      <c r="D6" s="44"/>
      <c r="E6" s="45" t="s">
        <v>139</v>
      </c>
      <c r="F6" s="45" t="s">
        <v>140</v>
      </c>
      <c r="G6" s="45" t="s">
        <v>123</v>
      </c>
      <c r="H6" s="46" t="s">
        <v>141</v>
      </c>
    </row>
    <row r="7" ht="12.75">
      <c r="B7" s="47" t="s">
        <v>80</v>
      </c>
    </row>
    <row r="8" spans="1:8" ht="12.75">
      <c r="A8" s="48">
        <v>1</v>
      </c>
      <c r="B8" s="49" t="s">
        <v>81</v>
      </c>
      <c r="C8" s="50"/>
      <c r="D8" s="50"/>
      <c r="E8" s="51">
        <f>F8+G8</f>
        <v>0</v>
      </c>
      <c r="F8" s="51">
        <v>0</v>
      </c>
      <c r="G8" s="51">
        <v>0</v>
      </c>
      <c r="H8" s="50" t="str">
        <f aca="true" t="shared" si="0" ref="H8:H13">IF(E8=F8+G8," ","ERROR")</f>
        <v> </v>
      </c>
    </row>
    <row r="9" spans="1:8" ht="12.75">
      <c r="A9" s="44">
        <v>2</v>
      </c>
      <c r="B9" s="47" t="s">
        <v>82</v>
      </c>
      <c r="E9" s="52"/>
      <c r="F9" s="52"/>
      <c r="G9" s="52"/>
      <c r="H9" s="50" t="str">
        <f t="shared" si="0"/>
        <v> </v>
      </c>
    </row>
    <row r="10" spans="1:8" ht="12.75">
      <c r="A10" s="44">
        <v>3</v>
      </c>
      <c r="B10" s="47" t="s">
        <v>142</v>
      </c>
      <c r="E10" s="52"/>
      <c r="F10" s="52"/>
      <c r="G10" s="52"/>
      <c r="H10" s="50" t="str">
        <f t="shared" si="0"/>
        <v> </v>
      </c>
    </row>
    <row r="11" spans="1:8" ht="12.75">
      <c r="A11" s="44">
        <v>4</v>
      </c>
      <c r="B11" s="47" t="s">
        <v>143</v>
      </c>
      <c r="E11" s="53">
        <f>E8+E9+E10</f>
        <v>0</v>
      </c>
      <c r="F11" s="53">
        <f>F8+F9+F10</f>
        <v>0</v>
      </c>
      <c r="G11" s="53">
        <f>G8+G9+G10</f>
        <v>0</v>
      </c>
      <c r="H11" s="50" t="str">
        <f t="shared" si="0"/>
        <v> </v>
      </c>
    </row>
    <row r="12" spans="1:8" ht="12.75">
      <c r="A12" s="44">
        <v>5</v>
      </c>
      <c r="B12" s="47" t="s">
        <v>85</v>
      </c>
      <c r="E12" s="52"/>
      <c r="F12" s="52"/>
      <c r="G12" s="52"/>
      <c r="H12" s="50" t="str">
        <f t="shared" si="0"/>
        <v> </v>
      </c>
    </row>
    <row r="13" spans="1:8" ht="12.75">
      <c r="A13" s="44">
        <v>6</v>
      </c>
      <c r="B13" s="47" t="s">
        <v>144</v>
      </c>
      <c r="E13" s="53">
        <f>E11+E12</f>
        <v>0</v>
      </c>
      <c r="F13" s="53">
        <f>F11+F12</f>
        <v>0</v>
      </c>
      <c r="G13" s="53">
        <f>G11+G12</f>
        <v>0</v>
      </c>
      <c r="H13" s="50" t="str">
        <f t="shared" si="0"/>
        <v> </v>
      </c>
    </row>
    <row r="14" spans="5:8" ht="12.75">
      <c r="E14" s="55"/>
      <c r="F14" s="55"/>
      <c r="G14" s="55"/>
      <c r="H14" s="50"/>
    </row>
    <row r="15" spans="2:8" ht="12.75">
      <c r="B15" s="47" t="s">
        <v>87</v>
      </c>
      <c r="E15" s="55"/>
      <c r="F15" s="55"/>
      <c r="G15" s="55"/>
      <c r="H15" s="50"/>
    </row>
    <row r="16" spans="2:8" ht="12.75">
      <c r="B16" s="47" t="s">
        <v>88</v>
      </c>
      <c r="E16" s="55"/>
      <c r="F16" s="55"/>
      <c r="G16" s="55"/>
      <c r="H16" s="50"/>
    </row>
    <row r="17" spans="1:8" ht="12.75">
      <c r="A17" s="44">
        <v>7</v>
      </c>
      <c r="B17" s="47" t="s">
        <v>145</v>
      </c>
      <c r="E17" s="52"/>
      <c r="F17" s="52"/>
      <c r="G17" s="52"/>
      <c r="H17" s="50" t="str">
        <f>IF(E17=F17+G17," ","ERROR")</f>
        <v> </v>
      </c>
    </row>
    <row r="18" spans="1:8" ht="12.75">
      <c r="A18" s="44">
        <v>8</v>
      </c>
      <c r="B18" s="47" t="s">
        <v>146</v>
      </c>
      <c r="E18" s="52"/>
      <c r="F18" s="52"/>
      <c r="G18" s="52"/>
      <c r="H18" s="50" t="str">
        <f>IF(E18=F18+G18," ","ERROR")</f>
        <v> </v>
      </c>
    </row>
    <row r="19" spans="1:8" ht="12.75">
      <c r="A19" s="44">
        <v>9</v>
      </c>
      <c r="B19" s="47" t="s">
        <v>147</v>
      </c>
      <c r="E19" s="52">
        <f>F19+G19</f>
        <v>306</v>
      </c>
      <c r="F19" s="52">
        <v>306</v>
      </c>
      <c r="G19" s="52"/>
      <c r="H19" s="50" t="str">
        <f>IF(E19=F19+G19," ","ERROR")</f>
        <v> </v>
      </c>
    </row>
    <row r="20" spans="1:8" ht="12.75">
      <c r="A20" s="44">
        <v>10</v>
      </c>
      <c r="B20" s="47" t="s">
        <v>148</v>
      </c>
      <c r="E20" s="52">
        <f>F20+G20</f>
        <v>0</v>
      </c>
      <c r="F20" s="52"/>
      <c r="G20" s="52"/>
      <c r="H20" s="50" t="str">
        <f>IF(E20=F20+G20," ","ERROR")</f>
        <v> </v>
      </c>
    </row>
    <row r="21" spans="1:8" ht="12.75">
      <c r="A21" s="44">
        <v>11</v>
      </c>
      <c r="B21" s="47" t="s">
        <v>149</v>
      </c>
      <c r="E21" s="53">
        <f>E17+E18+E19+E20</f>
        <v>306</v>
      </c>
      <c r="F21" s="53">
        <f>F17+F18+F19+F20</f>
        <v>306</v>
      </c>
      <c r="G21" s="53">
        <f>G17+G18+G19+G20</f>
        <v>0</v>
      </c>
      <c r="H21" s="50" t="str">
        <f>IF(E21=F21+G21," ","ERROR")</f>
        <v> </v>
      </c>
    </row>
    <row r="22" spans="5:8" ht="12.75">
      <c r="E22" s="55"/>
      <c r="F22" s="55"/>
      <c r="G22" s="55"/>
      <c r="H22" s="50"/>
    </row>
    <row r="23" spans="2:8" ht="12.75">
      <c r="B23" s="47" t="s">
        <v>93</v>
      </c>
      <c r="E23" s="55"/>
      <c r="F23" s="55"/>
      <c r="G23" s="55"/>
      <c r="H23" s="50"/>
    </row>
    <row r="24" spans="1:8" ht="12.75">
      <c r="A24" s="44">
        <v>12</v>
      </c>
      <c r="B24" s="47" t="s">
        <v>145</v>
      </c>
      <c r="E24" s="52"/>
      <c r="F24" s="52"/>
      <c r="G24" s="52"/>
      <c r="H24" s="50" t="str">
        <f>IF(E24=F24+G24," ","ERROR")</f>
        <v> </v>
      </c>
    </row>
    <row r="25" spans="1:8" ht="12.75">
      <c r="A25" s="44">
        <v>13</v>
      </c>
      <c r="B25" s="47" t="s">
        <v>150</v>
      </c>
      <c r="E25" s="52"/>
      <c r="F25" s="52"/>
      <c r="G25" s="52"/>
      <c r="H25" s="50" t="str">
        <f>IF(E25=F25+G25," ","ERROR")</f>
        <v> </v>
      </c>
    </row>
    <row r="26" spans="1:8" ht="12.75">
      <c r="A26" s="44">
        <v>14</v>
      </c>
      <c r="B26" s="47" t="s">
        <v>148</v>
      </c>
      <c r="E26" s="52">
        <f>F26+G26</f>
        <v>0</v>
      </c>
      <c r="F26" s="52">
        <v>0</v>
      </c>
      <c r="G26" s="52">
        <v>0</v>
      </c>
      <c r="H26" s="50" t="str">
        <f>IF(E26=F26+G26," ","ERROR")</f>
        <v> </v>
      </c>
    </row>
    <row r="27" spans="1:8" ht="12.75">
      <c r="A27" s="44">
        <v>15</v>
      </c>
      <c r="B27" s="47" t="s">
        <v>151</v>
      </c>
      <c r="E27" s="53">
        <f>E24+E25+E26</f>
        <v>0</v>
      </c>
      <c r="F27" s="53">
        <f>F24+F25+F26</f>
        <v>0</v>
      </c>
      <c r="G27" s="53">
        <f>G24+G25+G26</f>
        <v>0</v>
      </c>
      <c r="H27" s="50" t="str">
        <f>IF(E27=F27+G27," ","ERROR")</f>
        <v> </v>
      </c>
    </row>
    <row r="28" spans="5:8" ht="12.75">
      <c r="E28" s="55"/>
      <c r="F28" s="55"/>
      <c r="G28" s="55"/>
      <c r="H28" s="50"/>
    </row>
    <row r="29" spans="1:8" ht="12.75">
      <c r="A29" s="44">
        <v>16</v>
      </c>
      <c r="B29" s="47" t="s">
        <v>96</v>
      </c>
      <c r="E29" s="52">
        <f>SUM(F29:G29)</f>
        <v>0</v>
      </c>
      <c r="F29" s="52">
        <v>0</v>
      </c>
      <c r="G29" s="52"/>
      <c r="H29" s="50" t="str">
        <f>IF(E29=F29+G29," ","ERROR")</f>
        <v> </v>
      </c>
    </row>
    <row r="30" spans="1:8" ht="12.75">
      <c r="A30" s="44">
        <v>17</v>
      </c>
      <c r="B30" s="47" t="s">
        <v>97</v>
      </c>
      <c r="E30" s="52"/>
      <c r="F30" s="52"/>
      <c r="G30" s="52"/>
      <c r="H30" s="50" t="str">
        <f>IF(E30=F30+G30," ","ERROR")</f>
        <v> </v>
      </c>
    </row>
    <row r="31" spans="1:8" ht="12.75">
      <c r="A31" s="44">
        <v>18</v>
      </c>
      <c r="B31" s="47" t="s">
        <v>152</v>
      </c>
      <c r="E31" s="52"/>
      <c r="F31" s="52"/>
      <c r="G31" s="52"/>
      <c r="H31" s="50" t="str">
        <f>IF(E31=F31+G31," ","ERROR")</f>
        <v> </v>
      </c>
    </row>
    <row r="32" spans="5:8" ht="12.75">
      <c r="E32" s="55"/>
      <c r="F32" s="55"/>
      <c r="G32" s="55"/>
      <c r="H32" s="50"/>
    </row>
    <row r="33" spans="2:8" ht="12.75">
      <c r="B33" s="47" t="s">
        <v>99</v>
      </c>
      <c r="E33" s="55"/>
      <c r="F33" s="55"/>
      <c r="G33" s="55"/>
      <c r="H33" s="50"/>
    </row>
    <row r="34" spans="1:8" ht="12.75">
      <c r="A34" s="44">
        <v>19</v>
      </c>
      <c r="B34" s="47" t="s">
        <v>145</v>
      </c>
      <c r="E34" s="52">
        <f>SUM(F34:G34)</f>
        <v>0</v>
      </c>
      <c r="F34" s="52">
        <v>0</v>
      </c>
      <c r="G34" s="52">
        <v>0</v>
      </c>
      <c r="H34" s="50" t="str">
        <f>IF(E34=F34+G34," ","ERROR")</f>
        <v> </v>
      </c>
    </row>
    <row r="35" spans="1:8" ht="12.75">
      <c r="A35" s="44">
        <v>20</v>
      </c>
      <c r="B35" s="47" t="s">
        <v>150</v>
      </c>
      <c r="E35" s="52"/>
      <c r="F35" s="52"/>
      <c r="G35" s="52"/>
      <c r="H35" s="50" t="str">
        <f>IF(E35=F35+G35," ","ERROR")</f>
        <v> </v>
      </c>
    </row>
    <row r="36" spans="1:8" ht="12.75">
      <c r="A36" s="44">
        <v>21</v>
      </c>
      <c r="B36" s="47" t="s">
        <v>148</v>
      </c>
      <c r="E36" s="52"/>
      <c r="F36" s="52"/>
      <c r="G36" s="52"/>
      <c r="H36" s="50" t="str">
        <f>IF(E36=F36+G36," ","ERROR")</f>
        <v> </v>
      </c>
    </row>
    <row r="37" spans="1:8" ht="12.75">
      <c r="A37" s="44">
        <v>22</v>
      </c>
      <c r="B37" s="47" t="s">
        <v>153</v>
      </c>
      <c r="E37" s="57">
        <f>E34+E35+E36</f>
        <v>0</v>
      </c>
      <c r="F37" s="57">
        <f>F34+F35+F36</f>
        <v>0</v>
      </c>
      <c r="G37" s="57">
        <f>G34+G35+G36</f>
        <v>0</v>
      </c>
      <c r="H37" s="50" t="str">
        <f>IF(E37=F37+G37," ","ERROR")</f>
        <v> </v>
      </c>
    </row>
    <row r="38" spans="1:8" ht="12.75">
      <c r="A38" s="44">
        <v>23</v>
      </c>
      <c r="B38" s="47" t="s">
        <v>101</v>
      </c>
      <c r="E38" s="58">
        <f>E21+E27+E29+E30+E31+E37</f>
        <v>306</v>
      </c>
      <c r="F38" s="58">
        <f>F21+F27+F29+F30+F31+F37</f>
        <v>306</v>
      </c>
      <c r="G38" s="58">
        <f>G21+G27+G29+G30+G31+G37</f>
        <v>0</v>
      </c>
      <c r="H38" s="50" t="str">
        <f>IF(E38=F38+G38," ","ERROR")</f>
        <v> </v>
      </c>
    </row>
    <row r="39" spans="5:8" ht="12.75">
      <c r="E39" s="55"/>
      <c r="F39" s="55"/>
      <c r="G39" s="55"/>
      <c r="H39" s="50"/>
    </row>
    <row r="40" spans="1:8" ht="12.75">
      <c r="A40" s="44">
        <v>24</v>
      </c>
      <c r="B40" s="47" t="s">
        <v>154</v>
      </c>
      <c r="E40" s="55">
        <f>E13-E38</f>
        <v>-306</v>
      </c>
      <c r="F40" s="55">
        <f>F13-F38</f>
        <v>-306</v>
      </c>
      <c r="G40" s="55">
        <f>G13-G38</f>
        <v>0</v>
      </c>
      <c r="H40" s="50" t="str">
        <f>IF(E40=F40+G40," ","ERROR")</f>
        <v> </v>
      </c>
    </row>
    <row r="41" spans="2:8" ht="12.75">
      <c r="B41" s="47"/>
      <c r="E41" s="55"/>
      <c r="F41" s="55"/>
      <c r="G41" s="55"/>
      <c r="H41" s="50"/>
    </row>
    <row r="42" spans="2:8" ht="12.75">
      <c r="B42" s="47" t="s">
        <v>155</v>
      </c>
      <c r="E42" s="55"/>
      <c r="F42" s="55"/>
      <c r="G42" s="55"/>
      <c r="H42" s="50"/>
    </row>
    <row r="43" spans="1:8" ht="12.75">
      <c r="A43" s="44">
        <v>25</v>
      </c>
      <c r="B43" s="47" t="s">
        <v>156</v>
      </c>
      <c r="D43" s="59">
        <v>0.35</v>
      </c>
      <c r="E43" s="52">
        <f>F43+G43</f>
        <v>0</v>
      </c>
      <c r="F43" s="52"/>
      <c r="G43" s="52">
        <f>ROUND(G40*D43,0)</f>
        <v>0</v>
      </c>
      <c r="H43" s="50" t="str">
        <f>IF(E43=F43+G43," ","ERROR")</f>
        <v> </v>
      </c>
    </row>
    <row r="44" spans="1:8" ht="12.75">
      <c r="A44" s="44">
        <v>26</v>
      </c>
      <c r="B44" s="47" t="s">
        <v>157</v>
      </c>
      <c r="E44" s="52">
        <f>F44+G44</f>
        <v>-107</v>
      </c>
      <c r="F44" s="52">
        <f>ROUND(F40*D$43,0)</f>
        <v>-107</v>
      </c>
      <c r="G44" s="52"/>
      <c r="H44" s="50" t="str">
        <f>IF(E44=F44+G44," ","ERROR")</f>
        <v> </v>
      </c>
    </row>
    <row r="45" spans="1:8" ht="12.75">
      <c r="A45"/>
      <c r="B45"/>
      <c r="C45"/>
      <c r="D45"/>
      <c r="E45" s="943"/>
      <c r="F45" s="943"/>
      <c r="G45" s="943"/>
      <c r="H45" s="50" t="str">
        <f>IF(E45=F45+G45," ","ERROR")</f>
        <v> </v>
      </c>
    </row>
    <row r="46" spans="1:8" ht="12.75">
      <c r="A46" s="278"/>
      <c r="B46" s="281"/>
      <c r="C46" s="275"/>
      <c r="D46" s="275"/>
      <c r="E46" s="288"/>
      <c r="F46" s="288"/>
      <c r="G46" s="288"/>
      <c r="H46" s="50"/>
    </row>
    <row r="47" spans="1:8" ht="12.75">
      <c r="A47" s="282">
        <v>27</v>
      </c>
      <c r="B47" s="283" t="s">
        <v>108</v>
      </c>
      <c r="C47" s="284"/>
      <c r="D47" s="284"/>
      <c r="E47" s="292">
        <f>E40-SUM(E43:E44)</f>
        <v>-199</v>
      </c>
      <c r="F47" s="292">
        <f>F40-SUM(F43:F44)</f>
        <v>-199</v>
      </c>
      <c r="G47" s="292">
        <f>G40-SUM(G43:G44)</f>
        <v>0</v>
      </c>
      <c r="H47" s="50" t="str">
        <f>IF(E47=F47+G47," ","ERROR")</f>
        <v> </v>
      </c>
    </row>
    <row r="48" spans="1:8" ht="12.75">
      <c r="A48" s="278"/>
      <c r="H48" s="50"/>
    </row>
    <row r="49" spans="1:8" ht="12.75">
      <c r="A49" s="278"/>
      <c r="B49" s="47" t="s">
        <v>109</v>
      </c>
      <c r="H49" s="50"/>
    </row>
    <row r="50" spans="1:8" ht="12.75">
      <c r="A50" s="278"/>
      <c r="B50" s="47" t="s">
        <v>110</v>
      </c>
      <c r="H50" s="50"/>
    </row>
    <row r="51" spans="1:8" ht="12.75">
      <c r="A51" s="282">
        <v>28</v>
      </c>
      <c r="B51" s="49" t="s">
        <v>159</v>
      </c>
      <c r="C51" s="50"/>
      <c r="D51" s="50"/>
      <c r="E51" s="51"/>
      <c r="F51" s="51"/>
      <c r="G51" s="51"/>
      <c r="H51" s="50" t="str">
        <f aca="true" t="shared" si="1" ref="H51:H61">IF(E51=F51+G51," ","ERROR")</f>
        <v> </v>
      </c>
    </row>
    <row r="52" spans="1:8" ht="12.75">
      <c r="A52" s="278">
        <v>29</v>
      </c>
      <c r="B52" s="47" t="s">
        <v>160</v>
      </c>
      <c r="E52" s="52">
        <f>F52+G52</f>
        <v>0</v>
      </c>
      <c r="F52" s="52"/>
      <c r="G52" s="52"/>
      <c r="H52" s="50" t="str">
        <f t="shared" si="1"/>
        <v> </v>
      </c>
    </row>
    <row r="53" spans="1:8" ht="12.75">
      <c r="A53" s="278">
        <v>30</v>
      </c>
      <c r="B53" s="47" t="s">
        <v>161</v>
      </c>
      <c r="E53" s="52"/>
      <c r="F53" s="52"/>
      <c r="G53" s="52"/>
      <c r="H53" s="50" t="str">
        <f t="shared" si="1"/>
        <v> </v>
      </c>
    </row>
    <row r="54" spans="1:8" ht="12.75">
      <c r="A54" s="278">
        <v>31</v>
      </c>
      <c r="B54" s="47" t="s">
        <v>162</v>
      </c>
      <c r="E54" s="52"/>
      <c r="F54" s="52"/>
      <c r="G54" s="52"/>
      <c r="H54" s="50" t="str">
        <f t="shared" si="1"/>
        <v> </v>
      </c>
    </row>
    <row r="55" spans="1:8" ht="12.75">
      <c r="A55" s="278">
        <v>32</v>
      </c>
      <c r="B55" s="47" t="s">
        <v>163</v>
      </c>
      <c r="E55" s="56"/>
      <c r="F55" s="56"/>
      <c r="G55" s="56"/>
      <c r="H55" s="50" t="str">
        <f t="shared" si="1"/>
        <v> </v>
      </c>
    </row>
    <row r="56" spans="1:8" ht="12.75">
      <c r="A56" s="278">
        <v>33</v>
      </c>
      <c r="B56" s="47" t="s">
        <v>164</v>
      </c>
      <c r="E56" s="55">
        <f>E51+E52+E53+E54+E55</f>
        <v>0</v>
      </c>
      <c r="F56" s="55">
        <f>F51+F52+F53+F54+F55</f>
        <v>0</v>
      </c>
      <c r="G56" s="55">
        <f>G51+G52+G53+G54+G55</f>
        <v>0</v>
      </c>
      <c r="H56" s="50" t="str">
        <f t="shared" si="1"/>
        <v> </v>
      </c>
    </row>
    <row r="57" spans="1:8" ht="12.75">
      <c r="A57" s="278">
        <v>34</v>
      </c>
      <c r="B57" s="47" t="s">
        <v>116</v>
      </c>
      <c r="E57" s="52">
        <f>F57+G57</f>
        <v>0</v>
      </c>
      <c r="F57" s="52"/>
      <c r="G57" s="52"/>
      <c r="H57" s="50" t="str">
        <f t="shared" si="1"/>
        <v> </v>
      </c>
    </row>
    <row r="58" spans="1:8" ht="12.75">
      <c r="A58" s="278">
        <v>35</v>
      </c>
      <c r="B58" s="47" t="s">
        <v>117</v>
      </c>
      <c r="E58" s="56"/>
      <c r="F58" s="56"/>
      <c r="G58" s="56"/>
      <c r="H58" s="50" t="str">
        <f t="shared" si="1"/>
        <v> </v>
      </c>
    </row>
    <row r="59" spans="1:8" ht="12.75">
      <c r="A59" s="278">
        <v>36</v>
      </c>
      <c r="B59" s="47" t="s">
        <v>165</v>
      </c>
      <c r="E59" s="55">
        <f>E57+E58</f>
        <v>0</v>
      </c>
      <c r="F59" s="55">
        <f>F57+F58</f>
        <v>0</v>
      </c>
      <c r="G59" s="55">
        <f>G57+G58</f>
        <v>0</v>
      </c>
      <c r="H59" s="50" t="str">
        <f t="shared" si="1"/>
        <v> </v>
      </c>
    </row>
    <row r="60" spans="1:8" ht="12.75">
      <c r="A60" s="278">
        <v>37</v>
      </c>
      <c r="B60" s="47" t="s">
        <v>119</v>
      </c>
      <c r="E60" s="52"/>
      <c r="F60" s="52"/>
      <c r="G60" s="52"/>
      <c r="H60" s="50" t="str">
        <f t="shared" si="1"/>
        <v> </v>
      </c>
    </row>
    <row r="61" spans="1:8" ht="12.75">
      <c r="A61" s="278">
        <v>38</v>
      </c>
      <c r="B61" s="47" t="s">
        <v>120</v>
      </c>
      <c r="E61" s="56">
        <f>F61+G61</f>
        <v>0</v>
      </c>
      <c r="F61" s="56"/>
      <c r="G61" s="56"/>
      <c r="H61" s="50" t="str">
        <f t="shared" si="1"/>
        <v> </v>
      </c>
    </row>
    <row r="62" spans="1:8" ht="11.25" customHeight="1">
      <c r="A62" s="278"/>
      <c r="H62" s="50"/>
    </row>
    <row r="63" spans="1:8" ht="13.5" thickBot="1">
      <c r="A63" s="282">
        <v>39</v>
      </c>
      <c r="B63" s="49" t="s">
        <v>121</v>
      </c>
      <c r="C63" s="50"/>
      <c r="D63" s="50"/>
      <c r="E63" s="60">
        <f>E56-E59+E60+E61</f>
        <v>0</v>
      </c>
      <c r="F63" s="60">
        <f>F56-F59+F60+F61</f>
        <v>0</v>
      </c>
      <c r="G63" s="60">
        <f>G56-G59+G60+G61</f>
        <v>0</v>
      </c>
      <c r="H63" s="50" t="str">
        <f>IF(E63=F63+G63," ","ERROR")</f>
        <v> </v>
      </c>
    </row>
    <row r="64" spans="1:8" ht="13.5" thickTop="1">
      <c r="A64" s="41"/>
      <c r="B64" s="66"/>
      <c r="C64" s="66"/>
      <c r="D64" s="66"/>
      <c r="E64" s="719"/>
      <c r="F64" s="720"/>
      <c r="G64" s="66"/>
      <c r="H64" s="66"/>
    </row>
  </sheetData>
  <printOptions/>
  <pageMargins left="0.75" right="0.75" top="0.5" bottom="0.18" header="0.48" footer="0"/>
  <pageSetup horizontalDpi="600" verticalDpi="600" orientation="portrait" scale="87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23">
      <selection activeCell="F43" sqref="F43"/>
    </sheetView>
  </sheetViews>
  <sheetFormatPr defaultColWidth="9.140625" defaultRowHeight="12.75"/>
  <cols>
    <col min="1" max="1" width="5.57421875" style="44" customWidth="1"/>
    <col min="2" max="2" width="26.140625" style="41" customWidth="1"/>
    <col min="3" max="3" width="12.421875" style="41" customWidth="1"/>
    <col min="4" max="4" width="6.7109375" style="41" customWidth="1"/>
    <col min="5" max="8" width="12.421875" style="41" customWidth="1"/>
  </cols>
  <sheetData>
    <row r="1" spans="1:3" ht="12.75">
      <c r="A1" s="39" t="str">
        <f>Inputs!$D$6</f>
        <v>AVISTA UTILITIES</v>
      </c>
      <c r="B1" s="40"/>
      <c r="C1" s="39"/>
    </row>
    <row r="2" spans="1:7" ht="12.75">
      <c r="A2" s="39" t="s">
        <v>134</v>
      </c>
      <c r="B2" s="40"/>
      <c r="C2" s="39"/>
      <c r="E2" s="39"/>
      <c r="F2" s="44" t="s">
        <v>516</v>
      </c>
      <c r="G2" s="39"/>
    </row>
    <row r="3" spans="1:7" ht="12.75">
      <c r="A3" s="40" t="str">
        <f>WAElec12_04!$A$4</f>
        <v>TWELVE MONTHS ENDED DECEMBER 31, 2004</v>
      </c>
      <c r="B3" s="40"/>
      <c r="C3" s="39"/>
      <c r="E3" s="39"/>
      <c r="F3" s="44" t="s">
        <v>517</v>
      </c>
      <c r="G3" s="39"/>
    </row>
    <row r="4" spans="1:7" ht="12.75">
      <c r="A4" s="39" t="s">
        <v>1</v>
      </c>
      <c r="B4" s="40"/>
      <c r="C4" s="39"/>
      <c r="E4" s="42"/>
      <c r="F4" s="718" t="s">
        <v>137</v>
      </c>
      <c r="G4" s="43"/>
    </row>
    <row r="5" ht="12.75">
      <c r="A5" s="44" t="s">
        <v>13</v>
      </c>
    </row>
    <row r="6" spans="1:8" ht="12.75">
      <c r="A6" s="44" t="s">
        <v>138</v>
      </c>
      <c r="B6" s="45" t="s">
        <v>34</v>
      </c>
      <c r="C6" s="45"/>
      <c r="D6" s="44"/>
      <c r="E6" s="45" t="s">
        <v>139</v>
      </c>
      <c r="F6" s="45" t="s">
        <v>140</v>
      </c>
      <c r="G6" s="45" t="s">
        <v>123</v>
      </c>
      <c r="H6" s="46" t="s">
        <v>141</v>
      </c>
    </row>
    <row r="7" ht="12.75">
      <c r="B7" s="47" t="s">
        <v>80</v>
      </c>
    </row>
    <row r="8" spans="1:8" ht="12.75">
      <c r="A8" s="48">
        <v>1</v>
      </c>
      <c r="B8" s="49" t="s">
        <v>81</v>
      </c>
      <c r="C8" s="50"/>
      <c r="D8" s="50"/>
      <c r="E8" s="51">
        <f>F8+G8</f>
        <v>0</v>
      </c>
      <c r="F8" s="51">
        <v>0</v>
      </c>
      <c r="G8" s="51">
        <v>0</v>
      </c>
      <c r="H8" s="50" t="str">
        <f aca="true" t="shared" si="0" ref="H8:H13">IF(E8=F8+G8," ","ERROR")</f>
        <v> </v>
      </c>
    </row>
    <row r="9" spans="1:8" ht="12.75">
      <c r="A9" s="44">
        <v>2</v>
      </c>
      <c r="B9" s="47" t="s">
        <v>82</v>
      </c>
      <c r="E9" s="52"/>
      <c r="F9" s="52"/>
      <c r="G9" s="52"/>
      <c r="H9" s="50" t="str">
        <f t="shared" si="0"/>
        <v> </v>
      </c>
    </row>
    <row r="10" spans="1:8" ht="12.75">
      <c r="A10" s="44">
        <v>3</v>
      </c>
      <c r="B10" s="47" t="s">
        <v>142</v>
      </c>
      <c r="E10" s="52"/>
      <c r="F10" s="52"/>
      <c r="G10" s="52"/>
      <c r="H10" s="50" t="str">
        <f t="shared" si="0"/>
        <v> </v>
      </c>
    </row>
    <row r="11" spans="1:8" ht="12.75">
      <c r="A11" s="44">
        <v>4</v>
      </c>
      <c r="B11" s="47" t="s">
        <v>143</v>
      </c>
      <c r="E11" s="53">
        <f>E8+E9+E10</f>
        <v>0</v>
      </c>
      <c r="F11" s="53">
        <f>F8+F9+F10</f>
        <v>0</v>
      </c>
      <c r="G11" s="53">
        <f>G8+G9+G10</f>
        <v>0</v>
      </c>
      <c r="H11" s="50" t="str">
        <f t="shared" si="0"/>
        <v> </v>
      </c>
    </row>
    <row r="12" spans="1:8" ht="12.75">
      <c r="A12" s="44">
        <v>5</v>
      </c>
      <c r="B12" s="47" t="s">
        <v>85</v>
      </c>
      <c r="E12" s="52"/>
      <c r="F12" s="52"/>
      <c r="G12" s="52"/>
      <c r="H12" s="50" t="str">
        <f t="shared" si="0"/>
        <v> </v>
      </c>
    </row>
    <row r="13" spans="1:8" ht="12.75">
      <c r="A13" s="44">
        <v>6</v>
      </c>
      <c r="B13" s="47" t="s">
        <v>144</v>
      </c>
      <c r="E13" s="53">
        <f>E11+E12</f>
        <v>0</v>
      </c>
      <c r="F13" s="53">
        <f>F11+F12</f>
        <v>0</v>
      </c>
      <c r="G13" s="53">
        <f>G11+G12</f>
        <v>0</v>
      </c>
      <c r="H13" s="50" t="str">
        <f t="shared" si="0"/>
        <v> </v>
      </c>
    </row>
    <row r="14" spans="5:8" ht="12.75">
      <c r="E14" s="55"/>
      <c r="F14" s="55"/>
      <c r="G14" s="55"/>
      <c r="H14" s="50"/>
    </row>
    <row r="15" spans="2:8" ht="12.75">
      <c r="B15" s="47" t="s">
        <v>87</v>
      </c>
      <c r="E15" s="55"/>
      <c r="F15" s="55"/>
      <c r="G15" s="55"/>
      <c r="H15" s="50"/>
    </row>
    <row r="16" spans="2:8" ht="12.75">
      <c r="B16" s="47" t="s">
        <v>88</v>
      </c>
      <c r="E16" s="55"/>
      <c r="F16" s="55"/>
      <c r="G16" s="55"/>
      <c r="H16" s="50"/>
    </row>
    <row r="17" spans="1:8" ht="12.75">
      <c r="A17" s="44">
        <v>7</v>
      </c>
      <c r="B17" s="47" t="s">
        <v>145</v>
      </c>
      <c r="E17" s="52"/>
      <c r="F17" s="52"/>
      <c r="G17" s="52"/>
      <c r="H17" s="50" t="str">
        <f>IF(E17=F17+G17," ","ERROR")</f>
        <v> </v>
      </c>
    </row>
    <row r="18" spans="1:8" ht="12.75">
      <c r="A18" s="44">
        <v>8</v>
      </c>
      <c r="B18" s="47" t="s">
        <v>146</v>
      </c>
      <c r="E18" s="52"/>
      <c r="F18" s="52"/>
      <c r="G18" s="52"/>
      <c r="H18" s="50" t="str">
        <f>IF(E18=F18+G18," ","ERROR")</f>
        <v> </v>
      </c>
    </row>
    <row r="19" spans="1:8" ht="12.75">
      <c r="A19" s="44">
        <v>9</v>
      </c>
      <c r="B19" s="47" t="s">
        <v>147</v>
      </c>
      <c r="E19" s="52">
        <f>F19+G19</f>
        <v>0</v>
      </c>
      <c r="F19" s="52"/>
      <c r="G19" s="52"/>
      <c r="H19" s="50" t="str">
        <f>IF(E19=F19+G19," ","ERROR")</f>
        <v> </v>
      </c>
    </row>
    <row r="20" spans="1:8" ht="12.75">
      <c r="A20" s="44">
        <v>10</v>
      </c>
      <c r="B20" s="47" t="s">
        <v>148</v>
      </c>
      <c r="E20" s="52">
        <f>F20+G20</f>
        <v>0</v>
      </c>
      <c r="F20" s="52"/>
      <c r="G20" s="52"/>
      <c r="H20" s="50" t="str">
        <f>IF(E20=F20+G20," ","ERROR")</f>
        <v> </v>
      </c>
    </row>
    <row r="21" spans="1:8" ht="12.75">
      <c r="A21" s="44">
        <v>11</v>
      </c>
      <c r="B21" s="47" t="s">
        <v>149</v>
      </c>
      <c r="E21" s="53">
        <f>E17+E18+E19+E20</f>
        <v>0</v>
      </c>
      <c r="F21" s="53">
        <f>F17+F18+F19+F20</f>
        <v>0</v>
      </c>
      <c r="G21" s="53">
        <f>G17+G18+G19+G20</f>
        <v>0</v>
      </c>
      <c r="H21" s="50" t="str">
        <f>IF(E21=F21+G21," ","ERROR")</f>
        <v> </v>
      </c>
    </row>
    <row r="22" spans="5:8" ht="12.75">
      <c r="E22" s="55"/>
      <c r="F22" s="55"/>
      <c r="G22" s="55"/>
      <c r="H22" s="50"/>
    </row>
    <row r="23" spans="2:8" ht="12.75">
      <c r="B23" s="47" t="s">
        <v>93</v>
      </c>
      <c r="E23" s="55"/>
      <c r="F23" s="55"/>
      <c r="G23" s="55"/>
      <c r="H23" s="50"/>
    </row>
    <row r="24" spans="1:8" ht="12.75">
      <c r="A24" s="44">
        <v>12</v>
      </c>
      <c r="B24" s="47" t="s">
        <v>145</v>
      </c>
      <c r="E24" s="52"/>
      <c r="F24" s="52"/>
      <c r="G24" s="52"/>
      <c r="H24" s="50" t="str">
        <f>IF(E24=F24+G24," ","ERROR")</f>
        <v> </v>
      </c>
    </row>
    <row r="25" spans="1:8" ht="12.75">
      <c r="A25" s="44">
        <v>13</v>
      </c>
      <c r="B25" s="47" t="s">
        <v>150</v>
      </c>
      <c r="E25" s="52"/>
      <c r="F25" s="52"/>
      <c r="G25" s="52"/>
      <c r="H25" s="50" t="str">
        <f>IF(E25=F25+G25," ","ERROR")</f>
        <v> </v>
      </c>
    </row>
    <row r="26" spans="1:8" ht="12.75">
      <c r="A26" s="44">
        <v>14</v>
      </c>
      <c r="B26" s="47" t="s">
        <v>148</v>
      </c>
      <c r="E26" s="52">
        <f>F26+G26</f>
        <v>0</v>
      </c>
      <c r="F26" s="52">
        <v>0</v>
      </c>
      <c r="G26" s="52">
        <v>0</v>
      </c>
      <c r="H26" s="50" t="str">
        <f>IF(E26=F26+G26," ","ERROR")</f>
        <v> </v>
      </c>
    </row>
    <row r="27" spans="1:8" ht="12.75">
      <c r="A27" s="44">
        <v>15</v>
      </c>
      <c r="B27" s="47" t="s">
        <v>151</v>
      </c>
      <c r="E27" s="53">
        <f>E24+E25+E26</f>
        <v>0</v>
      </c>
      <c r="F27" s="53">
        <f>F24+F25+F26</f>
        <v>0</v>
      </c>
      <c r="G27" s="53">
        <f>G24+G25+G26</f>
        <v>0</v>
      </c>
      <c r="H27" s="50" t="str">
        <f>IF(E27=F27+G27," ","ERROR")</f>
        <v> </v>
      </c>
    </row>
    <row r="28" spans="5:8" ht="12.75">
      <c r="E28" s="55"/>
      <c r="F28" s="55"/>
      <c r="G28" s="55"/>
      <c r="H28" s="50"/>
    </row>
    <row r="29" spans="1:8" ht="12.75">
      <c r="A29" s="44">
        <v>16</v>
      </c>
      <c r="B29" s="47" t="s">
        <v>96</v>
      </c>
      <c r="E29" s="52">
        <f>SUM(F29:G29)</f>
        <v>0</v>
      </c>
      <c r="F29" s="52">
        <v>0</v>
      </c>
      <c r="G29" s="52"/>
      <c r="H29" s="50" t="str">
        <f>IF(E29=F29+G29," ","ERROR")</f>
        <v> </v>
      </c>
    </row>
    <row r="30" spans="1:8" ht="12.75">
      <c r="A30" s="44">
        <v>17</v>
      </c>
      <c r="B30" s="47" t="s">
        <v>97</v>
      </c>
      <c r="E30" s="52"/>
      <c r="F30" s="52"/>
      <c r="G30" s="52"/>
      <c r="H30" s="50" t="str">
        <f>IF(E30=F30+G30," ","ERROR")</f>
        <v> </v>
      </c>
    </row>
    <row r="31" spans="1:8" ht="12.75">
      <c r="A31" s="44">
        <v>18</v>
      </c>
      <c r="B31" s="47" t="s">
        <v>152</v>
      </c>
      <c r="E31" s="52"/>
      <c r="F31" s="52"/>
      <c r="G31" s="52"/>
      <c r="H31" s="50" t="str">
        <f>IF(E31=F31+G31," ","ERROR")</f>
        <v> </v>
      </c>
    </row>
    <row r="32" spans="5:8" ht="12.75">
      <c r="E32" s="55"/>
      <c r="F32" s="55"/>
      <c r="G32" s="55"/>
      <c r="H32" s="50"/>
    </row>
    <row r="33" spans="2:8" ht="12.75">
      <c r="B33" s="47" t="s">
        <v>99</v>
      </c>
      <c r="E33" s="55"/>
      <c r="F33" s="55"/>
      <c r="G33" s="55"/>
      <c r="H33" s="50"/>
    </row>
    <row r="34" spans="1:8" ht="12.75">
      <c r="A34" s="44">
        <v>19</v>
      </c>
      <c r="B34" s="47" t="s">
        <v>145</v>
      </c>
      <c r="E34" s="52">
        <f>SUM(F34:G34)</f>
        <v>0</v>
      </c>
      <c r="F34" s="52">
        <v>0</v>
      </c>
      <c r="G34" s="52">
        <v>0</v>
      </c>
      <c r="H34" s="50" t="str">
        <f>IF(E34=F34+G34," ","ERROR")</f>
        <v> </v>
      </c>
    </row>
    <row r="35" spans="1:8" ht="12.75">
      <c r="A35" s="44">
        <v>20</v>
      </c>
      <c r="B35" s="47" t="s">
        <v>150</v>
      </c>
      <c r="E35" s="52"/>
      <c r="F35" s="52"/>
      <c r="G35" s="52"/>
      <c r="H35" s="50" t="str">
        <f>IF(E35=F35+G35," ","ERROR")</f>
        <v> </v>
      </c>
    </row>
    <row r="36" spans="1:8" ht="12.75">
      <c r="A36" s="44">
        <v>21</v>
      </c>
      <c r="B36" s="47" t="s">
        <v>148</v>
      </c>
      <c r="E36" s="52"/>
      <c r="F36" s="52"/>
      <c r="G36" s="52"/>
      <c r="H36" s="50" t="str">
        <f>IF(E36=F36+G36," ","ERROR")</f>
        <v> </v>
      </c>
    </row>
    <row r="37" spans="1:8" ht="12.75">
      <c r="A37" s="44">
        <v>22</v>
      </c>
      <c r="B37" s="47" t="s">
        <v>153</v>
      </c>
      <c r="E37" s="57">
        <f>E34+E35+E36</f>
        <v>0</v>
      </c>
      <c r="F37" s="57">
        <f>F34+F35+F36</f>
        <v>0</v>
      </c>
      <c r="G37" s="57">
        <f>G34+G35+G36</f>
        <v>0</v>
      </c>
      <c r="H37" s="50" t="str">
        <f>IF(E37=F37+G37," ","ERROR")</f>
        <v> </v>
      </c>
    </row>
    <row r="38" spans="1:8" ht="12.75">
      <c r="A38" s="44">
        <v>23</v>
      </c>
      <c r="B38" s="47" t="s">
        <v>101</v>
      </c>
      <c r="E38" s="58">
        <f>E21+E27+E29+E30+E31+E37</f>
        <v>0</v>
      </c>
      <c r="F38" s="58">
        <f>F21+F27+F29+F30+F31+F37</f>
        <v>0</v>
      </c>
      <c r="G38" s="58">
        <f>G21+G27+G29+G30+G31+G37</f>
        <v>0</v>
      </c>
      <c r="H38" s="50" t="str">
        <f>IF(E38=F38+G38," ","ERROR")</f>
        <v> </v>
      </c>
    </row>
    <row r="39" spans="5:8" ht="12.75">
      <c r="E39" s="55"/>
      <c r="F39" s="55"/>
      <c r="G39" s="55"/>
      <c r="H39" s="50"/>
    </row>
    <row r="40" spans="1:8" ht="12.75">
      <c r="A40" s="44">
        <v>24</v>
      </c>
      <c r="B40" s="47" t="s">
        <v>154</v>
      </c>
      <c r="E40" s="55">
        <f>E13-E38</f>
        <v>0</v>
      </c>
      <c r="F40" s="55">
        <f>F13-F38</f>
        <v>0</v>
      </c>
      <c r="G40" s="55">
        <f>G13-G38</f>
        <v>0</v>
      </c>
      <c r="H40" s="50" t="str">
        <f>IF(E40=F40+G40," ","ERROR")</f>
        <v> </v>
      </c>
    </row>
    <row r="41" spans="2:8" ht="12.75">
      <c r="B41" s="47"/>
      <c r="E41" s="55"/>
      <c r="F41" s="55"/>
      <c r="G41" s="55"/>
      <c r="H41" s="50"/>
    </row>
    <row r="42" spans="2:8" ht="12.75">
      <c r="B42" s="47" t="s">
        <v>155</v>
      </c>
      <c r="E42" s="55"/>
      <c r="F42" s="55"/>
      <c r="G42" s="55"/>
      <c r="H42" s="50"/>
    </row>
    <row r="43" spans="1:8" ht="12.75">
      <c r="A43" s="44">
        <v>25</v>
      </c>
      <c r="B43" s="47" t="s">
        <v>156</v>
      </c>
      <c r="D43" s="59">
        <v>0.35</v>
      </c>
      <c r="E43" s="52">
        <f>F43+G43</f>
        <v>-992</v>
      </c>
      <c r="F43" s="52">
        <v>-992</v>
      </c>
      <c r="G43" s="52">
        <f>ROUND(G40*D43,0)</f>
        <v>0</v>
      </c>
      <c r="H43" s="50" t="str">
        <f>IF(E43=F43+G43," ","ERROR")</f>
        <v> </v>
      </c>
    </row>
    <row r="44" spans="1:8" ht="12.75">
      <c r="A44" s="44">
        <v>26</v>
      </c>
      <c r="B44" s="47" t="s">
        <v>157</v>
      </c>
      <c r="E44" s="52">
        <f>F44+G44</f>
        <v>0</v>
      </c>
      <c r="F44" s="52">
        <f>ROUND(F40*D$43,0)</f>
        <v>0</v>
      </c>
      <c r="G44" s="52"/>
      <c r="H44" s="50" t="str">
        <f>IF(E44=F44+G44," ","ERROR")</f>
        <v> </v>
      </c>
    </row>
    <row r="45" spans="1:8" ht="12.75">
      <c r="A45"/>
      <c r="B45"/>
      <c r="C45"/>
      <c r="D45"/>
      <c r="E45" s="943"/>
      <c r="F45" s="943"/>
      <c r="G45" s="943"/>
      <c r="H45" s="50" t="str">
        <f>IF(E45=F45+G45," ","ERROR")</f>
        <v> </v>
      </c>
    </row>
    <row r="46" spans="1:8" ht="12.75">
      <c r="A46" s="278"/>
      <c r="B46" s="281"/>
      <c r="C46" s="275"/>
      <c r="D46" s="275"/>
      <c r="E46" s="288"/>
      <c r="F46" s="288"/>
      <c r="G46" s="288"/>
      <c r="H46" s="50"/>
    </row>
    <row r="47" spans="1:8" ht="12.75">
      <c r="A47" s="282">
        <v>27</v>
      </c>
      <c r="B47" s="283" t="s">
        <v>108</v>
      </c>
      <c r="C47" s="284"/>
      <c r="D47" s="284"/>
      <c r="E47" s="292">
        <f>E40-SUM(E43:E44)</f>
        <v>992</v>
      </c>
      <c r="F47" s="292">
        <f>F40-SUM(F43:F44)</f>
        <v>992</v>
      </c>
      <c r="G47" s="292">
        <f>G40-SUM(G43:G44)</f>
        <v>0</v>
      </c>
      <c r="H47" s="50" t="str">
        <f>IF(E47=F47+G47," ","ERROR")</f>
        <v> </v>
      </c>
    </row>
    <row r="48" spans="1:8" ht="12.75">
      <c r="A48" s="278"/>
      <c r="H48" s="50"/>
    </row>
    <row r="49" spans="1:8" ht="12.75">
      <c r="A49" s="278"/>
      <c r="B49" s="47" t="s">
        <v>109</v>
      </c>
      <c r="H49" s="50"/>
    </row>
    <row r="50" spans="1:8" ht="12.75">
      <c r="A50" s="278"/>
      <c r="B50" s="47" t="s">
        <v>110</v>
      </c>
      <c r="H50" s="50"/>
    </row>
    <row r="51" spans="1:8" ht="12.75">
      <c r="A51" s="282">
        <v>28</v>
      </c>
      <c r="B51" s="49" t="s">
        <v>159</v>
      </c>
      <c r="C51" s="50"/>
      <c r="D51" s="50"/>
      <c r="E51" s="51"/>
      <c r="F51" s="51"/>
      <c r="G51" s="51"/>
      <c r="H51" s="50" t="str">
        <f aca="true" t="shared" si="1" ref="H51:H61">IF(E51=F51+G51," ","ERROR")</f>
        <v> </v>
      </c>
    </row>
    <row r="52" spans="1:8" ht="12.75">
      <c r="A52" s="278">
        <v>29</v>
      </c>
      <c r="B52" s="47" t="s">
        <v>160</v>
      </c>
      <c r="E52" s="52">
        <f>F52+G52</f>
        <v>0</v>
      </c>
      <c r="F52" s="52"/>
      <c r="G52" s="52"/>
      <c r="H52" s="50" t="str">
        <f t="shared" si="1"/>
        <v> </v>
      </c>
    </row>
    <row r="53" spans="1:8" ht="12.75">
      <c r="A53" s="278">
        <v>30</v>
      </c>
      <c r="B53" s="47" t="s">
        <v>161</v>
      </c>
      <c r="E53" s="52"/>
      <c r="F53" s="52"/>
      <c r="G53" s="52"/>
      <c r="H53" s="50" t="str">
        <f t="shared" si="1"/>
        <v> </v>
      </c>
    </row>
    <row r="54" spans="1:8" ht="12.75">
      <c r="A54" s="278">
        <v>31</v>
      </c>
      <c r="B54" s="47" t="s">
        <v>162</v>
      </c>
      <c r="E54" s="52"/>
      <c r="F54" s="52"/>
      <c r="G54" s="52"/>
      <c r="H54" s="50" t="str">
        <f t="shared" si="1"/>
        <v> </v>
      </c>
    </row>
    <row r="55" spans="1:8" ht="12.75">
      <c r="A55" s="278">
        <v>32</v>
      </c>
      <c r="B55" s="47" t="s">
        <v>163</v>
      </c>
      <c r="E55" s="56"/>
      <c r="F55" s="56"/>
      <c r="G55" s="56"/>
      <c r="H55" s="50" t="str">
        <f t="shared" si="1"/>
        <v> </v>
      </c>
    </row>
    <row r="56" spans="1:8" ht="12.75">
      <c r="A56" s="278">
        <v>33</v>
      </c>
      <c r="B56" s="47" t="s">
        <v>164</v>
      </c>
      <c r="E56" s="55">
        <f>E51+E52+E53+E54+E55</f>
        <v>0</v>
      </c>
      <c r="F56" s="55">
        <f>F51+F52+F53+F54+F55</f>
        <v>0</v>
      </c>
      <c r="G56" s="55">
        <f>G51+G52+G53+G54+G55</f>
        <v>0</v>
      </c>
      <c r="H56" s="50" t="str">
        <f t="shared" si="1"/>
        <v> </v>
      </c>
    </row>
    <row r="57" spans="1:8" ht="12.75">
      <c r="A57" s="278">
        <v>34</v>
      </c>
      <c r="B57" s="47" t="s">
        <v>116</v>
      </c>
      <c r="E57" s="52">
        <f>F57+G57</f>
        <v>0</v>
      </c>
      <c r="F57" s="52"/>
      <c r="G57" s="52"/>
      <c r="H57" s="50" t="str">
        <f t="shared" si="1"/>
        <v> </v>
      </c>
    </row>
    <row r="58" spans="1:8" ht="12.75">
      <c r="A58" s="278">
        <v>35</v>
      </c>
      <c r="B58" s="47" t="s">
        <v>117</v>
      </c>
      <c r="E58" s="56"/>
      <c r="F58" s="56"/>
      <c r="G58" s="56"/>
      <c r="H58" s="50" t="str">
        <f t="shared" si="1"/>
        <v> </v>
      </c>
    </row>
    <row r="59" spans="1:8" ht="12.75">
      <c r="A59" s="278">
        <v>36</v>
      </c>
      <c r="B59" s="47" t="s">
        <v>165</v>
      </c>
      <c r="E59" s="55">
        <f>E57+E58</f>
        <v>0</v>
      </c>
      <c r="F59" s="55">
        <f>F57+F58</f>
        <v>0</v>
      </c>
      <c r="G59" s="55">
        <f>G57+G58</f>
        <v>0</v>
      </c>
      <c r="H59" s="50" t="str">
        <f t="shared" si="1"/>
        <v> </v>
      </c>
    </row>
    <row r="60" spans="1:8" ht="12.75">
      <c r="A60" s="278">
        <v>37</v>
      </c>
      <c r="B60" s="47" t="s">
        <v>119</v>
      </c>
      <c r="E60" s="52"/>
      <c r="F60" s="52"/>
      <c r="G60" s="52"/>
      <c r="H60" s="50" t="str">
        <f t="shared" si="1"/>
        <v> </v>
      </c>
    </row>
    <row r="61" spans="1:8" ht="12.75">
      <c r="A61" s="278">
        <v>38</v>
      </c>
      <c r="B61" s="47" t="s">
        <v>120</v>
      </c>
      <c r="E61" s="56">
        <f>F61+G61</f>
        <v>0</v>
      </c>
      <c r="F61" s="56"/>
      <c r="G61" s="56"/>
      <c r="H61" s="50" t="str">
        <f t="shared" si="1"/>
        <v> </v>
      </c>
    </row>
    <row r="62" spans="1:8" ht="11.25" customHeight="1">
      <c r="A62" s="278"/>
      <c r="H62" s="50"/>
    </row>
    <row r="63" spans="1:8" ht="13.5" thickBot="1">
      <c r="A63" s="282">
        <v>39</v>
      </c>
      <c r="B63" s="49" t="s">
        <v>121</v>
      </c>
      <c r="C63" s="50"/>
      <c r="D63" s="50"/>
      <c r="E63" s="60">
        <f>E56-E59+E60+E61</f>
        <v>0</v>
      </c>
      <c r="F63" s="60">
        <f>F56-F59+F60+F61</f>
        <v>0</v>
      </c>
      <c r="G63" s="60">
        <f>G56-G59+G60+G61</f>
        <v>0</v>
      </c>
      <c r="H63" s="50" t="str">
        <f>IF(E63=F63+G63," ","ERROR")</f>
        <v> </v>
      </c>
    </row>
    <row r="64" spans="1:8" ht="13.5" thickTop="1">
      <c r="A64" s="41"/>
      <c r="B64" s="66"/>
      <c r="C64" s="66"/>
      <c r="D64" s="66"/>
      <c r="E64" s="719"/>
      <c r="F64" s="720"/>
      <c r="G64" s="66"/>
      <c r="H64" s="66"/>
    </row>
  </sheetData>
  <printOptions/>
  <pageMargins left="0.75" right="0.75" top="0.5" bottom="0.18" header="0.48" footer="0"/>
  <pageSetup horizontalDpi="600" verticalDpi="600" orientation="portrait" scale="87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H21" sqref="H21"/>
    </sheetView>
  </sheetViews>
  <sheetFormatPr defaultColWidth="9.140625" defaultRowHeight="12.75"/>
  <cols>
    <col min="1" max="1" width="5.57421875" style="44" customWidth="1"/>
    <col min="2" max="2" width="26.140625" style="41" customWidth="1"/>
    <col min="3" max="3" width="12.421875" style="41" customWidth="1"/>
    <col min="4" max="4" width="6.7109375" style="41" customWidth="1"/>
    <col min="5" max="8" width="12.421875" style="41" customWidth="1"/>
  </cols>
  <sheetData>
    <row r="1" spans="1:3" ht="12.75">
      <c r="A1" s="39" t="str">
        <f>Inputs!$D$6</f>
        <v>AVISTA UTILITIES</v>
      </c>
      <c r="B1" s="40"/>
      <c r="C1" s="39"/>
    </row>
    <row r="2" spans="1:7" ht="12.75">
      <c r="A2" s="39" t="s">
        <v>134</v>
      </c>
      <c r="B2" s="40"/>
      <c r="C2" s="39"/>
      <c r="E2" s="39"/>
      <c r="F2" s="511" t="s">
        <v>282</v>
      </c>
      <c r="G2" s="39"/>
    </row>
    <row r="3" spans="1:7" ht="12.75">
      <c r="A3" s="40" t="str">
        <f>WAElec12_04!$A$4</f>
        <v>TWELVE MONTHS ENDED DECEMBER 31, 2004</v>
      </c>
      <c r="B3" s="40"/>
      <c r="C3" s="39"/>
      <c r="E3" s="39"/>
      <c r="F3" s="511" t="s">
        <v>536</v>
      </c>
      <c r="G3" s="39"/>
    </row>
    <row r="4" spans="1:7" ht="12.75">
      <c r="A4" s="39" t="s">
        <v>1</v>
      </c>
      <c r="B4" s="40"/>
      <c r="C4" s="39"/>
      <c r="E4" s="42"/>
      <c r="F4" s="718" t="s">
        <v>137</v>
      </c>
      <c r="G4" s="43"/>
    </row>
    <row r="5" ht="12.75">
      <c r="A5" s="44" t="s">
        <v>13</v>
      </c>
    </row>
    <row r="6" spans="1:8" ht="12.75">
      <c r="A6" s="44" t="s">
        <v>138</v>
      </c>
      <c r="B6" s="45" t="s">
        <v>34</v>
      </c>
      <c r="C6" s="45"/>
      <c r="D6" s="44"/>
      <c r="E6" s="45" t="s">
        <v>139</v>
      </c>
      <c r="F6" s="45" t="s">
        <v>140</v>
      </c>
      <c r="G6" s="45" t="s">
        <v>123</v>
      </c>
      <c r="H6" s="46" t="s">
        <v>141</v>
      </c>
    </row>
    <row r="7" ht="12.75">
      <c r="B7" s="47" t="s">
        <v>80</v>
      </c>
    </row>
    <row r="8" spans="1:8" ht="12.75">
      <c r="A8" s="48">
        <v>1</v>
      </c>
      <c r="B8" s="49" t="s">
        <v>81</v>
      </c>
      <c r="C8" s="50"/>
      <c r="D8" s="50"/>
      <c r="E8" s="51">
        <f>F8+G8</f>
        <v>0</v>
      </c>
      <c r="F8" s="51">
        <v>0</v>
      </c>
      <c r="G8" s="51">
        <v>0</v>
      </c>
      <c r="H8" s="50" t="str">
        <f aca="true" t="shared" si="0" ref="H8:H13">IF(E8=F8+G8," ","ERROR")</f>
        <v> </v>
      </c>
    </row>
    <row r="9" spans="1:8" ht="12.75">
      <c r="A9" s="44">
        <v>2</v>
      </c>
      <c r="B9" s="47" t="s">
        <v>82</v>
      </c>
      <c r="E9" s="52"/>
      <c r="F9" s="52"/>
      <c r="G9" s="52"/>
      <c r="H9" s="50" t="str">
        <f t="shared" si="0"/>
        <v> </v>
      </c>
    </row>
    <row r="10" spans="1:8" ht="12.75">
      <c r="A10" s="44">
        <v>3</v>
      </c>
      <c r="B10" s="47" t="s">
        <v>142</v>
      </c>
      <c r="E10" s="52"/>
      <c r="F10" s="52"/>
      <c r="G10" s="52"/>
      <c r="H10" s="50" t="str">
        <f t="shared" si="0"/>
        <v> </v>
      </c>
    </row>
    <row r="11" spans="1:8" ht="12.75">
      <c r="A11" s="44">
        <v>4</v>
      </c>
      <c r="B11" s="47" t="s">
        <v>143</v>
      </c>
      <c r="E11" s="53">
        <f>E8+E9+E10</f>
        <v>0</v>
      </c>
      <c r="F11" s="53">
        <f>F8+F9+F10</f>
        <v>0</v>
      </c>
      <c r="G11" s="53">
        <f>G8+G9+G10</f>
        <v>0</v>
      </c>
      <c r="H11" s="50" t="str">
        <f t="shared" si="0"/>
        <v> </v>
      </c>
    </row>
    <row r="12" spans="1:8" ht="12.75">
      <c r="A12" s="44">
        <v>5</v>
      </c>
      <c r="B12" s="47" t="s">
        <v>85</v>
      </c>
      <c r="E12" s="52"/>
      <c r="F12" s="52"/>
      <c r="G12" s="52"/>
      <c r="H12" s="50" t="str">
        <f t="shared" si="0"/>
        <v> </v>
      </c>
    </row>
    <row r="13" spans="1:8" ht="12.75">
      <c r="A13" s="44">
        <v>6</v>
      </c>
      <c r="B13" s="47" t="s">
        <v>144</v>
      </c>
      <c r="E13" s="53">
        <f>E11+E12</f>
        <v>0</v>
      </c>
      <c r="F13" s="53">
        <f>F11+F12</f>
        <v>0</v>
      </c>
      <c r="G13" s="53">
        <f>G11+G12</f>
        <v>0</v>
      </c>
      <c r="H13" s="50" t="str">
        <f t="shared" si="0"/>
        <v> </v>
      </c>
    </row>
    <row r="14" spans="5:8" ht="12.75">
      <c r="E14" s="55"/>
      <c r="F14" s="55"/>
      <c r="G14" s="55"/>
      <c r="H14" s="50"/>
    </row>
    <row r="15" spans="2:8" ht="12.75">
      <c r="B15" s="47" t="s">
        <v>87</v>
      </c>
      <c r="E15" s="55"/>
      <c r="F15" s="55"/>
      <c r="G15" s="55"/>
      <c r="H15" s="50"/>
    </row>
    <row r="16" spans="2:8" ht="12.75">
      <c r="B16" s="47" t="s">
        <v>88</v>
      </c>
      <c r="E16" s="55"/>
      <c r="F16" s="55"/>
      <c r="G16" s="55"/>
      <c r="H16" s="50"/>
    </row>
    <row r="17" spans="1:8" ht="12.75">
      <c r="A17" s="44">
        <v>7</v>
      </c>
      <c r="B17" s="47" t="s">
        <v>145</v>
      </c>
      <c r="E17" s="52"/>
      <c r="F17" s="52"/>
      <c r="G17" s="52"/>
      <c r="H17" s="50" t="str">
        <f>IF(E17=F17+G17," ","ERROR")</f>
        <v> </v>
      </c>
    </row>
    <row r="18" spans="1:8" ht="12.75">
      <c r="A18" s="44">
        <v>8</v>
      </c>
      <c r="B18" s="47" t="s">
        <v>146</v>
      </c>
      <c r="E18" s="52"/>
      <c r="F18" s="52"/>
      <c r="G18" s="52"/>
      <c r="H18" s="50" t="str">
        <f>IF(E18=F18+G18," ","ERROR")</f>
        <v> </v>
      </c>
    </row>
    <row r="19" spans="1:8" ht="12.75">
      <c r="A19" s="44">
        <v>9</v>
      </c>
      <c r="B19" s="47" t="s">
        <v>147</v>
      </c>
      <c r="E19" s="52"/>
      <c r="F19" s="52"/>
      <c r="G19" s="52"/>
      <c r="H19" s="50" t="str">
        <f>IF(E19=F19+G19," ","ERROR")</f>
        <v> </v>
      </c>
    </row>
    <row r="20" spans="1:8" ht="12.75">
      <c r="A20" s="44">
        <v>10</v>
      </c>
      <c r="B20" s="47" t="s">
        <v>148</v>
      </c>
      <c r="E20" s="52"/>
      <c r="F20" s="52"/>
      <c r="G20" s="52"/>
      <c r="H20" s="50" t="str">
        <f>IF(E20=F20+G20," ","ERROR")</f>
        <v> </v>
      </c>
    </row>
    <row r="21" spans="1:8" ht="12.75">
      <c r="A21" s="44">
        <v>11</v>
      </c>
      <c r="B21" s="47" t="s">
        <v>149</v>
      </c>
      <c r="E21" s="53">
        <f>E17+E18+E19+E20</f>
        <v>0</v>
      </c>
      <c r="F21" s="53">
        <f>F17+F18+F19+F20</f>
        <v>0</v>
      </c>
      <c r="G21" s="53">
        <f>G17+G18+G19+G20</f>
        <v>0</v>
      </c>
      <c r="H21" s="50" t="str">
        <f>IF(E21=F21+G21," ","ERROR")</f>
        <v> </v>
      </c>
    </row>
    <row r="22" spans="5:8" ht="12.75">
      <c r="E22" s="55"/>
      <c r="F22" s="55"/>
      <c r="G22" s="55"/>
      <c r="H22" s="50"/>
    </row>
    <row r="23" spans="2:8" ht="12.75">
      <c r="B23" s="47" t="s">
        <v>93</v>
      </c>
      <c r="E23" s="55"/>
      <c r="F23" s="55"/>
      <c r="G23" s="55"/>
      <c r="H23" s="50"/>
    </row>
    <row r="24" spans="1:8" ht="12.75">
      <c r="A24" s="44">
        <v>12</v>
      </c>
      <c r="B24" s="47" t="s">
        <v>145</v>
      </c>
      <c r="E24" s="52"/>
      <c r="F24" s="52"/>
      <c r="G24" s="52"/>
      <c r="H24" s="50" t="str">
        <f>IF(E24=F24+G24," ","ERROR")</f>
        <v> </v>
      </c>
    </row>
    <row r="25" spans="1:8" ht="12.75">
      <c r="A25" s="44">
        <v>13</v>
      </c>
      <c r="B25" s="47" t="s">
        <v>150</v>
      </c>
      <c r="E25" s="52"/>
      <c r="F25" s="52"/>
      <c r="G25" s="52"/>
      <c r="H25" s="50" t="str">
        <f>IF(E25=F25+G25," ","ERROR")</f>
        <v> </v>
      </c>
    </row>
    <row r="26" spans="1:8" ht="12.75">
      <c r="A26" s="44">
        <v>14</v>
      </c>
      <c r="B26" s="47" t="s">
        <v>148</v>
      </c>
      <c r="E26" s="52"/>
      <c r="F26" s="52"/>
      <c r="G26" s="52"/>
      <c r="H26" s="50" t="str">
        <f>IF(E26=F26+G26," ","ERROR")</f>
        <v> </v>
      </c>
    </row>
    <row r="27" spans="1:8" ht="12.75">
      <c r="A27" s="44">
        <v>15</v>
      </c>
      <c r="B27" s="47" t="s">
        <v>151</v>
      </c>
      <c r="E27" s="53">
        <f>E24+E25+E26</f>
        <v>0</v>
      </c>
      <c r="F27" s="53">
        <f>F24+F25+F26</f>
        <v>0</v>
      </c>
      <c r="G27" s="53">
        <f>G24+G25+G26</f>
        <v>0</v>
      </c>
      <c r="H27" s="50" t="str">
        <f>IF(E27=F27+G27," ","ERROR")</f>
        <v> </v>
      </c>
    </row>
    <row r="28" spans="5:8" ht="12.75">
      <c r="E28" s="55"/>
      <c r="F28" s="55"/>
      <c r="G28" s="55"/>
      <c r="H28" s="50"/>
    </row>
    <row r="29" spans="1:8" ht="12.75">
      <c r="A29" s="44">
        <v>16</v>
      </c>
      <c r="B29" s="47" t="s">
        <v>96</v>
      </c>
      <c r="E29" s="52"/>
      <c r="F29" s="52"/>
      <c r="G29" s="52"/>
      <c r="H29" s="50" t="str">
        <f>IF(E29=F29+G29," ","ERROR")</f>
        <v> </v>
      </c>
    </row>
    <row r="30" spans="1:8" ht="12.75">
      <c r="A30" s="44">
        <v>17</v>
      </c>
      <c r="B30" s="47" t="s">
        <v>97</v>
      </c>
      <c r="E30" s="52"/>
      <c r="F30" s="52"/>
      <c r="G30" s="52"/>
      <c r="H30" s="50" t="str">
        <f>IF(E30=F30+G30," ","ERROR")</f>
        <v> </v>
      </c>
    </row>
    <row r="31" spans="1:8" ht="12.75">
      <c r="A31" s="44">
        <v>18</v>
      </c>
      <c r="B31" s="47" t="s">
        <v>152</v>
      </c>
      <c r="E31" s="52"/>
      <c r="F31" s="52"/>
      <c r="G31" s="52"/>
      <c r="H31" s="50" t="str">
        <f>IF(E31=F31+G31," ","ERROR")</f>
        <v> </v>
      </c>
    </row>
    <row r="32" spans="5:8" ht="12.75">
      <c r="E32" s="55"/>
      <c r="F32" s="55"/>
      <c r="G32" s="55"/>
      <c r="H32" s="50"/>
    </row>
    <row r="33" spans="2:8" ht="12.75">
      <c r="B33" s="47" t="s">
        <v>99</v>
      </c>
      <c r="E33" s="55"/>
      <c r="F33" s="55"/>
      <c r="G33" s="55"/>
      <c r="H33" s="50"/>
    </row>
    <row r="34" spans="1:8" ht="12.75">
      <c r="A34" s="44">
        <v>19</v>
      </c>
      <c r="B34" s="47" t="s">
        <v>145</v>
      </c>
      <c r="E34" s="52">
        <f>SUM(F34:G34)</f>
        <v>521</v>
      </c>
      <c r="F34" s="52">
        <f>ROUND((53362+467418)/1000,0)</f>
        <v>521</v>
      </c>
      <c r="G34" s="52"/>
      <c r="H34" s="50" t="str">
        <f>IF(E34=F34+G34," ","ERROR")</f>
        <v> </v>
      </c>
    </row>
    <row r="35" spans="1:8" ht="12.75">
      <c r="A35" s="44">
        <v>20</v>
      </c>
      <c r="B35" s="47" t="s">
        <v>150</v>
      </c>
      <c r="E35" s="52">
        <f>SUM(F35:G35)</f>
        <v>13</v>
      </c>
      <c r="F35" s="52">
        <v>13</v>
      </c>
      <c r="G35" s="52"/>
      <c r="H35" s="50" t="str">
        <f>IF(E35=F35+G35," ","ERROR")</f>
        <v> </v>
      </c>
    </row>
    <row r="36" spans="1:8" ht="12.75">
      <c r="A36" s="44">
        <v>21</v>
      </c>
      <c r="B36" s="47" t="s">
        <v>148</v>
      </c>
      <c r="E36" s="52"/>
      <c r="F36" s="52"/>
      <c r="G36" s="52"/>
      <c r="H36" s="50" t="str">
        <f>IF(E36=F36+G36," ","ERROR")</f>
        <v> </v>
      </c>
    </row>
    <row r="37" spans="1:8" ht="12.75">
      <c r="A37" s="44">
        <v>22</v>
      </c>
      <c r="B37" s="47" t="s">
        <v>153</v>
      </c>
      <c r="E37" s="57">
        <f>E34+E35+E36</f>
        <v>534</v>
      </c>
      <c r="F37" s="57">
        <f>F34+F35+F36</f>
        <v>534</v>
      </c>
      <c r="G37" s="57">
        <f>G34+G35+G36</f>
        <v>0</v>
      </c>
      <c r="H37" s="50" t="str">
        <f>IF(E37=F37+G37," ","ERROR")</f>
        <v> </v>
      </c>
    </row>
    <row r="38" spans="1:8" ht="12.75">
      <c r="A38" s="44">
        <v>23</v>
      </c>
      <c r="B38" s="47" t="s">
        <v>101</v>
      </c>
      <c r="E38" s="58">
        <f>E21+E27+E29+E30+E31+E37</f>
        <v>534</v>
      </c>
      <c r="F38" s="58">
        <f>F21+F27+F29+F30+F31+F37</f>
        <v>534</v>
      </c>
      <c r="G38" s="58">
        <f>G21+G27+G29+G30+G31+G37</f>
        <v>0</v>
      </c>
      <c r="H38" s="50" t="str">
        <f>IF(E38=F38+G38," ","ERROR")</f>
        <v> </v>
      </c>
    </row>
    <row r="39" spans="5:8" ht="12.75">
      <c r="E39" s="55"/>
      <c r="F39" s="55"/>
      <c r="G39" s="55"/>
      <c r="H39" s="50"/>
    </row>
    <row r="40" spans="1:8" ht="12.75">
      <c r="A40" s="44">
        <v>24</v>
      </c>
      <c r="B40" s="47" t="s">
        <v>154</v>
      </c>
      <c r="E40" s="55">
        <f>E13-E38</f>
        <v>-534</v>
      </c>
      <c r="F40" s="55">
        <f>F13-F38</f>
        <v>-534</v>
      </c>
      <c r="G40" s="55">
        <f>G13-G38</f>
        <v>0</v>
      </c>
      <c r="H40" s="50" t="str">
        <f>IF(E40=F40+G40," ","ERROR")</f>
        <v> </v>
      </c>
    </row>
    <row r="41" spans="2:8" ht="12.75">
      <c r="B41" s="47"/>
      <c r="E41" s="55"/>
      <c r="F41" s="55"/>
      <c r="G41" s="55"/>
      <c r="H41" s="50"/>
    </row>
    <row r="42" spans="2:8" ht="12.75">
      <c r="B42" s="47" t="s">
        <v>155</v>
      </c>
      <c r="E42" s="55"/>
      <c r="F42" s="55"/>
      <c r="G42" s="55"/>
      <c r="H42" s="50"/>
    </row>
    <row r="43" spans="1:8" ht="12.75">
      <c r="A43" s="44">
        <v>25</v>
      </c>
      <c r="B43" s="47" t="s">
        <v>156</v>
      </c>
      <c r="D43" s="59">
        <v>0.35</v>
      </c>
      <c r="E43" s="52">
        <f>F43+G44</f>
        <v>-187</v>
      </c>
      <c r="F43" s="52">
        <f>ROUND(F40*D$43,0)</f>
        <v>-187</v>
      </c>
      <c r="G43" s="52">
        <f>ROUND(G40*D43,0)</f>
        <v>0</v>
      </c>
      <c r="H43" s="50" t="str">
        <f>IF(E43=F43+G43," ","ERROR")</f>
        <v> </v>
      </c>
    </row>
    <row r="44" spans="1:8" ht="12.75">
      <c r="A44" s="44">
        <v>26</v>
      </c>
      <c r="B44" s="47" t="s">
        <v>157</v>
      </c>
      <c r="G44" s="52"/>
      <c r="H44" s="50" t="str">
        <f>IF(E43=F43+G44," ","ERROR")</f>
        <v> </v>
      </c>
    </row>
    <row r="45" spans="1:8" ht="12.75">
      <c r="A45"/>
      <c r="B45"/>
      <c r="C45"/>
      <c r="D45"/>
      <c r="E45" s="943"/>
      <c r="F45" s="943"/>
      <c r="G45" s="943"/>
      <c r="H45" s="50" t="str">
        <f>IF(E45=F45+G45," ","ERROR")</f>
        <v> </v>
      </c>
    </row>
    <row r="46" spans="1:8" ht="12.75">
      <c r="A46" s="278"/>
      <c r="B46" s="281"/>
      <c r="C46" s="275"/>
      <c r="D46" s="275"/>
      <c r="E46" s="288"/>
      <c r="F46" s="288"/>
      <c r="G46" s="288"/>
      <c r="H46" s="50"/>
    </row>
    <row r="47" spans="1:8" ht="12.75">
      <c r="A47" s="282">
        <v>27</v>
      </c>
      <c r="B47" s="283" t="s">
        <v>108</v>
      </c>
      <c r="C47" s="284"/>
      <c r="D47" s="284"/>
      <c r="E47" s="292">
        <f>E40-SUM(E43:E43)</f>
        <v>-347</v>
      </c>
      <c r="F47" s="292">
        <f>F40-SUM(F43:F43)</f>
        <v>-347</v>
      </c>
      <c r="G47" s="292">
        <f>G40-SUM(G43:G44)</f>
        <v>0</v>
      </c>
      <c r="H47" s="50" t="str">
        <f>IF(E47=F47+G47," ","ERROR")</f>
        <v> </v>
      </c>
    </row>
    <row r="48" spans="1:8" ht="12.75">
      <c r="A48" s="278"/>
      <c r="H48" s="50"/>
    </row>
    <row r="49" spans="1:8" ht="12.75">
      <c r="A49" s="278"/>
      <c r="B49" s="47" t="s">
        <v>109</v>
      </c>
      <c r="H49" s="50"/>
    </row>
    <row r="50" spans="1:8" ht="12.75">
      <c r="A50" s="278"/>
      <c r="B50" s="47" t="s">
        <v>110</v>
      </c>
      <c r="H50" s="50"/>
    </row>
    <row r="51" spans="1:8" ht="12.75">
      <c r="A51" s="282">
        <v>28</v>
      </c>
      <c r="B51" s="49" t="s">
        <v>159</v>
      </c>
      <c r="C51" s="50"/>
      <c r="D51" s="50"/>
      <c r="E51" s="51"/>
      <c r="F51" s="51"/>
      <c r="G51" s="51"/>
      <c r="H51" s="50" t="str">
        <f aca="true" t="shared" si="1" ref="H51:H61">IF(E51=F51+G51," ","ERROR")</f>
        <v> </v>
      </c>
    </row>
    <row r="52" spans="1:8" ht="12.75">
      <c r="A52" s="278">
        <v>29</v>
      </c>
      <c r="B52" s="47" t="s">
        <v>160</v>
      </c>
      <c r="E52" s="52">
        <f>F52+G52</f>
        <v>0</v>
      </c>
      <c r="F52" s="52"/>
      <c r="G52" s="52"/>
      <c r="H52" s="50" t="str">
        <f t="shared" si="1"/>
        <v> </v>
      </c>
    </row>
    <row r="53" spans="1:8" ht="12.75">
      <c r="A53" s="278">
        <v>30</v>
      </c>
      <c r="B53" s="47" t="s">
        <v>161</v>
      </c>
      <c r="E53" s="52"/>
      <c r="F53" s="52"/>
      <c r="G53" s="52"/>
      <c r="H53" s="50" t="str">
        <f t="shared" si="1"/>
        <v> </v>
      </c>
    </row>
    <row r="54" spans="1:8" ht="12.75">
      <c r="A54" s="278">
        <v>31</v>
      </c>
      <c r="B54" s="47" t="s">
        <v>162</v>
      </c>
      <c r="E54" s="52"/>
      <c r="F54" s="52"/>
      <c r="G54" s="52"/>
      <c r="H54" s="50" t="str">
        <f t="shared" si="1"/>
        <v> </v>
      </c>
    </row>
    <row r="55" spans="1:8" ht="12.75">
      <c r="A55" s="278">
        <v>32</v>
      </c>
      <c r="B55" s="47" t="s">
        <v>163</v>
      </c>
      <c r="E55" s="56"/>
      <c r="F55" s="56"/>
      <c r="G55" s="56"/>
      <c r="H55" s="50" t="str">
        <f t="shared" si="1"/>
        <v> </v>
      </c>
    </row>
    <row r="56" spans="1:8" ht="12.75">
      <c r="A56" s="278">
        <v>33</v>
      </c>
      <c r="B56" s="47" t="s">
        <v>164</v>
      </c>
      <c r="E56" s="55">
        <f>E51+E52+E53+E54+E55</f>
        <v>0</v>
      </c>
      <c r="F56" s="55">
        <f>F51+F52+F53+F54+F55</f>
        <v>0</v>
      </c>
      <c r="G56" s="55">
        <f>G51+G52+G53+G54+G55</f>
        <v>0</v>
      </c>
      <c r="H56" s="50" t="str">
        <f t="shared" si="1"/>
        <v> </v>
      </c>
    </row>
    <row r="57" spans="1:8" ht="12.75">
      <c r="A57" s="278">
        <v>34</v>
      </c>
      <c r="B57" s="47" t="s">
        <v>116</v>
      </c>
      <c r="E57" s="52">
        <f>F57+G57</f>
        <v>0</v>
      </c>
      <c r="F57" s="52"/>
      <c r="G57" s="52"/>
      <c r="H57" s="50" t="str">
        <f t="shared" si="1"/>
        <v> </v>
      </c>
    </row>
    <row r="58" spans="1:8" ht="12.75">
      <c r="A58" s="278">
        <v>35</v>
      </c>
      <c r="B58" s="47" t="s">
        <v>117</v>
      </c>
      <c r="E58" s="56"/>
      <c r="F58" s="56"/>
      <c r="G58" s="56"/>
      <c r="H58" s="50" t="str">
        <f t="shared" si="1"/>
        <v> </v>
      </c>
    </row>
    <row r="59" spans="1:8" ht="12.75">
      <c r="A59" s="278">
        <v>36</v>
      </c>
      <c r="B59" s="47" t="s">
        <v>165</v>
      </c>
      <c r="E59" s="55">
        <f>E57+E58</f>
        <v>0</v>
      </c>
      <c r="F59" s="55">
        <f>F57+F58</f>
        <v>0</v>
      </c>
      <c r="G59" s="55">
        <f>G57+G58</f>
        <v>0</v>
      </c>
      <c r="H59" s="50" t="str">
        <f t="shared" si="1"/>
        <v> </v>
      </c>
    </row>
    <row r="60" spans="1:8" ht="12.75">
      <c r="A60" s="278">
        <v>37</v>
      </c>
      <c r="B60" s="47" t="s">
        <v>119</v>
      </c>
      <c r="E60" s="52"/>
      <c r="F60" s="52"/>
      <c r="G60" s="52"/>
      <c r="H60" s="50" t="str">
        <f t="shared" si="1"/>
        <v> </v>
      </c>
    </row>
    <row r="61" spans="1:8" ht="12.75">
      <c r="A61" s="278">
        <v>38</v>
      </c>
      <c r="B61" s="47" t="s">
        <v>120</v>
      </c>
      <c r="E61" s="56">
        <f>F61+G61</f>
        <v>0</v>
      </c>
      <c r="F61" s="56"/>
      <c r="G61" s="56"/>
      <c r="H61" s="50" t="str">
        <f t="shared" si="1"/>
        <v> </v>
      </c>
    </row>
    <row r="62" spans="1:8" ht="11.25" customHeight="1">
      <c r="A62" s="278"/>
      <c r="H62" s="50"/>
    </row>
    <row r="63" spans="1:8" ht="13.5" thickBot="1">
      <c r="A63" s="282">
        <v>39</v>
      </c>
      <c r="B63" s="49" t="s">
        <v>121</v>
      </c>
      <c r="C63" s="50"/>
      <c r="D63" s="50"/>
      <c r="E63" s="60">
        <f>E56-E59+E60+E61</f>
        <v>0</v>
      </c>
      <c r="F63" s="60">
        <f>F56-F59+F60+F61</f>
        <v>0</v>
      </c>
      <c r="G63" s="60">
        <f>G56-G59+G60+G61</f>
        <v>0</v>
      </c>
      <c r="H63" s="50" t="str">
        <f>IF(E63=F63+G63," ","ERROR")</f>
        <v> </v>
      </c>
    </row>
    <row r="64" spans="1:8" ht="13.5" thickTop="1">
      <c r="A64" s="41"/>
      <c r="B64" s="66"/>
      <c r="C64" s="66"/>
      <c r="D64" s="66"/>
      <c r="E64" s="719"/>
      <c r="F64" s="720"/>
      <c r="G64" s="66"/>
      <c r="H64" s="66"/>
    </row>
  </sheetData>
  <printOptions/>
  <pageMargins left="0.75" right="0.75" top="0.5" bottom="0.18" header="0.48" footer="0"/>
  <pageSetup horizontalDpi="600" verticalDpi="600" orientation="portrait" scale="87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D6"/>
  <sheetViews>
    <sheetView workbookViewId="0" topLeftCell="A1">
      <selection activeCell="D20" sqref="D20"/>
    </sheetView>
  </sheetViews>
  <sheetFormatPr defaultColWidth="9.140625" defaultRowHeight="12.75"/>
  <cols>
    <col min="1" max="1" width="21.57421875" style="0" customWidth="1"/>
    <col min="4" max="4" width="43.7109375" style="0" customWidth="1"/>
  </cols>
  <sheetData>
    <row r="2" spans="1:4" ht="12.75">
      <c r="A2" t="s">
        <v>249</v>
      </c>
      <c r="D2" s="248" t="s">
        <v>520</v>
      </c>
    </row>
    <row r="3" ht="12.75">
      <c r="D3" s="248"/>
    </row>
    <row r="4" spans="1:4" ht="12.75">
      <c r="A4" s="246" t="s">
        <v>250</v>
      </c>
      <c r="B4" s="246"/>
      <c r="D4" s="1002">
        <v>0.01065</v>
      </c>
    </row>
    <row r="5" ht="12.75">
      <c r="A5" s="247"/>
    </row>
    <row r="6" spans="1:4" ht="12.75">
      <c r="A6" s="270" t="s">
        <v>251</v>
      </c>
      <c r="B6" s="271"/>
      <c r="C6" s="271"/>
      <c r="D6" s="272" t="s">
        <v>252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H161"/>
  <sheetViews>
    <sheetView workbookViewId="0" topLeftCell="A7">
      <selection activeCell="G49" sqref="G49"/>
    </sheetView>
  </sheetViews>
  <sheetFormatPr defaultColWidth="9.140625" defaultRowHeight="12.75"/>
  <cols>
    <col min="1" max="1" width="4.8515625" style="802" customWidth="1"/>
    <col min="2" max="2" width="18.7109375" style="798" customWidth="1"/>
    <col min="3" max="4" width="10.7109375" style="798" customWidth="1"/>
    <col min="5" max="5" width="10.140625" style="798" customWidth="1"/>
    <col min="6" max="6" width="14.7109375" style="801" customWidth="1"/>
    <col min="7" max="16384" width="10.7109375" style="798" customWidth="1"/>
  </cols>
  <sheetData>
    <row r="1" spans="1:6" ht="12.75">
      <c r="A1" s="862" t="s">
        <v>252</v>
      </c>
      <c r="B1" s="819"/>
      <c r="C1" s="799"/>
      <c r="D1" s="800"/>
      <c r="E1" s="799"/>
      <c r="F1" s="800"/>
    </row>
    <row r="2" spans="1:6" ht="12.75">
      <c r="A2" s="819" t="s">
        <v>486</v>
      </c>
      <c r="B2" s="819"/>
      <c r="C2" s="799"/>
      <c r="D2" s="800"/>
      <c r="E2" s="799"/>
      <c r="F2" s="800"/>
    </row>
    <row r="3" spans="1:6" ht="12.75">
      <c r="A3" s="819" t="s">
        <v>315</v>
      </c>
      <c r="B3" s="819"/>
      <c r="C3" s="799"/>
      <c r="D3" s="800"/>
      <c r="E3" s="799"/>
      <c r="F3" s="800"/>
    </row>
    <row r="4" spans="1:6" ht="12.75">
      <c r="A4" s="863" t="s">
        <v>533</v>
      </c>
      <c r="B4" s="819"/>
      <c r="C4" s="799"/>
      <c r="D4" s="800"/>
      <c r="E4" s="799"/>
      <c r="F4" s="800"/>
    </row>
    <row r="5" spans="1:6" ht="12.75">
      <c r="A5" s="799" t="s">
        <v>293</v>
      </c>
      <c r="B5" s="799"/>
      <c r="C5" s="799"/>
      <c r="D5" s="800"/>
      <c r="E5" s="800"/>
      <c r="F5" s="800"/>
    </row>
    <row r="6" spans="3:6" ht="12.75">
      <c r="C6" s="801"/>
      <c r="D6" s="801"/>
      <c r="E6" s="803"/>
      <c r="F6" s="802" t="s">
        <v>36</v>
      </c>
    </row>
    <row r="7" spans="2:6" ht="12.75">
      <c r="B7" s="804" t="s">
        <v>294</v>
      </c>
      <c r="C7" s="801"/>
      <c r="D7" s="801"/>
      <c r="E7" s="803"/>
      <c r="F7" s="805" t="s">
        <v>295</v>
      </c>
    </row>
    <row r="8" spans="1:7" ht="12.75">
      <c r="A8" s="802" t="str">
        <f>PFRstmtSheet!A10</f>
        <v>b</v>
      </c>
      <c r="B8" s="860" t="str">
        <f>PFRstmtSheet!B10</f>
        <v>Per Results Report</v>
      </c>
      <c r="C8" s="801"/>
      <c r="D8" s="801"/>
      <c r="E8" s="806"/>
      <c r="F8" s="963">
        <f>PFRstmtSheet!G10</f>
        <v>867289</v>
      </c>
      <c r="G8" s="821"/>
    </row>
    <row r="9" spans="1:7" ht="12.75">
      <c r="A9" s="802" t="str">
        <f>PFRstmtSheet!A11</f>
        <v>c</v>
      </c>
      <c r="B9" s="860" t="str">
        <f>PFRstmtSheet!B11</f>
        <v>Deferred FIT Rate Base</v>
      </c>
      <c r="C9" s="801"/>
      <c r="D9" s="801"/>
      <c r="E9" s="806"/>
      <c r="F9" s="963">
        <f>PFRstmtSheet!G11</f>
        <v>-150785</v>
      </c>
      <c r="G9" s="821"/>
    </row>
    <row r="10" spans="1:7" ht="12.75">
      <c r="A10" s="802" t="str">
        <f>PFRstmtSheet!A12</f>
        <v>d</v>
      </c>
      <c r="B10" s="860" t="str">
        <f>PFRstmtSheet!B12</f>
        <v>Deferred Gain on Office Building</v>
      </c>
      <c r="C10" s="801"/>
      <c r="D10" s="801"/>
      <c r="E10" s="806"/>
      <c r="F10" s="963">
        <f>PFRstmtSheet!G12</f>
        <v>-465</v>
      </c>
      <c r="G10" s="821"/>
    </row>
    <row r="11" spans="1:8" ht="12.75">
      <c r="A11" s="802" t="str">
        <f>PFRstmtSheet!A13</f>
        <v>e</v>
      </c>
      <c r="B11" s="860" t="str">
        <f>PFRstmtSheet!B13</f>
        <v>Colstrip 3 AFUDC Elimination</v>
      </c>
      <c r="C11" s="801"/>
      <c r="D11" s="801"/>
      <c r="E11" s="806"/>
      <c r="F11" s="963">
        <f>PFRstmtSheet!G13</f>
        <v>-2302</v>
      </c>
      <c r="G11" s="821"/>
      <c r="H11" s="873" t="s">
        <v>371</v>
      </c>
    </row>
    <row r="12" spans="1:8" ht="12.75">
      <c r="A12" s="802" t="str">
        <f>PFRstmtSheet!A14</f>
        <v>f</v>
      </c>
      <c r="B12" s="860" t="str">
        <f>PFRstmtSheet!B14</f>
        <v>Colstrip Common AFUDC</v>
      </c>
      <c r="C12" s="801"/>
      <c r="D12" s="801"/>
      <c r="E12" s="806"/>
      <c r="F12" s="963">
        <f>PFRstmtSheet!G14</f>
        <v>492</v>
      </c>
      <c r="G12" s="821"/>
      <c r="H12" s="873" t="s">
        <v>370</v>
      </c>
    </row>
    <row r="13" spans="1:7" ht="12.75">
      <c r="A13" s="802" t="str">
        <f>PFRstmtSheet!A15</f>
        <v>g</v>
      </c>
      <c r="B13" s="860" t="str">
        <f>PFRstmtSheet!B15</f>
        <v>Kettle Falls Disallow.</v>
      </c>
      <c r="C13" s="801"/>
      <c r="D13" s="801"/>
      <c r="E13" s="806"/>
      <c r="F13" s="963">
        <f>PFRstmtSheet!G15</f>
        <v>-1021</v>
      </c>
      <c r="G13" s="821"/>
    </row>
    <row r="14" spans="1:7" ht="12.75">
      <c r="A14" s="802" t="str">
        <f>PFRstmtSheet!A16</f>
        <v>h</v>
      </c>
      <c r="B14" s="860" t="str">
        <f>PFRstmtSheet!B16</f>
        <v>Customer Advances</v>
      </c>
      <c r="C14" s="801"/>
      <c r="D14" s="801"/>
      <c r="E14" s="806"/>
      <c r="F14" s="963">
        <f>PFRstmtSheet!G16</f>
        <v>-223</v>
      </c>
      <c r="G14" s="821"/>
    </row>
    <row r="15" spans="1:7" ht="12.75">
      <c r="A15" s="802" t="str">
        <f>PFRstmtSheet!A17</f>
        <v>i</v>
      </c>
      <c r="B15" s="860" t="str">
        <f>PFRstmtSheet!B17</f>
        <v>Settlement Exchange Power</v>
      </c>
      <c r="C15" s="801"/>
      <c r="D15" s="801"/>
      <c r="E15" s="806"/>
      <c r="F15" s="963">
        <f>PFRstmtSheet!G17</f>
        <v>26681</v>
      </c>
      <c r="G15" s="821"/>
    </row>
    <row r="16" spans="1:7" ht="12.75" hidden="1">
      <c r="A16" s="802" t="str">
        <f>PFRstmtSheet!A21</f>
        <v>j</v>
      </c>
      <c r="B16" s="860" t="str">
        <f>PFRstmtSheet!B21</f>
        <v>Hydro Relicensing Adj</v>
      </c>
      <c r="C16" s="801"/>
      <c r="D16" s="801"/>
      <c r="E16" s="806"/>
      <c r="F16" s="963">
        <f>PFRstmtSheet!G21</f>
        <v>0</v>
      </c>
      <c r="G16" s="821"/>
    </row>
    <row r="17" spans="1:7" ht="12.75" hidden="1">
      <c r="A17" s="802" t="str">
        <f>PFRstmtSheet!A22</f>
        <v>k</v>
      </c>
      <c r="B17" s="860" t="str">
        <f>PFRstmtSheet!B22</f>
        <v>Eliminate B &amp; O Taxes</v>
      </c>
      <c r="C17" s="801"/>
      <c r="D17" s="801"/>
      <c r="E17" s="806"/>
      <c r="F17" s="963">
        <f>PFRstmtSheet!G22</f>
        <v>0</v>
      </c>
      <c r="G17" s="821"/>
    </row>
    <row r="18" spans="1:7" ht="12.75" hidden="1">
      <c r="A18" s="802" t="str">
        <f>PFRstmtSheet!A23</f>
        <v>l</v>
      </c>
      <c r="B18" s="860" t="str">
        <f>PFRstmtSheet!B23</f>
        <v>Property Tax</v>
      </c>
      <c r="C18" s="801"/>
      <c r="D18" s="801"/>
      <c r="E18" s="806"/>
      <c r="F18" s="963">
        <f>PFRstmtSheet!G23</f>
        <v>0</v>
      </c>
      <c r="G18" s="821"/>
    </row>
    <row r="19" spans="1:7" ht="12.75" hidden="1">
      <c r="A19" s="802" t="str">
        <f>PFRstmtSheet!A24</f>
        <v>m</v>
      </c>
      <c r="B19" s="860" t="str">
        <f>PFRstmtSheet!B24</f>
        <v>Uncollect. Expense</v>
      </c>
      <c r="C19" s="801"/>
      <c r="D19" s="801"/>
      <c r="E19" s="806"/>
      <c r="F19" s="963">
        <f>PFRstmtSheet!G24</f>
        <v>0</v>
      </c>
      <c r="G19" s="821"/>
    </row>
    <row r="20" spans="1:7" ht="12.75" hidden="1">
      <c r="A20" s="802" t="str">
        <f>PFRstmtSheet!A25</f>
        <v>n</v>
      </c>
      <c r="B20" s="860" t="str">
        <f>PFRstmtSheet!B25</f>
        <v>Regulatory Expense</v>
      </c>
      <c r="C20" s="801"/>
      <c r="D20" s="801"/>
      <c r="E20" s="806"/>
      <c r="F20" s="963">
        <f>PFRstmtSheet!G25</f>
        <v>0</v>
      </c>
      <c r="G20" s="821"/>
    </row>
    <row r="21" spans="1:7" ht="12.75" hidden="1">
      <c r="A21" s="802" t="str">
        <f>PFRstmtSheet!A26</f>
        <v>o</v>
      </c>
      <c r="B21" s="860" t="str">
        <f>PFRstmtSheet!B26</f>
        <v>Injuries and Damages</v>
      </c>
      <c r="C21" s="801"/>
      <c r="D21" s="801"/>
      <c r="E21" s="806"/>
      <c r="F21" s="963">
        <f>PFRstmtSheet!G26</f>
        <v>0</v>
      </c>
      <c r="G21" s="821"/>
    </row>
    <row r="22" spans="1:7" ht="12.75" hidden="1">
      <c r="A22" s="802" t="str">
        <f>PFRstmtSheet!A27</f>
        <v>p</v>
      </c>
      <c r="B22" s="860" t="str">
        <f>PFRstmtSheet!B27</f>
        <v>FIT</v>
      </c>
      <c r="C22" s="801"/>
      <c r="D22" s="801"/>
      <c r="E22" s="806"/>
      <c r="F22" s="963">
        <f>PFRstmtSheet!G27</f>
        <v>0</v>
      </c>
      <c r="G22" s="821"/>
    </row>
    <row r="23" spans="1:7" ht="12.75" hidden="1">
      <c r="A23" s="802" t="str">
        <f>PFRstmtSheet!A28</f>
        <v>q</v>
      </c>
      <c r="B23" s="860" t="str">
        <f>PFRstmtSheet!B28</f>
        <v>Eliminate WA ERM Surcharge &amp; Deferrals</v>
      </c>
      <c r="C23" s="801"/>
      <c r="D23" s="801"/>
      <c r="E23" s="806"/>
      <c r="F23" s="963">
        <f>PFRstmtSheet!G28</f>
        <v>0</v>
      </c>
      <c r="G23" s="821"/>
    </row>
    <row r="24" spans="1:7" ht="12.75" hidden="1">
      <c r="A24" s="802" t="str">
        <f>PFRstmtSheet!A29</f>
        <v>r</v>
      </c>
      <c r="B24" s="860" t="str">
        <f>PFRstmtSheet!B29</f>
        <v>Nez Perce Settlement Adjustment</v>
      </c>
      <c r="C24" s="801"/>
      <c r="D24" s="801"/>
      <c r="E24" s="806"/>
      <c r="F24" s="963">
        <f>PFRstmtSheet!G29</f>
        <v>0</v>
      </c>
      <c r="G24" s="821"/>
    </row>
    <row r="25" spans="1:7" ht="12.75">
      <c r="A25" s="802" t="str">
        <f>PFRstmtSheet!A33</f>
        <v>t</v>
      </c>
      <c r="B25" s="860" t="str">
        <f>PFRstmtSheet!B33</f>
        <v>Coyote Springs</v>
      </c>
      <c r="C25" s="801"/>
      <c r="D25" s="801"/>
      <c r="E25" s="806"/>
      <c r="F25" s="963">
        <f>PFRstmtSheet!G33</f>
        <v>41001</v>
      </c>
      <c r="G25" s="821"/>
    </row>
    <row r="26" spans="1:7" ht="12.75">
      <c r="A26" s="802" t="str">
        <f>PFRstmtSheet!A34</f>
        <v>u</v>
      </c>
      <c r="B26" s="860" t="str">
        <f>PFRstmtSheet!B34</f>
        <v>PGE Monetization</v>
      </c>
      <c r="C26" s="801"/>
      <c r="D26" s="801"/>
      <c r="E26" s="806"/>
      <c r="F26" s="963">
        <f>PFRstmtSheet!G34</f>
        <v>-2907</v>
      </c>
      <c r="G26" s="821"/>
    </row>
    <row r="27" spans="1:7" ht="12.75" hidden="1">
      <c r="A27" s="802" t="str">
        <f>PFRstmtSheet!A32</f>
        <v>s</v>
      </c>
      <c r="B27" s="860" t="str">
        <f>PFRstmtSheet!B32</f>
        <v>Payroll Clearing Adjustment</v>
      </c>
      <c r="C27" s="801"/>
      <c r="D27" s="801"/>
      <c r="E27" s="806"/>
      <c r="F27" s="963">
        <f>PFRstmtSheet!G32</f>
        <v>0</v>
      </c>
      <c r="G27" s="821"/>
    </row>
    <row r="28" spans="1:7" ht="12.75" hidden="1">
      <c r="A28" s="802" t="str">
        <f>PFRstmtSheet!A35</f>
        <v>v</v>
      </c>
      <c r="B28" s="860" t="str">
        <f>PFRstmtSheet!B35</f>
        <v>Eliminate A/R Expenses</v>
      </c>
      <c r="C28" s="801"/>
      <c r="D28" s="801"/>
      <c r="E28" s="806"/>
      <c r="F28" s="963">
        <f>PFRstmtSheet!G35</f>
        <v>0</v>
      </c>
      <c r="G28" s="821"/>
    </row>
    <row r="29" spans="1:7" ht="12.75" hidden="1">
      <c r="A29" s="802" t="str">
        <f>PFRstmtSheet!A36</f>
        <v>w</v>
      </c>
      <c r="B29" s="860" t="str">
        <f>PFRstmtSheet!B36</f>
        <v>Office Space Charges to Susidiaries</v>
      </c>
      <c r="C29" s="801"/>
      <c r="D29" s="801"/>
      <c r="E29" s="806"/>
      <c r="F29" s="963">
        <f>PFRstmtSheet!G36</f>
        <v>0</v>
      </c>
      <c r="G29" s="821"/>
    </row>
    <row r="30" spans="1:7" ht="12.75" hidden="1">
      <c r="A30" s="802" t="str">
        <f>PFRstmtSheet!A37</f>
        <v>x</v>
      </c>
      <c r="B30" s="860" t="str">
        <f>PFRstmtSheet!B37</f>
        <v>Restate Excise/Franchise Taxes</v>
      </c>
      <c r="C30" s="801"/>
      <c r="D30" s="801"/>
      <c r="E30" s="806"/>
      <c r="F30" s="963">
        <f>PFRstmtSheet!G37</f>
        <v>0</v>
      </c>
      <c r="G30" s="821"/>
    </row>
    <row r="31" spans="1:7" ht="12.75" hidden="1">
      <c r="A31" s="802" t="str">
        <f>PFRstmtSheet!A38</f>
        <v>y</v>
      </c>
      <c r="B31" s="860" t="str">
        <f>PFRstmtSheet!B38</f>
        <v>Revenue Adjustment</v>
      </c>
      <c r="C31" s="801"/>
      <c r="D31" s="801"/>
      <c r="E31" s="806"/>
      <c r="F31" s="963">
        <f>PFRstmtSheet!G38</f>
        <v>0</v>
      </c>
      <c r="G31" s="821"/>
    </row>
    <row r="32" spans="1:7" ht="12.75" hidden="1">
      <c r="A32" s="802" t="str">
        <f>PFRstmtSheet!A39</f>
        <v>z</v>
      </c>
      <c r="B32" s="860" t="str">
        <f>PFRstmtSheet!B39</f>
        <v>Remove Misc Tariffs Adjustment</v>
      </c>
      <c r="C32" s="801"/>
      <c r="D32" s="801"/>
      <c r="E32" s="806"/>
      <c r="F32" s="963">
        <f>PFRstmtSheet!G39</f>
        <v>0</v>
      </c>
      <c r="G32" s="821"/>
    </row>
    <row r="33" spans="1:7" ht="12.75">
      <c r="A33" s="802" t="str">
        <f>PFRstmtSheet!A40</f>
        <v>aa</v>
      </c>
      <c r="B33" s="860" t="str">
        <f>PFRstmtSheet!B40</f>
        <v>Depreciation Adjustment</v>
      </c>
      <c r="C33" s="801"/>
      <c r="D33" s="801"/>
      <c r="E33" s="806"/>
      <c r="F33" s="963">
        <f>PFRstmtSheet!G40</f>
        <v>251</v>
      </c>
      <c r="G33" s="821"/>
    </row>
    <row r="34" spans="1:7" ht="12.75" hidden="1">
      <c r="A34" s="802" t="str">
        <f>PFRstmtSheet!A41</f>
        <v>ab</v>
      </c>
      <c r="B34" s="860" t="str">
        <f>PFRstmtSheet!B41</f>
        <v>Incentives and Other Adjustment</v>
      </c>
      <c r="C34" s="801"/>
      <c r="D34" s="801"/>
      <c r="E34" s="806"/>
      <c r="F34" s="963">
        <f>PFRstmtSheet!G41</f>
        <v>0</v>
      </c>
      <c r="G34" s="821"/>
    </row>
    <row r="35" spans="1:7" ht="12.75" hidden="1">
      <c r="A35" s="802" t="str">
        <f>PFRstmtSheet!A47</f>
        <v>PF1</v>
      </c>
      <c r="B35" s="860" t="str">
        <f>PFRstmtSheet!B47</f>
        <v>Pro Forma Power Supply</v>
      </c>
      <c r="C35" s="801"/>
      <c r="D35" s="801"/>
      <c r="E35" s="806"/>
      <c r="F35" s="963">
        <f>PFRstmtSheet!G47</f>
        <v>0</v>
      </c>
      <c r="G35" s="821"/>
    </row>
    <row r="36" spans="1:7" ht="12.75" hidden="1">
      <c r="A36" s="802" t="str">
        <f>PFRstmtSheet!A48</f>
        <v>PF2</v>
      </c>
      <c r="B36" s="860" t="str">
        <f>PFRstmtSheet!B48</f>
        <v>Pro Forma Pension</v>
      </c>
      <c r="C36" s="801"/>
      <c r="D36" s="801"/>
      <c r="E36" s="806"/>
      <c r="F36" s="963">
        <f>PFRstmtSheet!G48</f>
        <v>0</v>
      </c>
      <c r="G36" s="821"/>
    </row>
    <row r="37" spans="1:7" ht="12.75" hidden="1">
      <c r="A37" s="802" t="str">
        <f>PFRstmtSheet!A49</f>
        <v>PF 3</v>
      </c>
      <c r="B37" s="860" t="str">
        <f>PFRstmtSheet!B49</f>
        <v>Pro Forma Insurance</v>
      </c>
      <c r="C37" s="801"/>
      <c r="D37" s="801"/>
      <c r="E37" s="806"/>
      <c r="F37" s="963">
        <f>PFRstmtSheet!G49</f>
        <v>0</v>
      </c>
      <c r="G37" s="821"/>
    </row>
    <row r="38" spans="1:7" ht="12.75" hidden="1">
      <c r="A38" s="802" t="str">
        <f>PFRstmtSheet!A50</f>
        <v>PF 4</v>
      </c>
      <c r="B38" s="860" t="str">
        <f>PFRstmtSheet!B50</f>
        <v>Pro Forma Labor Non-Exec</v>
      </c>
      <c r="C38" s="801"/>
      <c r="D38" s="801"/>
      <c r="E38" s="806"/>
      <c r="F38" s="963">
        <f>PFRstmtSheet!G50</f>
        <v>0</v>
      </c>
      <c r="G38" s="821"/>
    </row>
    <row r="39" spans="1:7" ht="12.75" hidden="1">
      <c r="A39" s="802" t="str">
        <f>PFRstmtSheet!A51</f>
        <v>PF 5</v>
      </c>
      <c r="B39" s="860" t="str">
        <f>PFRstmtSheet!B51</f>
        <v>Pro Forma Labor Executive</v>
      </c>
      <c r="C39" s="801"/>
      <c r="D39" s="801"/>
      <c r="E39" s="806"/>
      <c r="F39" s="963">
        <f>PFRstmtSheet!G51</f>
        <v>0</v>
      </c>
      <c r="G39" s="821"/>
    </row>
    <row r="40" spans="1:7" ht="12.75" hidden="1">
      <c r="A40" s="802" t="str">
        <f>PFRstmtSheet!A52</f>
        <v>PF 6</v>
      </c>
      <c r="B40" s="860" t="str">
        <f>PFRstmtSheet!B52</f>
        <v>Pro Forma Vegetation Management</v>
      </c>
      <c r="C40" s="801"/>
      <c r="D40" s="801"/>
      <c r="E40" s="806"/>
      <c r="F40" s="963">
        <f>PFRstmtSheet!G52</f>
        <v>0</v>
      </c>
      <c r="G40" s="821"/>
    </row>
    <row r="41" spans="1:7" ht="12.75">
      <c r="A41" s="802" t="str">
        <f>PFRstmtSheet!A53</f>
        <v>PF 7</v>
      </c>
      <c r="B41" s="860" t="str">
        <f>PFRstmtSheet!B53</f>
        <v>Pro Forma Transmission Project</v>
      </c>
      <c r="C41" s="801"/>
      <c r="D41" s="801"/>
      <c r="E41" s="806"/>
      <c r="F41" s="963">
        <f>PFRstmtSheet!G53</f>
        <v>17997</v>
      </c>
      <c r="G41" s="821"/>
    </row>
    <row r="42" spans="1:7" ht="12.75">
      <c r="A42" s="802" t="str">
        <f>PFRstmtSheet!A54</f>
        <v>PF 8</v>
      </c>
      <c r="B42" s="860" t="str">
        <f>PFRstmtSheet!B54</f>
        <v>Sale of Skookumchuck Hydro</v>
      </c>
      <c r="C42" s="801"/>
      <c r="D42" s="801"/>
      <c r="E42" s="806"/>
      <c r="F42" s="963">
        <f>PFRstmtSheet!G54</f>
        <v>-163</v>
      </c>
      <c r="G42" s="821"/>
    </row>
    <row r="43" spans="1:7" ht="12.75" hidden="1">
      <c r="A43" s="802" t="str">
        <f>PFRstmtSheet!A55</f>
        <v>PF 9</v>
      </c>
      <c r="B43" s="860" t="str">
        <f>PFRstmtSheet!B55</f>
        <v>Cancelled Small Generation</v>
      </c>
      <c r="C43" s="801"/>
      <c r="D43" s="801"/>
      <c r="E43" s="806"/>
      <c r="F43" s="963">
        <f>PFRstmtSheet!G55</f>
        <v>0</v>
      </c>
      <c r="G43" s="821"/>
    </row>
    <row r="44" spans="1:7" ht="12.75" hidden="1">
      <c r="A44" s="802" t="str">
        <f>PFRstmtSheet!A56</f>
        <v>PF10</v>
      </c>
      <c r="B44" s="860" t="str">
        <f>PFRstmtSheet!B56</f>
        <v>Pro Forma Production Tax Credit</v>
      </c>
      <c r="C44" s="801"/>
      <c r="D44" s="801"/>
      <c r="E44" s="806"/>
      <c r="F44" s="963">
        <f>PFRstmtSheet!G56</f>
        <v>0</v>
      </c>
      <c r="G44" s="821"/>
    </row>
    <row r="45" spans="1:7" ht="12.75" hidden="1">
      <c r="A45" s="802" t="str">
        <f>PFRstmtSheet!A57</f>
        <v>PF11</v>
      </c>
      <c r="B45" s="860" t="str">
        <f>PFRstmtSheet!B57</f>
        <v>Pro Forma Allocation Adjustment</v>
      </c>
      <c r="C45" s="801"/>
      <c r="D45" s="801"/>
      <c r="E45" s="806"/>
      <c r="F45" s="963">
        <f>PFRstmtSheet!G57</f>
        <v>0</v>
      </c>
      <c r="G45" s="821"/>
    </row>
    <row r="46" spans="1:6" ht="12.75">
      <c r="A46" s="803"/>
      <c r="B46" s="801"/>
      <c r="C46" s="801"/>
      <c r="D46" s="801"/>
      <c r="F46" s="964"/>
    </row>
    <row r="47" spans="2:6" ht="12.75">
      <c r="B47" s="798" t="s">
        <v>404</v>
      </c>
      <c r="C47" s="801"/>
      <c r="D47" s="801"/>
      <c r="E47" s="806"/>
      <c r="F47" s="965">
        <f>SUM(F8:F46)</f>
        <v>795845</v>
      </c>
    </row>
    <row r="48" spans="3:6" ht="12.75">
      <c r="C48" s="801"/>
      <c r="D48" s="801"/>
      <c r="E48" s="801"/>
      <c r="F48" s="798"/>
    </row>
    <row r="49" spans="2:6" ht="12.75">
      <c r="B49" s="798" t="s">
        <v>316</v>
      </c>
      <c r="C49" s="801"/>
      <c r="D49" s="801"/>
      <c r="E49" s="808"/>
      <c r="F49" s="1010">
        <v>0.0451</v>
      </c>
    </row>
    <row r="50" spans="3:6" ht="12.75">
      <c r="C50" s="801"/>
      <c r="D50" s="801"/>
      <c r="F50" s="798"/>
    </row>
    <row r="51" spans="2:6" ht="12.75">
      <c r="B51" s="798" t="s">
        <v>296</v>
      </c>
      <c r="C51" s="801"/>
      <c r="D51" s="801"/>
      <c r="E51" s="806"/>
      <c r="F51" s="806">
        <f>F47*F49</f>
        <v>35892.6095</v>
      </c>
    </row>
    <row r="52" spans="3:6" ht="12.75">
      <c r="C52" s="801"/>
      <c r="D52" s="801"/>
      <c r="E52" s="801"/>
      <c r="F52" s="798"/>
    </row>
    <row r="53" spans="2:6" ht="12.75">
      <c r="B53" s="798" t="s">
        <v>317</v>
      </c>
      <c r="C53" s="801"/>
      <c r="D53" s="801"/>
      <c r="F53" s="966">
        <v>45413</v>
      </c>
    </row>
    <row r="54" spans="2:6" ht="12.75">
      <c r="B54" s="798" t="s">
        <v>297</v>
      </c>
      <c r="C54" s="801"/>
      <c r="D54" s="801"/>
      <c r="F54" s="967">
        <f>-E75</f>
        <v>-1916.8583796906942</v>
      </c>
    </row>
    <row r="55" spans="2:6" ht="12.75">
      <c r="B55" s="798" t="s">
        <v>298</v>
      </c>
      <c r="C55" s="801"/>
      <c r="D55" s="801"/>
      <c r="F55" s="804">
        <f>F53+F54</f>
        <v>43496.1416203093</v>
      </c>
    </row>
    <row r="56" spans="3:6" ht="12.75">
      <c r="C56" s="801"/>
      <c r="D56" s="801"/>
      <c r="E56" s="801"/>
      <c r="F56" s="798"/>
    </row>
    <row r="57" spans="2:6" ht="12.75">
      <c r="B57" s="798" t="s">
        <v>299</v>
      </c>
      <c r="C57" s="801"/>
      <c r="D57" s="801"/>
      <c r="E57" s="806"/>
      <c r="F57" s="925">
        <f>F51-F55</f>
        <v>-7603.532120309304</v>
      </c>
    </row>
    <row r="58" spans="2:6" ht="12.75">
      <c r="B58" s="798" t="s">
        <v>300</v>
      </c>
      <c r="D58" s="801"/>
      <c r="E58" s="809"/>
      <c r="F58" s="810">
        <v>0.35</v>
      </c>
    </row>
    <row r="59" spans="4:6" ht="12.75">
      <c r="D59" s="801"/>
      <c r="E59" s="801"/>
      <c r="F59" s="798"/>
    </row>
    <row r="60" spans="2:6" ht="13.5" thickBot="1">
      <c r="B60" s="798" t="s">
        <v>301</v>
      </c>
      <c r="D60" s="801"/>
      <c r="E60" s="806"/>
      <c r="F60" s="806">
        <f>F57*-F58</f>
        <v>2661.236242108256</v>
      </c>
    </row>
    <row r="61" ht="13.5" thickTop="1">
      <c r="F61" s="811"/>
    </row>
    <row r="63" ht="12.75">
      <c r="B63" s="804" t="s">
        <v>297</v>
      </c>
    </row>
    <row r="64" spans="2:3" ht="12.75">
      <c r="B64" s="798" t="s">
        <v>302</v>
      </c>
      <c r="C64" s="936">
        <v>1885</v>
      </c>
    </row>
    <row r="65" spans="2:3" ht="12.75">
      <c r="B65" s="798" t="s">
        <v>303</v>
      </c>
      <c r="C65" s="935">
        <v>1393</v>
      </c>
    </row>
    <row r="66" spans="2:3" ht="12.75">
      <c r="B66" s="798" t="s">
        <v>304</v>
      </c>
      <c r="C66" s="807">
        <f>C64+C65</f>
        <v>3278</v>
      </c>
    </row>
    <row r="67" ht="12.75">
      <c r="C67" s="806"/>
    </row>
    <row r="68" spans="3:5" ht="12.75">
      <c r="C68" s="812"/>
      <c r="D68" s="802"/>
      <c r="E68" s="802" t="s">
        <v>305</v>
      </c>
    </row>
    <row r="69" spans="3:5" ht="12.75">
      <c r="C69" s="805" t="s">
        <v>268</v>
      </c>
      <c r="D69" s="805" t="s">
        <v>306</v>
      </c>
      <c r="E69" s="805" t="s">
        <v>49</v>
      </c>
    </row>
    <row r="70" spans="2:5" ht="12.75">
      <c r="B70" s="798" t="s">
        <v>307</v>
      </c>
      <c r="C70" s="864">
        <f>CWIPAllocDebt!Y8</f>
        <v>39132095.855187505</v>
      </c>
      <c r="D70" s="865">
        <f>ROUND(C70/$C$73,4)</f>
        <v>0.8928</v>
      </c>
      <c r="E70" s="864">
        <f>D70*E73</f>
        <v>2926.5984000000003</v>
      </c>
    </row>
    <row r="71" spans="2:5" ht="12.75">
      <c r="B71" s="798" t="s">
        <v>308</v>
      </c>
      <c r="C71" s="866">
        <f>CWIPAllocDebt!Y10</f>
        <v>2551079.5066875</v>
      </c>
      <c r="D71" s="865">
        <f>ROUND(C71/$C$73,4)</f>
        <v>0.0582</v>
      </c>
      <c r="E71" s="866">
        <f>D71*E73</f>
        <v>190.77960000000002</v>
      </c>
    </row>
    <row r="72" spans="2:5" ht="12.75">
      <c r="B72" s="798" t="s">
        <v>309</v>
      </c>
      <c r="C72" s="866">
        <f>CWIPAllocDebt!Y12</f>
        <v>2148973.388125</v>
      </c>
      <c r="D72" s="865">
        <f>ROUND(C72/$C$73,4)</f>
        <v>0.049</v>
      </c>
      <c r="E72" s="866">
        <f>E73*D72</f>
        <v>160.622</v>
      </c>
    </row>
    <row r="73" spans="2:5" ht="12.75">
      <c r="B73" s="798" t="s">
        <v>310</v>
      </c>
      <c r="C73" s="867">
        <f>C70+C71+C72</f>
        <v>43832148.75000001</v>
      </c>
      <c r="D73" s="868">
        <f>D70+D71+D72</f>
        <v>1</v>
      </c>
      <c r="E73" s="867">
        <f>C66</f>
        <v>3278</v>
      </c>
    </row>
    <row r="74" spans="3:5" ht="12.75">
      <c r="C74" s="869"/>
      <c r="D74" s="869"/>
      <c r="E74" s="869"/>
    </row>
    <row r="75" spans="2:5" ht="12.75">
      <c r="B75" s="798" t="s">
        <v>311</v>
      </c>
      <c r="C75" s="864">
        <f>CWIPAllocDebt!Z8</f>
        <v>25630672.747882195</v>
      </c>
      <c r="D75" s="865">
        <f>C75/C77</f>
        <v>0.6549782777475358</v>
      </c>
      <c r="E75" s="864">
        <f>D75*E77</f>
        <v>1916.8583796906942</v>
      </c>
    </row>
    <row r="76" spans="2:5" ht="12.75">
      <c r="B76" s="798" t="s">
        <v>312</v>
      </c>
      <c r="C76" s="869">
        <f>CWIPAllocDebt!AA8</f>
        <v>13501423.10730531</v>
      </c>
      <c r="D76" s="865">
        <f>C76/C77</f>
        <v>0.34502172225246425</v>
      </c>
      <c r="E76" s="869">
        <f>D76*E77</f>
        <v>1009.7400203093064</v>
      </c>
    </row>
    <row r="77" spans="2:5" ht="12.75">
      <c r="B77" s="798" t="s">
        <v>310</v>
      </c>
      <c r="C77" s="867">
        <f>C75+C76</f>
        <v>39132095.855187505</v>
      </c>
      <c r="D77" s="868">
        <f>D75+D76</f>
        <v>1</v>
      </c>
      <c r="E77" s="867">
        <f>E70</f>
        <v>2926.5984000000003</v>
      </c>
    </row>
    <row r="78" spans="3:5" ht="12.75">
      <c r="C78" s="869"/>
      <c r="D78" s="869"/>
      <c r="E78" s="869"/>
    </row>
    <row r="79" spans="2:5" ht="12.75">
      <c r="B79" s="798" t="s">
        <v>313</v>
      </c>
      <c r="C79" s="864">
        <f>CWIPAllocDebt!Z10</f>
        <v>1841164.14680488</v>
      </c>
      <c r="D79" s="870">
        <f>C79/C81</f>
        <v>0.7217196257421142</v>
      </c>
      <c r="E79" s="864">
        <f>E81*D79</f>
        <v>137.68938151123027</v>
      </c>
    </row>
    <row r="80" spans="2:5" ht="12.75">
      <c r="B80" s="798" t="s">
        <v>314</v>
      </c>
      <c r="C80" s="869">
        <f>CWIPAllocDebt!AA10</f>
        <v>709915.35988262</v>
      </c>
      <c r="D80" s="871">
        <f>C80/C81</f>
        <v>0.27828037425788577</v>
      </c>
      <c r="E80" s="869">
        <f>E81*D80</f>
        <v>53.09021848876975</v>
      </c>
    </row>
    <row r="81" spans="2:5" ht="12.75">
      <c r="B81" s="798" t="s">
        <v>310</v>
      </c>
      <c r="C81" s="867">
        <f>SUM(C79:C80)</f>
        <v>2551079.5066875</v>
      </c>
      <c r="D81" s="872">
        <f>SUM(D79:D80)</f>
        <v>1</v>
      </c>
      <c r="E81" s="867">
        <f>E71</f>
        <v>190.77960000000002</v>
      </c>
    </row>
    <row r="82" spans="1:6" ht="12.75">
      <c r="A82" s="823" t="str">
        <f>A1</f>
        <v>AVISTA UTILITIES</v>
      </c>
      <c r="B82" s="796"/>
      <c r="C82" s="796"/>
      <c r="D82" s="797"/>
      <c r="E82" s="796"/>
      <c r="F82" s="797"/>
    </row>
    <row r="83" spans="1:6" ht="12.75">
      <c r="A83" s="823" t="str">
        <f>A2</f>
        <v>Restate Debt Interest - Proforma</v>
      </c>
      <c r="B83" s="796"/>
      <c r="C83" s="796"/>
      <c r="D83" s="797"/>
      <c r="E83" s="796"/>
      <c r="F83" s="797"/>
    </row>
    <row r="84" spans="1:6" ht="12.75">
      <c r="A84" s="823" t="s">
        <v>318</v>
      </c>
      <c r="B84" s="796"/>
      <c r="C84" s="796"/>
      <c r="D84" s="797"/>
      <c r="E84" s="796"/>
      <c r="F84" s="797"/>
    </row>
    <row r="85" spans="1:6" ht="12.75">
      <c r="A85" s="820" t="str">
        <f>A4</f>
        <v>For the Twelve Months Ended December 31, 2004</v>
      </c>
      <c r="B85" s="796"/>
      <c r="C85" s="799"/>
      <c r="D85" s="797"/>
      <c r="E85" s="799"/>
      <c r="F85" s="797"/>
    </row>
    <row r="86" spans="1:6" ht="12.75">
      <c r="A86" s="796" t="s">
        <v>293</v>
      </c>
      <c r="B86" s="796"/>
      <c r="C86" s="796"/>
      <c r="D86" s="797"/>
      <c r="E86" s="797"/>
      <c r="F86" s="797"/>
    </row>
    <row r="87" spans="3:6" ht="12.75">
      <c r="C87" s="801"/>
      <c r="D87" s="801"/>
      <c r="E87" s="803"/>
      <c r="F87" s="802" t="s">
        <v>36</v>
      </c>
    </row>
    <row r="88" spans="2:6" ht="12.75">
      <c r="B88" s="804" t="s">
        <v>294</v>
      </c>
      <c r="C88" s="801"/>
      <c r="D88" s="801"/>
      <c r="E88" s="803"/>
      <c r="F88" s="805" t="s">
        <v>295</v>
      </c>
    </row>
    <row r="89" spans="1:6" ht="12.75">
      <c r="A89" s="802" t="e">
        <f>PFRstmtSheet!#REF!</f>
        <v>#REF!</v>
      </c>
      <c r="B89" s="860" t="e">
        <f>PFRstmtSheet!#REF!</f>
        <v>#REF!</v>
      </c>
      <c r="C89" s="801"/>
      <c r="D89" s="801"/>
      <c r="E89" s="806"/>
      <c r="F89" s="861" t="e">
        <f>PFRstmtSheet!#REF!</f>
        <v>#REF!</v>
      </c>
    </row>
    <row r="90" spans="1:6" ht="12.75">
      <c r="A90" s="802" t="e">
        <f>PFRstmtSheet!#REF!</f>
        <v>#REF!</v>
      </c>
      <c r="B90" s="860" t="e">
        <f>PFRstmtSheet!#REF!</f>
        <v>#REF!</v>
      </c>
      <c r="C90" s="801"/>
      <c r="D90" s="801"/>
      <c r="E90" s="806"/>
      <c r="F90" s="861" t="e">
        <f>PFRstmtSheet!#REF!</f>
        <v>#REF!</v>
      </c>
    </row>
    <row r="91" spans="1:6" ht="12.75">
      <c r="A91" s="802" t="e">
        <f>PFRstmtSheet!#REF!</f>
        <v>#REF!</v>
      </c>
      <c r="B91" s="860" t="e">
        <f>PFRstmtSheet!#REF!</f>
        <v>#REF!</v>
      </c>
      <c r="C91" s="801"/>
      <c r="D91" s="801"/>
      <c r="E91" s="806"/>
      <c r="F91" s="861" t="e">
        <f>PFRstmtSheet!#REF!</f>
        <v>#REF!</v>
      </c>
    </row>
    <row r="92" spans="1:6" ht="12.75">
      <c r="A92" s="802" t="e">
        <f>PFRstmtSheet!#REF!</f>
        <v>#REF!</v>
      </c>
      <c r="B92" s="860" t="e">
        <f>PFRstmtSheet!#REF!</f>
        <v>#REF!</v>
      </c>
      <c r="C92" s="801"/>
      <c r="D92" s="801"/>
      <c r="E92" s="806"/>
      <c r="F92" s="861" t="e">
        <f>PFRstmtSheet!#REF!</f>
        <v>#REF!</v>
      </c>
    </row>
    <row r="93" spans="1:6" ht="12.75">
      <c r="A93" s="802" t="e">
        <f>PFRstmtSheet!#REF!</f>
        <v>#REF!</v>
      </c>
      <c r="B93" s="860" t="e">
        <f>PFRstmtSheet!#REF!</f>
        <v>#REF!</v>
      </c>
      <c r="C93" s="801"/>
      <c r="D93" s="801"/>
      <c r="E93" s="806"/>
      <c r="F93" s="861" t="e">
        <f>PFRstmtSheet!#REF!</f>
        <v>#REF!</v>
      </c>
    </row>
    <row r="94" spans="1:6" ht="12.75">
      <c r="A94" s="802" t="e">
        <f>PFRstmtSheet!#REF!</f>
        <v>#REF!</v>
      </c>
      <c r="B94" s="860" t="e">
        <f>PFRstmtSheet!#REF!</f>
        <v>#REF!</v>
      </c>
      <c r="C94" s="801"/>
      <c r="D94" s="801"/>
      <c r="E94" s="806"/>
      <c r="F94" s="861" t="e">
        <f>PFRstmtSheet!#REF!</f>
        <v>#REF!</v>
      </c>
    </row>
    <row r="95" spans="1:6" ht="12.75">
      <c r="A95" s="802" t="e">
        <f>PFRstmtSheet!#REF!</f>
        <v>#REF!</v>
      </c>
      <c r="B95" s="860" t="e">
        <f>PFRstmtSheet!#REF!</f>
        <v>#REF!</v>
      </c>
      <c r="C95" s="801"/>
      <c r="D95" s="801"/>
      <c r="E95" s="806"/>
      <c r="F95" s="861" t="e">
        <f>PFRstmtSheet!#REF!</f>
        <v>#REF!</v>
      </c>
    </row>
    <row r="96" spans="1:6" ht="12.75">
      <c r="A96" s="802" t="e">
        <f>PFRstmtSheet!#REF!</f>
        <v>#REF!</v>
      </c>
      <c r="B96" s="860" t="e">
        <f>PFRstmtSheet!#REF!</f>
        <v>#REF!</v>
      </c>
      <c r="C96" s="801"/>
      <c r="D96" s="801"/>
      <c r="E96" s="806"/>
      <c r="F96" s="861" t="e">
        <f>PFRstmtSheet!#REF!</f>
        <v>#REF!</v>
      </c>
    </row>
    <row r="97" spans="1:6" ht="12.75">
      <c r="A97" s="802" t="e">
        <f>PFRstmtSheet!#REF!</f>
        <v>#REF!</v>
      </c>
      <c r="B97" s="860" t="e">
        <f>PFRstmtSheet!#REF!</f>
        <v>#REF!</v>
      </c>
      <c r="C97" s="801"/>
      <c r="D97" s="801"/>
      <c r="E97" s="806"/>
      <c r="F97" s="861" t="e">
        <f>PFRstmtSheet!#REF!</f>
        <v>#REF!</v>
      </c>
    </row>
    <row r="98" spans="1:6" ht="12.75" hidden="1">
      <c r="A98" s="802" t="e">
        <f>PFRstmtSheet!#REF!</f>
        <v>#REF!</v>
      </c>
      <c r="B98" s="860" t="e">
        <f>PFRstmtSheet!#REF!</f>
        <v>#REF!</v>
      </c>
      <c r="C98" s="801"/>
      <c r="D98" s="801"/>
      <c r="E98" s="806"/>
      <c r="F98" s="861" t="e">
        <f>PFRstmtSheet!#REF!</f>
        <v>#REF!</v>
      </c>
    </row>
    <row r="99" spans="1:6" ht="12.75" hidden="1">
      <c r="A99" s="802" t="e">
        <f>PFRstmtSheet!#REF!</f>
        <v>#REF!</v>
      </c>
      <c r="B99" s="860" t="e">
        <f>PFRstmtSheet!#REF!</f>
        <v>#REF!</v>
      </c>
      <c r="C99" s="801"/>
      <c r="D99" s="801"/>
      <c r="E99" s="806"/>
      <c r="F99" s="861" t="e">
        <f>PFRstmtSheet!#REF!</f>
        <v>#REF!</v>
      </c>
    </row>
    <row r="100" spans="1:6" ht="12.75" hidden="1">
      <c r="A100" s="802" t="e">
        <f>PFRstmtSheet!#REF!</f>
        <v>#REF!</v>
      </c>
      <c r="B100" s="860" t="e">
        <f>PFRstmtSheet!#REF!</f>
        <v>#REF!</v>
      </c>
      <c r="C100" s="801"/>
      <c r="D100" s="801"/>
      <c r="E100" s="806"/>
      <c r="F100" s="861" t="e">
        <f>PFRstmtSheet!#REF!</f>
        <v>#REF!</v>
      </c>
    </row>
    <row r="101" spans="1:6" ht="12.75" hidden="1">
      <c r="A101" s="802" t="e">
        <f>PFRstmtSheet!#REF!</f>
        <v>#REF!</v>
      </c>
      <c r="B101" s="860" t="e">
        <f>PFRstmtSheet!#REF!</f>
        <v>#REF!</v>
      </c>
      <c r="C101" s="801"/>
      <c r="D101" s="801"/>
      <c r="E101" s="806"/>
      <c r="F101" s="861" t="e">
        <f>PFRstmtSheet!#REF!</f>
        <v>#REF!</v>
      </c>
    </row>
    <row r="102" spans="1:6" ht="12.75" hidden="1">
      <c r="A102" s="802" t="e">
        <f>PFRstmtSheet!#REF!</f>
        <v>#REF!</v>
      </c>
      <c r="B102" s="860" t="e">
        <f>PFRstmtSheet!#REF!</f>
        <v>#REF!</v>
      </c>
      <c r="C102" s="801"/>
      <c r="D102" s="801"/>
      <c r="E102" s="806"/>
      <c r="F102" s="861" t="e">
        <f>PFRstmtSheet!#REF!</f>
        <v>#REF!</v>
      </c>
    </row>
    <row r="103" spans="1:6" ht="12.75" hidden="1">
      <c r="A103" s="802" t="e">
        <f>PFRstmtSheet!#REF!</f>
        <v>#REF!</v>
      </c>
      <c r="B103" s="860" t="e">
        <f>PFRstmtSheet!#REF!</f>
        <v>#REF!</v>
      </c>
      <c r="C103" s="801"/>
      <c r="D103" s="801"/>
      <c r="E103" s="806"/>
      <c r="F103" s="861" t="e">
        <f>PFRstmtSheet!#REF!</f>
        <v>#REF!</v>
      </c>
    </row>
    <row r="104" spans="1:6" ht="12.75" hidden="1">
      <c r="A104" s="802" t="e">
        <f>PFRstmtSheet!#REF!</f>
        <v>#REF!</v>
      </c>
      <c r="B104" s="860" t="e">
        <f>PFRstmtSheet!#REF!</f>
        <v>#REF!</v>
      </c>
      <c r="C104" s="801"/>
      <c r="D104" s="801"/>
      <c r="E104" s="806"/>
      <c r="F104" s="861" t="e">
        <f>PFRstmtSheet!#REF!</f>
        <v>#REF!</v>
      </c>
    </row>
    <row r="105" spans="1:6" ht="12.75" hidden="1">
      <c r="A105" s="802" t="e">
        <f>PFRstmtSheet!#REF!</f>
        <v>#REF!</v>
      </c>
      <c r="B105" s="860" t="e">
        <f>PFRstmtSheet!#REF!</f>
        <v>#REF!</v>
      </c>
      <c r="C105" s="801"/>
      <c r="D105" s="801"/>
      <c r="E105" s="806"/>
      <c r="F105" s="861" t="e">
        <f>PFRstmtSheet!#REF!</f>
        <v>#REF!</v>
      </c>
    </row>
    <row r="106" spans="1:6" ht="12.75" hidden="1">
      <c r="A106" s="802" t="e">
        <f>PFRstmtSheet!#REF!</f>
        <v>#REF!</v>
      </c>
      <c r="B106" s="860" t="e">
        <f>PFRstmtSheet!#REF!</f>
        <v>#REF!</v>
      </c>
      <c r="C106" s="801"/>
      <c r="D106" s="801"/>
      <c r="E106" s="806"/>
      <c r="F106" s="861" t="e">
        <f>PFRstmtSheet!#REF!</f>
        <v>#REF!</v>
      </c>
    </row>
    <row r="107" spans="1:6" ht="12.75" hidden="1">
      <c r="A107" s="802" t="e">
        <f>PFRstmtSheet!#REF!</f>
        <v>#REF!</v>
      </c>
      <c r="B107" s="860" t="e">
        <f>PFRstmtSheet!#REF!</f>
        <v>#REF!</v>
      </c>
      <c r="C107" s="801"/>
      <c r="D107" s="801"/>
      <c r="E107" s="806"/>
      <c r="F107" s="861" t="e">
        <f>PFRstmtSheet!#REF!</f>
        <v>#REF!</v>
      </c>
    </row>
    <row r="108" spans="1:6" ht="12.75" hidden="1">
      <c r="A108" s="802" t="e">
        <f>PFRstmtSheet!#REF!</f>
        <v>#REF!</v>
      </c>
      <c r="B108" s="860" t="e">
        <f>PFRstmtSheet!#REF!</f>
        <v>#REF!</v>
      </c>
      <c r="C108" s="801"/>
      <c r="D108" s="801"/>
      <c r="E108" s="806"/>
      <c r="F108" s="861" t="e">
        <f>PFRstmtSheet!#REF!</f>
        <v>#REF!</v>
      </c>
    </row>
    <row r="109" spans="1:6" ht="12.75" hidden="1">
      <c r="A109" s="802" t="e">
        <f>PFRstmtSheet!#REF!</f>
        <v>#REF!</v>
      </c>
      <c r="B109" s="860" t="e">
        <f>PFRstmtSheet!#REF!</f>
        <v>#REF!</v>
      </c>
      <c r="C109" s="801"/>
      <c r="D109" s="801"/>
      <c r="E109" s="806"/>
      <c r="F109" s="861" t="e">
        <f>PFRstmtSheet!#REF!</f>
        <v>#REF!</v>
      </c>
    </row>
    <row r="110" spans="1:6" ht="12.75" hidden="1">
      <c r="A110" s="802" t="e">
        <f>PFRstmtSheet!#REF!</f>
        <v>#REF!</v>
      </c>
      <c r="B110" s="860" t="e">
        <f>PFRstmtSheet!#REF!</f>
        <v>#REF!</v>
      </c>
      <c r="C110" s="801"/>
      <c r="D110" s="801"/>
      <c r="E110" s="806"/>
      <c r="F110" s="861" t="e">
        <f>PFRstmtSheet!#REF!</f>
        <v>#REF!</v>
      </c>
    </row>
    <row r="111" spans="1:6" ht="12.75" hidden="1">
      <c r="A111" s="802" t="e">
        <f>PFRstmtSheet!#REF!</f>
        <v>#REF!</v>
      </c>
      <c r="B111" s="860" t="e">
        <f>PFRstmtSheet!#REF!</f>
        <v>#REF!</v>
      </c>
      <c r="C111" s="801"/>
      <c r="D111" s="801"/>
      <c r="E111" s="806"/>
      <c r="F111" s="861" t="e">
        <f>PFRstmtSheet!#REF!</f>
        <v>#REF!</v>
      </c>
    </row>
    <row r="112" spans="1:6" ht="12.75" hidden="1">
      <c r="A112" s="802" t="e">
        <f>PFRstmtSheet!#REF!</f>
        <v>#REF!</v>
      </c>
      <c r="B112" s="860" t="e">
        <f>PFRstmtSheet!#REF!</f>
        <v>#REF!</v>
      </c>
      <c r="C112" s="801"/>
      <c r="D112" s="801"/>
      <c r="E112" s="806"/>
      <c r="F112" s="861" t="e">
        <f>PFRstmtSheet!#REF!</f>
        <v>#REF!</v>
      </c>
    </row>
    <row r="113" spans="1:6" ht="12.75">
      <c r="A113" s="802" t="e">
        <f>PFRstmtSheet!#REF!</f>
        <v>#REF!</v>
      </c>
      <c r="B113" s="860" t="e">
        <f>PFRstmtSheet!#REF!</f>
        <v>#REF!</v>
      </c>
      <c r="C113" s="801"/>
      <c r="D113" s="801"/>
      <c r="E113" s="806"/>
      <c r="F113" s="861" t="e">
        <f>PFRstmtSheet!#REF!</f>
        <v>#REF!</v>
      </c>
    </row>
    <row r="114" spans="1:6" ht="12.75">
      <c r="A114" s="802" t="e">
        <f>PFRstmtSheet!#REF!</f>
        <v>#REF!</v>
      </c>
      <c r="B114" s="860" t="e">
        <f>PFRstmtSheet!#REF!</f>
        <v>#REF!</v>
      </c>
      <c r="C114" s="801"/>
      <c r="D114" s="801"/>
      <c r="E114" s="806"/>
      <c r="F114" s="861" t="e">
        <f>PFRstmtSheet!#REF!</f>
        <v>#REF!</v>
      </c>
    </row>
    <row r="115" spans="1:6" ht="12.75" hidden="1">
      <c r="A115" s="802" t="e">
        <f>PFRstmtSheet!#REF!</f>
        <v>#REF!</v>
      </c>
      <c r="B115" s="860" t="e">
        <f>PFRstmtSheet!#REF!</f>
        <v>#REF!</v>
      </c>
      <c r="C115" s="801"/>
      <c r="D115" s="801"/>
      <c r="E115" s="806"/>
      <c r="F115" s="861" t="e">
        <f>PFRstmtSheet!#REF!</f>
        <v>#REF!</v>
      </c>
    </row>
    <row r="116" spans="1:6" ht="12.75" hidden="1">
      <c r="A116" s="802" t="e">
        <f>PFRstmtSheet!#REF!</f>
        <v>#REF!</v>
      </c>
      <c r="B116" s="860" t="e">
        <f>PFRstmtSheet!#REF!</f>
        <v>#REF!</v>
      </c>
      <c r="C116" s="801"/>
      <c r="D116" s="801"/>
      <c r="E116" s="806"/>
      <c r="F116" s="861" t="e">
        <f>PFRstmtSheet!#REF!</f>
        <v>#REF!</v>
      </c>
    </row>
    <row r="117" spans="1:6" ht="12.75" hidden="1">
      <c r="A117" s="802" t="e">
        <f>PFRstmtSheet!#REF!</f>
        <v>#REF!</v>
      </c>
      <c r="B117" s="860" t="e">
        <f>PFRstmtSheet!#REF!</f>
        <v>#REF!</v>
      </c>
      <c r="C117" s="801"/>
      <c r="D117" s="801"/>
      <c r="E117" s="806"/>
      <c r="F117" s="861" t="e">
        <f>PFRstmtSheet!#REF!</f>
        <v>#REF!</v>
      </c>
    </row>
    <row r="118" spans="1:6" ht="12.75" hidden="1">
      <c r="A118" s="802" t="e">
        <f>PFRstmtSheet!#REF!</f>
        <v>#REF!</v>
      </c>
      <c r="B118" s="860" t="e">
        <f>PFRstmtSheet!#REF!</f>
        <v>#REF!</v>
      </c>
      <c r="C118" s="801"/>
      <c r="D118" s="801"/>
      <c r="E118" s="806"/>
      <c r="F118" s="861" t="e">
        <f>PFRstmtSheet!#REF!</f>
        <v>#REF!</v>
      </c>
    </row>
    <row r="119" spans="1:6" ht="12.75" hidden="1">
      <c r="A119" s="802" t="e">
        <f>PFRstmtSheet!#REF!</f>
        <v>#REF!</v>
      </c>
      <c r="B119" s="860" t="e">
        <f>PFRstmtSheet!#REF!</f>
        <v>#REF!</v>
      </c>
      <c r="C119" s="801"/>
      <c r="D119" s="801"/>
      <c r="E119" s="806"/>
      <c r="F119" s="861" t="e">
        <f>PFRstmtSheet!#REF!</f>
        <v>#REF!</v>
      </c>
    </row>
    <row r="120" spans="1:6" ht="12.75" hidden="1">
      <c r="A120" s="802" t="e">
        <f>PFRstmtSheet!#REF!</f>
        <v>#REF!</v>
      </c>
      <c r="B120" s="860" t="e">
        <f>PFRstmtSheet!#REF!</f>
        <v>#REF!</v>
      </c>
      <c r="C120" s="801"/>
      <c r="D120" s="801"/>
      <c r="E120" s="806"/>
      <c r="F120" s="861" t="e">
        <f>PFRstmtSheet!#REF!</f>
        <v>#REF!</v>
      </c>
    </row>
    <row r="121" spans="1:6" ht="12.75" hidden="1">
      <c r="A121" s="802" t="e">
        <f>PFRstmtSheet!#REF!</f>
        <v>#REF!</v>
      </c>
      <c r="B121" s="860" t="e">
        <f>PFRstmtSheet!#REF!</f>
        <v>#REF!</v>
      </c>
      <c r="C121" s="801"/>
      <c r="D121" s="801"/>
      <c r="E121" s="806"/>
      <c r="F121" s="861" t="e">
        <f>PFRstmtSheet!#REF!</f>
        <v>#REF!</v>
      </c>
    </row>
    <row r="122" spans="1:6" ht="12.75" hidden="1">
      <c r="A122" s="802" t="e">
        <f>PFRstmtSheet!#REF!</f>
        <v>#REF!</v>
      </c>
      <c r="B122" s="860" t="e">
        <f>PFRstmtSheet!#REF!</f>
        <v>#REF!</v>
      </c>
      <c r="C122" s="801"/>
      <c r="D122" s="801"/>
      <c r="E122" s="806"/>
      <c r="F122" s="861" t="e">
        <f>PFRstmtSheet!#REF!</f>
        <v>#REF!</v>
      </c>
    </row>
    <row r="123" spans="1:6" ht="12.75">
      <c r="A123" s="802" t="e">
        <f>PFRstmtSheet!#REF!</f>
        <v>#REF!</v>
      </c>
      <c r="B123" s="860" t="e">
        <f>PFRstmtSheet!#REF!</f>
        <v>#REF!</v>
      </c>
      <c r="C123" s="801"/>
      <c r="D123" s="801"/>
      <c r="E123" s="806"/>
      <c r="F123" s="861" t="e">
        <f>PFRstmtSheet!#REF!</f>
        <v>#REF!</v>
      </c>
    </row>
    <row r="124" spans="1:6" ht="12.75">
      <c r="A124" s="802" t="e">
        <f>PFRstmtSheet!#REF!</f>
        <v>#REF!</v>
      </c>
      <c r="B124" s="860" t="e">
        <f>PFRstmtSheet!#REF!</f>
        <v>#REF!</v>
      </c>
      <c r="C124" s="801"/>
      <c r="D124" s="801"/>
      <c r="E124" s="806"/>
      <c r="F124" s="861" t="e">
        <f>PFRstmtSheet!#REF!</f>
        <v>#REF!</v>
      </c>
    </row>
    <row r="125" spans="1:6" ht="12.75">
      <c r="A125" s="802" t="e">
        <f>PFRstmtSheet!#REF!</f>
        <v>#REF!</v>
      </c>
      <c r="B125" s="860" t="e">
        <f>PFRstmtSheet!#REF!</f>
        <v>#REF!</v>
      </c>
      <c r="C125" s="801"/>
      <c r="D125" s="801"/>
      <c r="E125" s="806"/>
      <c r="F125" s="861" t="e">
        <f>PFRstmtSheet!#REF!</f>
        <v>#REF!</v>
      </c>
    </row>
    <row r="126" spans="1:6" ht="12.75">
      <c r="A126" s="802" t="e">
        <f>PFRstmtSheet!#REF!</f>
        <v>#REF!</v>
      </c>
      <c r="B126" s="860" t="e">
        <f>PFRstmtSheet!#REF!</f>
        <v>#REF!</v>
      </c>
      <c r="C126" s="801"/>
      <c r="D126" s="801"/>
      <c r="E126" s="806"/>
      <c r="F126" s="861" t="e">
        <f>PFRstmtSheet!#REF!</f>
        <v>#REF!</v>
      </c>
    </row>
    <row r="127" spans="2:6" ht="12.75">
      <c r="B127" s="798" t="s">
        <v>404</v>
      </c>
      <c r="C127" s="801"/>
      <c r="D127" s="801"/>
      <c r="E127" s="806"/>
      <c r="F127" s="807" t="e">
        <f>SUM(F89:F126)</f>
        <v>#REF!</v>
      </c>
    </row>
    <row r="128" spans="3:6" ht="12.75">
      <c r="C128" s="801"/>
      <c r="D128" s="801"/>
      <c r="E128" s="801"/>
      <c r="F128" s="798"/>
    </row>
    <row r="129" spans="2:6" ht="12.75">
      <c r="B129" s="798" t="str">
        <f>B49</f>
        <v>Weighted Average Cost of Debt</v>
      </c>
      <c r="C129" s="822"/>
      <c r="D129" s="822"/>
      <c r="E129" s="824"/>
      <c r="F129" s="926">
        <f>F49</f>
        <v>0.0451</v>
      </c>
    </row>
    <row r="130" spans="3:6" ht="12.75">
      <c r="C130" s="801"/>
      <c r="D130" s="801"/>
      <c r="F130" s="798"/>
    </row>
    <row r="131" spans="2:6" ht="12.75">
      <c r="B131" s="798" t="s">
        <v>296</v>
      </c>
      <c r="C131" s="801"/>
      <c r="D131" s="801"/>
      <c r="E131" s="806"/>
      <c r="F131" s="806" t="e">
        <f>F127*F129</f>
        <v>#REF!</v>
      </c>
    </row>
    <row r="132" spans="3:6" ht="12.75">
      <c r="C132" s="801"/>
      <c r="D132" s="801"/>
      <c r="E132" s="801"/>
      <c r="F132" s="798"/>
    </row>
    <row r="133" spans="2:6" ht="12.75">
      <c r="B133" s="798" t="s">
        <v>317</v>
      </c>
      <c r="C133" s="801"/>
      <c r="D133" s="801"/>
      <c r="F133" s="935">
        <v>25653</v>
      </c>
    </row>
    <row r="134" spans="2:6" ht="12.75">
      <c r="B134" s="798" t="s">
        <v>297</v>
      </c>
      <c r="C134" s="801"/>
      <c r="D134" s="801"/>
      <c r="F134" s="804">
        <f>-$E156</f>
        <v>-1009.7078561713632</v>
      </c>
    </row>
    <row r="135" spans="2:6" ht="12.75">
      <c r="B135" s="798" t="s">
        <v>298</v>
      </c>
      <c r="C135" s="801"/>
      <c r="D135" s="801"/>
      <c r="F135" s="804">
        <f>F133+F134</f>
        <v>24643.292143828636</v>
      </c>
    </row>
    <row r="136" spans="3:6" ht="12.75">
      <c r="C136" s="801"/>
      <c r="D136" s="801"/>
      <c r="E136" s="801"/>
      <c r="F136" s="798"/>
    </row>
    <row r="137" spans="2:6" ht="12.75">
      <c r="B137" s="798" t="s">
        <v>299</v>
      </c>
      <c r="C137" s="801"/>
      <c r="D137" s="801"/>
      <c r="E137" s="806"/>
      <c r="F137" s="806" t="e">
        <f>F131-F135</f>
        <v>#REF!</v>
      </c>
    </row>
    <row r="138" spans="2:6" ht="12.75">
      <c r="B138" s="798" t="s">
        <v>300</v>
      </c>
      <c r="D138" s="801"/>
      <c r="E138" s="809"/>
      <c r="F138" s="810">
        <v>0.35</v>
      </c>
    </row>
    <row r="139" spans="4:6" ht="12.75">
      <c r="D139" s="801"/>
      <c r="E139" s="801"/>
      <c r="F139" s="798"/>
    </row>
    <row r="140" spans="2:6" ht="13.5" thickBot="1">
      <c r="B140" s="798" t="s">
        <v>301</v>
      </c>
      <c r="D140" s="801"/>
      <c r="E140" s="806"/>
      <c r="F140" s="806" t="e">
        <f>F137*-F138</f>
        <v>#REF!</v>
      </c>
    </row>
    <row r="141" spans="4:6" ht="13.5" thickTop="1">
      <c r="D141" s="801"/>
      <c r="E141" s="806"/>
      <c r="F141" s="825"/>
    </row>
    <row r="143" ht="12.75">
      <c r="B143" s="804" t="s">
        <v>297</v>
      </c>
    </row>
    <row r="144" spans="2:3" ht="12.75">
      <c r="B144" s="798" t="s">
        <v>302</v>
      </c>
      <c r="C144" s="806">
        <f>C64</f>
        <v>1885</v>
      </c>
    </row>
    <row r="145" spans="2:3" ht="12.75">
      <c r="B145" s="798" t="s">
        <v>303</v>
      </c>
      <c r="C145" s="798">
        <f>C65</f>
        <v>1393</v>
      </c>
    </row>
    <row r="146" spans="2:3" ht="12.75">
      <c r="B146" s="798" t="s">
        <v>304</v>
      </c>
      <c r="C146" s="807">
        <f>C144+C145</f>
        <v>3278</v>
      </c>
    </row>
    <row r="147" ht="12.75">
      <c r="C147" s="806"/>
    </row>
    <row r="148" spans="3:5" ht="12.75">
      <c r="C148" s="812"/>
      <c r="D148" s="802"/>
      <c r="E148" s="802" t="s">
        <v>305</v>
      </c>
    </row>
    <row r="149" spans="3:5" ht="12.75">
      <c r="C149" s="805" t="s">
        <v>268</v>
      </c>
      <c r="D149" s="805" t="s">
        <v>306</v>
      </c>
      <c r="E149" s="805" t="s">
        <v>49</v>
      </c>
    </row>
    <row r="150" spans="2:5" ht="12.75">
      <c r="B150" s="798" t="s">
        <v>307</v>
      </c>
      <c r="C150" s="806">
        <f>$C$70</f>
        <v>39132095.855187505</v>
      </c>
      <c r="D150" s="808">
        <f>C150/C153</f>
        <v>0.8927715608554896</v>
      </c>
      <c r="E150" s="806">
        <f>D150*E153</f>
        <v>2926.5051764842947</v>
      </c>
    </row>
    <row r="151" spans="2:5" ht="12.75">
      <c r="B151" s="798" t="s">
        <v>308</v>
      </c>
      <c r="C151" s="798">
        <f>$C$71</f>
        <v>2551079.5066875</v>
      </c>
      <c r="D151" s="818">
        <f>C151/C153</f>
        <v>0.05820110534023271</v>
      </c>
      <c r="E151" s="813">
        <f>D151*E153</f>
        <v>190.78322330528283</v>
      </c>
    </row>
    <row r="152" spans="2:5" ht="12.75">
      <c r="B152" s="798" t="s">
        <v>309</v>
      </c>
      <c r="C152" s="798">
        <f>$C$72</f>
        <v>2148973.388125</v>
      </c>
      <c r="D152" s="818">
        <f>C152/C153</f>
        <v>0.04902733380427761</v>
      </c>
      <c r="E152" s="813">
        <f>E153*D152</f>
        <v>160.711600210422</v>
      </c>
    </row>
    <row r="153" spans="2:5" ht="12.75">
      <c r="B153" s="798" t="s">
        <v>310</v>
      </c>
      <c r="C153" s="807">
        <f>C150+C151+C152</f>
        <v>43832148.75000001</v>
      </c>
      <c r="D153" s="814">
        <f>D150+D151+D152</f>
        <v>0.9999999999999999</v>
      </c>
      <c r="E153" s="807">
        <f>C146</f>
        <v>3278</v>
      </c>
    </row>
    <row r="155" spans="2:5" ht="12.75">
      <c r="B155" s="798" t="s">
        <v>311</v>
      </c>
      <c r="C155" s="806">
        <f>$C$75</f>
        <v>25630672.747882195</v>
      </c>
      <c r="D155" s="808">
        <f>C155/C157</f>
        <v>0.6549782777475358</v>
      </c>
      <c r="E155" s="806">
        <f>D155*E157</f>
        <v>1916.7973203129316</v>
      </c>
    </row>
    <row r="156" spans="2:5" ht="12.75">
      <c r="B156" s="798" t="s">
        <v>312</v>
      </c>
      <c r="C156" s="798">
        <f>$C$76</f>
        <v>13501423.10730531</v>
      </c>
      <c r="D156" s="808">
        <f>C156/C157</f>
        <v>0.34502172225246425</v>
      </c>
      <c r="E156" s="798">
        <f>D156*E157</f>
        <v>1009.7078561713632</v>
      </c>
    </row>
    <row r="157" spans="2:5" ht="12.75">
      <c r="B157" s="798" t="s">
        <v>310</v>
      </c>
      <c r="C157" s="807">
        <f>C155+C156</f>
        <v>39132095.855187505</v>
      </c>
      <c r="D157" s="814">
        <f>D155+D156</f>
        <v>1</v>
      </c>
      <c r="E157" s="807">
        <f>E150</f>
        <v>2926.5051764842947</v>
      </c>
    </row>
    <row r="159" spans="2:5" ht="12.75">
      <c r="B159" s="798" t="s">
        <v>313</v>
      </c>
      <c r="C159" s="806">
        <f>$C$79</f>
        <v>1841164.14680488</v>
      </c>
      <c r="D159" s="815">
        <f>C159/C161</f>
        <v>0.7217196257421142</v>
      </c>
      <c r="E159" s="806">
        <f>E161*D159</f>
        <v>137.69199652176295</v>
      </c>
    </row>
    <row r="160" spans="2:5" ht="12.75">
      <c r="B160" s="798" t="s">
        <v>314</v>
      </c>
      <c r="C160" s="798">
        <f>C$80</f>
        <v>709915.35988262</v>
      </c>
      <c r="D160" s="816">
        <f>C160/C161</f>
        <v>0.27828037425788577</v>
      </c>
      <c r="E160" s="798">
        <f>E161*D160</f>
        <v>53.0912267835199</v>
      </c>
    </row>
    <row r="161" spans="2:5" ht="12.75">
      <c r="B161" s="798" t="s">
        <v>310</v>
      </c>
      <c r="C161" s="807">
        <f>SUM(C159:C160)</f>
        <v>2551079.5066875</v>
      </c>
      <c r="D161" s="817">
        <f>SUM(D159:D160)</f>
        <v>1</v>
      </c>
      <c r="E161" s="807">
        <f>E151</f>
        <v>190.78322330528283</v>
      </c>
    </row>
  </sheetData>
  <printOptions horizontalCentered="1"/>
  <pageMargins left="0.75" right="0.75" top="0.5" bottom="0.5" header="0.5" footer="0.25"/>
  <pageSetup horizontalDpi="300" verticalDpi="300" orientation="portrait" scale="90" r:id="rId1"/>
  <headerFooter alignWithMargins="0">
    <oddFooter>&amp;Lfile:  &amp;f&amp;Rkm &amp;d</oddFooter>
  </headerFooter>
  <rowBreaks count="1" manualBreakCount="1">
    <brk id="81" max="255" man="1"/>
  </rowBreaks>
</worksheet>
</file>

<file path=xl/worksheets/sheet47.xml><?xml version="1.0" encoding="utf-8"?>
<worksheet xmlns="http://schemas.openxmlformats.org/spreadsheetml/2006/main" xmlns:r="http://schemas.openxmlformats.org/officeDocument/2006/relationships">
  <dimension ref="A1:AT110"/>
  <sheetViews>
    <sheetView workbookViewId="0" topLeftCell="A75">
      <selection activeCell="W84" sqref="W84"/>
    </sheetView>
  </sheetViews>
  <sheetFormatPr defaultColWidth="9.140625" defaultRowHeight="12.75"/>
  <cols>
    <col min="1" max="1" width="23.28125" style="832" customWidth="1"/>
    <col min="2" max="2" width="7.28125" style="833" customWidth="1"/>
    <col min="3" max="3" width="2.8515625" style="832" customWidth="1"/>
    <col min="4" max="6" width="11.421875" style="832" customWidth="1"/>
    <col min="7" max="7" width="10.7109375" style="832" customWidth="1"/>
    <col min="8" max="8" width="1.7109375" style="832" customWidth="1"/>
    <col min="9" max="9" width="23.28125" style="832" customWidth="1"/>
    <col min="10" max="10" width="7.28125" style="833" customWidth="1"/>
    <col min="11" max="11" width="2.8515625" style="832" customWidth="1"/>
    <col min="12" max="14" width="11.421875" style="832" customWidth="1"/>
    <col min="15" max="15" width="10.7109375" style="832" customWidth="1"/>
    <col min="16" max="16" width="1.7109375" style="832" customWidth="1"/>
    <col min="17" max="17" width="23.28125" style="832" customWidth="1"/>
    <col min="18" max="18" width="7.28125" style="833" customWidth="1"/>
    <col min="19" max="19" width="2.8515625" style="832" customWidth="1"/>
    <col min="20" max="22" width="11.421875" style="832" customWidth="1"/>
    <col min="23" max="23" width="10.7109375" style="832" customWidth="1"/>
    <col min="24" max="24" width="15.7109375" style="929" customWidth="1"/>
    <col min="25" max="29" width="11.421875" style="929" customWidth="1"/>
    <col min="30" max="30" width="15.7109375" style="929" customWidth="1"/>
    <col min="31" max="35" width="11.421875" style="929" customWidth="1"/>
    <col min="36" max="36" width="1.7109375" style="832" customWidth="1"/>
    <col min="37" max="37" width="11.421875" style="832" customWidth="1"/>
    <col min="38" max="38" width="1.7109375" style="832" customWidth="1"/>
    <col min="39" max="39" width="15.7109375" style="832" customWidth="1"/>
    <col min="40" max="44" width="11.421875" style="832" customWidth="1"/>
    <col min="45" max="45" width="1.7109375" style="832" customWidth="1"/>
    <col min="46" max="16384" width="11.421875" style="832" customWidth="1"/>
  </cols>
  <sheetData>
    <row r="1" spans="1:46" s="827" customFormat="1" ht="11.25">
      <c r="A1" s="826" t="s">
        <v>252</v>
      </c>
      <c r="B1" s="826"/>
      <c r="C1" s="826"/>
      <c r="D1" s="826"/>
      <c r="E1" s="826"/>
      <c r="F1" s="826"/>
      <c r="I1" s="826" t="s">
        <v>252</v>
      </c>
      <c r="J1" s="826"/>
      <c r="K1" s="826"/>
      <c r="L1" s="826"/>
      <c r="M1" s="826"/>
      <c r="N1" s="826"/>
      <c r="Q1" s="826" t="s">
        <v>252</v>
      </c>
      <c r="R1" s="826"/>
      <c r="S1" s="826"/>
      <c r="T1" s="826"/>
      <c r="U1" s="826"/>
      <c r="V1" s="826"/>
      <c r="X1" s="937" t="s">
        <v>252</v>
      </c>
      <c r="Y1" s="937"/>
      <c r="Z1" s="937"/>
      <c r="AA1" s="937"/>
      <c r="AB1" s="937"/>
      <c r="AC1" s="937"/>
      <c r="AD1" s="927" t="s">
        <v>252</v>
      </c>
      <c r="AE1" s="927"/>
      <c r="AF1" s="927"/>
      <c r="AG1" s="927"/>
      <c r="AH1" s="927"/>
      <c r="AI1" s="927"/>
      <c r="AM1" s="828"/>
      <c r="AN1" s="828"/>
      <c r="AO1" s="828"/>
      <c r="AP1" s="828"/>
      <c r="AQ1" s="828"/>
      <c r="AR1" s="828"/>
      <c r="AS1" s="829"/>
      <c r="AT1" s="829"/>
    </row>
    <row r="2" spans="1:46" s="827" customFormat="1" ht="11.25">
      <c r="A2" s="826" t="s">
        <v>487</v>
      </c>
      <c r="B2" s="826"/>
      <c r="C2" s="826"/>
      <c r="D2" s="826"/>
      <c r="E2" s="826"/>
      <c r="F2" s="826"/>
      <c r="I2" s="826" t="s">
        <v>525</v>
      </c>
      <c r="J2" s="826"/>
      <c r="K2" s="826"/>
      <c r="L2" s="826"/>
      <c r="M2" s="826"/>
      <c r="N2" s="826"/>
      <c r="Q2" s="826" t="s">
        <v>526</v>
      </c>
      <c r="R2" s="826"/>
      <c r="S2" s="826"/>
      <c r="T2" s="826"/>
      <c r="U2" s="826"/>
      <c r="V2" s="826"/>
      <c r="X2" s="937" t="s">
        <v>527</v>
      </c>
      <c r="Y2" s="937"/>
      <c r="Z2" s="937"/>
      <c r="AA2" s="937"/>
      <c r="AB2" s="937"/>
      <c r="AC2" s="937"/>
      <c r="AD2" s="927" t="s">
        <v>528</v>
      </c>
      <c r="AE2" s="927"/>
      <c r="AF2" s="927"/>
      <c r="AG2" s="927"/>
      <c r="AH2" s="927"/>
      <c r="AI2" s="927"/>
      <c r="AM2" s="828"/>
      <c r="AN2" s="828"/>
      <c r="AO2" s="828"/>
      <c r="AP2" s="828"/>
      <c r="AQ2" s="828"/>
      <c r="AR2" s="828"/>
      <c r="AS2" s="829"/>
      <c r="AT2" s="829"/>
    </row>
    <row r="3" spans="1:46" s="827" customFormat="1" ht="11.25">
      <c r="A3" s="830" t="s">
        <v>319</v>
      </c>
      <c r="B3" s="826"/>
      <c r="C3" s="826"/>
      <c r="D3" s="826"/>
      <c r="E3" s="826"/>
      <c r="F3" s="826"/>
      <c r="I3" s="830" t="s">
        <v>319</v>
      </c>
      <c r="J3" s="826"/>
      <c r="K3" s="826"/>
      <c r="L3" s="826"/>
      <c r="M3" s="826"/>
      <c r="N3" s="826"/>
      <c r="Q3" s="830" t="s">
        <v>319</v>
      </c>
      <c r="R3" s="826"/>
      <c r="S3" s="826"/>
      <c r="T3" s="826"/>
      <c r="U3" s="826"/>
      <c r="V3" s="826"/>
      <c r="X3" s="938" t="s">
        <v>319</v>
      </c>
      <c r="Y3" s="937"/>
      <c r="Z3" s="937"/>
      <c r="AA3" s="937"/>
      <c r="AB3" s="937"/>
      <c r="AC3" s="937"/>
      <c r="AD3" s="928" t="s">
        <v>319</v>
      </c>
      <c r="AE3" s="927"/>
      <c r="AF3" s="927"/>
      <c r="AG3" s="927"/>
      <c r="AH3" s="927"/>
      <c r="AI3" s="927"/>
      <c r="AM3" s="831"/>
      <c r="AN3" s="828"/>
      <c r="AO3" s="828"/>
      <c r="AP3" s="828"/>
      <c r="AQ3" s="828"/>
      <c r="AR3" s="828"/>
      <c r="AS3" s="829"/>
      <c r="AT3" s="829"/>
    </row>
    <row r="4" spans="24:46" ht="11.25">
      <c r="X4" s="832"/>
      <c r="Y4" s="832"/>
      <c r="Z4" s="832"/>
      <c r="AA4" s="832"/>
      <c r="AB4" s="832"/>
      <c r="AC4" s="832"/>
      <c r="AM4" s="834"/>
      <c r="AN4" s="834"/>
      <c r="AO4" s="834"/>
      <c r="AP4" s="834"/>
      <c r="AQ4" s="834"/>
      <c r="AR4" s="834"/>
      <c r="AS4" s="834"/>
      <c r="AT4" s="834"/>
    </row>
    <row r="5" spans="2:46" ht="11.25">
      <c r="B5" s="833" t="s">
        <v>320</v>
      </c>
      <c r="D5" s="835" t="s">
        <v>139</v>
      </c>
      <c r="E5" s="835" t="s">
        <v>140</v>
      </c>
      <c r="F5" s="835" t="s">
        <v>123</v>
      </c>
      <c r="J5" s="833" t="s">
        <v>320</v>
      </c>
      <c r="L5" s="835" t="s">
        <v>139</v>
      </c>
      <c r="M5" s="835" t="s">
        <v>140</v>
      </c>
      <c r="N5" s="835" t="s">
        <v>123</v>
      </c>
      <c r="R5" s="833" t="s">
        <v>320</v>
      </c>
      <c r="T5" s="835" t="s">
        <v>139</v>
      </c>
      <c r="U5" s="835" t="s">
        <v>140</v>
      </c>
      <c r="V5" s="835" t="s">
        <v>123</v>
      </c>
      <c r="X5" s="832"/>
      <c r="Y5" s="835" t="s">
        <v>139</v>
      </c>
      <c r="Z5" s="835" t="s">
        <v>140</v>
      </c>
      <c r="AA5" s="835" t="s">
        <v>123</v>
      </c>
      <c r="AB5" s="835" t="s">
        <v>321</v>
      </c>
      <c r="AC5" s="835" t="s">
        <v>322</v>
      </c>
      <c r="AE5" s="930" t="s">
        <v>139</v>
      </c>
      <c r="AF5" s="930" t="s">
        <v>140</v>
      </c>
      <c r="AG5" s="930" t="s">
        <v>123</v>
      </c>
      <c r="AH5" s="930" t="s">
        <v>321</v>
      </c>
      <c r="AI5" s="930" t="s">
        <v>322</v>
      </c>
      <c r="AM5" s="834"/>
      <c r="AN5" s="836"/>
      <c r="AO5" s="836"/>
      <c r="AP5" s="836"/>
      <c r="AQ5" s="836"/>
      <c r="AR5" s="836"/>
      <c r="AS5" s="834"/>
      <c r="AT5" s="834"/>
    </row>
    <row r="6" spans="1:46" ht="11.25">
      <c r="A6" s="837" t="s">
        <v>137</v>
      </c>
      <c r="B6" s="838"/>
      <c r="C6" s="839"/>
      <c r="D6" s="840"/>
      <c r="E6" s="840"/>
      <c r="F6" s="840"/>
      <c r="I6" s="837" t="s">
        <v>137</v>
      </c>
      <c r="J6" s="838"/>
      <c r="K6" s="839"/>
      <c r="L6" s="840"/>
      <c r="M6" s="840"/>
      <c r="N6" s="840"/>
      <c r="Q6" s="837" t="s">
        <v>137</v>
      </c>
      <c r="R6" s="838"/>
      <c r="S6" s="839"/>
      <c r="T6" s="840"/>
      <c r="U6" s="840"/>
      <c r="V6" s="840"/>
      <c r="X6" s="832"/>
      <c r="Y6" s="839"/>
      <c r="Z6" s="839"/>
      <c r="AA6" s="839"/>
      <c r="AB6" s="839"/>
      <c r="AC6" s="839"/>
      <c r="AE6" s="931"/>
      <c r="AF6" s="931"/>
      <c r="AG6" s="931"/>
      <c r="AH6" s="931"/>
      <c r="AI6" s="931"/>
      <c r="AM6" s="834"/>
      <c r="AN6" s="834"/>
      <c r="AO6" s="834"/>
      <c r="AP6" s="834"/>
      <c r="AQ6" s="834"/>
      <c r="AR6" s="834"/>
      <c r="AS6" s="834"/>
      <c r="AT6" s="834"/>
    </row>
    <row r="7" spans="24:46" ht="11.25">
      <c r="X7" s="832"/>
      <c r="Y7" s="832"/>
      <c r="Z7" s="832"/>
      <c r="AA7" s="832"/>
      <c r="AB7" s="832"/>
      <c r="AC7" s="832"/>
      <c r="AK7" s="841" t="s">
        <v>323</v>
      </c>
      <c r="AL7" s="839"/>
      <c r="AM7" s="839"/>
      <c r="AN7" s="842"/>
      <c r="AO7" s="834"/>
      <c r="AP7" s="834"/>
      <c r="AQ7" s="834"/>
      <c r="AR7" s="834"/>
      <c r="AS7" s="834"/>
      <c r="AT7" s="834"/>
    </row>
    <row r="8" spans="1:46" ht="11.25">
      <c r="A8" s="832" t="s">
        <v>111</v>
      </c>
      <c r="B8" s="833">
        <v>1</v>
      </c>
      <c r="D8" s="843">
        <v>3660755</v>
      </c>
      <c r="E8" s="844">
        <f>D8*VLOOKUP(B8,B28:F31,4)</f>
        <v>2397062.3740000003</v>
      </c>
      <c r="F8" s="844">
        <f>D8*VLOOKUP(B8,B28:F31,5)</f>
        <v>1263692.626</v>
      </c>
      <c r="G8" s="844"/>
      <c r="I8" s="832" t="s">
        <v>111</v>
      </c>
      <c r="J8" s="833">
        <v>1</v>
      </c>
      <c r="L8" s="843">
        <v>5055328</v>
      </c>
      <c r="M8" s="844">
        <f>L8*VLOOKUP(J8,J28:N31,4)</f>
        <v>3310228.7744000005</v>
      </c>
      <c r="N8" s="844">
        <f>L8*VLOOKUP(J8,J28:N31,5)</f>
        <v>1745099.2256</v>
      </c>
      <c r="O8" s="844"/>
      <c r="Q8" s="832" t="s">
        <v>111</v>
      </c>
      <c r="R8" s="833">
        <v>1</v>
      </c>
      <c r="T8" s="843">
        <v>7410795</v>
      </c>
      <c r="U8" s="844">
        <f>T8*VLOOKUP(R8,R28:V31,4)</f>
        <v>4828874.022</v>
      </c>
      <c r="V8" s="844">
        <f>T8*VLOOKUP(R8,R28:V31,5)</f>
        <v>2581920.978</v>
      </c>
      <c r="W8" s="844"/>
      <c r="X8" s="832" t="s">
        <v>324</v>
      </c>
      <c r="Y8" s="844">
        <f>Z8+AA8</f>
        <v>39132095.855187505</v>
      </c>
      <c r="Z8" s="844">
        <f>((U25+E25)/2+M25)/2</f>
        <v>25630672.747882195</v>
      </c>
      <c r="AA8" s="844">
        <f>((V25+F25)/2+N25)/2</f>
        <v>13501423.10730531</v>
      </c>
      <c r="AB8" s="844"/>
      <c r="AC8" s="844"/>
      <c r="AD8" s="929" t="s">
        <v>324</v>
      </c>
      <c r="AE8" s="932">
        <f>AF8+AG8</f>
        <v>42671228.38188</v>
      </c>
      <c r="AF8" s="932">
        <f>U25</f>
        <v>28222703.543326557</v>
      </c>
      <c r="AG8" s="932">
        <f>V25</f>
        <v>14448524.838553445</v>
      </c>
      <c r="AH8" s="932"/>
      <c r="AI8" s="932"/>
      <c r="AK8" s="845" t="s">
        <v>325</v>
      </c>
      <c r="AL8" s="846"/>
      <c r="AM8" s="834"/>
      <c r="AN8" s="847"/>
      <c r="AO8" s="846"/>
      <c r="AP8" s="846"/>
      <c r="AQ8" s="846"/>
      <c r="AR8" s="846"/>
      <c r="AS8" s="834"/>
      <c r="AT8" s="846"/>
    </row>
    <row r="9" spans="1:46" ht="11.25">
      <c r="A9" s="832" t="s">
        <v>112</v>
      </c>
      <c r="B9" s="833">
        <v>1</v>
      </c>
      <c r="D9" s="843">
        <v>7775603</v>
      </c>
      <c r="E9" s="844">
        <f>D9*VLOOKUP(B9,B28:F31,4)</f>
        <v>5091464.844400001</v>
      </c>
      <c r="F9" s="844">
        <f>D9*VLOOKUP(B9,B28:F31,5)</f>
        <v>2684138.1556</v>
      </c>
      <c r="G9" s="844"/>
      <c r="I9" s="832" t="s">
        <v>112</v>
      </c>
      <c r="J9" s="833">
        <v>1</v>
      </c>
      <c r="L9" s="843">
        <v>4123524</v>
      </c>
      <c r="M9" s="844">
        <f>L9*VLOOKUP(J9,J28:N31,4)</f>
        <v>2700083.5152000003</v>
      </c>
      <c r="N9" s="844">
        <f>L9*VLOOKUP(J9,J28:N31,5)</f>
        <v>1423440.4848</v>
      </c>
      <c r="O9" s="844"/>
      <c r="Q9" s="832" t="s">
        <v>112</v>
      </c>
      <c r="R9" s="833">
        <v>1</v>
      </c>
      <c r="T9" s="843">
        <v>6519234</v>
      </c>
      <c r="U9" s="844">
        <f>T9*VLOOKUP(R9,R28:V31,4)</f>
        <v>4247932.8744</v>
      </c>
      <c r="V9" s="844">
        <f>T9*VLOOKUP(R9,R28:V31,5)</f>
        <v>2271301.1256</v>
      </c>
      <c r="W9" s="844"/>
      <c r="X9" s="832"/>
      <c r="Y9" s="832"/>
      <c r="Z9" s="832"/>
      <c r="AA9" s="832"/>
      <c r="AB9" s="832"/>
      <c r="AC9" s="832"/>
      <c r="AK9" s="848" t="s">
        <v>326</v>
      </c>
      <c r="AL9" s="849"/>
      <c r="AM9" s="849"/>
      <c r="AN9" s="850"/>
      <c r="AO9" s="834"/>
      <c r="AP9" s="834"/>
      <c r="AQ9" s="834"/>
      <c r="AR9" s="834"/>
      <c r="AS9" s="834"/>
      <c r="AT9" s="834"/>
    </row>
    <row r="10" spans="1:46" ht="11.25">
      <c r="A10" s="832" t="s">
        <v>113</v>
      </c>
      <c r="B10" s="833">
        <v>1</v>
      </c>
      <c r="D10" s="843">
        <v>19573025</v>
      </c>
      <c r="E10" s="844">
        <f>D10*VLOOKUP(B10,B28:F31,4)</f>
        <v>12816416.770000001</v>
      </c>
      <c r="F10" s="844">
        <f>D10*VLOOKUP(B10,B28:F31,5)</f>
        <v>6756608.23</v>
      </c>
      <c r="G10" s="844"/>
      <c r="I10" s="832" t="s">
        <v>113</v>
      </c>
      <c r="J10" s="833">
        <v>1</v>
      </c>
      <c r="L10" s="843">
        <v>6200146</v>
      </c>
      <c r="M10" s="844">
        <f>L10*VLOOKUP(J10,J28:N31,4)</f>
        <v>4059855.6008</v>
      </c>
      <c r="N10" s="844">
        <f>L10*VLOOKUP(J10,J28:N31,5)</f>
        <v>2140290.3992</v>
      </c>
      <c r="O10" s="844"/>
      <c r="Q10" s="832" t="s">
        <v>113</v>
      </c>
      <c r="R10" s="833">
        <v>1</v>
      </c>
      <c r="T10" s="843">
        <v>10104832</v>
      </c>
      <c r="U10" s="844">
        <f>T10*VLOOKUP(R10,R28:V31,4)</f>
        <v>6584308.531199999</v>
      </c>
      <c r="V10" s="844">
        <f>T10*VLOOKUP(R10,R28:V31,5)</f>
        <v>3520523.4688</v>
      </c>
      <c r="W10" s="844"/>
      <c r="X10" s="832" t="s">
        <v>327</v>
      </c>
      <c r="Y10" s="844">
        <f>Z10+AA10</f>
        <v>2551079.5066875</v>
      </c>
      <c r="Z10" s="844">
        <f>((U54+E54)/2+M54)/2</f>
        <v>1841164.14680488</v>
      </c>
      <c r="AA10" s="844">
        <f>((V54+F54)/2+N54)/2</f>
        <v>709915.35988262</v>
      </c>
      <c r="AB10" s="844"/>
      <c r="AC10" s="844"/>
      <c r="AD10" s="929" t="s">
        <v>327</v>
      </c>
      <c r="AE10" s="932">
        <f>AF10+AG10</f>
        <v>2473701.4375600005</v>
      </c>
      <c r="AF10" s="932">
        <f>U54</f>
        <v>1726949.82653819</v>
      </c>
      <c r="AG10" s="932">
        <f>V54</f>
        <v>746751.6110218103</v>
      </c>
      <c r="AH10" s="932"/>
      <c r="AI10" s="932"/>
      <c r="AK10" s="844"/>
      <c r="AL10" s="844"/>
      <c r="AM10" s="851"/>
      <c r="AN10" s="846"/>
      <c r="AO10" s="846"/>
      <c r="AP10" s="846"/>
      <c r="AQ10" s="846"/>
      <c r="AR10" s="846"/>
      <c r="AS10" s="834"/>
      <c r="AT10" s="846"/>
    </row>
    <row r="11" spans="4:46" ht="11.25">
      <c r="D11" s="844"/>
      <c r="E11" s="844"/>
      <c r="F11" s="844"/>
      <c r="L11" s="844"/>
      <c r="M11" s="844"/>
      <c r="N11" s="844"/>
      <c r="T11" s="844"/>
      <c r="U11" s="844"/>
      <c r="V11" s="844"/>
      <c r="X11" s="832"/>
      <c r="Y11" s="832"/>
      <c r="Z11" s="832"/>
      <c r="AA11" s="832"/>
      <c r="AB11" s="832"/>
      <c r="AC11" s="832"/>
      <c r="AM11" s="834"/>
      <c r="AN11" s="834"/>
      <c r="AO11" s="834"/>
      <c r="AP11" s="834"/>
      <c r="AQ11" s="834"/>
      <c r="AR11" s="834"/>
      <c r="AS11" s="834"/>
      <c r="AT11" s="834"/>
    </row>
    <row r="12" spans="1:46" ht="11.25">
      <c r="A12" s="832" t="s">
        <v>328</v>
      </c>
      <c r="B12" s="833">
        <v>99</v>
      </c>
      <c r="D12" s="844">
        <f>E12+F12</f>
        <v>5347454</v>
      </c>
      <c r="E12" s="843">
        <v>2780076</v>
      </c>
      <c r="F12" s="843">
        <f>2566811+567</f>
        <v>2567378</v>
      </c>
      <c r="G12" s="844"/>
      <c r="I12" s="832" t="s">
        <v>328</v>
      </c>
      <c r="J12" s="833">
        <v>99</v>
      </c>
      <c r="L12" s="844">
        <f>M12+N12</f>
        <v>5882036</v>
      </c>
      <c r="M12" s="843">
        <v>4349026</v>
      </c>
      <c r="N12" s="843">
        <f>1532892+118</f>
        <v>1533010</v>
      </c>
      <c r="O12" s="844"/>
      <c r="Q12" s="832" t="s">
        <v>328</v>
      </c>
      <c r="R12" s="833">
        <v>99</v>
      </c>
      <c r="T12" s="844">
        <f>U12+V12</f>
        <v>4729833</v>
      </c>
      <c r="U12" s="843">
        <v>3576341</v>
      </c>
      <c r="V12" s="843">
        <v>1153492</v>
      </c>
      <c r="W12" s="844"/>
      <c r="X12" s="832" t="s">
        <v>329</v>
      </c>
      <c r="Y12" s="844">
        <f>AB12+AC12</f>
        <v>2148973.388125</v>
      </c>
      <c r="Z12" s="832"/>
      <c r="AA12" s="832"/>
      <c r="AB12" s="844">
        <f>((U81+E81)/2+M81)/2</f>
        <v>2074609.8908103644</v>
      </c>
      <c r="AC12" s="844">
        <f>((V81+F81)/2+N81)/2</f>
        <v>74363.49731463587</v>
      </c>
      <c r="AD12" s="929" t="s">
        <v>329</v>
      </c>
      <c r="AE12" s="932">
        <f>AH12+AI12</f>
        <v>4750182.180560001</v>
      </c>
      <c r="AH12" s="932">
        <f>U81</f>
        <v>4659672.8130607195</v>
      </c>
      <c r="AI12" s="932">
        <f>V81</f>
        <v>90509.36749928126</v>
      </c>
      <c r="AK12" s="844"/>
      <c r="AL12" s="844"/>
      <c r="AM12" s="834"/>
      <c r="AN12" s="846"/>
      <c r="AO12" s="834"/>
      <c r="AP12" s="834"/>
      <c r="AQ12" s="846"/>
      <c r="AR12" s="846"/>
      <c r="AS12" s="834"/>
      <c r="AT12" s="846"/>
    </row>
    <row r="13" spans="1:46" ht="11.25">
      <c r="A13" s="832" t="s">
        <v>330</v>
      </c>
      <c r="B13" s="833">
        <v>10</v>
      </c>
      <c r="D13" s="843">
        <v>0</v>
      </c>
      <c r="E13" s="844">
        <f>D13*VLOOKUP(B13,B28:F31,4)</f>
        <v>0</v>
      </c>
      <c r="F13" s="844">
        <f>D13*VLOOKUP(B13,B28:F31,5)</f>
        <v>0</v>
      </c>
      <c r="G13" s="844"/>
      <c r="I13" s="832" t="s">
        <v>330</v>
      </c>
      <c r="J13" s="833">
        <v>10</v>
      </c>
      <c r="L13" s="843">
        <v>0</v>
      </c>
      <c r="M13" s="844">
        <f>L13*VLOOKUP(J13,J28:N31,4)</f>
        <v>0</v>
      </c>
      <c r="N13" s="844">
        <f>L13*VLOOKUP(J13,J28:N31,5)</f>
        <v>0</v>
      </c>
      <c r="O13" s="844"/>
      <c r="Q13" s="832" t="s">
        <v>330</v>
      </c>
      <c r="R13" s="833">
        <v>10</v>
      </c>
      <c r="T13" s="843">
        <v>0</v>
      </c>
      <c r="U13" s="844">
        <f>T13*VLOOKUP(R13,R28:V31,4)</f>
        <v>0</v>
      </c>
      <c r="V13" s="844">
        <f>T13*VLOOKUP(R13,R28:V31,5)</f>
        <v>0</v>
      </c>
      <c r="W13" s="844"/>
      <c r="X13" s="832"/>
      <c r="Y13" s="839"/>
      <c r="Z13" s="832"/>
      <c r="AA13" s="832"/>
      <c r="AB13" s="832"/>
      <c r="AC13" s="832"/>
      <c r="AE13" s="931"/>
      <c r="AM13" s="834"/>
      <c r="AN13" s="834"/>
      <c r="AO13" s="834"/>
      <c r="AP13" s="834"/>
      <c r="AQ13" s="834"/>
      <c r="AR13" s="834"/>
      <c r="AS13" s="834"/>
      <c r="AT13" s="834"/>
    </row>
    <row r="14" spans="4:39" ht="12" thickBot="1">
      <c r="D14" s="844"/>
      <c r="E14" s="844"/>
      <c r="F14" s="844"/>
      <c r="L14" s="844"/>
      <c r="M14" s="844"/>
      <c r="N14" s="844"/>
      <c r="T14" s="844"/>
      <c r="U14" s="844"/>
      <c r="V14" s="844"/>
      <c r="X14" s="832"/>
      <c r="Y14" s="844">
        <f>SUM(Y8:Y12)</f>
        <v>43832148.75000001</v>
      </c>
      <c r="Z14" s="832"/>
      <c r="AA14" s="832"/>
      <c r="AB14" s="832"/>
      <c r="AC14" s="832"/>
      <c r="AE14" s="932">
        <f>SUM(AE8:AE12)</f>
        <v>49895112</v>
      </c>
      <c r="AK14" s="832">
        <f>((D105+T105)/2+L105)/2</f>
        <v>43832148.75</v>
      </c>
      <c r="AM14" s="832" t="s">
        <v>331</v>
      </c>
    </row>
    <row r="15" spans="1:37" ht="12" thickTop="1">
      <c r="A15" s="832" t="s">
        <v>332</v>
      </c>
      <c r="B15" s="833">
        <v>99</v>
      </c>
      <c r="D15" s="844">
        <f>E15+F15</f>
        <v>707226</v>
      </c>
      <c r="E15" s="843">
        <v>399984</v>
      </c>
      <c r="F15" s="843">
        <v>307242</v>
      </c>
      <c r="G15" s="844"/>
      <c r="I15" s="832" t="s">
        <v>332</v>
      </c>
      <c r="J15" s="833">
        <v>99</v>
      </c>
      <c r="L15" s="844">
        <f>M15+N15</f>
        <v>1065665</v>
      </c>
      <c r="M15" s="843">
        <v>540056</v>
      </c>
      <c r="N15" s="843">
        <f>523963+1646</f>
        <v>525609</v>
      </c>
      <c r="O15" s="844"/>
      <c r="Q15" s="832" t="s">
        <v>332</v>
      </c>
      <c r="R15" s="833">
        <v>99</v>
      </c>
      <c r="T15" s="844">
        <f>U15+V15</f>
        <v>1114395</v>
      </c>
      <c r="U15" s="843">
        <v>609658</v>
      </c>
      <c r="V15" s="843">
        <v>504737</v>
      </c>
      <c r="W15" s="844"/>
      <c r="X15" s="832"/>
      <c r="Y15" s="939"/>
      <c r="Z15" s="832"/>
      <c r="AA15" s="832"/>
      <c r="AB15" s="832"/>
      <c r="AC15" s="832"/>
      <c r="AE15" s="933"/>
      <c r="AK15" s="832" t="s">
        <v>333</v>
      </c>
    </row>
    <row r="16" spans="1:37" ht="11.25">
      <c r="A16" s="832" t="s">
        <v>334</v>
      </c>
      <c r="B16" s="833">
        <v>4</v>
      </c>
      <c r="D16" s="843">
        <v>313822</v>
      </c>
      <c r="E16" s="844">
        <f>D16*VLOOKUP(B16,B28:F31,4)</f>
        <v>199082.40036000003</v>
      </c>
      <c r="F16" s="844">
        <f>D16*VLOOKUP(B16,B28:F31,5)</f>
        <v>114739.59964</v>
      </c>
      <c r="G16" s="844"/>
      <c r="I16" s="832" t="s">
        <v>334</v>
      </c>
      <c r="J16" s="833">
        <v>4</v>
      </c>
      <c r="L16" s="843">
        <v>126356</v>
      </c>
      <c r="M16" s="844">
        <f>L16*VLOOKUP(J16,J28:N31,4)</f>
        <v>80157.71928</v>
      </c>
      <c r="N16" s="844">
        <f>L16*VLOOKUP(J16,J28:N31,5)</f>
        <v>46198.28072</v>
      </c>
      <c r="O16" s="844"/>
      <c r="Q16" s="832" t="s">
        <v>334</v>
      </c>
      <c r="R16" s="833">
        <v>4</v>
      </c>
      <c r="T16" s="843">
        <v>95066</v>
      </c>
      <c r="U16" s="844">
        <f>T16*VLOOKUP(R16,R28:V31,4)</f>
        <v>60999.098900000005</v>
      </c>
      <c r="V16" s="844">
        <f>T16*VLOOKUP(R16,R28:V31,5)</f>
        <v>34066.9011</v>
      </c>
      <c r="W16" s="844"/>
      <c r="AK16" s="832" t="s">
        <v>488</v>
      </c>
    </row>
    <row r="17" spans="4:37" ht="11.25">
      <c r="D17" s="844"/>
      <c r="E17" s="844"/>
      <c r="F17" s="844"/>
      <c r="L17" s="844"/>
      <c r="M17" s="844"/>
      <c r="N17" s="844"/>
      <c r="T17" s="844"/>
      <c r="U17" s="844"/>
      <c r="V17" s="844"/>
      <c r="AK17" s="832" t="s">
        <v>489</v>
      </c>
    </row>
    <row r="18" spans="1:37" ht="11.25">
      <c r="A18" s="832" t="s">
        <v>335</v>
      </c>
      <c r="B18" s="833">
        <v>4</v>
      </c>
      <c r="D18" s="844">
        <f>E94</f>
        <v>2352321.3535100003</v>
      </c>
      <c r="E18" s="844">
        <f>D18*VLOOKUP(B18,B28:F31,4)</f>
        <v>1492265.620239674</v>
      </c>
      <c r="F18" s="844">
        <f>D18*VLOOKUP(B18,B28:F31,5)</f>
        <v>860055.7332703263</v>
      </c>
      <c r="I18" s="832" t="s">
        <v>335</v>
      </c>
      <c r="J18" s="833">
        <v>4</v>
      </c>
      <c r="L18" s="844">
        <f>M94</f>
        <v>2959022.8426800002</v>
      </c>
      <c r="M18" s="844">
        <f>L18*VLOOKUP(J18,J28:N31,4)</f>
        <v>1877144.9109393386</v>
      </c>
      <c r="N18" s="844">
        <f>L18*VLOOKUP(J18,J28:N31,5)</f>
        <v>1081877.9317406616</v>
      </c>
      <c r="Q18" s="832" t="s">
        <v>335</v>
      </c>
      <c r="R18" s="833">
        <v>4</v>
      </c>
      <c r="T18" s="844">
        <f>U94</f>
        <v>4214936.38188</v>
      </c>
      <c r="U18" s="844">
        <f>T18*VLOOKUP(R18,R28:V31,4)</f>
        <v>2704513.9294333025</v>
      </c>
      <c r="V18" s="844">
        <f>T18*VLOOKUP(R18,R28:V31,5)</f>
        <v>1510422.452446698</v>
      </c>
      <c r="Y18" s="929">
        <f>((T105+D105)/2+L105)/2</f>
        <v>43832148.75</v>
      </c>
      <c r="AK18" s="832" t="s">
        <v>336</v>
      </c>
    </row>
    <row r="19" spans="4:22" ht="11.25">
      <c r="D19" s="844"/>
      <c r="E19" s="844"/>
      <c r="F19" s="844"/>
      <c r="L19" s="844"/>
      <c r="M19" s="844"/>
      <c r="N19" s="844"/>
      <c r="T19" s="844"/>
      <c r="U19" s="844"/>
      <c r="V19" s="844"/>
    </row>
    <row r="20" spans="1:23" ht="11.25">
      <c r="A20" s="832" t="s">
        <v>337</v>
      </c>
      <c r="D20" s="852">
        <f>SUM(D8:D18)</f>
        <v>39730206.35351</v>
      </c>
      <c r="E20" s="852">
        <f>SUM(E8:E18)</f>
        <v>25176352.00899968</v>
      </c>
      <c r="F20" s="852">
        <f>SUM(F8:F18)</f>
        <v>14553854.344510328</v>
      </c>
      <c r="G20" s="844"/>
      <c r="I20" s="832" t="s">
        <v>337</v>
      </c>
      <c r="L20" s="852">
        <f>SUM(L8:L18)</f>
        <v>25412077.84268</v>
      </c>
      <c r="M20" s="852">
        <f>SUM(M8:M18)</f>
        <v>16916552.52061934</v>
      </c>
      <c r="N20" s="852">
        <f>SUM(N8:N18)</f>
        <v>8495525.322060661</v>
      </c>
      <c r="O20" s="844"/>
      <c r="Q20" s="832" t="s">
        <v>337</v>
      </c>
      <c r="T20" s="852">
        <f>SUM(T8:T18)</f>
        <v>34189091.38188</v>
      </c>
      <c r="U20" s="852">
        <f>SUM(U8:U18)</f>
        <v>22612627.455933303</v>
      </c>
      <c r="V20" s="852">
        <f>SUM(V8:V18)</f>
        <v>11576463.925946698</v>
      </c>
      <c r="W20" s="844"/>
    </row>
    <row r="21" spans="1:22" ht="11.25">
      <c r="A21" s="832" t="s">
        <v>338</v>
      </c>
      <c r="D21" s="853">
        <f>D20/D20</f>
        <v>1</v>
      </c>
      <c r="E21" s="853">
        <f>E20/D20</f>
        <v>0.6336828906697952</v>
      </c>
      <c r="F21" s="853">
        <f>F20/D20</f>
        <v>0.366317109330205</v>
      </c>
      <c r="I21" s="832" t="s">
        <v>338</v>
      </c>
      <c r="L21" s="853">
        <f>L20/L20</f>
        <v>1</v>
      </c>
      <c r="M21" s="853">
        <f>M20/L20</f>
        <v>0.665689465668475</v>
      </c>
      <c r="N21" s="853">
        <f>N20/L20</f>
        <v>0.33431053433152513</v>
      </c>
      <c r="Q21" s="832" t="s">
        <v>338</v>
      </c>
      <c r="T21" s="853">
        <f>T20/T20</f>
        <v>1</v>
      </c>
      <c r="U21" s="853">
        <f>U20/T20</f>
        <v>0.6613989007007612</v>
      </c>
      <c r="V21" s="853">
        <f>V20/T20</f>
        <v>0.33860109929923876</v>
      </c>
    </row>
    <row r="22" spans="4:20" ht="11.25">
      <c r="D22" s="853"/>
      <c r="L22" s="853"/>
      <c r="T22" s="853"/>
    </row>
    <row r="23" spans="1:23" ht="11.25">
      <c r="A23" s="832" t="s">
        <v>339</v>
      </c>
      <c r="D23" s="843">
        <f>-490867+7423612</f>
        <v>6932745</v>
      </c>
      <c r="E23" s="844">
        <f>D23*E21</f>
        <v>4393161.891876569</v>
      </c>
      <c r="F23" s="844">
        <f>D23*F21</f>
        <v>2539583.108123432</v>
      </c>
      <c r="G23" s="844"/>
      <c r="I23" s="832" t="s">
        <v>339</v>
      </c>
      <c r="L23" s="843">
        <f>904707+7280317</f>
        <v>8185024</v>
      </c>
      <c r="M23" s="844">
        <f>L23*M21</f>
        <v>5448684.253043644</v>
      </c>
      <c r="N23" s="844">
        <f>L23*N21</f>
        <v>2736339.7469563573</v>
      </c>
      <c r="O23" s="844"/>
      <c r="Q23" s="832" t="s">
        <v>339</v>
      </c>
      <c r="T23" s="843">
        <f>21645+8460492</f>
        <v>8482137</v>
      </c>
      <c r="U23" s="844">
        <f>T23*U21</f>
        <v>5610076.087393253</v>
      </c>
      <c r="V23" s="844">
        <f>T23*V21</f>
        <v>2872060.9126067474</v>
      </c>
      <c r="W23" s="844"/>
    </row>
    <row r="25" spans="1:23" ht="11.25">
      <c r="A25" s="832" t="s">
        <v>324</v>
      </c>
      <c r="D25" s="854">
        <f>D20+D23</f>
        <v>46662951.35351</v>
      </c>
      <c r="E25" s="854">
        <f>E20+E23</f>
        <v>29569513.900876246</v>
      </c>
      <c r="F25" s="854">
        <f>F20+F23</f>
        <v>17093437.45263376</v>
      </c>
      <c r="G25" s="844"/>
      <c r="I25" s="832" t="s">
        <v>324</v>
      </c>
      <c r="L25" s="854">
        <f>L20+L23</f>
        <v>33597101.84268</v>
      </c>
      <c r="M25" s="854">
        <f>M20+M23</f>
        <v>22365236.773662984</v>
      </c>
      <c r="N25" s="854">
        <f>N20+N23</f>
        <v>11231865.06901702</v>
      </c>
      <c r="O25" s="844"/>
      <c r="Q25" s="832" t="s">
        <v>324</v>
      </c>
      <c r="T25" s="854">
        <f>T20+T23</f>
        <v>42671228.38188</v>
      </c>
      <c r="U25" s="854">
        <f>U20+U23</f>
        <v>28222703.543326557</v>
      </c>
      <c r="V25" s="854">
        <f>V20+V23</f>
        <v>14448524.838553445</v>
      </c>
      <c r="W25" s="844"/>
    </row>
    <row r="26" spans="4:20" ht="11.25">
      <c r="D26" s="844"/>
      <c r="L26" s="844"/>
      <c r="T26" s="844"/>
    </row>
    <row r="27" spans="1:17" ht="11.25">
      <c r="A27" s="855" t="s">
        <v>340</v>
      </c>
      <c r="I27" s="855" t="s">
        <v>340</v>
      </c>
      <c r="Q27" s="855" t="s">
        <v>340</v>
      </c>
    </row>
    <row r="28" spans="1:22" ht="11.25">
      <c r="A28" s="832" t="s">
        <v>341</v>
      </c>
      <c r="B28" s="833">
        <v>1</v>
      </c>
      <c r="D28" s="853">
        <f>E28+F28</f>
        <v>1</v>
      </c>
      <c r="E28" s="856">
        <v>0.6548</v>
      </c>
      <c r="F28" s="856">
        <v>0.3452</v>
      </c>
      <c r="I28" s="832" t="s">
        <v>341</v>
      </c>
      <c r="J28" s="833">
        <v>1</v>
      </c>
      <c r="L28" s="853">
        <f>M28+N28</f>
        <v>1</v>
      </c>
      <c r="M28" s="856">
        <v>0.6548</v>
      </c>
      <c r="N28" s="856">
        <v>0.3452</v>
      </c>
      <c r="Q28" s="832" t="s">
        <v>341</v>
      </c>
      <c r="R28" s="833">
        <v>1</v>
      </c>
      <c r="T28" s="853">
        <f>U28+V28</f>
        <v>1</v>
      </c>
      <c r="U28" s="856">
        <v>0.6516</v>
      </c>
      <c r="V28" s="856">
        <v>0.3484</v>
      </c>
    </row>
    <row r="29" spans="1:22" ht="11.25">
      <c r="A29" s="832" t="s">
        <v>342</v>
      </c>
      <c r="B29" s="833">
        <v>4</v>
      </c>
      <c r="D29" s="853">
        <f>E29+F29</f>
        <v>1</v>
      </c>
      <c r="E29" s="856">
        <v>0.63438</v>
      </c>
      <c r="F29" s="856">
        <v>0.36562</v>
      </c>
      <c r="I29" s="832" t="s">
        <v>342</v>
      </c>
      <c r="J29" s="833">
        <v>4</v>
      </c>
      <c r="L29" s="853">
        <f>M29+N29</f>
        <v>1</v>
      </c>
      <c r="M29" s="856">
        <v>0.63438</v>
      </c>
      <c r="N29" s="856">
        <v>0.36562</v>
      </c>
      <c r="Q29" s="832" t="s">
        <v>342</v>
      </c>
      <c r="R29" s="833">
        <v>4</v>
      </c>
      <c r="T29" s="853">
        <f>U29+V29</f>
        <v>1</v>
      </c>
      <c r="U29" s="856">
        <v>0.64165</v>
      </c>
      <c r="V29" s="856">
        <v>0.35835</v>
      </c>
    </row>
    <row r="30" spans="1:22" ht="11.25">
      <c r="A30" s="832" t="s">
        <v>343</v>
      </c>
      <c r="B30" s="833">
        <v>10</v>
      </c>
      <c r="D30" s="853">
        <f>E30+F30</f>
        <v>1</v>
      </c>
      <c r="E30" s="856">
        <v>0.62492</v>
      </c>
      <c r="F30" s="856">
        <v>0.37508</v>
      </c>
      <c r="I30" s="832" t="s">
        <v>343</v>
      </c>
      <c r="J30" s="833">
        <v>10</v>
      </c>
      <c r="L30" s="853">
        <f>M30+N30</f>
        <v>1</v>
      </c>
      <c r="M30" s="856">
        <v>0.62492</v>
      </c>
      <c r="N30" s="856">
        <v>0.37508</v>
      </c>
      <c r="Q30" s="832" t="s">
        <v>343</v>
      </c>
      <c r="R30" s="833">
        <v>10</v>
      </c>
      <c r="T30" s="853">
        <f>U30+V30</f>
        <v>1</v>
      </c>
      <c r="U30" s="856">
        <v>0.62215</v>
      </c>
      <c r="V30" s="856">
        <v>0.37785</v>
      </c>
    </row>
    <row r="31" spans="1:22" ht="11.25">
      <c r="A31" s="832" t="s">
        <v>344</v>
      </c>
      <c r="B31" s="833">
        <v>99</v>
      </c>
      <c r="D31" s="853">
        <f>E31+F31</f>
        <v>0</v>
      </c>
      <c r="E31" s="856">
        <v>0</v>
      </c>
      <c r="F31" s="856">
        <v>0</v>
      </c>
      <c r="I31" s="832" t="s">
        <v>344</v>
      </c>
      <c r="J31" s="833">
        <v>99</v>
      </c>
      <c r="L31" s="853">
        <f>M31+N31</f>
        <v>0</v>
      </c>
      <c r="M31" s="856">
        <v>0</v>
      </c>
      <c r="N31" s="856">
        <v>0</v>
      </c>
      <c r="Q31" s="832" t="s">
        <v>344</v>
      </c>
      <c r="R31" s="833">
        <v>99</v>
      </c>
      <c r="T31" s="853">
        <f>U31+V31</f>
        <v>0</v>
      </c>
      <c r="U31" s="856">
        <f>M31</f>
        <v>0</v>
      </c>
      <c r="V31" s="856">
        <f>N31</f>
        <v>0</v>
      </c>
    </row>
    <row r="34" spans="2:35" s="835" customFormat="1" ht="11.25">
      <c r="B34" s="835" t="s">
        <v>320</v>
      </c>
      <c r="D34" s="835" t="s">
        <v>139</v>
      </c>
      <c r="E34" s="835" t="s">
        <v>140</v>
      </c>
      <c r="F34" s="835" t="s">
        <v>123</v>
      </c>
      <c r="J34" s="835" t="s">
        <v>320</v>
      </c>
      <c r="L34" s="835" t="s">
        <v>139</v>
      </c>
      <c r="M34" s="835" t="s">
        <v>140</v>
      </c>
      <c r="N34" s="835" t="s">
        <v>123</v>
      </c>
      <c r="R34" s="835" t="s">
        <v>320</v>
      </c>
      <c r="T34" s="835" t="s">
        <v>139</v>
      </c>
      <c r="U34" s="835" t="s">
        <v>140</v>
      </c>
      <c r="V34" s="835" t="s">
        <v>123</v>
      </c>
      <c r="X34" s="930"/>
      <c r="Y34" s="930"/>
      <c r="Z34" s="930"/>
      <c r="AA34" s="930"/>
      <c r="AB34" s="930"/>
      <c r="AC34" s="930"/>
      <c r="AD34" s="930"/>
      <c r="AE34" s="930"/>
      <c r="AF34" s="930"/>
      <c r="AG34" s="930"/>
      <c r="AH34" s="930"/>
      <c r="AI34" s="930"/>
    </row>
    <row r="35" spans="1:22" ht="11.25">
      <c r="A35" s="837" t="s">
        <v>345</v>
      </c>
      <c r="B35" s="838"/>
      <c r="C35" s="839"/>
      <c r="D35" s="839"/>
      <c r="E35" s="839"/>
      <c r="F35" s="839"/>
      <c r="I35" s="837" t="s">
        <v>345</v>
      </c>
      <c r="J35" s="838"/>
      <c r="K35" s="839"/>
      <c r="L35" s="839"/>
      <c r="M35" s="839"/>
      <c r="N35" s="839"/>
      <c r="Q35" s="837" t="s">
        <v>345</v>
      </c>
      <c r="R35" s="838"/>
      <c r="S35" s="839"/>
      <c r="T35" s="839"/>
      <c r="U35" s="839"/>
      <c r="V35" s="839"/>
    </row>
    <row r="36" spans="2:22" ht="11.25">
      <c r="B36" s="836"/>
      <c r="C36" s="834"/>
      <c r="D36" s="834"/>
      <c r="E36" s="834"/>
      <c r="F36" s="834"/>
      <c r="J36" s="836"/>
      <c r="K36" s="834"/>
      <c r="L36" s="834"/>
      <c r="M36" s="834"/>
      <c r="N36" s="834"/>
      <c r="R36" s="836"/>
      <c r="S36" s="834"/>
      <c r="T36" s="834"/>
      <c r="U36" s="834"/>
      <c r="V36" s="834"/>
    </row>
    <row r="37" spans="1:22" ht="11.25">
      <c r="A37" s="832" t="s">
        <v>111</v>
      </c>
      <c r="B37" s="836">
        <v>4</v>
      </c>
      <c r="C37" s="834"/>
      <c r="D37" s="857">
        <v>0</v>
      </c>
      <c r="E37" s="844">
        <f>D37*VLOOKUP(B37,B57:F61,4)</f>
        <v>0</v>
      </c>
      <c r="F37" s="844">
        <f>D37*VLOOKUP(B37,B57:F61,5)</f>
        <v>0</v>
      </c>
      <c r="I37" s="832" t="s">
        <v>111</v>
      </c>
      <c r="J37" s="836">
        <v>4</v>
      </c>
      <c r="K37" s="834"/>
      <c r="L37" s="857">
        <v>0</v>
      </c>
      <c r="M37" s="844">
        <f>L37*VLOOKUP(J37,J57:N61,4)</f>
        <v>0</v>
      </c>
      <c r="N37" s="844">
        <f>L37*VLOOKUP(J37,J57:N61,5)</f>
        <v>0</v>
      </c>
      <c r="Q37" s="832" t="s">
        <v>111</v>
      </c>
      <c r="R37" s="836">
        <v>4</v>
      </c>
      <c r="S37" s="834"/>
      <c r="T37" s="857">
        <v>0</v>
      </c>
      <c r="U37" s="844">
        <f>T37*VLOOKUP(R37,R57:V61,4)</f>
        <v>0</v>
      </c>
      <c r="V37" s="844">
        <f>T37*VLOOKUP(R37,R57:V61,5)</f>
        <v>0</v>
      </c>
    </row>
    <row r="39" spans="1:22" ht="11.25">
      <c r="A39" s="832" t="s">
        <v>346</v>
      </c>
      <c r="B39" s="833" t="s">
        <v>347</v>
      </c>
      <c r="D39" s="843">
        <v>0</v>
      </c>
      <c r="E39" s="844">
        <f>D39*VLOOKUP(B39,B57:F61,4)</f>
        <v>0</v>
      </c>
      <c r="F39" s="844">
        <f>D39*VLOOKUP(B39,B57:F61,5)</f>
        <v>0</v>
      </c>
      <c r="I39" s="832" t="s">
        <v>346</v>
      </c>
      <c r="J39" s="833" t="s">
        <v>347</v>
      </c>
      <c r="L39" s="843">
        <v>0</v>
      </c>
      <c r="M39" s="844">
        <f>L39*VLOOKUP(J39,J57:N61,4)</f>
        <v>0</v>
      </c>
      <c r="N39" s="844">
        <f>L39*VLOOKUP(J39,J57:N61,5)</f>
        <v>0</v>
      </c>
      <c r="Q39" s="832" t="s">
        <v>346</v>
      </c>
      <c r="R39" s="833" t="s">
        <v>347</v>
      </c>
      <c r="T39" s="843">
        <v>0</v>
      </c>
      <c r="U39" s="844">
        <f>T39*VLOOKUP(R39,R57:V61,4)</f>
        <v>0</v>
      </c>
      <c r="V39" s="844">
        <f>T39*VLOOKUP(R39,R57:V61,5)</f>
        <v>0</v>
      </c>
    </row>
    <row r="40" spans="4:22" ht="11.25">
      <c r="D40" s="844"/>
      <c r="E40" s="844"/>
      <c r="F40" s="844"/>
      <c r="L40" s="844"/>
      <c r="M40" s="844"/>
      <c r="N40" s="844"/>
      <c r="T40" s="844"/>
      <c r="U40" s="844"/>
      <c r="V40" s="844"/>
    </row>
    <row r="41" spans="1:23" ht="11.25">
      <c r="A41" s="832" t="s">
        <v>328</v>
      </c>
      <c r="B41" s="833">
        <v>99</v>
      </c>
      <c r="D41" s="844">
        <f>E41+F41</f>
        <v>1071914</v>
      </c>
      <c r="E41" s="843">
        <v>755491</v>
      </c>
      <c r="F41" s="843">
        <v>316423</v>
      </c>
      <c r="G41" s="844"/>
      <c r="I41" s="832" t="s">
        <v>328</v>
      </c>
      <c r="J41" s="833">
        <v>99</v>
      </c>
      <c r="L41" s="844">
        <f>M41+N41</f>
        <v>1343119</v>
      </c>
      <c r="M41" s="843">
        <v>1021719</v>
      </c>
      <c r="N41" s="843">
        <v>321400</v>
      </c>
      <c r="O41" s="844"/>
      <c r="Q41" s="832" t="s">
        <v>328</v>
      </c>
      <c r="R41" s="833">
        <v>99</v>
      </c>
      <c r="T41" s="844">
        <f>U41+V41</f>
        <v>933553</v>
      </c>
      <c r="U41" s="843">
        <v>670626</v>
      </c>
      <c r="V41" s="843">
        <v>262927</v>
      </c>
      <c r="W41" s="844"/>
    </row>
    <row r="42" spans="1:22" ht="11.25">
      <c r="A42" s="832" t="s">
        <v>330</v>
      </c>
      <c r="B42" s="833">
        <v>6</v>
      </c>
      <c r="D42" s="843">
        <v>0</v>
      </c>
      <c r="E42" s="844">
        <f>D42*VLOOKUP(B42,B57:F61,4)</f>
        <v>0</v>
      </c>
      <c r="F42" s="844">
        <f>D42*VLOOKUP(B42,B57:F61,5)</f>
        <v>0</v>
      </c>
      <c r="I42" s="832" t="s">
        <v>330</v>
      </c>
      <c r="J42" s="833">
        <v>6</v>
      </c>
      <c r="L42" s="843">
        <v>0</v>
      </c>
      <c r="M42" s="844">
        <f>L42*VLOOKUP(J42,J57:N61,4)</f>
        <v>0</v>
      </c>
      <c r="N42" s="844">
        <f>L42*VLOOKUP(J42,J57:N61,5)</f>
        <v>0</v>
      </c>
      <c r="Q42" s="832" t="s">
        <v>330</v>
      </c>
      <c r="R42" s="833">
        <v>6</v>
      </c>
      <c r="T42" s="843">
        <v>0</v>
      </c>
      <c r="U42" s="844">
        <f>T42*VLOOKUP(R42,R57:V61,4)</f>
        <v>0</v>
      </c>
      <c r="V42" s="844">
        <f>T42*VLOOKUP(R42,R57:V61,5)</f>
        <v>0</v>
      </c>
    </row>
    <row r="43" spans="4:22" ht="11.25">
      <c r="D43" s="844"/>
      <c r="E43" s="844"/>
      <c r="F43" s="844"/>
      <c r="L43" s="844"/>
      <c r="M43" s="844"/>
      <c r="N43" s="844"/>
      <c r="T43" s="844"/>
      <c r="U43" s="844"/>
      <c r="V43" s="844"/>
    </row>
    <row r="44" spans="1:23" ht="11.25">
      <c r="A44" s="832" t="s">
        <v>332</v>
      </c>
      <c r="B44" s="833">
        <v>99</v>
      </c>
      <c r="D44" s="844">
        <f>E44+F44</f>
        <v>60284</v>
      </c>
      <c r="E44" s="843">
        <v>58388</v>
      </c>
      <c r="F44" s="843">
        <v>1896</v>
      </c>
      <c r="G44" s="844"/>
      <c r="I44" s="832" t="s">
        <v>332</v>
      </c>
      <c r="J44" s="833">
        <v>99</v>
      </c>
      <c r="L44" s="844">
        <f>M44+N44</f>
        <v>73231</v>
      </c>
      <c r="M44" s="843">
        <v>68070</v>
      </c>
      <c r="N44" s="843">
        <v>5161</v>
      </c>
      <c r="O44" s="844"/>
      <c r="Q44" s="832" t="s">
        <v>332</v>
      </c>
      <c r="R44" s="833">
        <v>99</v>
      </c>
      <c r="T44" s="844">
        <f>U44+V44</f>
        <v>7059</v>
      </c>
      <c r="U44" s="843">
        <v>1646</v>
      </c>
      <c r="V44" s="843">
        <v>5413</v>
      </c>
      <c r="W44" s="844"/>
    </row>
    <row r="45" spans="1:22" ht="11.25">
      <c r="A45" s="832" t="s">
        <v>334</v>
      </c>
      <c r="B45" s="833">
        <v>4</v>
      </c>
      <c r="D45" s="843">
        <v>0</v>
      </c>
      <c r="E45" s="844">
        <f>D45*VLOOKUP(B45,B57:F61,4)</f>
        <v>0</v>
      </c>
      <c r="F45" s="844">
        <f>D45*VLOOKUP(B45,B57:F61,5)</f>
        <v>0</v>
      </c>
      <c r="I45" s="832" t="s">
        <v>334</v>
      </c>
      <c r="J45" s="833">
        <v>4</v>
      </c>
      <c r="L45" s="843">
        <v>0</v>
      </c>
      <c r="M45" s="844">
        <f>L45*VLOOKUP(J45,J57:N61,4)</f>
        <v>0</v>
      </c>
      <c r="N45" s="844">
        <f>L45*VLOOKUP(J45,J57:N61,5)</f>
        <v>0</v>
      </c>
      <c r="Q45" s="832" t="s">
        <v>334</v>
      </c>
      <c r="R45" s="833">
        <v>4</v>
      </c>
      <c r="T45" s="843">
        <v>0</v>
      </c>
      <c r="U45" s="844">
        <f>T45*VLOOKUP(R45,R57:V61,4)</f>
        <v>0</v>
      </c>
      <c r="V45" s="844">
        <f>T45*VLOOKUP(R45,R57:V61,5)</f>
        <v>0</v>
      </c>
    </row>
    <row r="46" spans="4:22" ht="11.25">
      <c r="D46" s="844"/>
      <c r="E46" s="844"/>
      <c r="F46" s="844"/>
      <c r="L46" s="844"/>
      <c r="M46" s="844"/>
      <c r="N46" s="844"/>
      <c r="T46" s="844"/>
      <c r="U46" s="844"/>
      <c r="V46" s="844"/>
    </row>
    <row r="47" spans="1:23" ht="11.25">
      <c r="A47" s="832" t="s">
        <v>348</v>
      </c>
      <c r="B47" s="833">
        <v>4</v>
      </c>
      <c r="D47" s="844">
        <f>F94</f>
        <v>868279.15095</v>
      </c>
      <c r="E47" s="844">
        <f>D47*VLOOKUP(B47,B57:F61,4)</f>
        <v>601517.7474036316</v>
      </c>
      <c r="F47" s="844">
        <f>D47*VLOOKUP(B47,B57:F61,5)</f>
        <v>266761.4035463685</v>
      </c>
      <c r="G47" s="844"/>
      <c r="I47" s="832" t="s">
        <v>348</v>
      </c>
      <c r="J47" s="833">
        <v>4</v>
      </c>
      <c r="L47" s="844">
        <f>N94</f>
        <v>1011495.71912</v>
      </c>
      <c r="M47" s="844">
        <f>L47*VLOOKUP(J47,J57:N61,4)</f>
        <v>700733.8893347625</v>
      </c>
      <c r="N47" s="844">
        <f>L47*VLOOKUP(J47,J57:N61,5)</f>
        <v>310761.8297852376</v>
      </c>
      <c r="O47" s="844"/>
      <c r="Q47" s="832" t="s">
        <v>348</v>
      </c>
      <c r="R47" s="833">
        <v>4</v>
      </c>
      <c r="T47" s="844">
        <f>V94</f>
        <v>1448736.4375600002</v>
      </c>
      <c r="U47" s="844">
        <f>T47*VLOOKUP(R47,R57:V61,4)</f>
        <v>995788.9903568662</v>
      </c>
      <c r="V47" s="844">
        <f>T47*VLOOKUP(R47,R57:V61,5)</f>
        <v>452947.44720313407</v>
      </c>
      <c r="W47" s="844"/>
    </row>
    <row r="48" spans="4:22" ht="11.25">
      <c r="D48" s="844"/>
      <c r="E48" s="844"/>
      <c r="F48" s="844"/>
      <c r="L48" s="844"/>
      <c r="M48" s="844"/>
      <c r="N48" s="844"/>
      <c r="T48" s="844"/>
      <c r="U48" s="844"/>
      <c r="V48" s="844"/>
    </row>
    <row r="49" spans="1:23" ht="11.25">
      <c r="A49" s="832" t="s">
        <v>349</v>
      </c>
      <c r="D49" s="844">
        <f>SUM(D37:D47)</f>
        <v>2000477.1509500002</v>
      </c>
      <c r="E49" s="844">
        <f>SUM(E37:E47)</f>
        <v>1415396.7474036315</v>
      </c>
      <c r="F49" s="844">
        <f>SUM(F37:F47)</f>
        <v>585080.4035463685</v>
      </c>
      <c r="G49" s="844"/>
      <c r="I49" s="832" t="s">
        <v>349</v>
      </c>
      <c r="L49" s="844">
        <f>SUM(L37:L47)</f>
        <v>2427845.71912</v>
      </c>
      <c r="M49" s="844">
        <f>SUM(M37:M47)</f>
        <v>1790522.8893347625</v>
      </c>
      <c r="N49" s="844">
        <f>SUM(N37:N47)</f>
        <v>637322.8297852376</v>
      </c>
      <c r="O49" s="844"/>
      <c r="Q49" s="832" t="s">
        <v>349</v>
      </c>
      <c r="T49" s="844">
        <f>SUM(T37:T47)</f>
        <v>2389348.4375600005</v>
      </c>
      <c r="U49" s="844">
        <f>SUM(U37:U47)</f>
        <v>1668060.9903568663</v>
      </c>
      <c r="V49" s="844">
        <f>SUM(V37:V47)</f>
        <v>721287.4472031341</v>
      </c>
      <c r="W49" s="844"/>
    </row>
    <row r="50" spans="1:22" ht="11.25">
      <c r="A50" s="832" t="s">
        <v>338</v>
      </c>
      <c r="D50" s="853">
        <f>D49/D$49</f>
        <v>1</v>
      </c>
      <c r="E50" s="853">
        <f>E49/D$49</f>
        <v>0.7075295744975034</v>
      </c>
      <c r="F50" s="853">
        <f>F49/D$49</f>
        <v>0.2924704255024965</v>
      </c>
      <c r="I50" s="832" t="s">
        <v>338</v>
      </c>
      <c r="L50" s="853">
        <f>L49/L$49</f>
        <v>1</v>
      </c>
      <c r="M50" s="853">
        <f>M49/L$49</f>
        <v>0.7374945101469452</v>
      </c>
      <c r="N50" s="853">
        <f>N49/L$49</f>
        <v>0.2625054898530547</v>
      </c>
      <c r="Q50" s="832" t="s">
        <v>338</v>
      </c>
      <c r="T50" s="853">
        <f>T49/T$49</f>
        <v>1</v>
      </c>
      <c r="U50" s="853">
        <f>U49/T$49</f>
        <v>0.6981237914635372</v>
      </c>
      <c r="V50" s="853">
        <f>V49/T$49</f>
        <v>0.30187620853646274</v>
      </c>
    </row>
    <row r="52" spans="1:23" ht="11.25">
      <c r="A52" s="832" t="s">
        <v>350</v>
      </c>
      <c r="D52" s="843">
        <f>-17780+139134</f>
        <v>121354</v>
      </c>
      <c r="E52" s="844">
        <f>D52*E50</f>
        <v>85861.54398357002</v>
      </c>
      <c r="F52" s="844">
        <f>D52*F50</f>
        <v>35492.45601642996</v>
      </c>
      <c r="G52" s="844"/>
      <c r="I52" s="832" t="s">
        <v>350</v>
      </c>
      <c r="L52" s="843">
        <f>222032+154515</f>
        <v>376547</v>
      </c>
      <c r="M52" s="844">
        <f>L52*M50</f>
        <v>277701.34531230177</v>
      </c>
      <c r="N52" s="844">
        <f>L52*N50</f>
        <v>98845.65468769819</v>
      </c>
      <c r="O52" s="844"/>
      <c r="Q52" s="832" t="s">
        <v>350</v>
      </c>
      <c r="T52" s="843">
        <f>-80974+165327</f>
        <v>84353</v>
      </c>
      <c r="U52" s="844">
        <f>T52*U50</f>
        <v>58888.83618132376</v>
      </c>
      <c r="V52" s="844">
        <f>T52*V50</f>
        <v>25464.163818676243</v>
      </c>
      <c r="W52" s="844"/>
    </row>
    <row r="54" spans="1:23" ht="11.25">
      <c r="A54" s="832" t="s">
        <v>327</v>
      </c>
      <c r="D54" s="854">
        <f>D49+D52</f>
        <v>2121831.15095</v>
      </c>
      <c r="E54" s="854">
        <f>E49+E52</f>
        <v>1501258.2913872015</v>
      </c>
      <c r="F54" s="854">
        <f>F49+F52</f>
        <v>620572.8595627984</v>
      </c>
      <c r="G54" s="844"/>
      <c r="I54" s="832" t="s">
        <v>327</v>
      </c>
      <c r="L54" s="854">
        <f>L49+L52</f>
        <v>2804392.71912</v>
      </c>
      <c r="M54" s="854">
        <f>M49+M52</f>
        <v>2068224.2346470642</v>
      </c>
      <c r="N54" s="854">
        <f>N49+N52</f>
        <v>736168.4844729358</v>
      </c>
      <c r="O54" s="844"/>
      <c r="Q54" s="832" t="s">
        <v>327</v>
      </c>
      <c r="T54" s="854">
        <f>T49+T52</f>
        <v>2473701.4375600005</v>
      </c>
      <c r="U54" s="854">
        <f>U49+U52</f>
        <v>1726949.82653819</v>
      </c>
      <c r="V54" s="854">
        <f>V49+V52</f>
        <v>746751.6110218103</v>
      </c>
      <c r="W54" s="844"/>
    </row>
    <row r="55" spans="4:20" ht="11.25">
      <c r="D55" s="844"/>
      <c r="L55" s="844"/>
      <c r="T55" s="844"/>
    </row>
    <row r="56" spans="1:17" ht="11.25">
      <c r="A56" s="855" t="s">
        <v>351</v>
      </c>
      <c r="I56" s="855" t="s">
        <v>351</v>
      </c>
      <c r="Q56" s="855" t="s">
        <v>351</v>
      </c>
    </row>
    <row r="57" spans="1:22" ht="11.25">
      <c r="A57" s="832" t="s">
        <v>352</v>
      </c>
      <c r="B57" s="833" t="s">
        <v>347</v>
      </c>
      <c r="D57" s="853">
        <f>E57+F57</f>
        <v>1</v>
      </c>
      <c r="E57" s="856">
        <v>0.7362</v>
      </c>
      <c r="F57" s="856">
        <v>0.2638</v>
      </c>
      <c r="I57" s="832" t="s">
        <v>352</v>
      </c>
      <c r="J57" s="833" t="s">
        <v>347</v>
      </c>
      <c r="L57" s="853">
        <f>M57+N57</f>
        <v>1</v>
      </c>
      <c r="M57" s="856">
        <v>0.7362</v>
      </c>
      <c r="N57" s="856">
        <v>0.2638</v>
      </c>
      <c r="Q57" s="832" t="s">
        <v>352</v>
      </c>
      <c r="R57" s="833" t="s">
        <v>347</v>
      </c>
      <c r="T57" s="853">
        <f>U57+V57</f>
        <v>1</v>
      </c>
      <c r="U57" s="856">
        <v>0.7292</v>
      </c>
      <c r="V57" s="856">
        <v>0.2708</v>
      </c>
    </row>
    <row r="58" spans="1:22" ht="11.25">
      <c r="A58" s="832" t="s">
        <v>342</v>
      </c>
      <c r="B58" s="833">
        <v>4</v>
      </c>
      <c r="D58" s="853">
        <f>E58+F58</f>
        <v>1</v>
      </c>
      <c r="E58" s="856">
        <v>0.69277</v>
      </c>
      <c r="F58" s="856">
        <v>0.30723</v>
      </c>
      <c r="I58" s="832" t="s">
        <v>342</v>
      </c>
      <c r="J58" s="833">
        <v>4</v>
      </c>
      <c r="L58" s="853">
        <f>M58+N58</f>
        <v>1</v>
      </c>
      <c r="M58" s="856">
        <v>0.69277</v>
      </c>
      <c r="N58" s="856">
        <v>0.30723</v>
      </c>
      <c r="Q58" s="832" t="s">
        <v>342</v>
      </c>
      <c r="R58" s="833">
        <v>4</v>
      </c>
      <c r="T58" s="853">
        <f>U58+V58</f>
        <v>1</v>
      </c>
      <c r="U58" s="856">
        <v>0.68735</v>
      </c>
      <c r="V58" s="856">
        <v>0.31265</v>
      </c>
    </row>
    <row r="59" spans="1:22" ht="11.25">
      <c r="A59" s="832" t="s">
        <v>353</v>
      </c>
      <c r="B59" s="833">
        <v>6</v>
      </c>
      <c r="D59" s="853">
        <f>E59+F59</f>
        <v>1</v>
      </c>
      <c r="E59" s="856">
        <v>0.73672</v>
      </c>
      <c r="F59" s="856">
        <v>0.26328</v>
      </c>
      <c r="I59" s="832" t="s">
        <v>353</v>
      </c>
      <c r="J59" s="833">
        <v>6</v>
      </c>
      <c r="L59" s="853">
        <f>M59+N59</f>
        <v>1</v>
      </c>
      <c r="M59" s="856">
        <v>0.73672</v>
      </c>
      <c r="N59" s="856">
        <v>0.26328</v>
      </c>
      <c r="Q59" s="832" t="s">
        <v>353</v>
      </c>
      <c r="R59" s="833">
        <v>6</v>
      </c>
      <c r="T59" s="853">
        <f>U59+V59</f>
        <v>1</v>
      </c>
      <c r="U59" s="856">
        <v>0.7178</v>
      </c>
      <c r="V59" s="856">
        <v>0.2822</v>
      </c>
    </row>
    <row r="60" spans="1:22" ht="11.25">
      <c r="A60" s="832" t="s">
        <v>344</v>
      </c>
      <c r="B60" s="833">
        <v>99</v>
      </c>
      <c r="D60" s="853">
        <f>E60+F60</f>
        <v>0</v>
      </c>
      <c r="E60" s="856">
        <v>0</v>
      </c>
      <c r="F60" s="856">
        <v>0</v>
      </c>
      <c r="I60" s="832" t="s">
        <v>344</v>
      </c>
      <c r="J60" s="833">
        <v>99</v>
      </c>
      <c r="L60" s="853">
        <f>M60+N60</f>
        <v>0</v>
      </c>
      <c r="M60" s="856">
        <v>0</v>
      </c>
      <c r="N60" s="856">
        <v>0</v>
      </c>
      <c r="Q60" s="832" t="s">
        <v>344</v>
      </c>
      <c r="R60" s="833">
        <v>99</v>
      </c>
      <c r="T60" s="853">
        <f>U60+V60</f>
        <v>0</v>
      </c>
      <c r="U60" s="856">
        <f>M60</f>
        <v>0</v>
      </c>
      <c r="V60" s="856">
        <f>N60</f>
        <v>0</v>
      </c>
    </row>
    <row r="63" spans="2:35" s="835" customFormat="1" ht="11.25">
      <c r="B63" s="835" t="s">
        <v>320</v>
      </c>
      <c r="D63" s="835" t="s">
        <v>139</v>
      </c>
      <c r="E63" s="835" t="s">
        <v>321</v>
      </c>
      <c r="F63" s="835" t="s">
        <v>322</v>
      </c>
      <c r="J63" s="835" t="s">
        <v>320</v>
      </c>
      <c r="L63" s="835" t="s">
        <v>139</v>
      </c>
      <c r="M63" s="835" t="s">
        <v>321</v>
      </c>
      <c r="N63" s="835" t="s">
        <v>322</v>
      </c>
      <c r="R63" s="835" t="s">
        <v>320</v>
      </c>
      <c r="T63" s="835" t="s">
        <v>139</v>
      </c>
      <c r="U63" s="835" t="s">
        <v>321</v>
      </c>
      <c r="V63" s="835" t="s">
        <v>322</v>
      </c>
      <c r="X63" s="930"/>
      <c r="Y63" s="930"/>
      <c r="Z63" s="930"/>
      <c r="AA63" s="930"/>
      <c r="AB63" s="930"/>
      <c r="AC63" s="930"/>
      <c r="AD63" s="930"/>
      <c r="AE63" s="930"/>
      <c r="AF63" s="930"/>
      <c r="AG63" s="930"/>
      <c r="AH63" s="930"/>
      <c r="AI63" s="930"/>
    </row>
    <row r="64" spans="1:22" ht="11.25">
      <c r="A64" s="837" t="s">
        <v>354</v>
      </c>
      <c r="B64" s="838"/>
      <c r="C64" s="839"/>
      <c r="D64" s="839"/>
      <c r="E64" s="839"/>
      <c r="F64" s="839"/>
      <c r="I64" s="837" t="s">
        <v>354</v>
      </c>
      <c r="J64" s="838"/>
      <c r="K64" s="839"/>
      <c r="L64" s="839"/>
      <c r="M64" s="839"/>
      <c r="N64" s="839"/>
      <c r="Q64" s="837" t="s">
        <v>354</v>
      </c>
      <c r="R64" s="838"/>
      <c r="S64" s="839"/>
      <c r="T64" s="839"/>
      <c r="U64" s="839"/>
      <c r="V64" s="839"/>
    </row>
    <row r="66" spans="1:22" ht="11.25">
      <c r="A66" s="832" t="s">
        <v>111</v>
      </c>
      <c r="B66" s="833">
        <v>4</v>
      </c>
      <c r="D66" s="843">
        <v>0</v>
      </c>
      <c r="E66" s="844">
        <f>D66*VLOOKUP(B66,B84:F85,4)</f>
        <v>0</v>
      </c>
      <c r="F66" s="844">
        <f>D66*VLOOKUP(B66,B84:F85,5)</f>
        <v>0</v>
      </c>
      <c r="I66" s="832" t="s">
        <v>111</v>
      </c>
      <c r="J66" s="833">
        <v>4</v>
      </c>
      <c r="L66" s="843">
        <v>0</v>
      </c>
      <c r="M66" s="844">
        <f>L66*VLOOKUP(J66,J84:N85,4)</f>
        <v>0</v>
      </c>
      <c r="N66" s="844">
        <f>L66*VLOOKUP(J66,J84:N85,5)</f>
        <v>0</v>
      </c>
      <c r="Q66" s="832" t="s">
        <v>111</v>
      </c>
      <c r="R66" s="833">
        <v>4</v>
      </c>
      <c r="T66" s="843">
        <v>11969</v>
      </c>
      <c r="U66" s="844">
        <f>T66*VLOOKUP(R66,R84:V85,4)</f>
        <v>10518.237509999999</v>
      </c>
      <c r="V66" s="844">
        <f>T66*VLOOKUP(R66,R84:V85,5)</f>
        <v>1450.76249</v>
      </c>
    </row>
    <row r="67" spans="1:23" ht="11.25">
      <c r="A67" s="832" t="s">
        <v>112</v>
      </c>
      <c r="B67" s="833">
        <v>99</v>
      </c>
      <c r="D67" s="844">
        <f>E67+F67</f>
        <v>0</v>
      </c>
      <c r="E67" s="843">
        <v>0</v>
      </c>
      <c r="F67" s="843">
        <v>0</v>
      </c>
      <c r="G67" s="844"/>
      <c r="I67" s="832" t="s">
        <v>112</v>
      </c>
      <c r="J67" s="833">
        <v>99</v>
      </c>
      <c r="L67" s="844">
        <f>M67+N67</f>
        <v>0</v>
      </c>
      <c r="M67" s="843">
        <v>0</v>
      </c>
      <c r="N67" s="843">
        <v>0</v>
      </c>
      <c r="O67" s="844"/>
      <c r="Q67" s="832" t="s">
        <v>112</v>
      </c>
      <c r="R67" s="833">
        <v>99</v>
      </c>
      <c r="T67" s="844">
        <f>U67+V67</f>
        <v>0</v>
      </c>
      <c r="U67" s="843">
        <v>0</v>
      </c>
      <c r="V67" s="843">
        <v>0</v>
      </c>
      <c r="W67" s="844"/>
    </row>
    <row r="68" spans="1:22" ht="11.25">
      <c r="A68" s="832" t="s">
        <v>113</v>
      </c>
      <c r="B68" s="833">
        <v>99</v>
      </c>
      <c r="D68" s="844">
        <f>E68+F68</f>
        <v>0</v>
      </c>
      <c r="E68" s="843">
        <v>0</v>
      </c>
      <c r="F68" s="843">
        <v>0</v>
      </c>
      <c r="I68" s="832" t="s">
        <v>113</v>
      </c>
      <c r="J68" s="833">
        <v>99</v>
      </c>
      <c r="L68" s="844">
        <f>M68+N68</f>
        <v>0</v>
      </c>
      <c r="M68" s="843">
        <v>0</v>
      </c>
      <c r="N68" s="843">
        <v>0</v>
      </c>
      <c r="Q68" s="832" t="s">
        <v>113</v>
      </c>
      <c r="R68" s="833">
        <v>99</v>
      </c>
      <c r="T68" s="844">
        <f>U68+V68</f>
        <v>0</v>
      </c>
      <c r="U68" s="843">
        <v>0</v>
      </c>
      <c r="V68" s="843">
        <v>0</v>
      </c>
    </row>
    <row r="69" spans="1:23" ht="11.25">
      <c r="A69" s="832" t="s">
        <v>93</v>
      </c>
      <c r="B69" s="833">
        <v>99</v>
      </c>
      <c r="D69" s="844">
        <f>E69+F69</f>
        <v>390659</v>
      </c>
      <c r="E69" s="843">
        <v>390659</v>
      </c>
      <c r="F69" s="843">
        <v>0</v>
      </c>
      <c r="G69" s="844"/>
      <c r="I69" s="832" t="s">
        <v>93</v>
      </c>
      <c r="J69" s="833">
        <v>99</v>
      </c>
      <c r="L69" s="844">
        <f>M69+N69</f>
        <v>615839</v>
      </c>
      <c r="M69" s="843">
        <v>615839</v>
      </c>
      <c r="N69" s="843">
        <v>0</v>
      </c>
      <c r="O69" s="844"/>
      <c r="Q69" s="832" t="s">
        <v>93</v>
      </c>
      <c r="R69" s="833">
        <v>99</v>
      </c>
      <c r="T69" s="844">
        <f>U69+V69</f>
        <v>3600812</v>
      </c>
      <c r="U69" s="843">
        <v>3600812</v>
      </c>
      <c r="V69" s="843">
        <v>0</v>
      </c>
      <c r="W69" s="844"/>
    </row>
    <row r="70" spans="4:22" ht="11.25">
      <c r="D70" s="844"/>
      <c r="E70" s="844"/>
      <c r="F70" s="844"/>
      <c r="L70" s="844"/>
      <c r="M70" s="844"/>
      <c r="N70" s="844"/>
      <c r="T70" s="844"/>
      <c r="U70" s="844"/>
      <c r="V70" s="844"/>
    </row>
    <row r="71" spans="1:23" ht="11.25">
      <c r="A71" s="832" t="s">
        <v>332</v>
      </c>
      <c r="B71" s="833">
        <v>99</v>
      </c>
      <c r="D71" s="844">
        <f>E71+F71</f>
        <v>23652</v>
      </c>
      <c r="E71" s="843">
        <v>23652</v>
      </c>
      <c r="F71" s="843">
        <v>0</v>
      </c>
      <c r="G71" s="844"/>
      <c r="I71" s="832" t="s">
        <v>332</v>
      </c>
      <c r="J71" s="833">
        <v>99</v>
      </c>
      <c r="L71" s="844">
        <f>M71+N71</f>
        <v>35651</v>
      </c>
      <c r="M71" s="843">
        <v>35651</v>
      </c>
      <c r="N71" s="843">
        <v>0</v>
      </c>
      <c r="O71" s="844"/>
      <c r="Q71" s="832" t="s">
        <v>332</v>
      </c>
      <c r="R71" s="833">
        <v>99</v>
      </c>
      <c r="T71" s="844">
        <f>U71+V71</f>
        <v>51764</v>
      </c>
      <c r="U71" s="843">
        <v>51764</v>
      </c>
      <c r="V71" s="843">
        <v>0</v>
      </c>
      <c r="W71" s="844"/>
    </row>
    <row r="72" spans="1:22" ht="11.25">
      <c r="A72" s="832" t="s">
        <v>334</v>
      </c>
      <c r="B72" s="833">
        <v>4</v>
      </c>
      <c r="D72" s="843">
        <v>0</v>
      </c>
      <c r="E72" s="844">
        <f>D72*VLOOKUP(B72,B84:F85,4)</f>
        <v>0</v>
      </c>
      <c r="F72" s="844">
        <f>D72*VLOOKUP(B72,B84:F85,5)</f>
        <v>0</v>
      </c>
      <c r="I72" s="832" t="s">
        <v>334</v>
      </c>
      <c r="J72" s="833">
        <v>4</v>
      </c>
      <c r="L72" s="843">
        <v>0</v>
      </c>
      <c r="M72" s="844">
        <f>L72*VLOOKUP(J72,J84:N85,4)</f>
        <v>0</v>
      </c>
      <c r="N72" s="844">
        <f>L72*VLOOKUP(J72,J84:N85,5)</f>
        <v>0</v>
      </c>
      <c r="Q72" s="832" t="s">
        <v>334</v>
      </c>
      <c r="R72" s="833">
        <v>4</v>
      </c>
      <c r="T72" s="843">
        <v>0</v>
      </c>
      <c r="U72" s="844">
        <f>T72*VLOOKUP(R72,R84:V85,4)</f>
        <v>0</v>
      </c>
      <c r="V72" s="844">
        <f>T72*VLOOKUP(R72,R84:V85,5)</f>
        <v>0</v>
      </c>
    </row>
    <row r="73" spans="4:22" ht="11.25">
      <c r="D73" s="844"/>
      <c r="E73" s="844"/>
      <c r="F73" s="844"/>
      <c r="L73" s="844"/>
      <c r="M73" s="844"/>
      <c r="N73" s="844"/>
      <c r="T73" s="844"/>
      <c r="U73" s="844"/>
      <c r="V73" s="844"/>
    </row>
    <row r="74" spans="1:22" ht="11.25">
      <c r="A74" s="832" t="s">
        <v>348</v>
      </c>
      <c r="B74" s="833">
        <v>4</v>
      </c>
      <c r="D74" s="844">
        <f>G94</f>
        <v>406863.49554000003</v>
      </c>
      <c r="E74" s="844">
        <f>D74*VLOOKUP(B74,B84:F85,4)</f>
        <v>358621.69087382226</v>
      </c>
      <c r="F74" s="844">
        <f>D74*VLOOKUP(B74,B84:F85,5)</f>
        <v>48241.8046661778</v>
      </c>
      <c r="I74" s="832" t="s">
        <v>348</v>
      </c>
      <c r="J74" s="833">
        <v>4</v>
      </c>
      <c r="L74" s="844">
        <f>O94</f>
        <v>516835.43820000003</v>
      </c>
      <c r="M74" s="844">
        <f>L74*VLOOKUP(J74,J84:N85,4)</f>
        <v>455554.26029262604</v>
      </c>
      <c r="N74" s="844">
        <f>L74*VLOOKUP(J74,J84:N85,5)</f>
        <v>61281.177907374</v>
      </c>
      <c r="Q74" s="832" t="s">
        <v>348</v>
      </c>
      <c r="R74" s="833">
        <v>4</v>
      </c>
      <c r="T74" s="844">
        <f>W94</f>
        <v>669299.18056</v>
      </c>
      <c r="U74" s="844">
        <f>T74*VLOOKUP(R74,R84:V85,4)</f>
        <v>588173.4268843224</v>
      </c>
      <c r="V74" s="844">
        <f>T74*VLOOKUP(R74,R84:V85,5)</f>
        <v>81125.7536756776</v>
      </c>
    </row>
    <row r="75" spans="4:22" ht="11.25">
      <c r="D75" s="844"/>
      <c r="E75" s="844"/>
      <c r="F75" s="844"/>
      <c r="L75" s="844"/>
      <c r="M75" s="844"/>
      <c r="N75" s="844"/>
      <c r="T75" s="844"/>
      <c r="U75" s="844"/>
      <c r="V75" s="844"/>
    </row>
    <row r="76" spans="1:23" ht="11.25">
      <c r="A76" s="832" t="s">
        <v>355</v>
      </c>
      <c r="D76" s="844">
        <f>SUM(D66:D74)</f>
        <v>821174.49554</v>
      </c>
      <c r="E76" s="844">
        <f>SUM(E66:E74)</f>
        <v>772932.6908738222</v>
      </c>
      <c r="F76" s="844">
        <f>SUM(F66:F74)</f>
        <v>48241.8046661778</v>
      </c>
      <c r="G76" s="844"/>
      <c r="I76" s="832" t="s">
        <v>355</v>
      </c>
      <c r="L76" s="844">
        <f>SUM(L66:L74)</f>
        <v>1168325.4382</v>
      </c>
      <c r="M76" s="844">
        <f>SUM(M66:M74)</f>
        <v>1107044.260292626</v>
      </c>
      <c r="N76" s="844">
        <f>SUM(N66:N74)</f>
        <v>61281.177907374</v>
      </c>
      <c r="O76" s="844"/>
      <c r="Q76" s="832" t="s">
        <v>355</v>
      </c>
      <c r="T76" s="844">
        <f>SUM(T66:T74)</f>
        <v>4333844.18056</v>
      </c>
      <c r="U76" s="844">
        <f>SUM(U66:U74)</f>
        <v>4251267.664394323</v>
      </c>
      <c r="V76" s="844">
        <f>SUM(V66:V74)</f>
        <v>82576.51616567759</v>
      </c>
      <c r="W76" s="844"/>
    </row>
    <row r="77" spans="1:22" ht="11.25">
      <c r="A77" s="832" t="s">
        <v>338</v>
      </c>
      <c r="D77" s="853">
        <f>D76/D$76</f>
        <v>1</v>
      </c>
      <c r="E77" s="853">
        <f>E76/D$76</f>
        <v>0.9412526753714455</v>
      </c>
      <c r="F77" s="853">
        <f>F76/D$76</f>
        <v>0.05874732462855443</v>
      </c>
      <c r="I77" s="832" t="s">
        <v>338</v>
      </c>
      <c r="L77" s="853">
        <f>L76/L$76</f>
        <v>1</v>
      </c>
      <c r="M77" s="853">
        <f>M76/L$76</f>
        <v>0.9475478527611383</v>
      </c>
      <c r="N77" s="853">
        <f>N76/L$76</f>
        <v>0.05245214723886169</v>
      </c>
      <c r="Q77" s="832" t="s">
        <v>338</v>
      </c>
      <c r="T77" s="853">
        <f>T76/T$76</f>
        <v>1</v>
      </c>
      <c r="U77" s="853">
        <f>U76/T$76</f>
        <v>0.9809461271044112</v>
      </c>
      <c r="V77" s="853">
        <f>V76/T$76</f>
        <v>0.019053872895588835</v>
      </c>
    </row>
    <row r="79" spans="1:23" ht="11.25">
      <c r="A79" s="832" t="s">
        <v>356</v>
      </c>
      <c r="D79" s="843">
        <f>22124-12694</f>
        <v>9430</v>
      </c>
      <c r="E79" s="844">
        <f>D79*E77</f>
        <v>8876.012728752732</v>
      </c>
      <c r="F79" s="844">
        <f>D79*F77</f>
        <v>553.9872712472683</v>
      </c>
      <c r="G79" s="844"/>
      <c r="I79" s="832" t="s">
        <v>356</v>
      </c>
      <c r="L79" s="843">
        <f>24629+314599</f>
        <v>339228</v>
      </c>
      <c r="M79" s="844">
        <f>L79*M77</f>
        <v>321434.7629964554</v>
      </c>
      <c r="N79" s="844">
        <f>L79*N77</f>
        <v>17793.237003544575</v>
      </c>
      <c r="O79" s="844"/>
      <c r="Q79" s="832" t="s">
        <v>356</v>
      </c>
      <c r="T79" s="843">
        <f>375205+41133</f>
        <v>416338</v>
      </c>
      <c r="U79" s="844">
        <f>T79*U77</f>
        <v>408405.14866639633</v>
      </c>
      <c r="V79" s="844">
        <f>T79*V77</f>
        <v>7932.851333603665</v>
      </c>
      <c r="W79" s="844"/>
    </row>
    <row r="81" spans="1:23" ht="11.25">
      <c r="A81" s="832" t="s">
        <v>329</v>
      </c>
      <c r="D81" s="854">
        <f>D76+D79</f>
        <v>830604.49554</v>
      </c>
      <c r="E81" s="854">
        <f>E76+E79</f>
        <v>781808.7036025749</v>
      </c>
      <c r="F81" s="854">
        <f>F76+F79</f>
        <v>48795.79193742507</v>
      </c>
      <c r="G81" s="844"/>
      <c r="I81" s="832" t="s">
        <v>329</v>
      </c>
      <c r="L81" s="854">
        <f>L76+L79</f>
        <v>1507553.4382</v>
      </c>
      <c r="M81" s="854">
        <f>M76+M79</f>
        <v>1428479.0232890814</v>
      </c>
      <c r="N81" s="854">
        <f>N76+N79</f>
        <v>79074.41491091858</v>
      </c>
      <c r="O81" s="844"/>
      <c r="Q81" s="832" t="s">
        <v>329</v>
      </c>
      <c r="T81" s="854">
        <f>T76+T79</f>
        <v>4750182.18056</v>
      </c>
      <c r="U81" s="854">
        <f>U76+U79</f>
        <v>4659672.8130607195</v>
      </c>
      <c r="V81" s="854">
        <f>V76+V79</f>
        <v>90509.36749928126</v>
      </c>
      <c r="W81" s="844"/>
    </row>
    <row r="83" spans="1:17" ht="11.25">
      <c r="A83" s="855" t="s">
        <v>357</v>
      </c>
      <c r="I83" s="855" t="s">
        <v>357</v>
      </c>
      <c r="Q83" s="855" t="s">
        <v>357</v>
      </c>
    </row>
    <row r="84" spans="1:22" ht="11.25">
      <c r="A84" s="832" t="s">
        <v>342</v>
      </c>
      <c r="B84" s="833">
        <v>4</v>
      </c>
      <c r="D84" s="853">
        <f>E84+F84</f>
        <v>1</v>
      </c>
      <c r="E84" s="858">
        <v>0.88143</v>
      </c>
      <c r="F84" s="858">
        <v>0.11857</v>
      </c>
      <c r="I84" s="832" t="s">
        <v>342</v>
      </c>
      <c r="J84" s="833">
        <v>4</v>
      </c>
      <c r="L84" s="853">
        <f>M84+N84</f>
        <v>1</v>
      </c>
      <c r="M84" s="858">
        <v>0.88143</v>
      </c>
      <c r="N84" s="858">
        <v>0.11857</v>
      </c>
      <c r="Q84" s="832" t="s">
        <v>342</v>
      </c>
      <c r="R84" s="833">
        <v>4</v>
      </c>
      <c r="T84" s="853">
        <f>U84+V84</f>
        <v>1</v>
      </c>
      <c r="U84" s="856">
        <v>0.87879</v>
      </c>
      <c r="V84" s="856">
        <v>0.12121</v>
      </c>
    </row>
    <row r="85" spans="1:22" ht="11.25">
      <c r="A85" s="832" t="s">
        <v>344</v>
      </c>
      <c r="B85" s="833">
        <v>99</v>
      </c>
      <c r="D85" s="853">
        <f>E85+F85</f>
        <v>0</v>
      </c>
      <c r="E85" s="853">
        <v>0</v>
      </c>
      <c r="F85" s="853">
        <v>0</v>
      </c>
      <c r="I85" s="832" t="s">
        <v>344</v>
      </c>
      <c r="J85" s="833">
        <v>99</v>
      </c>
      <c r="L85" s="853">
        <f>M85+N85</f>
        <v>0</v>
      </c>
      <c r="M85" s="853">
        <v>0</v>
      </c>
      <c r="N85" s="853">
        <v>0</v>
      </c>
      <c r="Q85" s="832" t="s">
        <v>344</v>
      </c>
      <c r="R85" s="833">
        <v>99</v>
      </c>
      <c r="T85" s="853">
        <f>U85+V85</f>
        <v>0</v>
      </c>
      <c r="U85" s="853">
        <v>0</v>
      </c>
      <c r="V85" s="853">
        <v>0</v>
      </c>
    </row>
    <row r="88" spans="2:23" ht="11.25">
      <c r="B88" s="833" t="s">
        <v>320</v>
      </c>
      <c r="C88" s="833"/>
      <c r="D88" s="833" t="s">
        <v>358</v>
      </c>
      <c r="E88" s="833" t="s">
        <v>359</v>
      </c>
      <c r="F88" s="833" t="s">
        <v>360</v>
      </c>
      <c r="G88" s="833" t="s">
        <v>354</v>
      </c>
      <c r="J88" s="833" t="s">
        <v>320</v>
      </c>
      <c r="K88" s="833"/>
      <c r="L88" s="833" t="s">
        <v>358</v>
      </c>
      <c r="M88" s="833" t="s">
        <v>359</v>
      </c>
      <c r="N88" s="833" t="s">
        <v>360</v>
      </c>
      <c r="O88" s="833" t="s">
        <v>354</v>
      </c>
      <c r="R88" s="833" t="s">
        <v>320</v>
      </c>
      <c r="S88" s="833"/>
      <c r="T88" s="833" t="s">
        <v>358</v>
      </c>
      <c r="U88" s="833" t="s">
        <v>359</v>
      </c>
      <c r="V88" s="833" t="s">
        <v>360</v>
      </c>
      <c r="W88" s="833" t="s">
        <v>354</v>
      </c>
    </row>
    <row r="89" spans="1:23" ht="11.25">
      <c r="A89" s="832" t="s">
        <v>361</v>
      </c>
      <c r="B89" s="838"/>
      <c r="C89" s="839"/>
      <c r="D89" s="839"/>
      <c r="E89" s="839"/>
      <c r="F89" s="839"/>
      <c r="G89" s="839"/>
      <c r="I89" s="832" t="s">
        <v>361</v>
      </c>
      <c r="J89" s="838"/>
      <c r="K89" s="839"/>
      <c r="L89" s="839"/>
      <c r="M89" s="839"/>
      <c r="N89" s="839"/>
      <c r="O89" s="839"/>
      <c r="Q89" s="832" t="s">
        <v>361</v>
      </c>
      <c r="R89" s="838"/>
      <c r="S89" s="839"/>
      <c r="T89" s="839"/>
      <c r="U89" s="839"/>
      <c r="V89" s="839"/>
      <c r="W89" s="839"/>
    </row>
    <row r="91" spans="1:23" ht="11.25">
      <c r="A91" s="832" t="s">
        <v>362</v>
      </c>
      <c r="B91" s="833">
        <v>7</v>
      </c>
      <c r="D91" s="843">
        <v>2798556</v>
      </c>
      <c r="E91" s="844">
        <f>D91*VLOOKUP(B91,B97:G99,4)</f>
        <v>2011518.0961200001</v>
      </c>
      <c r="F91" s="844">
        <f>D91*VLOOKUP(B91,B97:G99,5)</f>
        <v>517536.96108000004</v>
      </c>
      <c r="G91" s="844">
        <f>D91*VLOOKUP(B91,B97:G99,6)</f>
        <v>269500.9428</v>
      </c>
      <c r="I91" s="832" t="s">
        <v>362</v>
      </c>
      <c r="J91" s="833">
        <v>7</v>
      </c>
      <c r="L91" s="843">
        <v>4030212</v>
      </c>
      <c r="M91" s="844">
        <f>L91*VLOOKUP(J91,J97:O99,4)</f>
        <v>2896795.4792400002</v>
      </c>
      <c r="N91" s="844">
        <f>L91*VLOOKUP(J91,J97:O99,5)</f>
        <v>745307.10516</v>
      </c>
      <c r="O91" s="844">
        <f>L91*VLOOKUP(J91,J97:O99,6)</f>
        <v>388109.4156</v>
      </c>
      <c r="Q91" s="832" t="s">
        <v>362</v>
      </c>
      <c r="R91" s="833">
        <v>7</v>
      </c>
      <c r="T91" s="843">
        <v>5474492</v>
      </c>
      <c r="U91" s="844">
        <f>T91*VLOOKUP(R91,R97:W99,4)</f>
        <v>3940375.10684</v>
      </c>
      <c r="V91" s="844">
        <f>T91*VLOOKUP(R91,R97:W99,5)</f>
        <v>1028492.8120400001</v>
      </c>
      <c r="W91" s="844">
        <f>T91*VLOOKUP(R91,R97:W99,6)</f>
        <v>505624.08112</v>
      </c>
    </row>
    <row r="92" spans="1:23" ht="11.25">
      <c r="A92" s="832" t="s">
        <v>363</v>
      </c>
      <c r="B92" s="833">
        <v>8</v>
      </c>
      <c r="D92" s="843">
        <v>405271</v>
      </c>
      <c r="E92" s="844">
        <f>D92*VLOOKUP(B92,B97:G99,4)</f>
        <v>0</v>
      </c>
      <c r="F92" s="844">
        <f>D92*VLOOKUP(B92,B97:G99,5)</f>
        <v>267908.44726</v>
      </c>
      <c r="G92" s="844">
        <f>D92*VLOOKUP(B92,B97:G99,6)</f>
        <v>137362.55274</v>
      </c>
      <c r="I92" s="832" t="s">
        <v>363</v>
      </c>
      <c r="J92" s="833">
        <v>8</v>
      </c>
      <c r="L92" s="843">
        <v>379790</v>
      </c>
      <c r="M92" s="844">
        <f>L92*VLOOKUP(J92,J97:O99,4)</f>
        <v>0</v>
      </c>
      <c r="N92" s="844">
        <f>L92*VLOOKUP(J92,J97:O99,5)</f>
        <v>251063.9774</v>
      </c>
      <c r="O92" s="844">
        <f>L92*VLOOKUP(J92,J97:O99,6)</f>
        <v>128726.02260000001</v>
      </c>
      <c r="Q92" s="832" t="s">
        <v>363</v>
      </c>
      <c r="R92" s="833">
        <v>8</v>
      </c>
      <c r="T92" s="843">
        <v>514168</v>
      </c>
      <c r="U92" s="844">
        <f>T92*VLOOKUP(R92,R97:W99,4)</f>
        <v>0</v>
      </c>
      <c r="V92" s="844">
        <f>T92*VLOOKUP(R92,R97:W99,5)</f>
        <v>350492.90056</v>
      </c>
      <c r="W92" s="844">
        <f>T92*VLOOKUP(R92,R97:W99,6)</f>
        <v>163675.09944</v>
      </c>
    </row>
    <row r="93" spans="1:23" ht="11.25">
      <c r="A93" s="832" t="s">
        <v>364</v>
      </c>
      <c r="B93" s="833">
        <v>9</v>
      </c>
      <c r="D93" s="843">
        <v>423637</v>
      </c>
      <c r="E93" s="844">
        <f>D93*VLOOKUP(B93,B97:G99,4)</f>
        <v>340803.25739</v>
      </c>
      <c r="F93" s="844">
        <f>D93*VLOOKUP(B93,B97:G99,5)</f>
        <v>82833.74261</v>
      </c>
      <c r="G93" s="844">
        <f>D93*VLOOKUP(B93,B97:G99,6)</f>
        <v>0</v>
      </c>
      <c r="I93" s="832" t="s">
        <v>364</v>
      </c>
      <c r="J93" s="833">
        <v>9</v>
      </c>
      <c r="L93" s="843">
        <v>77352</v>
      </c>
      <c r="M93" s="844">
        <f>L93*VLOOKUP(J93,J97:O99,4)</f>
        <v>62227.36344</v>
      </c>
      <c r="N93" s="844">
        <f>L93*VLOOKUP(J93,J97:O99,5)</f>
        <v>15124.63656</v>
      </c>
      <c r="O93" s="844">
        <f>L93*VLOOKUP(J93,J97:O99,6)</f>
        <v>0</v>
      </c>
      <c r="Q93" s="832" t="s">
        <v>364</v>
      </c>
      <c r="R93" s="833">
        <v>9</v>
      </c>
      <c r="T93" s="843">
        <v>344312</v>
      </c>
      <c r="U93" s="844">
        <f>T93*VLOOKUP(R93,R97:W99,4)</f>
        <v>274561.27504</v>
      </c>
      <c r="V93" s="844">
        <f>T93*VLOOKUP(R93,R97:W99,5)</f>
        <v>69750.72496</v>
      </c>
      <c r="W93" s="844">
        <f>T93*VLOOKUP(R93,R97:W99,6)</f>
        <v>0</v>
      </c>
    </row>
    <row r="94" spans="1:23" ht="11.25">
      <c r="A94" s="832" t="s">
        <v>365</v>
      </c>
      <c r="D94" s="859">
        <f>SUM(D91:D93)</f>
        <v>3627464</v>
      </c>
      <c r="E94" s="859">
        <f>SUM(E91:E93)</f>
        <v>2352321.3535100003</v>
      </c>
      <c r="F94" s="859">
        <f>SUM(F91:F93)</f>
        <v>868279.15095</v>
      </c>
      <c r="G94" s="859">
        <f>SUM(G91:G93)</f>
        <v>406863.49554000003</v>
      </c>
      <c r="I94" s="832" t="s">
        <v>365</v>
      </c>
      <c r="L94" s="859">
        <f>SUM(L91:L93)</f>
        <v>4487354</v>
      </c>
      <c r="M94" s="859">
        <f>SUM(M91:M93)</f>
        <v>2959022.8426800002</v>
      </c>
      <c r="N94" s="859">
        <f>SUM(N91:N93)</f>
        <v>1011495.71912</v>
      </c>
      <c r="O94" s="859">
        <f>SUM(O91:O93)</f>
        <v>516835.43820000003</v>
      </c>
      <c r="Q94" s="832" t="s">
        <v>365</v>
      </c>
      <c r="T94" s="859">
        <f>SUM(T91:T93)</f>
        <v>6332972</v>
      </c>
      <c r="U94" s="859">
        <f>SUM(U91:U93)</f>
        <v>4214936.38188</v>
      </c>
      <c r="V94" s="859">
        <f>SUM(V91:V93)</f>
        <v>1448736.4375600002</v>
      </c>
      <c r="W94" s="859">
        <f>SUM(W91:W93)</f>
        <v>669299.18056</v>
      </c>
    </row>
    <row r="96" spans="1:17" ht="11.25">
      <c r="A96" s="833" t="s">
        <v>366</v>
      </c>
      <c r="I96" s="833" t="s">
        <v>366</v>
      </c>
      <c r="Q96" s="833" t="s">
        <v>366</v>
      </c>
    </row>
    <row r="97" spans="1:23" ht="11.25">
      <c r="A97" s="832" t="s">
        <v>367</v>
      </c>
      <c r="B97" s="833">
        <v>7</v>
      </c>
      <c r="D97" s="853">
        <f>E97+F97+G97</f>
        <v>1</v>
      </c>
      <c r="E97" s="858">
        <v>0.71877</v>
      </c>
      <c r="F97" s="858">
        <v>0.18493</v>
      </c>
      <c r="G97" s="858">
        <v>0.0963</v>
      </c>
      <c r="I97" s="832" t="s">
        <v>367</v>
      </c>
      <c r="J97" s="833">
        <v>7</v>
      </c>
      <c r="L97" s="853">
        <f>M97+N97+O97</f>
        <v>1</v>
      </c>
      <c r="M97" s="858">
        <v>0.71877</v>
      </c>
      <c r="N97" s="858">
        <v>0.18493</v>
      </c>
      <c r="O97" s="858">
        <v>0.0963</v>
      </c>
      <c r="Q97" s="832" t="s">
        <v>367</v>
      </c>
      <c r="R97" s="833">
        <v>7</v>
      </c>
      <c r="T97" s="853">
        <f>U97+V97+W97</f>
        <v>1</v>
      </c>
      <c r="U97" s="858">
        <v>0.71977</v>
      </c>
      <c r="V97" s="858">
        <v>0.18787</v>
      </c>
      <c r="W97" s="858">
        <v>0.09236</v>
      </c>
    </row>
    <row r="98" spans="1:23" ht="11.25">
      <c r="A98" s="832" t="s">
        <v>368</v>
      </c>
      <c r="B98" s="833">
        <v>8</v>
      </c>
      <c r="D98" s="853">
        <f>E98+F98+G98</f>
        <v>1</v>
      </c>
      <c r="E98" s="858">
        <v>0</v>
      </c>
      <c r="F98" s="858">
        <v>0.66106</v>
      </c>
      <c r="G98" s="858">
        <v>0.33894</v>
      </c>
      <c r="I98" s="832" t="s">
        <v>368</v>
      </c>
      <c r="J98" s="833">
        <v>8</v>
      </c>
      <c r="L98" s="853">
        <f>M98+N98+O98</f>
        <v>1</v>
      </c>
      <c r="M98" s="858">
        <v>0</v>
      </c>
      <c r="N98" s="858">
        <v>0.66106</v>
      </c>
      <c r="O98" s="858">
        <v>0.33894</v>
      </c>
      <c r="Q98" s="832" t="s">
        <v>368</v>
      </c>
      <c r="R98" s="833">
        <v>8</v>
      </c>
      <c r="T98" s="853">
        <f>U98+V98+W98</f>
        <v>1</v>
      </c>
      <c r="U98" s="858">
        <v>0</v>
      </c>
      <c r="V98" s="858">
        <v>0.68167</v>
      </c>
      <c r="W98" s="858">
        <v>0.31833</v>
      </c>
    </row>
    <row r="99" spans="1:23" ht="11.25">
      <c r="A99" s="832" t="s">
        <v>369</v>
      </c>
      <c r="B99" s="833">
        <v>9</v>
      </c>
      <c r="D99" s="853">
        <f>E99+F99+G99</f>
        <v>1</v>
      </c>
      <c r="E99" s="858">
        <v>0.80447</v>
      </c>
      <c r="F99" s="858">
        <v>0.19553</v>
      </c>
      <c r="G99" s="858">
        <v>0</v>
      </c>
      <c r="I99" s="832" t="s">
        <v>369</v>
      </c>
      <c r="J99" s="833">
        <v>9</v>
      </c>
      <c r="L99" s="853">
        <f>M99+N99+O99</f>
        <v>1</v>
      </c>
      <c r="M99" s="858">
        <v>0.80447</v>
      </c>
      <c r="N99" s="858">
        <v>0.19553</v>
      </c>
      <c r="O99" s="858">
        <v>0</v>
      </c>
      <c r="Q99" s="832" t="s">
        <v>369</v>
      </c>
      <c r="R99" s="833">
        <v>9</v>
      </c>
      <c r="T99" s="853">
        <f>U99+V99+W99</f>
        <v>1</v>
      </c>
      <c r="U99" s="858">
        <v>0.79742</v>
      </c>
      <c r="V99" s="858">
        <v>0.20258</v>
      </c>
      <c r="W99" s="858">
        <v>0</v>
      </c>
    </row>
    <row r="102" spans="1:22" ht="11.25">
      <c r="A102" s="837"/>
      <c r="B102" s="832"/>
      <c r="D102" s="833"/>
      <c r="E102" s="833"/>
      <c r="F102" s="833"/>
      <c r="I102" s="837"/>
      <c r="J102" s="832"/>
      <c r="L102" s="833"/>
      <c r="M102" s="833"/>
      <c r="N102" s="833"/>
      <c r="Q102" s="837"/>
      <c r="R102" s="832"/>
      <c r="T102" s="833"/>
      <c r="U102" s="833"/>
      <c r="V102" s="833"/>
    </row>
    <row r="103" spans="2:22" ht="11.25">
      <c r="B103" s="832"/>
      <c r="D103" s="844"/>
      <c r="E103" s="844"/>
      <c r="F103" s="844"/>
      <c r="J103" s="832"/>
      <c r="L103" s="844"/>
      <c r="M103" s="844"/>
      <c r="N103" s="844"/>
      <c r="R103" s="832"/>
      <c r="T103" s="844"/>
      <c r="U103" s="844"/>
      <c r="V103" s="844"/>
    </row>
    <row r="104" spans="2:22" ht="11.25">
      <c r="B104" s="832"/>
      <c r="D104" s="844"/>
      <c r="E104" s="844"/>
      <c r="F104" s="844"/>
      <c r="J104" s="832"/>
      <c r="L104" s="844"/>
      <c r="M104" s="844"/>
      <c r="N104" s="844"/>
      <c r="R104" s="832"/>
      <c r="T104" s="844"/>
      <c r="U104" s="844"/>
      <c r="V104" s="844"/>
    </row>
    <row r="105" spans="2:22" ht="11.25">
      <c r="B105" s="832"/>
      <c r="D105" s="844">
        <f>D25+D54+D81</f>
        <v>49615387</v>
      </c>
      <c r="E105" s="844"/>
      <c r="F105" s="844"/>
      <c r="J105" s="832"/>
      <c r="L105" s="844">
        <f>L25+L54+L81</f>
        <v>37909048</v>
      </c>
      <c r="M105" s="844"/>
      <c r="N105" s="844"/>
      <c r="R105" s="832"/>
      <c r="T105" s="844">
        <f>T25+T54+T81</f>
        <v>49895112</v>
      </c>
      <c r="U105" s="844"/>
      <c r="V105" s="844"/>
    </row>
    <row r="106" spans="2:22" ht="11.25">
      <c r="B106" s="832"/>
      <c r="D106" s="846">
        <f>49191647+423742</f>
        <v>49615389</v>
      </c>
      <c r="E106" s="846"/>
      <c r="F106" s="846"/>
      <c r="J106" s="832"/>
      <c r="L106" s="846">
        <f>990717.58+36918328</f>
        <v>37909045.58</v>
      </c>
      <c r="M106" s="846"/>
      <c r="N106" s="846"/>
      <c r="R106" s="832"/>
      <c r="T106" s="846">
        <f>4080884+45814230</f>
        <v>49895114</v>
      </c>
      <c r="U106" s="846"/>
      <c r="V106" s="846"/>
    </row>
    <row r="107" spans="2:20" ht="11.25">
      <c r="B107" s="832"/>
      <c r="D107" s="844">
        <f>D106-D105</f>
        <v>2</v>
      </c>
      <c r="J107" s="832"/>
      <c r="L107" s="844">
        <f>L106-L105</f>
        <v>-2.4200000017881393</v>
      </c>
      <c r="R107" s="832"/>
      <c r="T107" s="844">
        <f>T106-T105</f>
        <v>2</v>
      </c>
    </row>
    <row r="108" spans="1:22" ht="11.25">
      <c r="A108" s="835"/>
      <c r="B108" s="832"/>
      <c r="D108" s="853"/>
      <c r="E108" s="853"/>
      <c r="F108" s="853"/>
      <c r="I108" s="835"/>
      <c r="J108" s="832"/>
      <c r="L108" s="853"/>
      <c r="M108" s="853"/>
      <c r="N108" s="853"/>
      <c r="Q108" s="835"/>
      <c r="R108" s="832"/>
      <c r="T108" s="853"/>
      <c r="U108" s="853"/>
      <c r="V108" s="853"/>
    </row>
    <row r="109" spans="2:22" ht="11.25">
      <c r="B109" s="832"/>
      <c r="D109" s="853"/>
      <c r="E109" s="853"/>
      <c r="F109" s="853"/>
      <c r="J109" s="832"/>
      <c r="L109" s="853"/>
      <c r="M109" s="853"/>
      <c r="N109" s="853"/>
      <c r="R109" s="832"/>
      <c r="T109" s="853"/>
      <c r="U109" s="853"/>
      <c r="V109" s="853"/>
    </row>
    <row r="110" spans="2:22" ht="11.25">
      <c r="B110" s="832"/>
      <c r="D110" s="853"/>
      <c r="E110" s="853"/>
      <c r="F110" s="853"/>
      <c r="J110" s="832"/>
      <c r="L110" s="853"/>
      <c r="M110" s="853"/>
      <c r="N110" s="853"/>
      <c r="R110" s="832"/>
      <c r="T110" s="853"/>
      <c r="U110" s="853"/>
      <c r="V110" s="853"/>
    </row>
  </sheetData>
  <printOptions horizontalCentered="1"/>
  <pageMargins left="0.75" right="0.75" top="0.5" bottom="0.5" header="0.5" footer="0.5"/>
  <pageSetup horizontalDpi="300" verticalDpi="300" orientation="portrait" r:id="rId1"/>
  <headerFooter alignWithMargins="0">
    <oddFooter>&amp;L&amp;"Times New Roman,Regular"&amp;8&amp;F &amp;A&amp;C&amp;"Times New Roman,Regular"&amp;8Page &amp;P&amp;R&amp;"Times New Roman,Regular"&amp;8km - Rates &amp;D</oddFooter>
  </headerFooter>
  <rowBreaks count="1" manualBreakCount="1">
    <brk id="62" max="65535" man="1"/>
  </rowBreaks>
</worksheet>
</file>

<file path=xl/worksheets/sheet48.xml><?xml version="1.0" encoding="utf-8"?>
<worksheet xmlns="http://schemas.openxmlformats.org/spreadsheetml/2006/main" xmlns:r="http://schemas.openxmlformats.org/officeDocument/2006/relationships">
  <dimension ref="B7:B27"/>
  <sheetViews>
    <sheetView workbookViewId="0" topLeftCell="A1">
      <selection activeCell="B24" sqref="B24"/>
    </sheetView>
  </sheetViews>
  <sheetFormatPr defaultColWidth="9.140625" defaultRowHeight="12.75"/>
  <cols>
    <col min="1" max="1" width="9.140625" style="717" customWidth="1"/>
    <col min="2" max="2" width="9.140625" style="733" customWidth="1"/>
    <col min="3" max="16384" width="9.140625" style="717" customWidth="1"/>
  </cols>
  <sheetData>
    <row r="7" ht="22.5">
      <c r="B7" s="916" t="s">
        <v>397</v>
      </c>
    </row>
    <row r="13" ht="18.75">
      <c r="B13" s="917" t="s">
        <v>398</v>
      </c>
    </row>
    <row r="14" ht="18.75">
      <c r="B14" s="917"/>
    </row>
    <row r="15" ht="18.75">
      <c r="B15" s="917" t="s">
        <v>399</v>
      </c>
    </row>
    <row r="16" ht="18.75">
      <c r="B16" s="917"/>
    </row>
    <row r="17" ht="18.75">
      <c r="B17" s="917"/>
    </row>
    <row r="18" ht="18.75">
      <c r="B18" s="917"/>
    </row>
    <row r="19" ht="18.75">
      <c r="B19" s="917"/>
    </row>
    <row r="20" ht="18.75">
      <c r="B20" s="917"/>
    </row>
    <row r="21" ht="18.75">
      <c r="B21" s="917"/>
    </row>
    <row r="22" ht="18.75">
      <c r="B22" s="917" t="s">
        <v>400</v>
      </c>
    </row>
    <row r="23" ht="18.75">
      <c r="B23" s="917"/>
    </row>
    <row r="24" ht="18.75">
      <c r="B24" s="917"/>
    </row>
    <row r="25" ht="18.75">
      <c r="B25" s="917"/>
    </row>
    <row r="26" ht="18.75">
      <c r="B26" s="917"/>
    </row>
    <row r="27" ht="18.75">
      <c r="B27" s="917" t="s">
        <v>401</v>
      </c>
    </row>
  </sheetData>
  <printOptions horizontalCentered="1"/>
  <pageMargins left="0.75" right="0.75" top="1" bottom="1" header="0.5" footer="0.5"/>
  <pageSetup horizontalDpi="600" verticalDpi="600" orientation="portrait" scale="125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 topLeftCell="C1">
      <selection activeCell="F20" sqref="F20:F21"/>
    </sheetView>
  </sheetViews>
  <sheetFormatPr defaultColWidth="9.140625" defaultRowHeight="12.75"/>
  <cols>
    <col min="1" max="1" width="6.00390625" style="2" customWidth="1"/>
    <col min="2" max="2" width="2.8515625" style="2" customWidth="1"/>
    <col min="3" max="3" width="42.140625" style="2" customWidth="1"/>
    <col min="4" max="4" width="4.7109375" style="2" customWidth="1"/>
    <col min="5" max="5" width="15.140625" style="2" customWidth="1"/>
    <col min="6" max="6" width="19.8515625" style="2" bestFit="1" customWidth="1"/>
    <col min="7" max="16384" width="9.140625" style="717" customWidth="1"/>
  </cols>
  <sheetData>
    <row r="1" spans="1:6" s="66" customFormat="1" ht="12">
      <c r="A1" s="879" t="s">
        <v>252</v>
      </c>
      <c r="B1" s="879"/>
      <c r="C1" s="879"/>
      <c r="D1" s="879"/>
      <c r="E1" s="879"/>
      <c r="F1" s="879"/>
    </row>
    <row r="2" spans="1:8" s="66" customFormat="1" ht="12">
      <c r="A2" s="879" t="s">
        <v>394</v>
      </c>
      <c r="B2" s="879"/>
      <c r="C2" s="879"/>
      <c r="D2" s="879"/>
      <c r="E2" s="879"/>
      <c r="F2" s="879"/>
      <c r="H2" s="727" t="s">
        <v>538</v>
      </c>
    </row>
    <row r="3" spans="1:6" s="66" customFormat="1" ht="12">
      <c r="A3" s="879" t="s">
        <v>380</v>
      </c>
      <c r="B3" s="879"/>
      <c r="C3" s="879"/>
      <c r="D3" s="879"/>
      <c r="E3" s="879"/>
      <c r="F3" s="879"/>
    </row>
    <row r="4" spans="1:6" s="66" customFormat="1" ht="12">
      <c r="A4" s="879" t="str">
        <f>WAElec12_04!A4</f>
        <v>TWELVE MONTHS ENDED DECEMBER 31, 2004</v>
      </c>
      <c r="B4" s="879"/>
      <c r="C4" s="879"/>
      <c r="D4" s="879"/>
      <c r="E4" s="879"/>
      <c r="F4" s="879"/>
    </row>
    <row r="5" spans="1:12" ht="12.75">
      <c r="A5" s="66"/>
      <c r="B5" s="66"/>
      <c r="C5" s="66"/>
      <c r="D5" s="66"/>
      <c r="E5" s="880"/>
      <c r="F5" s="880"/>
      <c r="G5" s="34"/>
      <c r="H5" s="34"/>
      <c r="I5" s="972"/>
      <c r="J5" s="973" t="s">
        <v>519</v>
      </c>
      <c r="K5" s="974"/>
      <c r="L5" s="38"/>
    </row>
    <row r="6" spans="1:12" ht="12.75">
      <c r="A6" s="881" t="s">
        <v>265</v>
      </c>
      <c r="B6" s="881"/>
      <c r="C6" s="881"/>
      <c r="D6" s="881"/>
      <c r="E6" s="881" t="s">
        <v>266</v>
      </c>
      <c r="F6" s="881"/>
      <c r="G6" s="881"/>
      <c r="H6" s="880"/>
      <c r="I6" s="881" t="s">
        <v>505</v>
      </c>
      <c r="J6" s="881"/>
      <c r="K6" s="881" t="s">
        <v>506</v>
      </c>
      <c r="L6" s="38"/>
    </row>
    <row r="7" spans="1:12" ht="12.75">
      <c r="A7" s="882" t="s">
        <v>33</v>
      </c>
      <c r="B7" s="881"/>
      <c r="C7" s="882" t="s">
        <v>128</v>
      </c>
      <c r="D7" s="880"/>
      <c r="E7" s="882" t="s">
        <v>267</v>
      </c>
      <c r="F7" s="880"/>
      <c r="G7" s="882" t="s">
        <v>507</v>
      </c>
      <c r="H7" s="880"/>
      <c r="I7" s="882" t="s">
        <v>508</v>
      </c>
      <c r="J7" s="882" t="s">
        <v>509</v>
      </c>
      <c r="K7" s="882" t="s">
        <v>509</v>
      </c>
      <c r="L7" s="38"/>
    </row>
    <row r="8" spans="1:12" ht="12.75">
      <c r="A8" s="66"/>
      <c r="B8" s="66"/>
      <c r="C8" s="66"/>
      <c r="D8" s="66"/>
      <c r="E8" s="717"/>
      <c r="F8" s="717"/>
      <c r="G8" s="34"/>
      <c r="H8" s="975"/>
      <c r="I8" s="34"/>
      <c r="J8" s="34"/>
      <c r="K8" s="34"/>
      <c r="L8" s="38"/>
    </row>
    <row r="9" spans="1:12" ht="12.75">
      <c r="A9" s="883">
        <v>1</v>
      </c>
      <c r="B9" s="66"/>
      <c r="C9" s="66" t="s">
        <v>392</v>
      </c>
      <c r="D9" s="66"/>
      <c r="E9" s="726">
        <f>WAElec12_04!AV68</f>
        <v>795845</v>
      </c>
      <c r="F9" s="726"/>
      <c r="G9" s="66" t="s">
        <v>510</v>
      </c>
      <c r="H9" s="976"/>
      <c r="I9" s="977">
        <v>0.494</v>
      </c>
      <c r="J9" s="978">
        <v>0.08440880774287368</v>
      </c>
      <c r="K9" s="37">
        <f>ROUND(I9*J9,4)</f>
        <v>0.0417</v>
      </c>
      <c r="L9" s="38"/>
    </row>
    <row r="10" spans="1:12" ht="12.75">
      <c r="A10" s="883"/>
      <c r="B10" s="66"/>
      <c r="C10" s="66"/>
      <c r="D10" s="66"/>
      <c r="E10" s="726"/>
      <c r="F10" s="726"/>
      <c r="G10" s="66"/>
      <c r="H10" s="979"/>
      <c r="I10" s="977"/>
      <c r="J10" s="978"/>
      <c r="K10" s="980"/>
      <c r="L10" s="38"/>
    </row>
    <row r="11" spans="1:12" ht="12.75">
      <c r="A11" s="883">
        <v>2</v>
      </c>
      <c r="B11" s="66"/>
      <c r="C11" s="66" t="s">
        <v>269</v>
      </c>
      <c r="D11" s="66"/>
      <c r="E11" s="884">
        <f>K17</f>
        <v>0.09670000000000001</v>
      </c>
      <c r="F11" s="885"/>
      <c r="G11" s="66" t="s">
        <v>511</v>
      </c>
      <c r="H11" s="976"/>
      <c r="I11" s="977">
        <v>0.0518</v>
      </c>
      <c r="J11" s="978">
        <v>0.06603422934470175</v>
      </c>
      <c r="K11" s="37">
        <f>ROUND(I11*J11,4)</f>
        <v>0.0034</v>
      </c>
      <c r="L11" s="37">
        <f>K9+K11</f>
        <v>0.0451</v>
      </c>
    </row>
    <row r="12" spans="1:12" ht="12.75">
      <c r="A12" s="883"/>
      <c r="B12" s="66"/>
      <c r="C12" s="66"/>
      <c r="D12" s="66"/>
      <c r="E12" s="885"/>
      <c r="F12" s="885"/>
      <c r="G12" s="66"/>
      <c r="H12" s="979"/>
      <c r="I12" s="977"/>
      <c r="J12" s="978"/>
      <c r="K12" s="980"/>
      <c r="L12" s="38"/>
    </row>
    <row r="13" spans="1:12" ht="12.75">
      <c r="A13" s="883">
        <v>3</v>
      </c>
      <c r="B13" s="66"/>
      <c r="C13" s="66" t="s">
        <v>270</v>
      </c>
      <c r="D13" s="66"/>
      <c r="E13" s="726">
        <f>E9*E11</f>
        <v>76958.2115</v>
      </c>
      <c r="F13" s="726"/>
      <c r="G13" s="66" t="s">
        <v>512</v>
      </c>
      <c r="H13" s="976"/>
      <c r="I13" s="977">
        <v>0.0142</v>
      </c>
      <c r="J13" s="978">
        <v>0.07391233376594837</v>
      </c>
      <c r="K13" s="37">
        <f>ROUND(I13*J13,4)</f>
        <v>0.001</v>
      </c>
      <c r="L13" s="38"/>
    </row>
    <row r="14" spans="1:12" ht="12.75">
      <c r="A14" s="883"/>
      <c r="B14" s="66"/>
      <c r="C14" s="66"/>
      <c r="D14" s="66"/>
      <c r="E14" s="726"/>
      <c r="F14" s="726"/>
      <c r="J14" s="981"/>
      <c r="L14" s="38"/>
    </row>
    <row r="15" spans="1:12" ht="12.75">
      <c r="A15" s="883">
        <v>4</v>
      </c>
      <c r="B15" s="66"/>
      <c r="C15" s="66" t="s">
        <v>271</v>
      </c>
      <c r="D15" s="66"/>
      <c r="E15" s="887">
        <f>WAElec12_04!AV52</f>
        <v>54683.76375789174</v>
      </c>
      <c r="F15" s="886"/>
      <c r="G15" s="66" t="s">
        <v>18</v>
      </c>
      <c r="H15" s="976"/>
      <c r="I15" s="977">
        <v>0.44</v>
      </c>
      <c r="J15" s="978">
        <v>0.115</v>
      </c>
      <c r="K15" s="37">
        <f>ROUND(I15*J15,4)</f>
        <v>0.0506</v>
      </c>
      <c r="L15" s="38"/>
    </row>
    <row r="16" spans="1:12" ht="12.75">
      <c r="A16" s="883"/>
      <c r="B16" s="66"/>
      <c r="C16" s="66"/>
      <c r="D16" s="66"/>
      <c r="E16" s="66"/>
      <c r="F16" s="66"/>
      <c r="G16" s="66"/>
      <c r="H16" s="979"/>
      <c r="I16" s="977"/>
      <c r="J16" s="977"/>
      <c r="K16" s="980"/>
      <c r="L16" s="38"/>
    </row>
    <row r="17" spans="1:12" ht="13.5" thickBot="1">
      <c r="A17" s="883">
        <v>5</v>
      </c>
      <c r="B17" s="66"/>
      <c r="C17" s="66" t="s">
        <v>272</v>
      </c>
      <c r="D17" s="66"/>
      <c r="E17" s="726">
        <f>E13-E15</f>
        <v>22274.447742108263</v>
      </c>
      <c r="F17" s="726"/>
      <c r="G17" s="66" t="s">
        <v>273</v>
      </c>
      <c r="H17" s="886"/>
      <c r="I17" s="889">
        <f>SUM(I9:I15)</f>
        <v>1</v>
      </c>
      <c r="J17" s="37"/>
      <c r="K17" s="889">
        <f>SUM(K9:K16)</f>
        <v>0.09670000000000001</v>
      </c>
      <c r="L17" s="38"/>
    </row>
    <row r="18" spans="1:12" ht="13.5" thickTop="1">
      <c r="A18" s="883"/>
      <c r="B18" s="66"/>
      <c r="C18" s="66"/>
      <c r="D18" s="66"/>
      <c r="E18" s="66"/>
      <c r="F18" s="66"/>
      <c r="G18" s="66"/>
      <c r="H18" s="979"/>
      <c r="I18" s="37"/>
      <c r="J18" s="37"/>
      <c r="K18" s="980"/>
      <c r="L18" s="38"/>
    </row>
    <row r="19" spans="1:12" ht="12.75">
      <c r="A19" s="883">
        <v>6</v>
      </c>
      <c r="B19" s="66"/>
      <c r="C19" s="66" t="s">
        <v>274</v>
      </c>
      <c r="D19" s="66"/>
      <c r="E19" s="969">
        <f>ConverFac_Exh!E26</f>
        <v>0.62161125</v>
      </c>
      <c r="F19" s="66"/>
      <c r="G19" s="66"/>
      <c r="H19" s="979"/>
      <c r="I19" s="37"/>
      <c r="J19" s="37"/>
      <c r="K19" s="980"/>
      <c r="L19" s="38"/>
    </row>
    <row r="20" spans="1:12" ht="13.5" thickBot="1">
      <c r="A20" s="883"/>
      <c r="B20" s="66"/>
      <c r="C20" s="66"/>
      <c r="D20" s="66"/>
      <c r="E20" s="66"/>
      <c r="F20" s="983"/>
      <c r="G20" s="34"/>
      <c r="H20" s="34"/>
      <c r="I20" s="972"/>
      <c r="J20" s="973" t="s">
        <v>513</v>
      </c>
      <c r="K20" s="974"/>
      <c r="L20" s="38"/>
    </row>
    <row r="21" spans="1:12" ht="13.5" thickBot="1">
      <c r="A21" s="883">
        <v>7</v>
      </c>
      <c r="B21" s="66"/>
      <c r="C21" s="66" t="s">
        <v>275</v>
      </c>
      <c r="D21" s="66"/>
      <c r="E21" s="888">
        <f>ROUND(E17/E19,0)</f>
        <v>35833</v>
      </c>
      <c r="F21" s="983"/>
      <c r="G21" s="881"/>
      <c r="H21" s="880"/>
      <c r="I21" s="881" t="s">
        <v>505</v>
      </c>
      <c r="J21" s="881"/>
      <c r="K21" s="881" t="s">
        <v>506</v>
      </c>
      <c r="L21" s="38"/>
    </row>
    <row r="22" spans="1:12" ht="12.75">
      <c r="A22" s="883"/>
      <c r="B22" s="34"/>
      <c r="C22" s="66"/>
      <c r="D22" s="66"/>
      <c r="E22" s="66"/>
      <c r="F22" s="66"/>
      <c r="G22" s="882" t="s">
        <v>507</v>
      </c>
      <c r="H22" s="880"/>
      <c r="I22" s="882" t="s">
        <v>508</v>
      </c>
      <c r="J22" s="882" t="s">
        <v>509</v>
      </c>
      <c r="K22" s="882" t="s">
        <v>509</v>
      </c>
      <c r="L22" s="38"/>
    </row>
    <row r="23" spans="1:12" ht="12.75">
      <c r="A23" s="883">
        <v>8</v>
      </c>
      <c r="B23" s="34"/>
      <c r="C23" s="66" t="s">
        <v>276</v>
      </c>
      <c r="D23" s="66"/>
      <c r="E23" s="886">
        <f>WAElec12_04!AV13+WAElec12_04!AV14</f>
        <v>286151</v>
      </c>
      <c r="F23" s="886"/>
      <c r="G23" s="34"/>
      <c r="H23" s="975"/>
      <c r="I23" s="34"/>
      <c r="J23" s="34"/>
      <c r="K23" s="34"/>
      <c r="L23" s="38"/>
    </row>
    <row r="24" spans="1:12" ht="12.75">
      <c r="A24" s="883"/>
      <c r="B24" s="34"/>
      <c r="C24" s="66"/>
      <c r="D24" s="66"/>
      <c r="E24" s="66"/>
      <c r="F24" s="66"/>
      <c r="G24" s="66" t="s">
        <v>514</v>
      </c>
      <c r="H24" s="976"/>
      <c r="I24" s="977">
        <v>0.45</v>
      </c>
      <c r="J24" s="977">
        <v>0.0877</v>
      </c>
      <c r="K24" s="37">
        <f>ROUND(I24*J24,4)</f>
        <v>0.0395</v>
      </c>
      <c r="L24" s="38"/>
    </row>
    <row r="25" spans="1:11" ht="13.5" thickBot="1">
      <c r="A25" s="883">
        <v>9</v>
      </c>
      <c r="B25" s="34"/>
      <c r="C25" s="66" t="s">
        <v>277</v>
      </c>
      <c r="D25" s="66"/>
      <c r="E25" s="889">
        <f>ROUND(E21/E23,4)</f>
        <v>0.1252</v>
      </c>
      <c r="F25" s="890"/>
      <c r="G25" s="66" t="s">
        <v>515</v>
      </c>
      <c r="H25" s="976"/>
      <c r="I25" s="977">
        <v>0.04</v>
      </c>
      <c r="J25" s="977">
        <v>0.0845</v>
      </c>
      <c r="K25" s="37">
        <f>ROUND(I25*J25,4)</f>
        <v>0.0034</v>
      </c>
    </row>
    <row r="26" spans="7:12" ht="13.5" thickTop="1">
      <c r="G26" s="66" t="s">
        <v>511</v>
      </c>
      <c r="H26" s="976"/>
      <c r="I26" s="977">
        <v>0.075</v>
      </c>
      <c r="J26" s="977">
        <v>0.0835</v>
      </c>
      <c r="K26" s="37">
        <f>ROUND(I26*J26,4)</f>
        <v>0.0063</v>
      </c>
      <c r="L26" s="982">
        <f>K24+K25+K26</f>
        <v>0.0492</v>
      </c>
    </row>
    <row r="27" spans="7:11" ht="12.75">
      <c r="G27" s="66"/>
      <c r="H27" s="979"/>
      <c r="I27" s="977"/>
      <c r="J27" s="977"/>
      <c r="K27" s="980"/>
    </row>
    <row r="28" spans="7:11" ht="12.75">
      <c r="G28" s="66" t="s">
        <v>512</v>
      </c>
      <c r="H28" s="976"/>
      <c r="I28" s="977">
        <v>0.015</v>
      </c>
      <c r="J28" s="977">
        <v>0.0739</v>
      </c>
      <c r="K28" s="37">
        <f>ROUND(I28*J28,4)</f>
        <v>0.0011</v>
      </c>
    </row>
    <row r="30" spans="7:11" ht="12.75">
      <c r="G30" s="66" t="s">
        <v>18</v>
      </c>
      <c r="H30" s="976"/>
      <c r="I30" s="977">
        <v>0.42</v>
      </c>
      <c r="J30" s="977">
        <v>0.1116</v>
      </c>
      <c r="K30" s="37">
        <f>ROUND(I30*J30,4)</f>
        <v>0.0469</v>
      </c>
    </row>
    <row r="31" spans="7:11" ht="12.75">
      <c r="G31" s="66"/>
      <c r="H31" s="979"/>
      <c r="I31" s="977"/>
      <c r="J31" s="977"/>
      <c r="K31" s="980"/>
    </row>
    <row r="32" spans="7:11" ht="13.5" thickBot="1">
      <c r="G32" s="66" t="s">
        <v>273</v>
      </c>
      <c r="H32" s="886"/>
      <c r="I32" s="889">
        <f>SUM(I24:I31)</f>
        <v>1</v>
      </c>
      <c r="J32" s="37"/>
      <c r="K32" s="889">
        <f>SUM(K24:K31)</f>
        <v>0.0972</v>
      </c>
    </row>
    <row r="33" ht="13.5" thickTop="1"/>
  </sheetData>
  <printOptions/>
  <pageMargins left="0.75" right="0.75" top="1" bottom="0.5" header="0.5" footer="0.5"/>
  <pageSetup fitToHeight="1" fitToWidth="1" horizontalDpi="600" verticalDpi="600" orientation="portrait" r:id="rId1"/>
  <headerFooter alignWithMargins="0">
    <oddHeader>&amp;R&amp;"Times,Regular"Exhibit No._____(DMF-2)</oddHeader>
    <oddFooter>&amp;L&amp;"Times,Regular"Docket No. UE-05-________
Falkner, Avista&amp;R&amp;"Times New Roman,Regular"Page 2 of  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35">
      <selection activeCell="F61" sqref="F61"/>
    </sheetView>
  </sheetViews>
  <sheetFormatPr defaultColWidth="9.140625" defaultRowHeight="12.75"/>
  <cols>
    <col min="1" max="1" width="5.57421875" style="278" customWidth="1"/>
    <col min="2" max="2" width="26.140625" style="275" customWidth="1"/>
    <col min="3" max="3" width="12.421875" style="275" customWidth="1"/>
    <col min="4" max="4" width="6.7109375" style="275" customWidth="1"/>
    <col min="5" max="7" width="12.421875" style="275" customWidth="1"/>
    <col min="8" max="8" width="14.421875" style="275" customWidth="1"/>
    <col min="9" max="16384" width="12.421875" style="275" customWidth="1"/>
  </cols>
  <sheetData>
    <row r="1" spans="1:3" ht="12">
      <c r="A1" s="273" t="str">
        <f>Inputs!$D$6</f>
        <v>AVISTA UTILITIES</v>
      </c>
      <c r="B1" s="274"/>
      <c r="C1" s="273"/>
    </row>
    <row r="2" spans="1:7" ht="12">
      <c r="A2" s="273" t="s">
        <v>134</v>
      </c>
      <c r="B2" s="274"/>
      <c r="C2" s="273"/>
      <c r="E2" s="273" t="s">
        <v>212</v>
      </c>
      <c r="F2" s="273"/>
      <c r="G2" s="273"/>
    </row>
    <row r="3" spans="1:7" ht="12">
      <c r="A3" s="274" t="str">
        <f>WAElec12_04!$A$4</f>
        <v>TWELVE MONTHS ENDED DECEMBER 31, 2004</v>
      </c>
      <c r="B3" s="274"/>
      <c r="C3" s="273"/>
      <c r="E3" s="273" t="s">
        <v>213</v>
      </c>
      <c r="F3" s="273"/>
      <c r="G3" s="273"/>
    </row>
    <row r="4" spans="1:7" ht="12">
      <c r="A4" s="273" t="s">
        <v>1</v>
      </c>
      <c r="B4" s="274"/>
      <c r="C4" s="273"/>
      <c r="E4" s="276" t="s">
        <v>137</v>
      </c>
      <c r="F4" s="276"/>
      <c r="G4" s="277"/>
    </row>
    <row r="5" ht="12">
      <c r="A5" s="278" t="s">
        <v>13</v>
      </c>
    </row>
    <row r="6" spans="1:8" s="278" customFormat="1" ht="12">
      <c r="A6" s="278" t="s">
        <v>138</v>
      </c>
      <c r="B6" s="279" t="s">
        <v>34</v>
      </c>
      <c r="C6" s="279"/>
      <c r="E6" s="279" t="s">
        <v>139</v>
      </c>
      <c r="F6" s="279" t="s">
        <v>140</v>
      </c>
      <c r="G6" s="279" t="s">
        <v>123</v>
      </c>
      <c r="H6" s="280" t="s">
        <v>141</v>
      </c>
    </row>
    <row r="7" ht="12">
      <c r="B7" s="281" t="s">
        <v>80</v>
      </c>
    </row>
    <row r="8" spans="1:8" s="284" customFormat="1" ht="12">
      <c r="A8" s="282">
        <v>1</v>
      </c>
      <c r="B8" s="283" t="s">
        <v>81</v>
      </c>
      <c r="E8" s="285">
        <f>F8+G8</f>
        <v>0</v>
      </c>
      <c r="F8" s="285"/>
      <c r="G8" s="285"/>
      <c r="H8" s="284" t="str">
        <f aca="true" t="shared" si="0" ref="H8:H13">IF(E8=F8+G8," ","ERROR")</f>
        <v> </v>
      </c>
    </row>
    <row r="9" spans="1:8" ht="12">
      <c r="A9" s="278">
        <v>2</v>
      </c>
      <c r="B9" s="281" t="s">
        <v>82</v>
      </c>
      <c r="E9" s="286"/>
      <c r="F9" s="286"/>
      <c r="G9" s="286"/>
      <c r="H9" s="284" t="str">
        <f t="shared" si="0"/>
        <v> </v>
      </c>
    </row>
    <row r="10" spans="1:8" ht="12">
      <c r="A10" s="278">
        <v>3</v>
      </c>
      <c r="B10" s="281" t="s">
        <v>142</v>
      </c>
      <c r="E10" s="286"/>
      <c r="F10" s="286"/>
      <c r="G10" s="286"/>
      <c r="H10" s="284" t="str">
        <f t="shared" si="0"/>
        <v> </v>
      </c>
    </row>
    <row r="11" spans="1:8" ht="12">
      <c r="A11" s="278">
        <v>4</v>
      </c>
      <c r="B11" s="281" t="s">
        <v>143</v>
      </c>
      <c r="E11" s="287">
        <f>E8+E9+E10</f>
        <v>0</v>
      </c>
      <c r="F11" s="287">
        <f>F8+F9+F10</f>
        <v>0</v>
      </c>
      <c r="G11" s="287">
        <f>G8+G9+G10</f>
        <v>0</v>
      </c>
      <c r="H11" s="284" t="str">
        <f t="shared" si="0"/>
        <v> </v>
      </c>
    </row>
    <row r="12" spans="1:8" ht="12">
      <c r="A12" s="278">
        <v>5</v>
      </c>
      <c r="B12" s="281" t="s">
        <v>85</v>
      </c>
      <c r="E12" s="286"/>
      <c r="F12" s="286"/>
      <c r="G12" s="286"/>
      <c r="H12" s="284" t="str">
        <f t="shared" si="0"/>
        <v> </v>
      </c>
    </row>
    <row r="13" spans="1:8" ht="12">
      <c r="A13" s="278">
        <v>6</v>
      </c>
      <c r="B13" s="281" t="s">
        <v>144</v>
      </c>
      <c r="E13" s="287">
        <f>E11+E12</f>
        <v>0</v>
      </c>
      <c r="F13" s="287">
        <f>F11+F12</f>
        <v>0</v>
      </c>
      <c r="G13" s="287">
        <f>G11+G12</f>
        <v>0</v>
      </c>
      <c r="H13" s="284" t="str">
        <f t="shared" si="0"/>
        <v> </v>
      </c>
    </row>
    <row r="14" spans="5:8" ht="12">
      <c r="E14" s="288"/>
      <c r="F14" s="288"/>
      <c r="G14" s="288"/>
      <c r="H14" s="284"/>
    </row>
    <row r="15" spans="2:8" ht="12">
      <c r="B15" s="281" t="s">
        <v>87</v>
      </c>
      <c r="E15" s="288"/>
      <c r="F15" s="288"/>
      <c r="G15" s="288"/>
      <c r="H15" s="284"/>
    </row>
    <row r="16" spans="2:8" ht="12">
      <c r="B16" s="281" t="s">
        <v>88</v>
      </c>
      <c r="E16" s="288"/>
      <c r="F16" s="288"/>
      <c r="G16" s="288"/>
      <c r="H16" s="284"/>
    </row>
    <row r="17" spans="1:8" ht="12">
      <c r="A17" s="278">
        <v>7</v>
      </c>
      <c r="B17" s="281" t="s">
        <v>145</v>
      </c>
      <c r="E17" s="286"/>
      <c r="F17" s="286"/>
      <c r="G17" s="286"/>
      <c r="H17" s="284" t="str">
        <f>IF(E17=F17+G17," ","ERROR")</f>
        <v> </v>
      </c>
    </row>
    <row r="18" spans="1:8" ht="12">
      <c r="A18" s="278">
        <v>8</v>
      </c>
      <c r="B18" s="281" t="s">
        <v>146</v>
      </c>
      <c r="E18" s="286"/>
      <c r="F18" s="286"/>
      <c r="G18" s="286"/>
      <c r="H18" s="284" t="str">
        <f>IF(E18=F18+G18," ","ERROR")</f>
        <v> </v>
      </c>
    </row>
    <row r="19" spans="1:8" ht="12">
      <c r="A19" s="278">
        <v>9</v>
      </c>
      <c r="B19" s="281" t="s">
        <v>147</v>
      </c>
      <c r="E19" s="286"/>
      <c r="F19" s="286"/>
      <c r="G19" s="286"/>
      <c r="H19" s="284" t="str">
        <f>IF(E19=F19+G19," ","ERROR")</f>
        <v> </v>
      </c>
    </row>
    <row r="20" spans="1:8" ht="12">
      <c r="A20" s="278">
        <v>10</v>
      </c>
      <c r="B20" s="281" t="s">
        <v>148</v>
      </c>
      <c r="E20" s="286"/>
      <c r="F20" s="286"/>
      <c r="G20" s="286"/>
      <c r="H20" s="284" t="str">
        <f>IF(E20=F20+G20," ","ERROR")</f>
        <v> </v>
      </c>
    </row>
    <row r="21" spans="1:8" ht="12">
      <c r="A21" s="278">
        <v>11</v>
      </c>
      <c r="B21" s="281" t="s">
        <v>149</v>
      </c>
      <c r="E21" s="287">
        <f>E17+E18+E19+E20</f>
        <v>0</v>
      </c>
      <c r="F21" s="287">
        <f>F17+F18+F19+F20</f>
        <v>0</v>
      </c>
      <c r="G21" s="287">
        <f>G17+G18+G19+G20</f>
        <v>0</v>
      </c>
      <c r="H21" s="284" t="str">
        <f>IF(E21=F21+G21," ","ERROR")</f>
        <v> </v>
      </c>
    </row>
    <row r="22" spans="5:8" ht="12">
      <c r="E22" s="288"/>
      <c r="F22" s="288"/>
      <c r="G22" s="288"/>
      <c r="H22" s="284"/>
    </row>
    <row r="23" spans="2:8" ht="12">
      <c r="B23" s="281" t="s">
        <v>93</v>
      </c>
      <c r="E23" s="288"/>
      <c r="F23" s="288"/>
      <c r="G23" s="288"/>
      <c r="H23" s="284"/>
    </row>
    <row r="24" spans="1:8" ht="12">
      <c r="A24" s="278">
        <v>12</v>
      </c>
      <c r="B24" s="281" t="s">
        <v>145</v>
      </c>
      <c r="E24" s="286"/>
      <c r="F24" s="286"/>
      <c r="G24" s="286"/>
      <c r="H24" s="284" t="str">
        <f>IF(E24=F24+G24," ","ERROR")</f>
        <v> </v>
      </c>
    </row>
    <row r="25" spans="1:8" ht="12">
      <c r="A25" s="278">
        <v>13</v>
      </c>
      <c r="B25" s="281" t="s">
        <v>150</v>
      </c>
      <c r="E25" s="286"/>
      <c r="F25" s="286"/>
      <c r="G25" s="286"/>
      <c r="H25" s="284" t="str">
        <f>IF(E25=F25+G25," ","ERROR")</f>
        <v> </v>
      </c>
    </row>
    <row r="26" spans="1:8" ht="12">
      <c r="A26" s="278">
        <v>14</v>
      </c>
      <c r="B26" s="281" t="s">
        <v>148</v>
      </c>
      <c r="E26" s="286">
        <f>F26+G26</f>
        <v>0</v>
      </c>
      <c r="F26" s="286">
        <v>0</v>
      </c>
      <c r="G26" s="286">
        <f>G109</f>
        <v>0</v>
      </c>
      <c r="H26" s="284" t="str">
        <f>IF(E26=F26+G26," ","ERROR")</f>
        <v> </v>
      </c>
    </row>
    <row r="27" spans="1:8" ht="12">
      <c r="A27" s="278">
        <v>15</v>
      </c>
      <c r="B27" s="281" t="s">
        <v>151</v>
      </c>
      <c r="E27" s="287">
        <f>E24+E25+E26</f>
        <v>0</v>
      </c>
      <c r="F27" s="287">
        <f>F24+F25+F26</f>
        <v>0</v>
      </c>
      <c r="G27" s="287">
        <f>G24+G25+G26</f>
        <v>0</v>
      </c>
      <c r="H27" s="284" t="str">
        <f>IF(E27=F27+G27," ","ERROR")</f>
        <v> </v>
      </c>
    </row>
    <row r="28" spans="5:8" ht="12">
      <c r="E28" s="288"/>
      <c r="F28" s="288"/>
      <c r="G28" s="288"/>
      <c r="H28" s="284"/>
    </row>
    <row r="29" spans="1:8" ht="12">
      <c r="A29" s="278">
        <v>16</v>
      </c>
      <c r="B29" s="281" t="s">
        <v>96</v>
      </c>
      <c r="E29" s="286"/>
      <c r="F29" s="286"/>
      <c r="G29" s="286"/>
      <c r="H29" s="284" t="str">
        <f>IF(E29=F29+G29," ","ERROR")</f>
        <v> </v>
      </c>
    </row>
    <row r="30" spans="1:8" ht="12">
      <c r="A30" s="278">
        <v>17</v>
      </c>
      <c r="B30" s="281" t="s">
        <v>97</v>
      </c>
      <c r="E30" s="286"/>
      <c r="F30" s="286"/>
      <c r="G30" s="286"/>
      <c r="H30" s="284" t="str">
        <f>IF(E30=F30+G30," ","ERROR")</f>
        <v> </v>
      </c>
    </row>
    <row r="31" spans="1:8" ht="12">
      <c r="A31" s="278">
        <v>18</v>
      </c>
      <c r="B31" s="281" t="s">
        <v>152</v>
      </c>
      <c r="E31" s="286"/>
      <c r="F31" s="286"/>
      <c r="G31" s="286"/>
      <c r="H31" s="284" t="str">
        <f>IF(E31=F31+G31," ","ERROR")</f>
        <v> </v>
      </c>
    </row>
    <row r="32" spans="5:8" ht="12">
      <c r="E32" s="288"/>
      <c r="F32" s="288"/>
      <c r="G32" s="288"/>
      <c r="H32" s="284"/>
    </row>
    <row r="33" spans="2:8" ht="12">
      <c r="B33" s="281" t="s">
        <v>99</v>
      </c>
      <c r="E33" s="288"/>
      <c r="F33" s="288"/>
      <c r="G33" s="288"/>
      <c r="H33" s="284"/>
    </row>
    <row r="34" spans="1:8" ht="12">
      <c r="A34" s="278">
        <v>19</v>
      </c>
      <c r="B34" s="281" t="s">
        <v>145</v>
      </c>
      <c r="E34" s="286"/>
      <c r="F34" s="286"/>
      <c r="G34" s="286"/>
      <c r="H34" s="284" t="str">
        <f>IF(E34=F34+G34," ","ERROR")</f>
        <v> </v>
      </c>
    </row>
    <row r="35" spans="1:8" ht="12">
      <c r="A35" s="278">
        <v>20</v>
      </c>
      <c r="B35" s="281" t="s">
        <v>150</v>
      </c>
      <c r="E35" s="286"/>
      <c r="F35" s="286"/>
      <c r="G35" s="286"/>
      <c r="H35" s="284" t="str">
        <f>IF(E35=F35+G35," ","ERROR")</f>
        <v> </v>
      </c>
    </row>
    <row r="36" spans="1:8" ht="12">
      <c r="A36" s="278">
        <v>21</v>
      </c>
      <c r="B36" s="281" t="s">
        <v>148</v>
      </c>
      <c r="E36" s="286"/>
      <c r="F36" s="286"/>
      <c r="G36" s="286"/>
      <c r="H36" s="284" t="str">
        <f>IF(E36=F36+G36," ","ERROR")</f>
        <v> </v>
      </c>
    </row>
    <row r="37" spans="1:8" ht="12">
      <c r="A37" s="278">
        <v>22</v>
      </c>
      <c r="B37" s="281" t="s">
        <v>153</v>
      </c>
      <c r="E37" s="289">
        <f>E34+E35+E36</f>
        <v>0</v>
      </c>
      <c r="F37" s="289">
        <f>F34+F35+F36</f>
        <v>0</v>
      </c>
      <c r="G37" s="289">
        <f>G34+G35+G36</f>
        <v>0</v>
      </c>
      <c r="H37" s="284" t="str">
        <f>IF(E37=F37+G37," ","ERROR")</f>
        <v> </v>
      </c>
    </row>
    <row r="38" spans="1:8" ht="12">
      <c r="A38" s="278">
        <v>23</v>
      </c>
      <c r="B38" s="281" t="s">
        <v>101</v>
      </c>
      <c r="E38" s="290">
        <f>E21+E27+E29+E30+E31+E37</f>
        <v>0</v>
      </c>
      <c r="F38" s="290">
        <f>F21+F27+F29+F30+F31+F37</f>
        <v>0</v>
      </c>
      <c r="G38" s="290">
        <f>G21+G27+G29+G30+G31+G37</f>
        <v>0</v>
      </c>
      <c r="H38" s="284" t="str">
        <f>IF(E38=F38+G38," ","ERROR")</f>
        <v> </v>
      </c>
    </row>
    <row r="39" spans="5:8" ht="12">
      <c r="E39" s="288"/>
      <c r="F39" s="288"/>
      <c r="G39" s="288"/>
      <c r="H39" s="284"/>
    </row>
    <row r="40" spans="1:8" ht="12">
      <c r="A40" s="278">
        <v>24</v>
      </c>
      <c r="B40" s="281" t="s">
        <v>154</v>
      </c>
      <c r="E40" s="288">
        <f>E13-E38</f>
        <v>0</v>
      </c>
      <c r="F40" s="288">
        <f>F13-F38</f>
        <v>0</v>
      </c>
      <c r="G40" s="288">
        <f>G13-G38</f>
        <v>0</v>
      </c>
      <c r="H40" s="284" t="str">
        <f>IF(E40=F40+G40," ","ERROR")</f>
        <v> </v>
      </c>
    </row>
    <row r="41" spans="2:8" ht="12">
      <c r="B41" s="281"/>
      <c r="E41" s="288"/>
      <c r="F41" s="288"/>
      <c r="G41" s="288"/>
      <c r="H41" s="284"/>
    </row>
    <row r="42" spans="2:8" ht="12">
      <c r="B42" s="281" t="s">
        <v>155</v>
      </c>
      <c r="E42" s="288"/>
      <c r="F42" s="288"/>
      <c r="G42" s="288"/>
      <c r="H42" s="284"/>
    </row>
    <row r="43" spans="1:8" ht="12">
      <c r="A43" s="278">
        <v>25</v>
      </c>
      <c r="B43" s="281" t="s">
        <v>214</v>
      </c>
      <c r="E43" s="286">
        <f>F43+G43</f>
        <v>0</v>
      </c>
      <c r="F43" s="286">
        <v>0</v>
      </c>
      <c r="G43" s="286">
        <v>0</v>
      </c>
      <c r="H43" s="284" t="str">
        <f>IF(E43=F43+G43," ","ERROR")</f>
        <v> </v>
      </c>
    </row>
    <row r="44" spans="1:8" ht="12">
      <c r="A44" s="278">
        <v>26</v>
      </c>
      <c r="B44" s="281" t="s">
        <v>157</v>
      </c>
      <c r="E44" s="286">
        <f>F44+G44</f>
        <v>0</v>
      </c>
      <c r="F44" s="286">
        <v>0</v>
      </c>
      <c r="G44" s="286">
        <v>0</v>
      </c>
      <c r="H44" s="284" t="str">
        <f>IF(E44=F44+G44," ","ERROR")</f>
        <v> </v>
      </c>
    </row>
    <row r="45" spans="5:7" ht="12.75">
      <c r="E45" s="943"/>
      <c r="F45" s="943"/>
      <c r="G45" s="943"/>
    </row>
    <row r="46" spans="2:8" ht="12">
      <c r="B46" s="281"/>
      <c r="E46" s="288"/>
      <c r="F46" s="288"/>
      <c r="G46" s="288"/>
      <c r="H46" s="284"/>
    </row>
    <row r="47" spans="1:8" s="284" customFormat="1" ht="12">
      <c r="A47" s="282">
        <v>27</v>
      </c>
      <c r="B47" s="283" t="s">
        <v>108</v>
      </c>
      <c r="E47" s="292">
        <f>E40-SUM(E43:E44)</f>
        <v>0</v>
      </c>
      <c r="F47" s="292">
        <f>F40-SUM(F43:F44)</f>
        <v>0</v>
      </c>
      <c r="G47" s="292">
        <f>G40-SUM(G43:G44)</f>
        <v>0</v>
      </c>
      <c r="H47" s="284" t="str">
        <f>IF(E47=F47+G47," ","ERROR")</f>
        <v> </v>
      </c>
    </row>
    <row r="48" ht="12">
      <c r="H48" s="284"/>
    </row>
    <row r="49" spans="2:8" ht="12">
      <c r="B49" s="281" t="s">
        <v>109</v>
      </c>
      <c r="H49" s="284"/>
    </row>
    <row r="50" spans="2:8" ht="12">
      <c r="B50" s="281" t="s">
        <v>110</v>
      </c>
      <c r="H50" s="284"/>
    </row>
    <row r="51" spans="1:8" s="284" customFormat="1" ht="12">
      <c r="A51" s="282">
        <v>28</v>
      </c>
      <c r="B51" s="283" t="s">
        <v>159</v>
      </c>
      <c r="E51" s="285"/>
      <c r="F51" s="285"/>
      <c r="G51" s="285"/>
      <c r="H51" s="284" t="str">
        <f aca="true" t="shared" si="1" ref="H51:H61">IF(E51=F51+G51," ","ERROR")</f>
        <v> </v>
      </c>
    </row>
    <row r="52" spans="1:8" ht="12">
      <c r="A52" s="278">
        <v>29</v>
      </c>
      <c r="B52" s="281" t="s">
        <v>160</v>
      </c>
      <c r="E52" s="286"/>
      <c r="F52" s="286"/>
      <c r="G52" s="286"/>
      <c r="H52" s="284" t="str">
        <f t="shared" si="1"/>
        <v> </v>
      </c>
    </row>
    <row r="53" spans="1:8" ht="12">
      <c r="A53" s="278">
        <v>30</v>
      </c>
      <c r="B53" s="281" t="s">
        <v>161</v>
      </c>
      <c r="E53" s="286"/>
      <c r="F53" s="286"/>
      <c r="G53" s="286"/>
      <c r="H53" s="284" t="str">
        <f t="shared" si="1"/>
        <v> </v>
      </c>
    </row>
    <row r="54" spans="1:8" ht="12">
      <c r="A54" s="278">
        <v>31</v>
      </c>
      <c r="B54" s="281" t="s">
        <v>162</v>
      </c>
      <c r="E54" s="286"/>
      <c r="F54" s="286"/>
      <c r="G54" s="286"/>
      <c r="H54" s="284" t="str">
        <f t="shared" si="1"/>
        <v> </v>
      </c>
    </row>
    <row r="55" spans="1:8" ht="12">
      <c r="A55" s="278">
        <v>32</v>
      </c>
      <c r="B55" s="281" t="s">
        <v>163</v>
      </c>
      <c r="E55" s="291"/>
      <c r="F55" s="291"/>
      <c r="G55" s="291"/>
      <c r="H55" s="284" t="str">
        <f t="shared" si="1"/>
        <v> </v>
      </c>
    </row>
    <row r="56" spans="1:8" ht="12">
      <c r="A56" s="278">
        <v>33</v>
      </c>
      <c r="B56" s="281" t="s">
        <v>164</v>
      </c>
      <c r="E56" s="288">
        <f>E51+E52+E53+E54+E55</f>
        <v>0</v>
      </c>
      <c r="F56" s="288">
        <f>F51+F52+F53+F54+F55</f>
        <v>0</v>
      </c>
      <c r="G56" s="288">
        <f>G51+G52+G53+G54+G55</f>
        <v>0</v>
      </c>
      <c r="H56" s="284" t="str">
        <f t="shared" si="1"/>
        <v> </v>
      </c>
    </row>
    <row r="57" spans="1:8" ht="12">
      <c r="A57" s="278">
        <v>34</v>
      </c>
      <c r="B57" s="281" t="s">
        <v>116</v>
      </c>
      <c r="E57" s="286"/>
      <c r="F57" s="286"/>
      <c r="G57" s="286"/>
      <c r="H57" s="284" t="str">
        <f t="shared" si="1"/>
        <v> </v>
      </c>
    </row>
    <row r="58" spans="1:8" ht="12">
      <c r="A58" s="278">
        <v>35</v>
      </c>
      <c r="B58" s="281" t="s">
        <v>117</v>
      </c>
      <c r="E58" s="291"/>
      <c r="F58" s="291"/>
      <c r="G58" s="291"/>
      <c r="H58" s="284" t="str">
        <f t="shared" si="1"/>
        <v> </v>
      </c>
    </row>
    <row r="59" spans="1:8" ht="12">
      <c r="A59" s="278">
        <v>36</v>
      </c>
      <c r="B59" s="281" t="s">
        <v>165</v>
      </c>
      <c r="E59" s="288">
        <f>E57+E58</f>
        <v>0</v>
      </c>
      <c r="F59" s="288">
        <f>F57+F58</f>
        <v>0</v>
      </c>
      <c r="G59" s="288">
        <f>G57+G58</f>
        <v>0</v>
      </c>
      <c r="H59" s="284" t="str">
        <f t="shared" si="1"/>
        <v> </v>
      </c>
    </row>
    <row r="60" spans="1:8" ht="12">
      <c r="A60" s="278">
        <v>37</v>
      </c>
      <c r="B60" s="281" t="s">
        <v>119</v>
      </c>
      <c r="E60" s="286"/>
      <c r="F60" s="286"/>
      <c r="G60" s="286"/>
      <c r="H60" s="284" t="str">
        <f t="shared" si="1"/>
        <v> </v>
      </c>
    </row>
    <row r="61" spans="1:8" ht="12">
      <c r="A61" s="278">
        <v>38</v>
      </c>
      <c r="B61" s="281" t="s">
        <v>120</v>
      </c>
      <c r="E61" s="291">
        <f>F61+G61</f>
        <v>-150785</v>
      </c>
      <c r="F61" s="291">
        <v>-150785</v>
      </c>
      <c r="G61" s="291">
        <v>0</v>
      </c>
      <c r="H61" s="284" t="str">
        <f t="shared" si="1"/>
        <v> </v>
      </c>
    </row>
    <row r="62" ht="12">
      <c r="H62" s="284"/>
    </row>
    <row r="63" spans="1:8" s="284" customFormat="1" ht="12.75" thickBot="1">
      <c r="A63" s="282">
        <v>39</v>
      </c>
      <c r="B63" s="283" t="s">
        <v>121</v>
      </c>
      <c r="E63" s="293">
        <f>E56-E59+E60+E61</f>
        <v>-150785</v>
      </c>
      <c r="F63" s="293">
        <f>F56-F59+F60+F61</f>
        <v>-150785</v>
      </c>
      <c r="G63" s="293">
        <f>G56-G59+G60+G61</f>
        <v>0</v>
      </c>
      <c r="H63" s="284" t="str">
        <f>IF(E63=F63+G63," ","ERROR")</f>
        <v> </v>
      </c>
    </row>
    <row r="64" spans="1:7" ht="12.75" thickTop="1">
      <c r="A64" s="294"/>
      <c r="B64" s="295"/>
      <c r="C64" s="295"/>
      <c r="D64" s="295"/>
      <c r="E64" s="295"/>
      <c r="F64" s="295"/>
      <c r="G64" s="295"/>
    </row>
    <row r="65" spans="1:8" ht="12">
      <c r="A65" s="296"/>
      <c r="B65" s="296"/>
      <c r="C65" s="296"/>
      <c r="D65" s="297"/>
      <c r="E65" s="298"/>
      <c r="F65" s="297"/>
      <c r="G65" s="299"/>
      <c r="H65" s="300"/>
    </row>
    <row r="66" spans="1:8" ht="12">
      <c r="A66" s="296"/>
      <c r="B66" s="296"/>
      <c r="C66" s="296"/>
      <c r="D66" s="297"/>
      <c r="E66" s="298"/>
      <c r="F66" s="297"/>
      <c r="G66" s="299"/>
      <c r="H66" s="300"/>
    </row>
    <row r="67" spans="1:8" ht="12">
      <c r="A67" s="296"/>
      <c r="B67" s="296"/>
      <c r="C67" s="296"/>
      <c r="D67" s="297"/>
      <c r="E67" s="298"/>
      <c r="F67" s="297"/>
      <c r="G67" s="301"/>
      <c r="H67" s="300"/>
    </row>
    <row r="68" spans="1:8" ht="12">
      <c r="A68" s="296"/>
      <c r="B68" s="296"/>
      <c r="C68" s="296"/>
      <c r="D68" s="297"/>
      <c r="E68" s="298"/>
      <c r="F68" s="297"/>
      <c r="G68" s="301"/>
      <c r="H68" s="300"/>
    </row>
    <row r="69" spans="1:8" ht="12">
      <c r="A69" s="294"/>
      <c r="B69" s="297"/>
      <c r="C69" s="297"/>
      <c r="D69" s="297"/>
      <c r="E69" s="298"/>
      <c r="F69" s="297"/>
      <c r="G69" s="301"/>
      <c r="H69" s="298"/>
    </row>
    <row r="70" spans="1:8" ht="12">
      <c r="A70" s="294"/>
      <c r="B70" s="297"/>
      <c r="C70" s="297"/>
      <c r="D70" s="297"/>
      <c r="E70" s="298"/>
      <c r="F70" s="297"/>
      <c r="G70" s="301"/>
      <c r="H70" s="300"/>
    </row>
    <row r="71" spans="1:8" ht="12">
      <c r="A71" s="294"/>
      <c r="B71" s="302"/>
      <c r="C71" s="297"/>
      <c r="D71" s="297"/>
      <c r="E71" s="298"/>
      <c r="F71" s="297"/>
      <c r="G71" s="301"/>
      <c r="H71" s="300"/>
    </row>
    <row r="72" spans="1:8" ht="12">
      <c r="A72" s="294"/>
      <c r="B72" s="303"/>
      <c r="C72" s="297"/>
      <c r="D72" s="297"/>
      <c r="E72" s="297"/>
      <c r="F72" s="297"/>
      <c r="G72" s="299"/>
      <c r="H72" s="304"/>
    </row>
    <row r="73" spans="1:8" ht="12">
      <c r="A73" s="294"/>
      <c r="B73" s="305"/>
      <c r="C73" s="297"/>
      <c r="D73" s="297"/>
      <c r="E73" s="297"/>
      <c r="F73" s="297"/>
      <c r="G73" s="306"/>
      <c r="H73" s="304"/>
    </row>
    <row r="74" spans="1:8" ht="12">
      <c r="A74" s="294"/>
      <c r="B74" s="303"/>
      <c r="C74" s="297"/>
      <c r="D74" s="297"/>
      <c r="E74" s="297"/>
      <c r="F74" s="297"/>
      <c r="G74" s="307"/>
      <c r="H74" s="304"/>
    </row>
    <row r="75" spans="1:8" ht="12">
      <c r="A75" s="294"/>
      <c r="B75" s="303"/>
      <c r="C75" s="297"/>
      <c r="D75" s="297"/>
      <c r="E75" s="297"/>
      <c r="F75" s="297"/>
      <c r="G75" s="307"/>
      <c r="H75" s="304"/>
    </row>
    <row r="76" spans="1:8" ht="12">
      <c r="A76" s="294"/>
      <c r="B76" s="303"/>
      <c r="C76" s="297"/>
      <c r="D76" s="297"/>
      <c r="E76" s="297"/>
      <c r="F76" s="297"/>
      <c r="G76" s="307"/>
      <c r="H76" s="304"/>
    </row>
    <row r="77" spans="1:8" ht="12">
      <c r="A77" s="294"/>
      <c r="B77" s="303"/>
      <c r="C77" s="297"/>
      <c r="D77" s="297"/>
      <c r="E77" s="297"/>
      <c r="F77" s="297"/>
      <c r="G77" s="307"/>
      <c r="H77" s="304"/>
    </row>
    <row r="78" spans="1:8" ht="12">
      <c r="A78" s="294"/>
      <c r="B78" s="303"/>
      <c r="C78" s="297"/>
      <c r="D78" s="297"/>
      <c r="E78" s="297"/>
      <c r="F78" s="297"/>
      <c r="G78" s="307"/>
      <c r="H78" s="304"/>
    </row>
    <row r="79" spans="1:8" ht="12">
      <c r="A79" s="294"/>
      <c r="B79" s="295"/>
      <c r="C79" s="297"/>
      <c r="D79" s="297"/>
      <c r="E79" s="297"/>
      <c r="F79" s="297"/>
      <c r="G79" s="307"/>
      <c r="H79" s="304"/>
    </row>
    <row r="80" spans="1:8" ht="12">
      <c r="A80" s="294"/>
      <c r="B80" s="303"/>
      <c r="C80" s="297"/>
      <c r="D80" s="297"/>
      <c r="E80" s="297"/>
      <c r="F80" s="297"/>
      <c r="G80" s="307"/>
      <c r="H80" s="304"/>
    </row>
    <row r="81" spans="1:8" ht="12">
      <c r="A81" s="294"/>
      <c r="B81" s="303"/>
      <c r="C81" s="297"/>
      <c r="D81" s="297"/>
      <c r="E81" s="297"/>
      <c r="F81" s="297"/>
      <c r="G81" s="307"/>
      <c r="H81" s="304"/>
    </row>
    <row r="82" spans="1:8" ht="12">
      <c r="A82" s="294"/>
      <c r="B82" s="303"/>
      <c r="C82" s="297"/>
      <c r="D82" s="297"/>
      <c r="E82" s="297"/>
      <c r="F82" s="297"/>
      <c r="G82" s="307"/>
      <c r="H82" s="304"/>
    </row>
    <row r="83" spans="1:8" ht="12">
      <c r="A83" s="294"/>
      <c r="B83" s="303"/>
      <c r="C83" s="297"/>
      <c r="D83" s="297"/>
      <c r="E83" s="297"/>
      <c r="F83" s="297"/>
      <c r="G83" s="307"/>
      <c r="H83" s="304"/>
    </row>
    <row r="84" spans="1:8" ht="12">
      <c r="A84" s="294"/>
      <c r="B84" s="303"/>
      <c r="C84" s="297"/>
      <c r="D84" s="297"/>
      <c r="E84" s="297"/>
      <c r="F84" s="297"/>
      <c r="G84" s="307"/>
      <c r="H84" s="304"/>
    </row>
    <row r="85" spans="1:8" ht="12">
      <c r="A85" s="294"/>
      <c r="B85" s="303"/>
      <c r="C85" s="297"/>
      <c r="D85" s="297"/>
      <c r="E85" s="297"/>
      <c r="F85" s="297"/>
      <c r="G85" s="307"/>
      <c r="H85" s="304"/>
    </row>
    <row r="86" spans="1:8" ht="12">
      <c r="A86" s="294"/>
      <c r="B86" s="303"/>
      <c r="C86" s="297"/>
      <c r="D86" s="297"/>
      <c r="E86" s="297"/>
      <c r="F86" s="297"/>
      <c r="G86" s="307"/>
      <c r="H86" s="304"/>
    </row>
    <row r="87" spans="1:8" ht="12">
      <c r="A87" s="294"/>
      <c r="B87" s="295"/>
      <c r="C87" s="297"/>
      <c r="D87" s="297"/>
      <c r="E87" s="297"/>
      <c r="F87" s="297"/>
      <c r="G87" s="307"/>
      <c r="H87" s="304"/>
    </row>
    <row r="88" spans="1:8" ht="12">
      <c r="A88" s="294"/>
      <c r="B88" s="303"/>
      <c r="C88" s="297"/>
      <c r="D88" s="297"/>
      <c r="E88" s="297"/>
      <c r="F88" s="297"/>
      <c r="G88" s="307"/>
      <c r="H88" s="304"/>
    </row>
    <row r="89" spans="1:8" ht="12">
      <c r="A89" s="294"/>
      <c r="B89" s="303"/>
      <c r="C89" s="297"/>
      <c r="D89" s="297"/>
      <c r="E89" s="297"/>
      <c r="F89" s="297"/>
      <c r="G89" s="307"/>
      <c r="H89" s="304"/>
    </row>
    <row r="90" spans="1:8" ht="12">
      <c r="A90" s="294"/>
      <c r="B90" s="303"/>
      <c r="C90" s="297"/>
      <c r="D90" s="297"/>
      <c r="E90" s="297"/>
      <c r="F90" s="297"/>
      <c r="G90" s="307"/>
      <c r="H90" s="304"/>
    </row>
    <row r="91" spans="1:8" ht="12">
      <c r="A91" s="295"/>
      <c r="B91" s="303"/>
      <c r="C91" s="297"/>
      <c r="D91" s="297"/>
      <c r="E91" s="297"/>
      <c r="F91" s="297"/>
      <c r="G91" s="307"/>
      <c r="H91" s="304"/>
    </row>
    <row r="92" spans="1:8" ht="12">
      <c r="A92" s="295"/>
      <c r="B92" s="303"/>
      <c r="C92" s="297"/>
      <c r="D92" s="297"/>
      <c r="E92" s="297"/>
      <c r="F92" s="297"/>
      <c r="G92" s="307"/>
      <c r="H92" s="304"/>
    </row>
    <row r="93" spans="1:8" ht="12">
      <c r="A93" s="295"/>
      <c r="B93" s="295"/>
      <c r="C93" s="297"/>
      <c r="D93" s="297"/>
      <c r="E93" s="297"/>
      <c r="F93" s="297"/>
      <c r="G93" s="307"/>
      <c r="H93" s="304"/>
    </row>
    <row r="94" spans="1:8" ht="12">
      <c r="A94" s="295"/>
      <c r="B94" s="303"/>
      <c r="C94" s="297"/>
      <c r="D94" s="297"/>
      <c r="E94" s="297"/>
      <c r="F94" s="297"/>
      <c r="G94" s="307"/>
      <c r="H94" s="304"/>
    </row>
    <row r="95" spans="1:8" ht="12">
      <c r="A95" s="295"/>
      <c r="B95" s="303"/>
      <c r="C95" s="297"/>
      <c r="D95" s="297"/>
      <c r="E95" s="297"/>
      <c r="F95" s="297"/>
      <c r="G95" s="307"/>
      <c r="H95" s="304"/>
    </row>
    <row r="96" spans="1:8" ht="12">
      <c r="A96" s="295"/>
      <c r="B96" s="303"/>
      <c r="C96" s="297"/>
      <c r="D96" s="297"/>
      <c r="E96" s="297"/>
      <c r="F96" s="297"/>
      <c r="G96" s="307"/>
      <c r="H96" s="304"/>
    </row>
    <row r="97" spans="1:8" ht="12">
      <c r="A97" s="295"/>
      <c r="B97" s="295"/>
      <c r="C97" s="297"/>
      <c r="D97" s="297"/>
      <c r="E97" s="297"/>
      <c r="F97" s="297"/>
      <c r="G97" s="307"/>
      <c r="H97" s="304"/>
    </row>
    <row r="98" spans="1:8" ht="12">
      <c r="A98" s="295"/>
      <c r="B98" s="303"/>
      <c r="C98" s="297"/>
      <c r="D98" s="297"/>
      <c r="E98" s="297"/>
      <c r="F98" s="297"/>
      <c r="G98" s="307"/>
      <c r="H98" s="304"/>
    </row>
    <row r="99" spans="1:8" ht="12">
      <c r="A99" s="295"/>
      <c r="B99" s="303"/>
      <c r="C99" s="297"/>
      <c r="D99" s="297"/>
      <c r="E99" s="297"/>
      <c r="F99" s="297"/>
      <c r="G99" s="307"/>
      <c r="H99" s="304"/>
    </row>
    <row r="100" spans="1:8" ht="12">
      <c r="A100" s="295"/>
      <c r="B100" s="303"/>
      <c r="C100" s="297"/>
      <c r="D100" s="297"/>
      <c r="E100" s="297"/>
      <c r="F100" s="297"/>
      <c r="G100" s="307"/>
      <c r="H100" s="304"/>
    </row>
    <row r="101" spans="1:8" ht="12">
      <c r="A101" s="295"/>
      <c r="B101" s="303"/>
      <c r="C101" s="297"/>
      <c r="D101" s="297"/>
      <c r="E101" s="297"/>
      <c r="F101" s="297"/>
      <c r="G101" s="307"/>
      <c r="H101" s="304"/>
    </row>
    <row r="102" spans="1:8" ht="12">
      <c r="A102" s="295"/>
      <c r="B102" s="303"/>
      <c r="C102" s="297"/>
      <c r="D102" s="297"/>
      <c r="E102" s="297"/>
      <c r="F102" s="297"/>
      <c r="G102" s="307"/>
      <c r="H102" s="304"/>
    </row>
    <row r="103" spans="1:8" ht="12">
      <c r="A103" s="295"/>
      <c r="B103" s="297"/>
      <c r="C103" s="297"/>
      <c r="D103" s="297"/>
      <c r="E103" s="297"/>
      <c r="F103" s="297"/>
      <c r="G103" s="307"/>
      <c r="H103" s="304"/>
    </row>
    <row r="104" spans="1:8" ht="12">
      <c r="A104" s="295"/>
      <c r="B104" s="297"/>
      <c r="C104" s="297"/>
      <c r="D104" s="297"/>
      <c r="E104" s="297"/>
      <c r="F104" s="297"/>
      <c r="G104" s="307"/>
      <c r="H104" s="304"/>
    </row>
    <row r="105" spans="1:8" ht="12">
      <c r="A105" s="295"/>
      <c r="B105" s="297"/>
      <c r="C105" s="297"/>
      <c r="D105" s="297"/>
      <c r="E105" s="297"/>
      <c r="F105" s="297"/>
      <c r="G105" s="307"/>
      <c r="H105" s="304"/>
    </row>
    <row r="106" spans="1:8" ht="12">
      <c r="A106" s="295"/>
      <c r="B106" s="297"/>
      <c r="C106" s="297"/>
      <c r="D106" s="297"/>
      <c r="E106" s="297"/>
      <c r="F106" s="297"/>
      <c r="G106" s="307"/>
      <c r="H106" s="304"/>
    </row>
    <row r="107" spans="1:8" ht="12">
      <c r="A107" s="295"/>
      <c r="B107" s="297"/>
      <c r="C107" s="297"/>
      <c r="D107" s="297"/>
      <c r="E107" s="297"/>
      <c r="F107" s="297"/>
      <c r="G107" s="307"/>
      <c r="H107" s="304"/>
    </row>
    <row r="108" spans="1:8" ht="12">
      <c r="A108" s="295"/>
      <c r="B108" s="297"/>
      <c r="C108" s="297"/>
      <c r="D108" s="297"/>
      <c r="E108" s="298"/>
      <c r="F108" s="297"/>
      <c r="G108" s="307"/>
      <c r="H108" s="304"/>
    </row>
    <row r="109" spans="1:8" ht="12">
      <c r="A109" s="295"/>
      <c r="B109" s="302"/>
      <c r="C109" s="308"/>
      <c r="D109" s="297"/>
      <c r="E109" s="298"/>
      <c r="F109" s="297"/>
      <c r="G109" s="306"/>
      <c r="H109" s="304"/>
    </row>
    <row r="110" spans="1:8" ht="12">
      <c r="A110" s="295"/>
      <c r="B110" s="297"/>
      <c r="C110" s="297"/>
      <c r="D110" s="297"/>
      <c r="E110" s="298"/>
      <c r="F110" s="297"/>
      <c r="G110" s="299"/>
      <c r="H110" s="304"/>
    </row>
  </sheetData>
  <printOptions/>
  <pageMargins left="1" right="1" top="0.5" bottom="0.5" header="0.5" footer="0.5"/>
  <pageSetup horizontalDpi="300" verticalDpi="300" orientation="portrait" scale="9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B1">
      <selection activeCell="E1" sqref="E1:E16384"/>
    </sheetView>
  </sheetViews>
  <sheetFormatPr defaultColWidth="9.140625" defaultRowHeight="12.75"/>
  <cols>
    <col min="1" max="2" width="9.140625" style="717" customWidth="1"/>
    <col min="3" max="3" width="42.00390625" style="717" customWidth="1"/>
    <col min="4" max="4" width="5.8515625" style="717" customWidth="1"/>
    <col min="5" max="5" width="20.140625" style="717" customWidth="1"/>
    <col min="6" max="6" width="19.8515625" style="717" bestFit="1" customWidth="1"/>
    <col min="7" max="9" width="9.140625" style="717" customWidth="1"/>
    <col min="10" max="10" width="13.00390625" style="717" customWidth="1"/>
    <col min="11" max="16384" width="9.140625" style="717" customWidth="1"/>
  </cols>
  <sheetData>
    <row r="1" spans="1:7" ht="12.75">
      <c r="A1" s="894" t="s">
        <v>252</v>
      </c>
      <c r="B1" s="894"/>
      <c r="C1" s="894"/>
      <c r="D1" s="894"/>
      <c r="E1" s="894"/>
      <c r="G1" s="895"/>
    </row>
    <row r="2" spans="1:7" ht="12.75">
      <c r="A2" s="894" t="s">
        <v>381</v>
      </c>
      <c r="B2" s="894"/>
      <c r="C2" s="894"/>
      <c r="D2" s="894"/>
      <c r="E2" s="894"/>
      <c r="G2" s="895"/>
    </row>
    <row r="3" spans="1:7" ht="12.75">
      <c r="A3" s="894" t="s">
        <v>380</v>
      </c>
      <c r="B3" s="894"/>
      <c r="C3" s="894"/>
      <c r="D3" s="894"/>
      <c r="E3" s="894"/>
      <c r="G3" s="895"/>
    </row>
    <row r="4" spans="1:7" ht="12.75">
      <c r="A4" s="894" t="str">
        <f>WAElec12_04!A4</f>
        <v>TWELVE MONTHS ENDED DECEMBER 31, 2004</v>
      </c>
      <c r="B4" s="894"/>
      <c r="C4" s="894"/>
      <c r="D4" s="894"/>
      <c r="E4" s="894"/>
      <c r="G4" s="895"/>
    </row>
    <row r="5" spans="7:10" ht="12.75">
      <c r="G5" s="895"/>
      <c r="J5" s="914" t="s">
        <v>393</v>
      </c>
    </row>
    <row r="6" spans="1:10" s="730" customFormat="1" ht="12.75">
      <c r="A6" s="730" t="s">
        <v>265</v>
      </c>
      <c r="E6" s="732"/>
      <c r="G6" s="896"/>
      <c r="J6" s="915" t="s">
        <v>379</v>
      </c>
    </row>
    <row r="7" spans="1:7" s="730" customFormat="1" ht="12.75">
      <c r="A7" s="897" t="s">
        <v>33</v>
      </c>
      <c r="C7" s="897" t="s">
        <v>128</v>
      </c>
      <c r="D7" s="732"/>
      <c r="E7" s="897" t="s">
        <v>382</v>
      </c>
      <c r="G7" s="896"/>
    </row>
    <row r="8" ht="12.75">
      <c r="G8" s="895"/>
    </row>
    <row r="9" spans="1:10" ht="12.75">
      <c r="A9" s="733">
        <v>1</v>
      </c>
      <c r="C9" s="898" t="s">
        <v>50</v>
      </c>
      <c r="E9" s="892">
        <v>1</v>
      </c>
      <c r="J9" s="899">
        <f>RevReq_Exh!E21</f>
        <v>35833</v>
      </c>
    </row>
    <row r="10" spans="1:10" ht="12.75">
      <c r="A10" s="733"/>
      <c r="E10" s="892"/>
      <c r="J10" s="895"/>
    </row>
    <row r="11" spans="1:10" ht="12.75">
      <c r="A11" s="733"/>
      <c r="C11" s="891" t="s">
        <v>383</v>
      </c>
      <c r="D11" s="892"/>
      <c r="E11" s="892"/>
      <c r="J11" s="895"/>
    </row>
    <row r="12" spans="1:10" ht="12.75">
      <c r="A12" s="733">
        <v>2</v>
      </c>
      <c r="C12" s="892" t="s">
        <v>384</v>
      </c>
      <c r="D12" s="892"/>
      <c r="E12" s="1024">
        <v>0.003168</v>
      </c>
      <c r="J12" s="895">
        <f>ROUND($J$9*E12,0)</f>
        <v>114</v>
      </c>
    </row>
    <row r="13" spans="1:10" ht="12.75">
      <c r="A13" s="733"/>
      <c r="C13" s="892"/>
      <c r="D13" s="892"/>
      <c r="E13" s="892"/>
      <c r="J13" s="895"/>
    </row>
    <row r="14" spans="1:10" ht="12.75">
      <c r="A14" s="733">
        <v>3</v>
      </c>
      <c r="C14" s="892" t="s">
        <v>385</v>
      </c>
      <c r="D14" s="892"/>
      <c r="E14" s="892">
        <v>0.0019</v>
      </c>
      <c r="J14" s="895">
        <f>ROUND($J$9*E14,0)</f>
        <v>68</v>
      </c>
    </row>
    <row r="15" spans="1:10" ht="12.75">
      <c r="A15" s="733"/>
      <c r="C15" s="892"/>
      <c r="D15" s="892"/>
      <c r="E15" s="892"/>
      <c r="J15" s="895"/>
    </row>
    <row r="16" spans="1:10" ht="12.75">
      <c r="A16" s="733">
        <v>4</v>
      </c>
      <c r="C16" s="892" t="s">
        <v>386</v>
      </c>
      <c r="D16" s="892"/>
      <c r="E16" s="892">
        <v>0.038607</v>
      </c>
      <c r="J16" s="895">
        <f>ROUND($J$9*E16,0)</f>
        <v>1383</v>
      </c>
    </row>
    <row r="17" spans="1:10" ht="12.75">
      <c r="A17" s="733"/>
      <c r="C17" s="892"/>
      <c r="D17" s="892"/>
      <c r="E17" s="892"/>
      <c r="J17" s="895"/>
    </row>
    <row r="18" spans="1:10" ht="12.75">
      <c r="A18" s="733">
        <v>5</v>
      </c>
      <c r="C18" s="892" t="s">
        <v>387</v>
      </c>
      <c r="D18" s="892"/>
      <c r="E18" s="1025">
        <v>0</v>
      </c>
      <c r="J18" s="895">
        <f>ROUND($J$9*E18,0)</f>
        <v>0</v>
      </c>
    </row>
    <row r="19" spans="1:10" ht="12.75">
      <c r="A19" s="733"/>
      <c r="C19" s="892"/>
      <c r="D19" s="892"/>
      <c r="E19" s="1025"/>
      <c r="J19" s="895"/>
    </row>
    <row r="20" spans="1:10" ht="12.75">
      <c r="A20" s="733">
        <v>6</v>
      </c>
      <c r="C20" s="892" t="s">
        <v>388</v>
      </c>
      <c r="D20" s="892"/>
      <c r="E20" s="1026">
        <f>SUM(E12:E18)</f>
        <v>0.043675000000000005</v>
      </c>
      <c r="J20" s="900">
        <f>SUM(J12:J18)</f>
        <v>1565</v>
      </c>
    </row>
    <row r="21" spans="3:10" ht="12.75">
      <c r="C21" s="892"/>
      <c r="D21" s="892"/>
      <c r="E21" s="1025"/>
      <c r="J21" s="895"/>
    </row>
    <row r="22" spans="1:10" ht="12.75">
      <c r="A22" s="733">
        <v>7</v>
      </c>
      <c r="C22" s="892" t="s">
        <v>389</v>
      </c>
      <c r="D22" s="892"/>
      <c r="E22" s="1025">
        <f>E9-E20</f>
        <v>0.956325</v>
      </c>
      <c r="J22" s="901">
        <f>J9-J20</f>
        <v>34268</v>
      </c>
    </row>
    <row r="23" spans="3:10" ht="12.75">
      <c r="C23" s="892"/>
      <c r="D23" s="892"/>
      <c r="E23" s="1025"/>
      <c r="J23" s="901"/>
    </row>
    <row r="24" spans="1:10" ht="12.75">
      <c r="A24" s="733">
        <v>8</v>
      </c>
      <c r="C24" s="892" t="s">
        <v>390</v>
      </c>
      <c r="D24" s="893"/>
      <c r="E24" s="1027">
        <f>ROUND(E22*0.35,8)</f>
        <v>0.33471375</v>
      </c>
      <c r="G24" s="895"/>
      <c r="J24" s="902">
        <f>ROUND(J22*0.35,0)</f>
        <v>11994</v>
      </c>
    </row>
    <row r="25" spans="3:7" ht="12.75">
      <c r="C25" s="892"/>
      <c r="D25" s="892"/>
      <c r="E25" s="1025"/>
      <c r="G25" s="895"/>
    </row>
    <row r="26" spans="1:10" ht="13.5" thickBot="1">
      <c r="A26" s="733">
        <v>9</v>
      </c>
      <c r="C26" s="891" t="s">
        <v>391</v>
      </c>
      <c r="D26" s="892"/>
      <c r="E26" s="1028">
        <f>E22-E24</f>
        <v>0.62161125</v>
      </c>
      <c r="J26" s="903">
        <f>J22-J24</f>
        <v>22274</v>
      </c>
    </row>
    <row r="27" ht="13.5" thickTop="1"/>
  </sheetData>
  <printOptions/>
  <pageMargins left="0.75" right="0.75" top="1" bottom="0.75" header="0.5" footer="0.5"/>
  <pageSetup horizontalDpi="600" verticalDpi="600" orientation="portrait" scale="88" r:id="rId1"/>
  <headerFooter alignWithMargins="0">
    <oddHeader>&amp;R&amp;"Times,Regular"Exhibit No.____(DMF-2)</oddHeader>
    <oddFooter xml:space="preserve">&amp;L&amp;"Times,Regular"Docket No. UE-05-________
Falkner, Avista&amp;"Arial,Regular"
&amp;R&amp;"Times,Regular"Page 3 of 9 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workbookViewId="0" topLeftCell="A1">
      <pane ySplit="9" topLeftCell="BM52" activePane="bottomLeft" state="frozen"/>
      <selection pane="topLeft" activeCell="A4" sqref="A4"/>
      <selection pane="bottomLeft" activeCell="B13" sqref="B13"/>
    </sheetView>
  </sheetViews>
  <sheetFormatPr defaultColWidth="9.140625" defaultRowHeight="12.75"/>
  <cols>
    <col min="1" max="1" width="4.7109375" style="3" customWidth="1"/>
    <col min="2" max="3" width="1.7109375" style="2" customWidth="1"/>
    <col min="4" max="4" width="34.28125" style="2" customWidth="1"/>
    <col min="5" max="5" width="11.7109375" style="41" customWidth="1"/>
    <col min="6" max="6" width="13.7109375" style="41" customWidth="1"/>
    <col min="7" max="7" width="11.7109375" style="41" customWidth="1"/>
    <col min="8" max="8" width="12.8515625" style="41" customWidth="1"/>
    <col min="9" max="9" width="12.57421875" style="41" customWidth="1"/>
    <col min="10" max="10" width="9.140625" style="717" customWidth="1"/>
    <col min="11" max="11" width="10.57421875" style="717" customWidth="1"/>
    <col min="12" max="16384" width="9.140625" style="717" customWidth="1"/>
  </cols>
  <sheetData>
    <row r="1" spans="1:4" ht="12.75">
      <c r="A1" s="1" t="s">
        <v>252</v>
      </c>
      <c r="D1" s="3"/>
    </row>
    <row r="2" spans="1:4" ht="12.75">
      <c r="A2" s="1" t="s">
        <v>0</v>
      </c>
      <c r="D2" s="3"/>
    </row>
    <row r="3" spans="1:4" ht="12.75">
      <c r="A3" s="1" t="s">
        <v>373</v>
      </c>
      <c r="D3" s="3"/>
    </row>
    <row r="4" spans="1:4" ht="12.75">
      <c r="A4" s="1" t="str">
        <f>Inputs!D2</f>
        <v>TWELVE MONTHS ENDED DECEMBER 31, 2004</v>
      </c>
      <c r="D4" s="3"/>
    </row>
    <row r="5" spans="1:4" ht="12.75">
      <c r="A5" s="1" t="s">
        <v>1</v>
      </c>
      <c r="D5" s="3"/>
    </row>
    <row r="6" spans="1:9" ht="12.75">
      <c r="A6" s="7"/>
      <c r="B6" s="8"/>
      <c r="C6" s="8"/>
      <c r="D6" s="7"/>
      <c r="E6" s="904" t="s">
        <v>374</v>
      </c>
      <c r="F6" s="905"/>
      <c r="G6" s="906"/>
      <c r="H6" s="904" t="s">
        <v>375</v>
      </c>
      <c r="I6" s="906"/>
    </row>
    <row r="7" spans="1:9" ht="12.75">
      <c r="A7" s="12"/>
      <c r="B7" s="13"/>
      <c r="C7" s="14"/>
      <c r="D7" s="15"/>
      <c r="E7" s="907" t="s">
        <v>376</v>
      </c>
      <c r="F7" s="907"/>
      <c r="G7" s="907"/>
      <c r="H7" s="908" t="s">
        <v>377</v>
      </c>
      <c r="I7" s="907" t="s">
        <v>12</v>
      </c>
    </row>
    <row r="8" spans="1:9" ht="12.75">
      <c r="A8" s="17" t="s">
        <v>13</v>
      </c>
      <c r="B8" s="18"/>
      <c r="C8" s="19"/>
      <c r="D8" s="20"/>
      <c r="E8" s="909" t="s">
        <v>14</v>
      </c>
      <c r="F8" s="909" t="s">
        <v>273</v>
      </c>
      <c r="G8" s="909" t="s">
        <v>12</v>
      </c>
      <c r="H8" s="910" t="s">
        <v>378</v>
      </c>
      <c r="I8" s="909" t="s">
        <v>377</v>
      </c>
    </row>
    <row r="9" spans="1:9" ht="12.75">
      <c r="A9" s="22" t="s">
        <v>33</v>
      </c>
      <c r="B9" s="23"/>
      <c r="C9" s="24"/>
      <c r="D9" s="25" t="s">
        <v>34</v>
      </c>
      <c r="E9" s="911" t="s">
        <v>35</v>
      </c>
      <c r="F9" s="911" t="s">
        <v>295</v>
      </c>
      <c r="G9" s="911" t="s">
        <v>273</v>
      </c>
      <c r="H9" s="912" t="s">
        <v>379</v>
      </c>
      <c r="I9" s="911" t="s">
        <v>273</v>
      </c>
    </row>
    <row r="10" spans="1:9" ht="12.75">
      <c r="A10" s="27"/>
      <c r="B10" s="28"/>
      <c r="C10" s="28"/>
      <c r="D10" s="28" t="s">
        <v>54</v>
      </c>
      <c r="E10" s="913" t="s">
        <v>55</v>
      </c>
      <c r="F10" s="913" t="s">
        <v>56</v>
      </c>
      <c r="G10" s="913" t="s">
        <v>57</v>
      </c>
      <c r="H10" s="913" t="s">
        <v>58</v>
      </c>
      <c r="I10" s="913" t="s">
        <v>59</v>
      </c>
    </row>
    <row r="12" ht="12.75">
      <c r="B12" s="2" t="s">
        <v>80</v>
      </c>
    </row>
    <row r="13" spans="1:9" ht="12.75">
      <c r="A13" s="32">
        <v>1</v>
      </c>
      <c r="B13" s="33" t="s">
        <v>81</v>
      </c>
      <c r="C13" s="33"/>
      <c r="D13" s="33"/>
      <c r="E13" s="75">
        <f>WAElec12_04!E13</f>
        <v>323681</v>
      </c>
      <c r="F13" s="75">
        <f>G13-E13</f>
        <v>-38282</v>
      </c>
      <c r="G13" s="75">
        <f>WAElec12_04!AV13</f>
        <v>285399</v>
      </c>
      <c r="H13" s="75">
        <f>ConverFac_Exh!J9</f>
        <v>35833</v>
      </c>
      <c r="I13" s="75">
        <f>G13+H13</f>
        <v>321232</v>
      </c>
    </row>
    <row r="14" spans="1:9" ht="12.75">
      <c r="A14" s="32">
        <v>2</v>
      </c>
      <c r="B14" s="34" t="s">
        <v>82</v>
      </c>
      <c r="C14" s="34"/>
      <c r="D14" s="34"/>
      <c r="E14" s="71">
        <f>WAElec12_04!E14</f>
        <v>752</v>
      </c>
      <c r="F14" s="71">
        <f>G14-E14</f>
        <v>0</v>
      </c>
      <c r="G14" s="71">
        <f>WAElec12_04!AV14</f>
        <v>752</v>
      </c>
      <c r="H14" s="71"/>
      <c r="I14" s="71">
        <f>G14+H14</f>
        <v>752</v>
      </c>
    </row>
    <row r="15" spans="1:9" ht="12.75">
      <c r="A15" s="32">
        <v>3</v>
      </c>
      <c r="B15" s="34" t="s">
        <v>83</v>
      </c>
      <c r="C15" s="34"/>
      <c r="D15" s="34"/>
      <c r="E15" s="72">
        <f>WAElec12_04!E15</f>
        <v>58640</v>
      </c>
      <c r="F15" s="72">
        <f>G15-E15</f>
        <v>-18180</v>
      </c>
      <c r="G15" s="72">
        <f>WAElec12_04!AV15</f>
        <v>40460</v>
      </c>
      <c r="H15" s="72"/>
      <c r="I15" s="72">
        <f>G15+H15</f>
        <v>40460</v>
      </c>
    </row>
    <row r="16" spans="1:9" ht="12.75">
      <c r="A16" s="32">
        <v>4</v>
      </c>
      <c r="B16" s="34"/>
      <c r="C16" s="34" t="s">
        <v>84</v>
      </c>
      <c r="D16" s="34"/>
      <c r="E16" s="34">
        <f>WAElec12_04!E16</f>
        <v>383073</v>
      </c>
      <c r="F16" s="34">
        <f>SUM(F13:F15)</f>
        <v>-56462</v>
      </c>
      <c r="G16" s="34">
        <f>WAElec12_04!AV16</f>
        <v>326611</v>
      </c>
      <c r="H16" s="34">
        <f>SUM(H13:H15)</f>
        <v>35833</v>
      </c>
      <c r="I16" s="34">
        <f>SUM(I13:I15)</f>
        <v>362444</v>
      </c>
    </row>
    <row r="17" spans="1:9" ht="12.75">
      <c r="A17" s="32">
        <v>5</v>
      </c>
      <c r="B17" s="34" t="s">
        <v>85</v>
      </c>
      <c r="C17" s="34"/>
      <c r="D17" s="34"/>
      <c r="E17" s="72">
        <f>WAElec12_04!E17</f>
        <v>53644</v>
      </c>
      <c r="F17" s="72">
        <f>G17-E17</f>
        <v>-45057</v>
      </c>
      <c r="G17" s="72">
        <f>WAElec12_04!AV17</f>
        <v>8587</v>
      </c>
      <c r="H17" s="72"/>
      <c r="I17" s="72">
        <f>G17+H17</f>
        <v>8587</v>
      </c>
    </row>
    <row r="18" spans="1:9" ht="12.75">
      <c r="A18" s="32">
        <v>6</v>
      </c>
      <c r="B18" s="34"/>
      <c r="C18" s="34" t="s">
        <v>86</v>
      </c>
      <c r="D18" s="34"/>
      <c r="E18" s="34">
        <f>WAElec12_04!E18</f>
        <v>436717</v>
      </c>
      <c r="F18" s="34">
        <f>SUM(F16:F17)</f>
        <v>-101519</v>
      </c>
      <c r="G18" s="34">
        <f>WAElec12_04!AV18</f>
        <v>335198</v>
      </c>
      <c r="H18" s="34">
        <f>SUM(H16:H17)</f>
        <v>35833</v>
      </c>
      <c r="I18" s="34">
        <f>SUM(I16:I17)</f>
        <v>371031</v>
      </c>
    </row>
    <row r="19" spans="1:9" ht="12.75">
      <c r="A19" s="32"/>
      <c r="B19" s="34"/>
      <c r="C19" s="34"/>
      <c r="D19" s="34"/>
      <c r="E19" s="71"/>
      <c r="F19" s="71"/>
      <c r="G19" s="71"/>
      <c r="H19" s="71"/>
      <c r="I19" s="71"/>
    </row>
    <row r="20" spans="1:9" ht="12.75">
      <c r="A20" s="32"/>
      <c r="B20" s="34" t="s">
        <v>87</v>
      </c>
      <c r="C20" s="34"/>
      <c r="D20" s="34"/>
      <c r="E20" s="71"/>
      <c r="F20" s="71"/>
      <c r="G20" s="71"/>
      <c r="H20" s="71"/>
      <c r="I20" s="71"/>
    </row>
    <row r="21" spans="1:9" ht="12.75">
      <c r="A21" s="32"/>
      <c r="B21" s="34" t="s">
        <v>88</v>
      </c>
      <c r="C21" s="34"/>
      <c r="D21" s="34"/>
      <c r="E21" s="71"/>
      <c r="F21" s="71"/>
      <c r="G21" s="71"/>
      <c r="H21" s="71"/>
      <c r="I21" s="71"/>
    </row>
    <row r="22" spans="1:9" ht="12.75">
      <c r="A22" s="32">
        <v>7</v>
      </c>
      <c r="B22" s="34"/>
      <c r="C22" s="34" t="s">
        <v>89</v>
      </c>
      <c r="D22" s="34"/>
      <c r="E22" s="71">
        <f>WAElec12_04!E22</f>
        <v>130540</v>
      </c>
      <c r="F22" s="71">
        <f>G22-E22</f>
        <v>-28696</v>
      </c>
      <c r="G22" s="71">
        <f>WAElec12_04!AV22</f>
        <v>101844</v>
      </c>
      <c r="H22" s="71"/>
      <c r="I22" s="71">
        <f>G22+H22</f>
        <v>101844</v>
      </c>
    </row>
    <row r="23" spans="1:9" ht="12.75">
      <c r="A23" s="32">
        <v>8</v>
      </c>
      <c r="B23" s="34"/>
      <c r="C23" s="34" t="s">
        <v>90</v>
      </c>
      <c r="D23" s="34"/>
      <c r="E23" s="71">
        <f>WAElec12_04!E23</f>
        <v>97537</v>
      </c>
      <c r="F23" s="71">
        <f>G23-E23</f>
        <v>-46495</v>
      </c>
      <c r="G23" s="71">
        <f>WAElec12_04!AV23</f>
        <v>51042</v>
      </c>
      <c r="H23" s="71"/>
      <c r="I23" s="71">
        <f>G23+H23</f>
        <v>51042</v>
      </c>
    </row>
    <row r="24" spans="1:9" ht="12.75">
      <c r="A24" s="32">
        <v>9</v>
      </c>
      <c r="B24" s="34"/>
      <c r="C24" s="34" t="s">
        <v>91</v>
      </c>
      <c r="D24" s="34"/>
      <c r="E24" s="71">
        <f>WAElec12_04!E24</f>
        <v>16259</v>
      </c>
      <c r="F24" s="71">
        <f>G24-E24</f>
        <v>7345</v>
      </c>
      <c r="G24" s="71">
        <f>WAElec12_04!AV24</f>
        <v>23604</v>
      </c>
      <c r="H24" s="71"/>
      <c r="I24" s="71">
        <f>G24+H24</f>
        <v>23604</v>
      </c>
    </row>
    <row r="25" spans="1:9" ht="12.75">
      <c r="A25" s="32">
        <v>10</v>
      </c>
      <c r="B25" s="34"/>
      <c r="C25" s="34" t="s">
        <v>44</v>
      </c>
      <c r="D25" s="34"/>
      <c r="E25" s="72">
        <f>WAElec12_04!E25</f>
        <v>7551</v>
      </c>
      <c r="F25" s="72">
        <f>G25-E25</f>
        <v>3</v>
      </c>
      <c r="G25" s="72">
        <f>WAElec12_04!AV25</f>
        <v>7554</v>
      </c>
      <c r="H25" s="72"/>
      <c r="I25" s="72">
        <f>G25+H25</f>
        <v>7554</v>
      </c>
    </row>
    <row r="26" spans="1:9" ht="12.75">
      <c r="A26" s="32">
        <v>11</v>
      </c>
      <c r="B26" s="34"/>
      <c r="C26" s="34"/>
      <c r="D26" s="34" t="s">
        <v>92</v>
      </c>
      <c r="E26" s="34">
        <f>WAElec12_04!E26</f>
        <v>251887</v>
      </c>
      <c r="F26" s="34">
        <f>SUM(F22:F25)</f>
        <v>-67843</v>
      </c>
      <c r="G26" s="34">
        <f>WAElec12_04!AV26</f>
        <v>184044</v>
      </c>
      <c r="H26" s="34">
        <f>SUM(H22:H25)</f>
        <v>0</v>
      </c>
      <c r="I26" s="34">
        <f>SUM(I22:I25)</f>
        <v>184044</v>
      </c>
    </row>
    <row r="27" spans="1:9" ht="12.75">
      <c r="A27" s="32"/>
      <c r="B27" s="34"/>
      <c r="C27" s="34"/>
      <c r="D27" s="34"/>
      <c r="E27" s="71"/>
      <c r="F27" s="71"/>
      <c r="G27" s="71"/>
      <c r="H27" s="71"/>
      <c r="I27" s="71"/>
    </row>
    <row r="28" spans="1:9" ht="12.75">
      <c r="A28" s="32"/>
      <c r="B28" s="34" t="s">
        <v>93</v>
      </c>
      <c r="C28" s="34"/>
      <c r="D28" s="34"/>
      <c r="E28" s="71"/>
      <c r="F28" s="71"/>
      <c r="G28" s="71"/>
      <c r="H28" s="71"/>
      <c r="I28" s="71"/>
    </row>
    <row r="29" spans="1:9" ht="12.75">
      <c r="A29" s="32">
        <v>12</v>
      </c>
      <c r="B29" s="34"/>
      <c r="C29" s="34" t="s">
        <v>89</v>
      </c>
      <c r="D29" s="34"/>
      <c r="E29" s="71">
        <f>WAElec12_04!E29</f>
        <v>12289</v>
      </c>
      <c r="F29" s="71">
        <f>G29-E29</f>
        <v>812</v>
      </c>
      <c r="G29" s="71">
        <f>WAElec12_04!AV29</f>
        <v>13101</v>
      </c>
      <c r="H29" s="71"/>
      <c r="I29" s="71">
        <f aca="true" t="shared" si="0" ref="I29:I36">G29+H29</f>
        <v>13101</v>
      </c>
    </row>
    <row r="30" spans="1:9" ht="12.75">
      <c r="A30" s="32">
        <v>13</v>
      </c>
      <c r="B30" s="34"/>
      <c r="C30" s="34" t="s">
        <v>94</v>
      </c>
      <c r="D30" s="34"/>
      <c r="E30" s="71">
        <f>WAElec12_04!E30</f>
        <v>10044</v>
      </c>
      <c r="F30" s="71">
        <f>G30-E30</f>
        <v>23</v>
      </c>
      <c r="G30" s="71">
        <f>WAElec12_04!AV30</f>
        <v>10067</v>
      </c>
      <c r="H30" s="71"/>
      <c r="I30" s="71">
        <f t="shared" si="0"/>
        <v>10067</v>
      </c>
    </row>
    <row r="31" spans="1:9" ht="12.75">
      <c r="A31" s="32">
        <v>14</v>
      </c>
      <c r="B31" s="34"/>
      <c r="C31" s="34" t="s">
        <v>44</v>
      </c>
      <c r="D31" s="34"/>
      <c r="E31" s="72">
        <f>WAElec12_04!E31</f>
        <v>29575</v>
      </c>
      <c r="F31" s="72">
        <f>G31-E31</f>
        <v>-12174</v>
      </c>
      <c r="G31" s="72">
        <f>WAElec12_04!AV31</f>
        <v>17401</v>
      </c>
      <c r="H31" s="72">
        <f>ConverFac_Exh!J16</f>
        <v>1383</v>
      </c>
      <c r="I31" s="72">
        <f t="shared" si="0"/>
        <v>18784</v>
      </c>
    </row>
    <row r="32" spans="1:9" ht="12.75">
      <c r="A32" s="32">
        <v>15</v>
      </c>
      <c r="B32" s="34"/>
      <c r="C32" s="34"/>
      <c r="D32" s="34" t="s">
        <v>95</v>
      </c>
      <c r="E32" s="34">
        <f>WAElec12_04!E32</f>
        <v>51908</v>
      </c>
      <c r="F32" s="34">
        <f>SUM(F29:F31)</f>
        <v>-11339</v>
      </c>
      <c r="G32" s="34">
        <f>WAElec12_04!AV32</f>
        <v>40569</v>
      </c>
      <c r="H32" s="34">
        <f>SUM(H29:H31)</f>
        <v>1383</v>
      </c>
      <c r="I32" s="34">
        <f>SUM(I29:I31)</f>
        <v>41952</v>
      </c>
    </row>
    <row r="33" spans="1:9" ht="12.75">
      <c r="A33" s="32"/>
      <c r="B33" s="34"/>
      <c r="C33" s="34"/>
      <c r="D33" s="34"/>
      <c r="E33" s="71"/>
      <c r="F33" s="71"/>
      <c r="G33" s="71"/>
      <c r="H33" s="71"/>
      <c r="I33" s="71"/>
    </row>
    <row r="34" spans="1:9" ht="12.75">
      <c r="A34" s="32">
        <v>16</v>
      </c>
      <c r="B34" s="34" t="s">
        <v>96</v>
      </c>
      <c r="C34" s="34"/>
      <c r="D34" s="34"/>
      <c r="E34" s="71">
        <f>WAElec12_04!E34</f>
        <v>8444</v>
      </c>
      <c r="F34" s="71">
        <f>G34-E34</f>
        <v>-902</v>
      </c>
      <c r="G34" s="71">
        <f>WAElec12_04!AV34</f>
        <v>7542</v>
      </c>
      <c r="H34" s="71">
        <f>ConverFac_Exh!J12</f>
        <v>114</v>
      </c>
      <c r="I34" s="71">
        <f t="shared" si="0"/>
        <v>7656</v>
      </c>
    </row>
    <row r="35" spans="1:9" ht="12.75">
      <c r="A35" s="32">
        <v>17</v>
      </c>
      <c r="B35" s="34" t="s">
        <v>97</v>
      </c>
      <c r="C35" s="34"/>
      <c r="D35" s="34"/>
      <c r="E35" s="71">
        <f>WAElec12_04!E35</f>
        <v>7220</v>
      </c>
      <c r="F35" s="71">
        <f>G35-E35</f>
        <v>-6951</v>
      </c>
      <c r="G35" s="71">
        <f>WAElec12_04!AV35</f>
        <v>269</v>
      </c>
      <c r="H35" s="71"/>
      <c r="I35" s="71">
        <f t="shared" si="0"/>
        <v>269</v>
      </c>
    </row>
    <row r="36" spans="1:9" ht="12.75">
      <c r="A36" s="32">
        <v>18</v>
      </c>
      <c r="B36" s="34" t="s">
        <v>98</v>
      </c>
      <c r="C36" s="34"/>
      <c r="D36" s="34"/>
      <c r="E36" s="71">
        <f>WAElec12_04!E36</f>
        <v>703</v>
      </c>
      <c r="F36" s="71">
        <f>G36-E36</f>
        <v>6</v>
      </c>
      <c r="G36" s="71">
        <f>WAElec12_04!AV36</f>
        <v>709</v>
      </c>
      <c r="H36" s="71"/>
      <c r="I36" s="71">
        <f t="shared" si="0"/>
        <v>709</v>
      </c>
    </row>
    <row r="37" spans="1:9" ht="12.75">
      <c r="A37" s="34"/>
      <c r="B37" s="34"/>
      <c r="C37" s="34"/>
      <c r="D37" s="34"/>
      <c r="E37" s="71"/>
      <c r="F37" s="71"/>
      <c r="G37" s="71"/>
      <c r="H37" s="71"/>
      <c r="I37" s="71"/>
    </row>
    <row r="38" spans="1:9" ht="12.75">
      <c r="A38" s="32"/>
      <c r="B38" s="34" t="s">
        <v>99</v>
      </c>
      <c r="C38" s="34"/>
      <c r="D38" s="34"/>
      <c r="E38" s="71"/>
      <c r="F38" s="71"/>
      <c r="G38" s="71"/>
      <c r="H38" s="71"/>
      <c r="I38" s="71"/>
    </row>
    <row r="39" spans="1:9" ht="12.75">
      <c r="A39" s="32">
        <v>19</v>
      </c>
      <c r="B39" s="34"/>
      <c r="C39" s="34" t="s">
        <v>89</v>
      </c>
      <c r="D39" s="34"/>
      <c r="E39" s="71">
        <f>WAElec12_04!E39</f>
        <v>32768</v>
      </c>
      <c r="F39" s="71">
        <f>G39-E39</f>
        <v>-314</v>
      </c>
      <c r="G39" s="71">
        <f>WAElec12_04!AV39</f>
        <v>32454</v>
      </c>
      <c r="H39" s="71">
        <f>ConverFac_Exh!J14+ConverFac_Exh!J18</f>
        <v>68</v>
      </c>
      <c r="I39" s="71">
        <f>G39+H39</f>
        <v>32522</v>
      </c>
    </row>
    <row r="40" spans="1:9" ht="12.75">
      <c r="A40" s="32">
        <v>20</v>
      </c>
      <c r="B40" s="34"/>
      <c r="C40" s="34" t="s">
        <v>94</v>
      </c>
      <c r="D40" s="34"/>
      <c r="E40" s="71">
        <f>WAElec12_04!E40</f>
        <v>4370</v>
      </c>
      <c r="F40" s="71">
        <f>G40-E40</f>
        <v>1715</v>
      </c>
      <c r="G40" s="71">
        <f>WAElec12_04!AV40</f>
        <v>6085</v>
      </c>
      <c r="H40" s="71"/>
      <c r="I40" s="71">
        <f>G40+H40</f>
        <v>6085</v>
      </c>
    </row>
    <row r="41" spans="1:9" ht="12.75">
      <c r="A41" s="32">
        <v>21</v>
      </c>
      <c r="B41" s="34"/>
      <c r="C41" s="34" t="s">
        <v>44</v>
      </c>
      <c r="D41" s="34"/>
      <c r="E41" s="72">
        <f>WAElec12_04!E41</f>
        <v>0</v>
      </c>
      <c r="F41" s="72">
        <f>G41-E41</f>
        <v>3</v>
      </c>
      <c r="G41" s="72">
        <f>WAElec12_04!AV41</f>
        <v>3</v>
      </c>
      <c r="H41" s="72"/>
      <c r="I41" s="72">
        <f>G41+H41</f>
        <v>3</v>
      </c>
    </row>
    <row r="42" spans="1:9" ht="12.75">
      <c r="A42" s="32">
        <v>22</v>
      </c>
      <c r="B42" s="34"/>
      <c r="C42" s="34"/>
      <c r="D42" s="34" t="s">
        <v>100</v>
      </c>
      <c r="E42" s="245">
        <f>WAElec12_04!E42</f>
        <v>37138</v>
      </c>
      <c r="F42" s="245">
        <f>SUM(F39:F41)</f>
        <v>1404</v>
      </c>
      <c r="G42" s="245">
        <f>WAElec12_04!AV42</f>
        <v>38542</v>
      </c>
      <c r="H42" s="245">
        <f>SUM(H39:H41)</f>
        <v>68</v>
      </c>
      <c r="I42" s="245">
        <f>SUM(I39:I41)</f>
        <v>38610</v>
      </c>
    </row>
    <row r="43" spans="1:9" ht="12.75">
      <c r="A43" s="32">
        <v>23</v>
      </c>
      <c r="B43" s="34" t="s">
        <v>101</v>
      </c>
      <c r="C43" s="34"/>
      <c r="D43" s="34"/>
      <c r="E43" s="245">
        <f>WAElec12_04!E43</f>
        <v>357300</v>
      </c>
      <c r="F43" s="245">
        <f>F26+F32+F34+F35+F36+F42</f>
        <v>-85625</v>
      </c>
      <c r="G43" s="245">
        <f>WAElec12_04!AV43</f>
        <v>271675</v>
      </c>
      <c r="H43" s="245">
        <f>H26+H32+H34+H35+H36+H42</f>
        <v>1565</v>
      </c>
      <c r="I43" s="245">
        <f>I26+I32+I34+I35+I36+I42</f>
        <v>273240</v>
      </c>
    </row>
    <row r="44" spans="1:9" ht="12.75">
      <c r="A44" s="32"/>
      <c r="B44" s="34"/>
      <c r="C44" s="34"/>
      <c r="D44" s="34"/>
      <c r="E44" s="34"/>
      <c r="F44" s="34"/>
      <c r="G44" s="34"/>
      <c r="H44" s="34"/>
      <c r="I44" s="34"/>
    </row>
    <row r="45" spans="1:9" ht="12.75">
      <c r="A45" s="32">
        <v>24</v>
      </c>
      <c r="B45" s="34" t="s">
        <v>102</v>
      </c>
      <c r="C45" s="34"/>
      <c r="D45" s="34"/>
      <c r="E45" s="34">
        <f>WAElec12_04!E45</f>
        <v>79417</v>
      </c>
      <c r="F45" s="71">
        <f>G45-E45</f>
        <v>-15894</v>
      </c>
      <c r="G45" s="34">
        <f>WAElec12_04!AV45</f>
        <v>63523</v>
      </c>
      <c r="H45" s="34">
        <f>H18-H43</f>
        <v>34268</v>
      </c>
      <c r="I45" s="34">
        <f>I18-I43</f>
        <v>97791</v>
      </c>
    </row>
    <row r="46" spans="1:9" ht="12.75">
      <c r="A46" s="32"/>
      <c r="B46" s="34"/>
      <c r="C46" s="34"/>
      <c r="D46" s="34"/>
      <c r="E46" s="71"/>
      <c r="F46" s="71"/>
      <c r="G46" s="71"/>
      <c r="H46" s="71"/>
      <c r="I46" s="71"/>
    </row>
    <row r="47" spans="1:9" ht="12.75">
      <c r="A47" s="32"/>
      <c r="B47" s="34" t="s">
        <v>103</v>
      </c>
      <c r="C47" s="34"/>
      <c r="D47" s="34"/>
      <c r="E47" s="71"/>
      <c r="F47" s="71"/>
      <c r="G47" s="71"/>
      <c r="H47" s="71"/>
      <c r="I47" s="71"/>
    </row>
    <row r="48" spans="1:9" ht="12.75">
      <c r="A48" s="32">
        <v>25</v>
      </c>
      <c r="B48" s="34" t="s">
        <v>104</v>
      </c>
      <c r="C48" s="34"/>
      <c r="D48" s="34"/>
      <c r="E48" s="71">
        <f>WAElec12_04!E48</f>
        <v>11617</v>
      </c>
      <c r="F48" s="71">
        <f>G48-E48</f>
        <v>-3604.763757891744</v>
      </c>
      <c r="G48" s="71">
        <f>WAElec12_04!AV48</f>
        <v>8012.236242108256</v>
      </c>
      <c r="H48" s="71">
        <f>ConverFac_Exh!J24</f>
        <v>11994</v>
      </c>
      <c r="I48" s="71">
        <f>G48+H48</f>
        <v>20006.236242108258</v>
      </c>
    </row>
    <row r="49" spans="1:9" ht="12.75">
      <c r="A49" s="32">
        <v>26</v>
      </c>
      <c r="B49" s="34" t="s">
        <v>105</v>
      </c>
      <c r="C49" s="34"/>
      <c r="D49" s="34"/>
      <c r="E49" s="71">
        <f>WAElec12_04!E49</f>
        <v>2004</v>
      </c>
      <c r="F49" s="71">
        <f>G49-E49</f>
        <v>-1177</v>
      </c>
      <c r="G49" s="71">
        <f>WAElec12_04!AV49</f>
        <v>827</v>
      </c>
      <c r="H49" s="71"/>
      <c r="I49" s="71">
        <f>G49+H49</f>
        <v>827</v>
      </c>
    </row>
    <row r="50" spans="1:9" ht="12.75">
      <c r="A50" s="32">
        <v>27</v>
      </c>
      <c r="B50" s="34" t="s">
        <v>106</v>
      </c>
      <c r="C50" s="34"/>
      <c r="D50" s="34"/>
      <c r="E50" s="71"/>
      <c r="F50" s="71"/>
      <c r="G50" s="71"/>
      <c r="H50" s="71"/>
      <c r="I50" s="71"/>
    </row>
    <row r="51" spans="1:9" ht="12.75">
      <c r="A51" s="32"/>
      <c r="B51" s="34"/>
      <c r="C51" s="34"/>
      <c r="D51" s="34"/>
      <c r="E51" s="71"/>
      <c r="F51" s="71"/>
      <c r="G51" s="71"/>
      <c r="H51" s="71"/>
      <c r="I51" s="71"/>
    </row>
    <row r="52" spans="1:9" ht="12.75">
      <c r="A52" s="32">
        <v>28</v>
      </c>
      <c r="B52" s="34" t="s">
        <v>107</v>
      </c>
      <c r="C52" s="34"/>
      <c r="D52" s="34"/>
      <c r="E52" s="72">
        <f>WAElec12_04!E50</f>
        <v>0</v>
      </c>
      <c r="F52" s="72">
        <f>G52-E52</f>
        <v>0</v>
      </c>
      <c r="G52" s="72">
        <f>WAElec12_04!AV50</f>
        <v>0</v>
      </c>
      <c r="H52" s="72"/>
      <c r="I52" s="72">
        <f>G52+H52</f>
        <v>0</v>
      </c>
    </row>
    <row r="53" spans="5:9" ht="12.75">
      <c r="E53" s="4"/>
      <c r="F53" s="4"/>
      <c r="G53" s="4"/>
      <c r="H53" s="4"/>
      <c r="I53" s="4"/>
    </row>
    <row r="54" spans="1:9" ht="13.5" thickBot="1">
      <c r="A54" s="32">
        <v>29</v>
      </c>
      <c r="B54" s="33" t="s">
        <v>108</v>
      </c>
      <c r="C54" s="33"/>
      <c r="D54" s="33"/>
      <c r="E54" s="244">
        <f>WAElec12_04!E52</f>
        <v>65796</v>
      </c>
      <c r="F54" s="244">
        <f>F45-SUM(F48:F52)</f>
        <v>-11112.236242108256</v>
      </c>
      <c r="G54" s="244">
        <f>WAElec12_04!AV52</f>
        <v>54683.76375789174</v>
      </c>
      <c r="H54" s="244">
        <f>H45-SUM(H48:H52)</f>
        <v>22274</v>
      </c>
      <c r="I54" s="244">
        <f>I45-SUM(I48:I52)</f>
        <v>76957.76375789175</v>
      </c>
    </row>
    <row r="55" spans="5:9" ht="13.5" thickTop="1">
      <c r="E55" s="4"/>
      <c r="F55" s="4"/>
      <c r="G55" s="4"/>
      <c r="H55" s="4"/>
      <c r="I55" s="4"/>
    </row>
    <row r="56" spans="2:9" ht="12.75">
      <c r="B56" s="2" t="s">
        <v>109</v>
      </c>
      <c r="E56" s="4"/>
      <c r="F56" s="4"/>
      <c r="G56" s="4"/>
      <c r="H56" s="4"/>
      <c r="I56" s="4"/>
    </row>
    <row r="57" spans="2:9" ht="12.75">
      <c r="B57" s="2" t="s">
        <v>110</v>
      </c>
      <c r="E57" s="4"/>
      <c r="F57" s="4"/>
      <c r="G57" s="4"/>
      <c r="H57" s="4"/>
      <c r="I57" s="4"/>
    </row>
    <row r="58" spans="1:9" ht="12.75">
      <c r="A58" s="32">
        <v>30</v>
      </c>
      <c r="B58" s="33"/>
      <c r="C58" s="33" t="s">
        <v>111</v>
      </c>
      <c r="D58" s="33"/>
      <c r="E58" s="75">
        <f>WAElec12_04!E56</f>
        <v>21374</v>
      </c>
      <c r="F58" s="75">
        <f aca="true" t="shared" si="1" ref="F58:F68">G58-E58</f>
        <v>0</v>
      </c>
      <c r="G58" s="75">
        <f>WAElec12_04!AV56</f>
        <v>21374</v>
      </c>
      <c r="H58" s="75"/>
      <c r="I58" s="75">
        <f aca="true" t="shared" si="2" ref="I58:I68">G58+H58</f>
        <v>21374</v>
      </c>
    </row>
    <row r="59" spans="1:9" ht="12.75">
      <c r="A59" s="32">
        <v>31</v>
      </c>
      <c r="B59" s="34"/>
      <c r="C59" s="34" t="s">
        <v>112</v>
      </c>
      <c r="D59" s="34"/>
      <c r="E59" s="71">
        <f>WAElec12_04!E57</f>
        <v>559199</v>
      </c>
      <c r="F59" s="71">
        <f t="shared" si="1"/>
        <v>92111</v>
      </c>
      <c r="G59" s="71">
        <f>WAElec12_04!AV57</f>
        <v>651310</v>
      </c>
      <c r="H59" s="71"/>
      <c r="I59" s="71">
        <f t="shared" si="2"/>
        <v>651310</v>
      </c>
    </row>
    <row r="60" spans="1:9" ht="12.75">
      <c r="A60" s="32">
        <v>32</v>
      </c>
      <c r="B60" s="34"/>
      <c r="C60" s="34" t="s">
        <v>113</v>
      </c>
      <c r="D60" s="34"/>
      <c r="E60" s="71">
        <f>WAElec12_04!E58</f>
        <v>210579</v>
      </c>
      <c r="F60" s="71">
        <f t="shared" si="1"/>
        <v>21503</v>
      </c>
      <c r="G60" s="71">
        <f>WAElec12_04!AV58</f>
        <v>232082</v>
      </c>
      <c r="H60" s="71"/>
      <c r="I60" s="71">
        <f t="shared" si="2"/>
        <v>232082</v>
      </c>
    </row>
    <row r="61" spans="1:9" ht="12.75">
      <c r="A61" s="32">
        <v>33</v>
      </c>
      <c r="B61" s="34"/>
      <c r="C61" s="34" t="s">
        <v>93</v>
      </c>
      <c r="D61" s="34"/>
      <c r="E61" s="71">
        <f>WAElec12_04!E59</f>
        <v>459739</v>
      </c>
      <c r="F61" s="71">
        <f t="shared" si="1"/>
        <v>-223</v>
      </c>
      <c r="G61" s="71">
        <f>WAElec12_04!AV59</f>
        <v>459516</v>
      </c>
      <c r="H61" s="71"/>
      <c r="I61" s="71">
        <f t="shared" si="2"/>
        <v>459516</v>
      </c>
    </row>
    <row r="62" spans="1:9" ht="12.75">
      <c r="A62" s="32">
        <v>34</v>
      </c>
      <c r="B62" s="34"/>
      <c r="C62" s="34" t="s">
        <v>114</v>
      </c>
      <c r="D62" s="34"/>
      <c r="E62" s="72">
        <f>WAElec12_04!E60</f>
        <v>63155</v>
      </c>
      <c r="F62" s="72">
        <f t="shared" si="1"/>
        <v>0</v>
      </c>
      <c r="G62" s="72">
        <f>WAElec12_04!AV60</f>
        <v>63155</v>
      </c>
      <c r="H62" s="72"/>
      <c r="I62" s="72">
        <f t="shared" si="2"/>
        <v>63155</v>
      </c>
    </row>
    <row r="63" spans="1:9" ht="12.75">
      <c r="A63" s="32">
        <v>35</v>
      </c>
      <c r="B63" s="34"/>
      <c r="C63" s="34"/>
      <c r="D63" s="34" t="s">
        <v>115</v>
      </c>
      <c r="E63" s="34">
        <f>WAElec12_04!E61</f>
        <v>1314046</v>
      </c>
      <c r="F63" s="34">
        <f>SUM(F58:F62)</f>
        <v>113391</v>
      </c>
      <c r="G63" s="34">
        <f>WAElec12_04!AV61</f>
        <v>1427437</v>
      </c>
      <c r="H63" s="34">
        <f>SUM(H58:H62)</f>
        <v>0</v>
      </c>
      <c r="I63" s="34">
        <f>SUM(I58:I62)</f>
        <v>1427437</v>
      </c>
    </row>
    <row r="64" spans="1:9" ht="12.75">
      <c r="A64" s="32">
        <v>36</v>
      </c>
      <c r="B64" s="34" t="s">
        <v>116</v>
      </c>
      <c r="C64" s="34"/>
      <c r="D64" s="34"/>
      <c r="E64" s="71">
        <f>WAElec12_04!E62</f>
        <v>436127</v>
      </c>
      <c r="F64" s="71">
        <f t="shared" si="1"/>
        <v>-7898</v>
      </c>
      <c r="G64" s="71">
        <f>WAElec12_04!AV62</f>
        <v>428229</v>
      </c>
      <c r="H64" s="71"/>
      <c r="I64" s="71">
        <f t="shared" si="2"/>
        <v>428229</v>
      </c>
    </row>
    <row r="65" spans="1:9" ht="12.75">
      <c r="A65" s="32">
        <v>37</v>
      </c>
      <c r="B65" s="34" t="s">
        <v>117</v>
      </c>
      <c r="C65" s="34"/>
      <c r="D65" s="34"/>
      <c r="E65" s="72">
        <f>WAElec12_04!E63</f>
        <v>10630</v>
      </c>
      <c r="F65" s="72">
        <f t="shared" si="1"/>
        <v>37158</v>
      </c>
      <c r="G65" s="72">
        <f>WAElec12_04!AV63</f>
        <v>47788</v>
      </c>
      <c r="H65" s="72"/>
      <c r="I65" s="72">
        <f t="shared" si="2"/>
        <v>47788</v>
      </c>
    </row>
    <row r="66" spans="1:9" ht="12.75">
      <c r="A66" s="32">
        <v>38</v>
      </c>
      <c r="B66" s="34"/>
      <c r="C66" s="34" t="s">
        <v>118</v>
      </c>
      <c r="D66" s="34"/>
      <c r="E66" s="34">
        <f>WAElec12_04!E64</f>
        <v>446757</v>
      </c>
      <c r="F66" s="34">
        <f>SUM(F64:F65)</f>
        <v>29260</v>
      </c>
      <c r="G66" s="34">
        <f>WAElec12_04!AV64</f>
        <v>476017</v>
      </c>
      <c r="H66" s="34">
        <f>SUM(H64:H65)</f>
        <v>0</v>
      </c>
      <c r="I66" s="34">
        <f>SUM(I64:I65)</f>
        <v>476017</v>
      </c>
    </row>
    <row r="67" spans="1:9" ht="12.75">
      <c r="A67" s="32">
        <v>39</v>
      </c>
      <c r="B67" s="34" t="s">
        <v>119</v>
      </c>
      <c r="C67" s="34"/>
      <c r="D67" s="34"/>
      <c r="E67" s="71">
        <f>WAElec12_04!E65</f>
        <v>0</v>
      </c>
      <c r="F67" s="71">
        <f t="shared" si="1"/>
        <v>-715</v>
      </c>
      <c r="G67" s="71">
        <f>WAElec12_04!AV65</f>
        <v>-715</v>
      </c>
      <c r="H67" s="71"/>
      <c r="I67" s="71">
        <f t="shared" si="2"/>
        <v>-715</v>
      </c>
    </row>
    <row r="68" spans="1:9" ht="12.75">
      <c r="A68" s="32">
        <v>40</v>
      </c>
      <c r="B68" s="34" t="s">
        <v>120</v>
      </c>
      <c r="C68" s="34"/>
      <c r="D68" s="34"/>
      <c r="E68" s="72">
        <f>WAElec12_04!E66</f>
        <v>0</v>
      </c>
      <c r="F68" s="72">
        <f t="shared" si="1"/>
        <v>-154860</v>
      </c>
      <c r="G68" s="72">
        <f>WAElec12_04!AV66</f>
        <v>-154860</v>
      </c>
      <c r="H68" s="72"/>
      <c r="I68" s="72">
        <f t="shared" si="2"/>
        <v>-154860</v>
      </c>
    </row>
    <row r="69" spans="1:9" ht="12.75">
      <c r="A69" s="32"/>
      <c r="B69" s="34"/>
      <c r="C69" s="34"/>
      <c r="D69" s="34"/>
      <c r="E69" s="34"/>
      <c r="F69" s="34"/>
      <c r="G69" s="34"/>
      <c r="H69" s="34"/>
      <c r="I69" s="34"/>
    </row>
    <row r="70" spans="1:9" ht="13.5" thickBot="1">
      <c r="A70" s="35">
        <v>41</v>
      </c>
      <c r="B70" s="33" t="s">
        <v>121</v>
      </c>
      <c r="C70" s="33"/>
      <c r="D70" s="33"/>
      <c r="E70" s="244">
        <f>WAElec12_04!E68</f>
        <v>867289</v>
      </c>
      <c r="F70" s="244">
        <f>F63-F66+F67+F68</f>
        <v>-71444</v>
      </c>
      <c r="G70" s="244">
        <f>WAElec12_04!AV68</f>
        <v>795845</v>
      </c>
      <c r="H70" s="244">
        <f>H63-H66+H67+H68</f>
        <v>0</v>
      </c>
      <c r="I70" s="244">
        <f>I63-I66+I67+I68</f>
        <v>795845</v>
      </c>
    </row>
    <row r="71" spans="1:9" ht="13.5" thickTop="1">
      <c r="A71" s="32">
        <v>42</v>
      </c>
      <c r="B71" s="2" t="s">
        <v>122</v>
      </c>
      <c r="E71" s="37">
        <f>ROUND(E54/E70,4)</f>
        <v>0.0759</v>
      </c>
      <c r="F71" s="37"/>
      <c r="G71" s="37">
        <f>ROUND(G54/G70,4)</f>
        <v>0.0687</v>
      </c>
      <c r="H71" s="37"/>
      <c r="I71" s="37">
        <f>ROUND(I54/I70,4)</f>
        <v>0.0967</v>
      </c>
    </row>
  </sheetData>
  <printOptions/>
  <pageMargins left="0.75" right="0.5" top="0.75" bottom="0.75" header="0.5" footer="0.5"/>
  <pageSetup fitToHeight="1" fitToWidth="1" horizontalDpi="600" verticalDpi="600" orientation="portrait" scale="74" r:id="rId1"/>
  <headerFooter alignWithMargins="0">
    <oddHeader>&amp;R&amp;"Times New Roman,Regular"Exhibit No.____(DMF-2)</oddHeader>
    <oddFooter>&amp;L&amp;"Times New Roman,Regular"Docket UE-05-_________
Falkner, Avista&amp;R&amp;"Times New Roman,Regular"Page 1 of 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workbookViewId="0" topLeftCell="A36">
      <selection activeCell="G61" sqref="G61"/>
    </sheetView>
  </sheetViews>
  <sheetFormatPr defaultColWidth="9.140625" defaultRowHeight="12.75"/>
  <cols>
    <col min="1" max="1" width="5.57421875" style="315" customWidth="1"/>
    <col min="2" max="2" width="26.140625" style="311" customWidth="1"/>
    <col min="3" max="3" width="12.421875" style="311" customWidth="1"/>
    <col min="4" max="4" width="6.7109375" style="311" customWidth="1"/>
    <col min="5" max="7" width="12.421875" style="311" customWidth="1"/>
    <col min="8" max="8" width="14.421875" style="311" customWidth="1"/>
    <col min="9" max="16384" width="12.421875" style="311" customWidth="1"/>
  </cols>
  <sheetData>
    <row r="1" spans="1:3" ht="12">
      <c r="A1" s="309" t="str">
        <f>Inputs!$D$6</f>
        <v>AVISTA UTILITIES</v>
      </c>
      <c r="B1" s="310"/>
      <c r="C1" s="309"/>
    </row>
    <row r="2" spans="1:7" ht="12">
      <c r="A2" s="309" t="s">
        <v>134</v>
      </c>
      <c r="B2" s="310"/>
      <c r="C2" s="309"/>
      <c r="E2" s="309" t="s">
        <v>215</v>
      </c>
      <c r="F2" s="309"/>
      <c r="G2" s="309"/>
    </row>
    <row r="3" spans="1:7" ht="12">
      <c r="A3" s="310" t="str">
        <f>WAElec12_04!$A$4</f>
        <v>TWELVE MONTHS ENDED DECEMBER 31, 2004</v>
      </c>
      <c r="B3" s="312"/>
      <c r="C3" s="309"/>
      <c r="E3" s="309" t="s">
        <v>213</v>
      </c>
      <c r="F3" s="309"/>
      <c r="G3" s="309"/>
    </row>
    <row r="4" spans="1:7" ht="12">
      <c r="A4" s="309" t="s">
        <v>1</v>
      </c>
      <c r="B4" s="310"/>
      <c r="C4" s="309"/>
      <c r="E4" s="313" t="s">
        <v>137</v>
      </c>
      <c r="F4" s="313"/>
      <c r="G4" s="314"/>
    </row>
    <row r="5" ht="12">
      <c r="A5" s="315" t="s">
        <v>13</v>
      </c>
    </row>
    <row r="6" spans="1:8" s="315" customFormat="1" ht="12">
      <c r="A6" s="315" t="s">
        <v>138</v>
      </c>
      <c r="B6" s="316" t="s">
        <v>34</v>
      </c>
      <c r="C6" s="316"/>
      <c r="E6" s="316" t="s">
        <v>139</v>
      </c>
      <c r="F6" s="316" t="s">
        <v>140</v>
      </c>
      <c r="G6" s="316" t="s">
        <v>123</v>
      </c>
      <c r="H6" s="317" t="s">
        <v>141</v>
      </c>
    </row>
    <row r="7" ht="12">
      <c r="B7" s="318" t="s">
        <v>80</v>
      </c>
    </row>
    <row r="8" spans="1:8" s="321" customFormat="1" ht="12">
      <c r="A8" s="319">
        <v>1</v>
      </c>
      <c r="B8" s="320" t="s">
        <v>81</v>
      </c>
      <c r="E8" s="322">
        <f>F8+G8</f>
        <v>0</v>
      </c>
      <c r="F8" s="322"/>
      <c r="G8" s="322"/>
      <c r="H8" s="321" t="str">
        <f aca="true" t="shared" si="0" ref="H8:H13">IF(E8=F8+G8," ","ERROR")</f>
        <v> </v>
      </c>
    </row>
    <row r="9" spans="1:8" ht="12">
      <c r="A9" s="315">
        <v>2</v>
      </c>
      <c r="B9" s="318" t="s">
        <v>82</v>
      </c>
      <c r="E9" s="323"/>
      <c r="F9" s="323"/>
      <c r="G9" s="323"/>
      <c r="H9" s="321" t="str">
        <f t="shared" si="0"/>
        <v> </v>
      </c>
    </row>
    <row r="10" spans="1:8" ht="12">
      <c r="A10" s="315">
        <v>3</v>
      </c>
      <c r="B10" s="318" t="s">
        <v>142</v>
      </c>
      <c r="E10" s="323"/>
      <c r="F10" s="323"/>
      <c r="G10" s="323"/>
      <c r="H10" s="321" t="str">
        <f t="shared" si="0"/>
        <v> </v>
      </c>
    </row>
    <row r="11" spans="1:8" ht="12">
      <c r="A11" s="315">
        <v>4</v>
      </c>
      <c r="B11" s="318" t="s">
        <v>143</v>
      </c>
      <c r="E11" s="324">
        <f>E8+E9+E10</f>
        <v>0</v>
      </c>
      <c r="F11" s="324">
        <f>F8+F9+F10</f>
        <v>0</v>
      </c>
      <c r="G11" s="324">
        <f>G8+G9+G10</f>
        <v>0</v>
      </c>
      <c r="H11" s="321" t="str">
        <f t="shared" si="0"/>
        <v> </v>
      </c>
    </row>
    <row r="12" spans="1:8" ht="12">
      <c r="A12" s="315">
        <v>5</v>
      </c>
      <c r="B12" s="318" t="s">
        <v>85</v>
      </c>
      <c r="E12" s="323"/>
      <c r="F12" s="323"/>
      <c r="G12" s="323"/>
      <c r="H12" s="321" t="str">
        <f t="shared" si="0"/>
        <v> </v>
      </c>
    </row>
    <row r="13" spans="1:8" ht="12">
      <c r="A13" s="315">
        <v>6</v>
      </c>
      <c r="B13" s="318" t="s">
        <v>144</v>
      </c>
      <c r="E13" s="324">
        <f>E11+E12</f>
        <v>0</v>
      </c>
      <c r="F13" s="324">
        <f>F11+F12</f>
        <v>0</v>
      </c>
      <c r="G13" s="324">
        <f>G11+G12</f>
        <v>0</v>
      </c>
      <c r="H13" s="321" t="str">
        <f t="shared" si="0"/>
        <v> </v>
      </c>
    </row>
    <row r="14" spans="5:8" ht="12">
      <c r="E14" s="325"/>
      <c r="F14" s="325"/>
      <c r="G14" s="325"/>
      <c r="H14" s="321"/>
    </row>
    <row r="15" spans="2:8" ht="12">
      <c r="B15" s="318" t="s">
        <v>87</v>
      </c>
      <c r="E15" s="325"/>
      <c r="F15" s="325"/>
      <c r="G15" s="325"/>
      <c r="H15" s="321"/>
    </row>
    <row r="16" spans="2:8" ht="12">
      <c r="B16" s="318" t="s">
        <v>88</v>
      </c>
      <c r="E16" s="325"/>
      <c r="F16" s="325"/>
      <c r="G16" s="325"/>
      <c r="H16" s="321"/>
    </row>
    <row r="17" spans="1:8" ht="12">
      <c r="A17" s="315">
        <v>7</v>
      </c>
      <c r="B17" s="318" t="s">
        <v>145</v>
      </c>
      <c r="E17" s="323"/>
      <c r="F17" s="323"/>
      <c r="G17" s="323"/>
      <c r="H17" s="321" t="str">
        <f>IF(E17=F17+G17," ","ERROR")</f>
        <v> </v>
      </c>
    </row>
    <row r="18" spans="1:8" ht="12">
      <c r="A18" s="315">
        <v>8</v>
      </c>
      <c r="B18" s="318" t="s">
        <v>146</v>
      </c>
      <c r="E18" s="323"/>
      <c r="F18" s="323"/>
      <c r="G18" s="323"/>
      <c r="H18" s="321" t="str">
        <f>IF(E18=F18+G18," ","ERROR")</f>
        <v> </v>
      </c>
    </row>
    <row r="19" spans="1:8" ht="12">
      <c r="A19" s="315">
        <v>9</v>
      </c>
      <c r="B19" s="318" t="s">
        <v>147</v>
      </c>
      <c r="E19" s="323"/>
      <c r="F19" s="323"/>
      <c r="G19" s="323"/>
      <c r="H19" s="321" t="str">
        <f>IF(E19=F19+G19," ","ERROR")</f>
        <v> </v>
      </c>
    </row>
    <row r="20" spans="1:8" ht="12">
      <c r="A20" s="315">
        <v>10</v>
      </c>
      <c r="B20" s="318" t="s">
        <v>148</v>
      </c>
      <c r="E20" s="323"/>
      <c r="F20" s="323"/>
      <c r="G20" s="323"/>
      <c r="H20" s="321" t="str">
        <f>IF(E20=F20+G20," ","ERROR")</f>
        <v> </v>
      </c>
    </row>
    <row r="21" spans="1:8" ht="12">
      <c r="A21" s="315">
        <v>11</v>
      </c>
      <c r="B21" s="318" t="s">
        <v>149</v>
      </c>
      <c r="E21" s="324">
        <f>E17+E18+E19+E20</f>
        <v>0</v>
      </c>
      <c r="F21" s="324">
        <f>F17+F18+F19+F20</f>
        <v>0</v>
      </c>
      <c r="G21" s="324">
        <f>G17+G18+G19+G20</f>
        <v>0</v>
      </c>
      <c r="H21" s="321" t="str">
        <f>IF(E21=F21+G21," ","ERROR")</f>
        <v> </v>
      </c>
    </row>
    <row r="22" spans="5:8" ht="12">
      <c r="E22" s="325"/>
      <c r="F22" s="325"/>
      <c r="G22" s="325"/>
      <c r="H22" s="321"/>
    </row>
    <row r="23" spans="2:8" ht="12">
      <c r="B23" s="318" t="s">
        <v>93</v>
      </c>
      <c r="E23" s="325"/>
      <c r="F23" s="325"/>
      <c r="G23" s="325"/>
      <c r="H23" s="321"/>
    </row>
    <row r="24" spans="1:8" ht="12">
      <c r="A24" s="315">
        <v>12</v>
      </c>
      <c r="B24" s="318" t="s">
        <v>145</v>
      </c>
      <c r="E24" s="323"/>
      <c r="F24" s="323"/>
      <c r="G24" s="323"/>
      <c r="H24" s="321" t="str">
        <f>IF(E24=F24+G24," ","ERROR")</f>
        <v> </v>
      </c>
    </row>
    <row r="25" spans="1:8" ht="12">
      <c r="A25" s="315">
        <v>13</v>
      </c>
      <c r="B25" s="318" t="s">
        <v>150</v>
      </c>
      <c r="E25" s="323"/>
      <c r="F25" s="323"/>
      <c r="G25" s="323"/>
      <c r="H25" s="321" t="str">
        <f>IF(E25=F25+G25," ","ERROR")</f>
        <v> </v>
      </c>
    </row>
    <row r="26" spans="1:8" ht="12">
      <c r="A26" s="315">
        <v>14</v>
      </c>
      <c r="B26" s="318" t="s">
        <v>148</v>
      </c>
      <c r="E26" s="323">
        <f>F26+G26</f>
        <v>0</v>
      </c>
      <c r="F26" s="323">
        <v>0</v>
      </c>
      <c r="G26" s="323">
        <f>G109</f>
        <v>0</v>
      </c>
      <c r="H26" s="321" t="str">
        <f>IF(E26=F26+G26," ","ERROR")</f>
        <v> </v>
      </c>
    </row>
    <row r="27" spans="1:8" ht="12">
      <c r="A27" s="315">
        <v>15</v>
      </c>
      <c r="B27" s="318" t="s">
        <v>151</v>
      </c>
      <c r="E27" s="324">
        <f>E24+E25+E26</f>
        <v>0</v>
      </c>
      <c r="F27" s="324">
        <f>F24+F25+F26</f>
        <v>0</v>
      </c>
      <c r="G27" s="324">
        <f>G24+G25+G26</f>
        <v>0</v>
      </c>
      <c r="H27" s="321" t="str">
        <f>IF(E27=F27+G27," ","ERROR")</f>
        <v> </v>
      </c>
    </row>
    <row r="28" spans="5:8" ht="12">
      <c r="E28" s="325"/>
      <c r="F28" s="325"/>
      <c r="G28" s="325"/>
      <c r="H28" s="321"/>
    </row>
    <row r="29" spans="1:8" ht="12">
      <c r="A29" s="315">
        <v>16</v>
      </c>
      <c r="B29" s="318" t="s">
        <v>96</v>
      </c>
      <c r="E29" s="323"/>
      <c r="F29" s="323"/>
      <c r="G29" s="323"/>
      <c r="H29" s="321" t="str">
        <f>IF(E29=F29+G29," ","ERROR")</f>
        <v> </v>
      </c>
    </row>
    <row r="30" spans="1:8" ht="12">
      <c r="A30" s="315">
        <v>17</v>
      </c>
      <c r="B30" s="318" t="s">
        <v>97</v>
      </c>
      <c r="E30" s="323"/>
      <c r="F30" s="323"/>
      <c r="G30" s="323"/>
      <c r="H30" s="321" t="str">
        <f>IF(E30=F30+G30," ","ERROR")</f>
        <v> </v>
      </c>
    </row>
    <row r="31" spans="1:8" ht="12">
      <c r="A31" s="315">
        <v>18</v>
      </c>
      <c r="B31" s="318" t="s">
        <v>152</v>
      </c>
      <c r="E31" s="323"/>
      <c r="F31" s="323"/>
      <c r="G31" s="323"/>
      <c r="H31" s="321" t="str">
        <f>IF(E31=F31+G31," ","ERROR")</f>
        <v> </v>
      </c>
    </row>
    <row r="32" spans="5:8" ht="12">
      <c r="E32" s="325"/>
      <c r="F32" s="325"/>
      <c r="G32" s="325"/>
      <c r="H32" s="321"/>
    </row>
    <row r="33" spans="2:8" ht="12">
      <c r="B33" s="318" t="s">
        <v>99</v>
      </c>
      <c r="E33" s="325"/>
      <c r="F33" s="325"/>
      <c r="G33" s="325"/>
      <c r="H33" s="321"/>
    </row>
    <row r="34" spans="1:8" ht="12">
      <c r="A34" s="315">
        <v>19</v>
      </c>
      <c r="B34" s="318" t="s">
        <v>145</v>
      </c>
      <c r="E34" s="323"/>
      <c r="F34" s="323"/>
      <c r="G34" s="323"/>
      <c r="H34" s="321" t="str">
        <f>IF(E34=F34+G34," ","ERROR")</f>
        <v> </v>
      </c>
    </row>
    <row r="35" spans="1:8" ht="12">
      <c r="A35" s="315">
        <v>20</v>
      </c>
      <c r="B35" s="318" t="s">
        <v>150</v>
      </c>
      <c r="E35" s="323"/>
      <c r="F35" s="323"/>
      <c r="G35" s="323"/>
      <c r="H35" s="321" t="str">
        <f>IF(E35=F35+G35," ","ERROR")</f>
        <v> </v>
      </c>
    </row>
    <row r="36" spans="1:8" ht="12">
      <c r="A36" s="315">
        <v>21</v>
      </c>
      <c r="B36" s="318" t="s">
        <v>148</v>
      </c>
      <c r="E36" s="323"/>
      <c r="F36" s="323"/>
      <c r="G36" s="323"/>
      <c r="H36" s="321" t="str">
        <f>IF(E36=F36+G36," ","ERROR")</f>
        <v> </v>
      </c>
    </row>
    <row r="37" spans="1:8" ht="12">
      <c r="A37" s="315">
        <v>22</v>
      </c>
      <c r="B37" s="318" t="s">
        <v>153</v>
      </c>
      <c r="E37" s="326">
        <f>E34+E35+E36</f>
        <v>0</v>
      </c>
      <c r="F37" s="326">
        <f>F34+F35+F36</f>
        <v>0</v>
      </c>
      <c r="G37" s="326">
        <f>G34+G35+G36</f>
        <v>0</v>
      </c>
      <c r="H37" s="321" t="str">
        <f>IF(E37=F37+G37," ","ERROR")</f>
        <v> </v>
      </c>
    </row>
    <row r="38" spans="1:8" ht="12">
      <c r="A38" s="315">
        <v>23</v>
      </c>
      <c r="B38" s="318" t="s">
        <v>101</v>
      </c>
      <c r="E38" s="327">
        <f>E21+E27+E29+E30+E31+E37</f>
        <v>0</v>
      </c>
      <c r="F38" s="327">
        <f>F21+F27+F29+F30+F31+F37</f>
        <v>0</v>
      </c>
      <c r="G38" s="327">
        <f>G21+G27+G29+G30+G31+G37</f>
        <v>0</v>
      </c>
      <c r="H38" s="321" t="str">
        <f>IF(E38=F38+G38," ","ERROR")</f>
        <v> </v>
      </c>
    </row>
    <row r="39" spans="5:8" ht="12">
      <c r="E39" s="325"/>
      <c r="F39" s="325"/>
      <c r="G39" s="325"/>
      <c r="H39" s="321"/>
    </row>
    <row r="40" spans="1:8" ht="12">
      <c r="A40" s="315">
        <v>24</v>
      </c>
      <c r="B40" s="318" t="s">
        <v>154</v>
      </c>
      <c r="E40" s="325">
        <f>E13-E38</f>
        <v>0</v>
      </c>
      <c r="F40" s="325">
        <f>F13-F38</f>
        <v>0</v>
      </c>
      <c r="G40" s="325">
        <f>G13-G38</f>
        <v>0</v>
      </c>
      <c r="H40" s="321" t="str">
        <f>IF(E40=F40+G40," ","ERROR")</f>
        <v> </v>
      </c>
    </row>
    <row r="41" spans="2:8" ht="12">
      <c r="B41" s="318"/>
      <c r="E41" s="325"/>
      <c r="F41" s="325"/>
      <c r="G41" s="325"/>
      <c r="H41" s="321"/>
    </row>
    <row r="42" spans="2:8" ht="12">
      <c r="B42" s="318" t="s">
        <v>155</v>
      </c>
      <c r="E42" s="325"/>
      <c r="F42" s="325"/>
      <c r="G42" s="325"/>
      <c r="H42" s="321"/>
    </row>
    <row r="43" spans="1:8" ht="12">
      <c r="A43" s="315">
        <v>25</v>
      </c>
      <c r="B43" s="318" t="s">
        <v>214</v>
      </c>
      <c r="E43" s="323">
        <f>F43+G43</f>
        <v>0</v>
      </c>
      <c r="F43" s="323">
        <v>0</v>
      </c>
      <c r="G43" s="323">
        <v>0</v>
      </c>
      <c r="H43" s="321" t="str">
        <f>IF(E43=F43+G43," ","ERROR")</f>
        <v> </v>
      </c>
    </row>
    <row r="44" spans="1:8" ht="12">
      <c r="A44" s="315">
        <v>26</v>
      </c>
      <c r="B44" s="318" t="s">
        <v>157</v>
      </c>
      <c r="E44" s="323">
        <f>F44+G44</f>
        <v>0</v>
      </c>
      <c r="F44" s="323">
        <v>0</v>
      </c>
      <c r="G44" s="323">
        <v>0</v>
      </c>
      <c r="H44" s="321" t="str">
        <f>IF(E44=F44+G44," ","ERROR")</f>
        <v> </v>
      </c>
    </row>
    <row r="45" spans="1:8" ht="12.75">
      <c r="A45"/>
      <c r="B45"/>
      <c r="C45"/>
      <c r="D45"/>
      <c r="E45" s="943"/>
      <c r="F45" s="943"/>
      <c r="G45" s="943"/>
      <c r="H45" s="321"/>
    </row>
    <row r="46" spans="1:8" ht="12">
      <c r="A46" s="278"/>
      <c r="B46" s="281"/>
      <c r="C46" s="275"/>
      <c r="D46" s="275"/>
      <c r="E46" s="288"/>
      <c r="F46" s="288"/>
      <c r="G46" s="288"/>
      <c r="H46" s="321"/>
    </row>
    <row r="47" spans="1:8" s="321" customFormat="1" ht="12">
      <c r="A47" s="282">
        <v>27</v>
      </c>
      <c r="B47" s="283" t="s">
        <v>108</v>
      </c>
      <c r="C47" s="284"/>
      <c r="D47" s="284"/>
      <c r="E47" s="292">
        <f>E40-SUM(E43:E44)</f>
        <v>0</v>
      </c>
      <c r="F47" s="292">
        <f>F40-SUM(F43:F44)</f>
        <v>0</v>
      </c>
      <c r="G47" s="292">
        <f>G40-SUM(G43:G44)</f>
        <v>0</v>
      </c>
      <c r="H47" s="321" t="str">
        <f>IF(E47=F47+G47," ","ERROR")</f>
        <v> </v>
      </c>
    </row>
    <row r="48" spans="1:8" ht="12">
      <c r="A48" s="278"/>
      <c r="H48" s="321"/>
    </row>
    <row r="49" spans="1:8" ht="12">
      <c r="A49" s="278"/>
      <c r="B49" s="318" t="s">
        <v>109</v>
      </c>
      <c r="H49" s="321"/>
    </row>
    <row r="50" spans="1:8" ht="12">
      <c r="A50" s="278"/>
      <c r="B50" s="318" t="s">
        <v>110</v>
      </c>
      <c r="H50" s="321"/>
    </row>
    <row r="51" spans="1:8" s="321" customFormat="1" ht="12">
      <c r="A51" s="282">
        <v>28</v>
      </c>
      <c r="B51" s="320" t="s">
        <v>159</v>
      </c>
      <c r="E51" s="322"/>
      <c r="F51" s="322"/>
      <c r="G51" s="322"/>
      <c r="H51" s="321" t="str">
        <f aca="true" t="shared" si="1" ref="H51:H61">IF(E51=F51+G51," ","ERROR")</f>
        <v> </v>
      </c>
    </row>
    <row r="52" spans="1:8" ht="12">
      <c r="A52" s="278">
        <v>29</v>
      </c>
      <c r="B52" s="318" t="s">
        <v>160</v>
      </c>
      <c r="E52" s="323"/>
      <c r="F52" s="323"/>
      <c r="G52" s="323"/>
      <c r="H52" s="321" t="str">
        <f t="shared" si="1"/>
        <v> </v>
      </c>
    </row>
    <row r="53" spans="1:8" ht="12">
      <c r="A53" s="278">
        <v>30</v>
      </c>
      <c r="B53" s="318" t="s">
        <v>161</v>
      </c>
      <c r="E53" s="323"/>
      <c r="F53" s="323"/>
      <c r="G53" s="323"/>
      <c r="H53" s="321" t="str">
        <f t="shared" si="1"/>
        <v> </v>
      </c>
    </row>
    <row r="54" spans="1:8" ht="12">
      <c r="A54" s="278">
        <v>31</v>
      </c>
      <c r="B54" s="318" t="s">
        <v>162</v>
      </c>
      <c r="E54" s="323"/>
      <c r="F54" s="323"/>
      <c r="G54" s="323"/>
      <c r="H54" s="321" t="str">
        <f t="shared" si="1"/>
        <v> </v>
      </c>
    </row>
    <row r="55" spans="1:8" ht="12">
      <c r="A55" s="278">
        <v>32</v>
      </c>
      <c r="B55" s="318" t="s">
        <v>163</v>
      </c>
      <c r="E55" s="328"/>
      <c r="F55" s="328"/>
      <c r="G55" s="328"/>
      <c r="H55" s="321" t="str">
        <f t="shared" si="1"/>
        <v> </v>
      </c>
    </row>
    <row r="56" spans="1:8" ht="12">
      <c r="A56" s="278">
        <v>33</v>
      </c>
      <c r="B56" s="318" t="s">
        <v>164</v>
      </c>
      <c r="E56" s="325">
        <f>E51+E52+E53+E54+E55</f>
        <v>0</v>
      </c>
      <c r="F56" s="325">
        <f>F51+F52+F53+F54+F55</f>
        <v>0</v>
      </c>
      <c r="G56" s="325">
        <f>G51+G52+G53+G54+G55</f>
        <v>0</v>
      </c>
      <c r="H56" s="321" t="str">
        <f t="shared" si="1"/>
        <v> </v>
      </c>
    </row>
    <row r="57" spans="1:8" ht="12">
      <c r="A57" s="278">
        <v>34</v>
      </c>
      <c r="B57" s="318" t="s">
        <v>116</v>
      </c>
      <c r="E57" s="323"/>
      <c r="F57" s="323"/>
      <c r="G57" s="323"/>
      <c r="H57" s="321" t="str">
        <f t="shared" si="1"/>
        <v> </v>
      </c>
    </row>
    <row r="58" spans="1:8" ht="12">
      <c r="A58" s="278">
        <v>35</v>
      </c>
      <c r="B58" s="318" t="s">
        <v>117</v>
      </c>
      <c r="E58" s="328"/>
      <c r="F58" s="328"/>
      <c r="G58" s="328"/>
      <c r="H58" s="321" t="str">
        <f t="shared" si="1"/>
        <v> </v>
      </c>
    </row>
    <row r="59" spans="1:8" ht="12">
      <c r="A59" s="278">
        <v>36</v>
      </c>
      <c r="B59" s="318" t="s">
        <v>165</v>
      </c>
      <c r="E59" s="325">
        <f>E57+E58</f>
        <v>0</v>
      </c>
      <c r="F59" s="325">
        <f>F57+F58</f>
        <v>0</v>
      </c>
      <c r="G59" s="325">
        <f>G57+G58</f>
        <v>0</v>
      </c>
      <c r="H59" s="321" t="str">
        <f t="shared" si="1"/>
        <v> </v>
      </c>
    </row>
    <row r="60" spans="1:8" ht="12">
      <c r="A60" s="278">
        <v>37</v>
      </c>
      <c r="B60" s="318" t="s">
        <v>119</v>
      </c>
      <c r="E60" s="323"/>
      <c r="F60" s="323"/>
      <c r="G60" s="323"/>
      <c r="H60" s="321" t="str">
        <f t="shared" si="1"/>
        <v> </v>
      </c>
    </row>
    <row r="61" spans="1:8" ht="12">
      <c r="A61" s="278">
        <v>38</v>
      </c>
      <c r="B61" s="318" t="s">
        <v>120</v>
      </c>
      <c r="E61" s="328">
        <f>F61+G61</f>
        <v>-82947</v>
      </c>
      <c r="F61" s="328">
        <v>0</v>
      </c>
      <c r="G61" s="328">
        <v>-82947</v>
      </c>
      <c r="H61" s="321" t="str">
        <f t="shared" si="1"/>
        <v> </v>
      </c>
    </row>
    <row r="62" spans="1:8" ht="12">
      <c r="A62" s="278"/>
      <c r="H62" s="321"/>
    </row>
    <row r="63" spans="1:8" s="321" customFormat="1" ht="12.75" thickBot="1">
      <c r="A63" s="282">
        <v>39</v>
      </c>
      <c r="B63" s="320" t="s">
        <v>121</v>
      </c>
      <c r="E63" s="329">
        <f>E56-E59+E60+E61</f>
        <v>-82947</v>
      </c>
      <c r="F63" s="329">
        <f>F56-F59+F60+F61</f>
        <v>0</v>
      </c>
      <c r="G63" s="329">
        <f>G56-G59+G60+G61</f>
        <v>-82947</v>
      </c>
      <c r="H63" s="321" t="str">
        <f>IF(E63=F63+G63," ","ERROR")</f>
        <v> </v>
      </c>
    </row>
    <row r="64" spans="1:7" ht="12.75" thickTop="1">
      <c r="A64" s="330"/>
      <c r="B64" s="331"/>
      <c r="C64" s="331"/>
      <c r="D64" s="331"/>
      <c r="E64" s="331"/>
      <c r="F64" s="331"/>
      <c r="G64" s="331"/>
    </row>
    <row r="65" spans="1:8" ht="12">
      <c r="A65" s="332"/>
      <c r="B65" s="332"/>
      <c r="C65" s="332"/>
      <c r="D65" s="333"/>
      <c r="E65" s="334"/>
      <c r="F65" s="333"/>
      <c r="G65" s="335"/>
      <c r="H65" s="336"/>
    </row>
    <row r="66" spans="1:8" ht="12">
      <c r="A66" s="332"/>
      <c r="B66" s="332"/>
      <c r="C66" s="332"/>
      <c r="D66" s="333"/>
      <c r="E66" s="334"/>
      <c r="F66" s="333"/>
      <c r="G66" s="335"/>
      <c r="H66" s="336"/>
    </row>
    <row r="67" spans="1:8" ht="12">
      <c r="A67" s="332"/>
      <c r="B67" s="332"/>
      <c r="C67" s="332"/>
      <c r="D67" s="333"/>
      <c r="E67" s="334"/>
      <c r="F67" s="333"/>
      <c r="G67" s="337"/>
      <c r="H67" s="336"/>
    </row>
    <row r="68" spans="1:8" ht="12">
      <c r="A68" s="332"/>
      <c r="B68" s="332"/>
      <c r="C68" s="332"/>
      <c r="D68" s="333"/>
      <c r="E68" s="334"/>
      <c r="F68" s="333"/>
      <c r="G68" s="337"/>
      <c r="H68" s="336"/>
    </row>
    <row r="69" spans="1:8" ht="12">
      <c r="A69" s="330"/>
      <c r="B69" s="333"/>
      <c r="C69" s="333"/>
      <c r="D69" s="333"/>
      <c r="E69" s="334"/>
      <c r="F69" s="333"/>
      <c r="G69" s="337"/>
      <c r="H69" s="334"/>
    </row>
    <row r="70" spans="1:8" ht="12">
      <c r="A70" s="330"/>
      <c r="B70" s="333"/>
      <c r="C70" s="333"/>
      <c r="D70" s="333"/>
      <c r="E70" s="334"/>
      <c r="F70" s="333"/>
      <c r="G70" s="337"/>
      <c r="H70" s="336"/>
    </row>
    <row r="71" spans="1:8" ht="12">
      <c r="A71" s="330"/>
      <c r="B71" s="338"/>
      <c r="C71" s="333"/>
      <c r="D71" s="333"/>
      <c r="E71" s="334"/>
      <c r="F71" s="333"/>
      <c r="G71" s="337"/>
      <c r="H71" s="336"/>
    </row>
    <row r="72" spans="1:8" ht="12">
      <c r="A72" s="330"/>
      <c r="B72" s="339"/>
      <c r="C72" s="333"/>
      <c r="D72" s="333"/>
      <c r="E72" s="333"/>
      <c r="F72" s="333"/>
      <c r="G72" s="335"/>
      <c r="H72" s="340"/>
    </row>
    <row r="73" spans="1:8" ht="12">
      <c r="A73" s="330"/>
      <c r="B73" s="341"/>
      <c r="C73" s="333"/>
      <c r="D73" s="333"/>
      <c r="E73" s="333"/>
      <c r="F73" s="333"/>
      <c r="G73" s="342"/>
      <c r="H73" s="340"/>
    </row>
    <row r="74" spans="1:8" ht="12">
      <c r="A74" s="330"/>
      <c r="B74" s="339"/>
      <c r="C74" s="333"/>
      <c r="D74" s="333"/>
      <c r="E74" s="333"/>
      <c r="F74" s="333"/>
      <c r="G74" s="343"/>
      <c r="H74" s="340"/>
    </row>
    <row r="75" spans="1:8" ht="12">
      <c r="A75" s="330"/>
      <c r="B75" s="339"/>
      <c r="C75" s="333"/>
      <c r="D75" s="333"/>
      <c r="E75" s="333"/>
      <c r="F75" s="333"/>
      <c r="G75" s="343"/>
      <c r="H75" s="340"/>
    </row>
    <row r="76" spans="1:8" ht="12">
      <c r="A76" s="330"/>
      <c r="B76" s="339"/>
      <c r="C76" s="333"/>
      <c r="D76" s="333"/>
      <c r="E76" s="333"/>
      <c r="F76" s="333"/>
      <c r="G76" s="343"/>
      <c r="H76" s="340"/>
    </row>
    <row r="77" spans="1:8" ht="12">
      <c r="A77" s="330"/>
      <c r="B77" s="339"/>
      <c r="C77" s="333"/>
      <c r="D77" s="333"/>
      <c r="E77" s="333"/>
      <c r="F77" s="333"/>
      <c r="G77" s="343"/>
      <c r="H77" s="340"/>
    </row>
    <row r="78" spans="1:8" ht="12">
      <c r="A78" s="330"/>
      <c r="B78" s="339"/>
      <c r="C78" s="333"/>
      <c r="D78" s="333"/>
      <c r="E78" s="333"/>
      <c r="F78" s="333"/>
      <c r="G78" s="343"/>
      <c r="H78" s="340"/>
    </row>
    <row r="79" spans="1:8" ht="12">
      <c r="A79" s="330"/>
      <c r="B79" s="331"/>
      <c r="C79" s="333"/>
      <c r="D79" s="333"/>
      <c r="E79" s="333"/>
      <c r="F79" s="333"/>
      <c r="G79" s="343"/>
      <c r="H79" s="340"/>
    </row>
    <row r="80" spans="1:8" ht="12">
      <c r="A80" s="330"/>
      <c r="B80" s="339"/>
      <c r="C80" s="333"/>
      <c r="D80" s="333"/>
      <c r="E80" s="333"/>
      <c r="F80" s="333"/>
      <c r="G80" s="343"/>
      <c r="H80" s="340"/>
    </row>
    <row r="81" spans="1:8" ht="12">
      <c r="A81" s="330"/>
      <c r="B81" s="339"/>
      <c r="C81" s="333"/>
      <c r="D81" s="333"/>
      <c r="E81" s="333"/>
      <c r="F81" s="333"/>
      <c r="G81" s="343"/>
      <c r="H81" s="340"/>
    </row>
    <row r="82" spans="1:8" ht="12">
      <c r="A82" s="330"/>
      <c r="B82" s="339"/>
      <c r="C82" s="333"/>
      <c r="D82" s="333"/>
      <c r="E82" s="333"/>
      <c r="F82" s="333"/>
      <c r="G82" s="343"/>
      <c r="H82" s="340"/>
    </row>
    <row r="83" spans="1:8" ht="12">
      <c r="A83" s="330"/>
      <c r="B83" s="339"/>
      <c r="C83" s="333"/>
      <c r="D83" s="333"/>
      <c r="E83" s="333"/>
      <c r="F83" s="333"/>
      <c r="G83" s="343"/>
      <c r="H83" s="340"/>
    </row>
    <row r="84" spans="1:8" ht="12">
      <c r="A84" s="330"/>
      <c r="B84" s="339"/>
      <c r="C84" s="333"/>
      <c r="D84" s="333"/>
      <c r="E84" s="333"/>
      <c r="F84" s="333"/>
      <c r="G84" s="343"/>
      <c r="H84" s="340"/>
    </row>
    <row r="85" spans="1:8" ht="12">
      <c r="A85" s="330"/>
      <c r="B85" s="339"/>
      <c r="C85" s="333"/>
      <c r="D85" s="333"/>
      <c r="E85" s="333"/>
      <c r="F85" s="333"/>
      <c r="G85" s="343"/>
      <c r="H85" s="340"/>
    </row>
    <row r="86" spans="1:8" ht="12">
      <c r="A86" s="330"/>
      <c r="B86" s="339"/>
      <c r="C86" s="333"/>
      <c r="D86" s="333"/>
      <c r="E86" s="333"/>
      <c r="F86" s="333"/>
      <c r="G86" s="343"/>
      <c r="H86" s="340"/>
    </row>
    <row r="87" spans="1:8" ht="12">
      <c r="A87" s="330"/>
      <c r="B87" s="331"/>
      <c r="C87" s="333"/>
      <c r="D87" s="333"/>
      <c r="E87" s="333"/>
      <c r="F87" s="333"/>
      <c r="G87" s="343"/>
      <c r="H87" s="340"/>
    </row>
    <row r="88" spans="1:8" ht="12">
      <c r="A88" s="330"/>
      <c r="B88" s="339"/>
      <c r="C88" s="333"/>
      <c r="D88" s="333"/>
      <c r="E88" s="333"/>
      <c r="F88" s="333"/>
      <c r="G88" s="343"/>
      <c r="H88" s="340"/>
    </row>
    <row r="89" spans="1:8" ht="12">
      <c r="A89" s="330"/>
      <c r="B89" s="339"/>
      <c r="C89" s="333"/>
      <c r="D89" s="333"/>
      <c r="E89" s="333"/>
      <c r="F89" s="333"/>
      <c r="G89" s="343"/>
      <c r="H89" s="340"/>
    </row>
    <row r="90" spans="1:8" ht="12">
      <c r="A90" s="330"/>
      <c r="B90" s="339"/>
      <c r="C90" s="333"/>
      <c r="D90" s="333"/>
      <c r="E90" s="333"/>
      <c r="F90" s="333"/>
      <c r="G90" s="343"/>
      <c r="H90" s="340"/>
    </row>
    <row r="91" spans="1:8" ht="12">
      <c r="A91" s="331"/>
      <c r="B91" s="339"/>
      <c r="C91" s="333"/>
      <c r="D91" s="333"/>
      <c r="E91" s="333"/>
      <c r="F91" s="333"/>
      <c r="G91" s="343"/>
      <c r="H91" s="340"/>
    </row>
    <row r="92" spans="1:8" ht="12">
      <c r="A92" s="331"/>
      <c r="B92" s="339"/>
      <c r="C92" s="333"/>
      <c r="D92" s="333"/>
      <c r="E92" s="333"/>
      <c r="F92" s="333"/>
      <c r="G92" s="343"/>
      <c r="H92" s="340"/>
    </row>
    <row r="93" spans="1:8" ht="12">
      <c r="A93" s="331"/>
      <c r="B93" s="331"/>
      <c r="C93" s="333"/>
      <c r="D93" s="333"/>
      <c r="E93" s="333"/>
      <c r="F93" s="333"/>
      <c r="G93" s="343"/>
      <c r="H93" s="340"/>
    </row>
    <row r="94" spans="1:8" ht="12">
      <c r="A94" s="331"/>
      <c r="B94" s="339"/>
      <c r="C94" s="333"/>
      <c r="D94" s="333"/>
      <c r="E94" s="333"/>
      <c r="F94" s="333"/>
      <c r="G94" s="343"/>
      <c r="H94" s="340"/>
    </row>
    <row r="95" spans="1:8" ht="12">
      <c r="A95" s="331"/>
      <c r="B95" s="339"/>
      <c r="C95" s="333"/>
      <c r="D95" s="333"/>
      <c r="E95" s="333"/>
      <c r="F95" s="333"/>
      <c r="G95" s="343"/>
      <c r="H95" s="340"/>
    </row>
    <row r="96" spans="1:8" ht="12">
      <c r="A96" s="331"/>
      <c r="B96" s="339"/>
      <c r="C96" s="333"/>
      <c r="D96" s="333"/>
      <c r="E96" s="333"/>
      <c r="F96" s="333"/>
      <c r="G96" s="343"/>
      <c r="H96" s="340"/>
    </row>
    <row r="97" spans="1:8" ht="12">
      <c r="A97" s="331"/>
      <c r="B97" s="331"/>
      <c r="C97" s="333"/>
      <c r="D97" s="333"/>
      <c r="E97" s="333"/>
      <c r="F97" s="333"/>
      <c r="G97" s="343"/>
      <c r="H97" s="340"/>
    </row>
    <row r="98" spans="1:8" ht="12">
      <c r="A98" s="331"/>
      <c r="B98" s="339"/>
      <c r="C98" s="333"/>
      <c r="D98" s="333"/>
      <c r="E98" s="333"/>
      <c r="F98" s="333"/>
      <c r="G98" s="343"/>
      <c r="H98" s="340"/>
    </row>
    <row r="99" spans="1:8" ht="12">
      <c r="A99" s="331"/>
      <c r="B99" s="339"/>
      <c r="C99" s="333"/>
      <c r="D99" s="333"/>
      <c r="E99" s="333"/>
      <c r="F99" s="333"/>
      <c r="G99" s="343"/>
      <c r="H99" s="340"/>
    </row>
    <row r="100" spans="1:8" ht="12">
      <c r="A100" s="331"/>
      <c r="B100" s="339"/>
      <c r="C100" s="333"/>
      <c r="D100" s="333"/>
      <c r="E100" s="333"/>
      <c r="F100" s="333"/>
      <c r="G100" s="343"/>
      <c r="H100" s="340"/>
    </row>
    <row r="101" spans="1:8" ht="12">
      <c r="A101" s="331"/>
      <c r="B101" s="339"/>
      <c r="C101" s="333"/>
      <c r="D101" s="333"/>
      <c r="E101" s="333"/>
      <c r="F101" s="333"/>
      <c r="G101" s="343"/>
      <c r="H101" s="340"/>
    </row>
    <row r="102" spans="1:8" ht="12">
      <c r="A102" s="331"/>
      <c r="B102" s="339"/>
      <c r="C102" s="333"/>
      <c r="D102" s="333"/>
      <c r="E102" s="333"/>
      <c r="F102" s="333"/>
      <c r="G102" s="343"/>
      <c r="H102" s="340"/>
    </row>
    <row r="103" spans="1:8" ht="12">
      <c r="A103" s="331"/>
      <c r="B103" s="333"/>
      <c r="C103" s="333"/>
      <c r="D103" s="333"/>
      <c r="E103" s="333"/>
      <c r="F103" s="333"/>
      <c r="G103" s="343"/>
      <c r="H103" s="340"/>
    </row>
    <row r="104" spans="1:8" ht="12">
      <c r="A104" s="331"/>
      <c r="B104" s="333"/>
      <c r="C104" s="333"/>
      <c r="D104" s="333"/>
      <c r="E104" s="333"/>
      <c r="F104" s="333"/>
      <c r="G104" s="343"/>
      <c r="H104" s="340"/>
    </row>
    <row r="105" spans="1:8" ht="12">
      <c r="A105" s="331"/>
      <c r="B105" s="333"/>
      <c r="C105" s="333"/>
      <c r="D105" s="333"/>
      <c r="E105" s="333"/>
      <c r="F105" s="333"/>
      <c r="G105" s="343"/>
      <c r="H105" s="340"/>
    </row>
    <row r="106" spans="1:8" ht="12">
      <c r="A106" s="331"/>
      <c r="B106" s="333"/>
      <c r="C106" s="333"/>
      <c r="D106" s="333"/>
      <c r="E106" s="333"/>
      <c r="F106" s="333"/>
      <c r="G106" s="343"/>
      <c r="H106" s="340"/>
    </row>
    <row r="107" spans="1:8" ht="12">
      <c r="A107" s="331"/>
      <c r="B107" s="333"/>
      <c r="C107" s="333"/>
      <c r="D107" s="333"/>
      <c r="E107" s="333"/>
      <c r="F107" s="333"/>
      <c r="G107" s="343"/>
      <c r="H107" s="340"/>
    </row>
    <row r="108" spans="1:8" ht="12">
      <c r="A108" s="331"/>
      <c r="B108" s="333"/>
      <c r="C108" s="333"/>
      <c r="D108" s="333"/>
      <c r="E108" s="334"/>
      <c r="F108" s="333"/>
      <c r="G108" s="343"/>
      <c r="H108" s="340"/>
    </row>
    <row r="109" spans="1:8" ht="12">
      <c r="A109" s="331"/>
      <c r="B109" s="338"/>
      <c r="C109" s="344"/>
      <c r="D109" s="333"/>
      <c r="E109" s="334"/>
      <c r="F109" s="333"/>
      <c r="G109" s="342"/>
      <c r="H109" s="340"/>
    </row>
    <row r="110" spans="1:8" ht="12">
      <c r="A110" s="331"/>
      <c r="B110" s="333"/>
      <c r="C110" s="333"/>
      <c r="D110" s="333"/>
      <c r="E110" s="334"/>
      <c r="F110" s="333"/>
      <c r="G110" s="335"/>
      <c r="H110" s="340"/>
    </row>
  </sheetData>
  <printOptions/>
  <pageMargins left="1" right="0.75" top="0.5" bottom="0.5" header="0.5" footer="0.5"/>
  <pageSetup fitToHeight="1" fitToWidth="1" horizontalDpi="300" verticalDpi="300" orientation="portrait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1">
      <selection activeCell="I55" sqref="I55"/>
    </sheetView>
  </sheetViews>
  <sheetFormatPr defaultColWidth="9.140625" defaultRowHeight="12.75"/>
  <cols>
    <col min="1" max="1" width="5.57421875" style="112" customWidth="1"/>
    <col min="2" max="2" width="26.140625" style="111" customWidth="1"/>
    <col min="3" max="3" width="12.421875" style="111" customWidth="1"/>
    <col min="4" max="4" width="6.7109375" style="111" customWidth="1"/>
    <col min="5" max="16384" width="12.421875" style="111" customWidth="1"/>
  </cols>
  <sheetData>
    <row r="1" spans="1:3" ht="12" customHeight="1">
      <c r="A1" s="109" t="str">
        <f>Inputs!$D$6</f>
        <v>AVISTA UTILITIES</v>
      </c>
      <c r="B1" s="110"/>
      <c r="C1" s="109"/>
    </row>
    <row r="2" spans="1:7" ht="12" customHeight="1">
      <c r="A2" s="109" t="s">
        <v>134</v>
      </c>
      <c r="B2" s="110"/>
      <c r="C2" s="109"/>
      <c r="E2" s="109"/>
      <c r="F2" s="112" t="s">
        <v>216</v>
      </c>
      <c r="G2" s="109"/>
    </row>
    <row r="3" spans="1:7" ht="12" customHeight="1">
      <c r="A3" s="110" t="str">
        <f>WAElec12_04!$A$4</f>
        <v>TWELVE MONTHS ENDED DECEMBER 31, 2004</v>
      </c>
      <c r="B3" s="110"/>
      <c r="C3" s="109"/>
      <c r="E3" s="109"/>
      <c r="F3" s="112" t="s">
        <v>217</v>
      </c>
      <c r="G3" s="109"/>
    </row>
    <row r="4" spans="1:7" ht="12" customHeight="1">
      <c r="A4" s="109" t="s">
        <v>1</v>
      </c>
      <c r="B4" s="110"/>
      <c r="C4" s="109"/>
      <c r="E4" s="113"/>
      <c r="F4" s="114" t="s">
        <v>137</v>
      </c>
      <c r="G4" s="115"/>
    </row>
    <row r="5" ht="12" customHeight="1">
      <c r="A5" s="112" t="s">
        <v>13</v>
      </c>
    </row>
    <row r="6" spans="1:8" s="112" customFormat="1" ht="12" customHeight="1">
      <c r="A6" s="112" t="s">
        <v>138</v>
      </c>
      <c r="B6" s="116" t="s">
        <v>34</v>
      </c>
      <c r="C6" s="116"/>
      <c r="E6" s="116" t="s">
        <v>139</v>
      </c>
      <c r="F6" s="116" t="s">
        <v>140</v>
      </c>
      <c r="G6" s="116" t="s">
        <v>123</v>
      </c>
      <c r="H6" s="117" t="s">
        <v>141</v>
      </c>
    </row>
    <row r="7" ht="12" customHeight="1">
      <c r="B7" s="118" t="s">
        <v>80</v>
      </c>
    </row>
    <row r="8" spans="1:8" s="121" customFormat="1" ht="12" customHeight="1">
      <c r="A8" s="119">
        <v>1</v>
      </c>
      <c r="B8" s="120" t="s">
        <v>81</v>
      </c>
      <c r="E8" s="122">
        <f>F8+G8</f>
        <v>0</v>
      </c>
      <c r="F8" s="122"/>
      <c r="G8" s="122"/>
      <c r="H8" s="121" t="str">
        <f aca="true" t="shared" si="0" ref="H8:H13">IF(E8=F8+G8," ","ERROR")</f>
        <v> </v>
      </c>
    </row>
    <row r="9" spans="1:8" ht="12" customHeight="1">
      <c r="A9" s="112">
        <v>2</v>
      </c>
      <c r="B9" s="118" t="s">
        <v>82</v>
      </c>
      <c r="E9" s="123"/>
      <c r="F9" s="123"/>
      <c r="G9" s="123"/>
      <c r="H9" s="121" t="str">
        <f t="shared" si="0"/>
        <v> </v>
      </c>
    </row>
    <row r="10" spans="1:8" ht="12" customHeight="1">
      <c r="A10" s="112">
        <v>3</v>
      </c>
      <c r="B10" s="118" t="s">
        <v>142</v>
      </c>
      <c r="E10" s="123"/>
      <c r="F10" s="123"/>
      <c r="G10" s="123"/>
      <c r="H10" s="121" t="str">
        <f t="shared" si="0"/>
        <v> </v>
      </c>
    </row>
    <row r="11" spans="1:8" ht="12" customHeight="1">
      <c r="A11" s="112">
        <v>4</v>
      </c>
      <c r="B11" s="118" t="s">
        <v>143</v>
      </c>
      <c r="E11" s="124">
        <f>E8+E9+E10</f>
        <v>0</v>
      </c>
      <c r="F11" s="124">
        <f>F8+F9+F10</f>
        <v>0</v>
      </c>
      <c r="G11" s="124">
        <f>G8+G9+G10</f>
        <v>0</v>
      </c>
      <c r="H11" s="121" t="str">
        <f t="shared" si="0"/>
        <v> </v>
      </c>
    </row>
    <row r="12" spans="1:8" ht="12" customHeight="1">
      <c r="A12" s="112">
        <v>5</v>
      </c>
      <c r="B12" s="118" t="s">
        <v>85</v>
      </c>
      <c r="E12" s="123"/>
      <c r="F12" s="123"/>
      <c r="G12" s="123"/>
      <c r="H12" s="121" t="str">
        <f t="shared" si="0"/>
        <v> </v>
      </c>
    </row>
    <row r="13" spans="1:8" ht="12" customHeight="1">
      <c r="A13" s="112">
        <v>6</v>
      </c>
      <c r="B13" s="118" t="s">
        <v>144</v>
      </c>
      <c r="E13" s="124">
        <f>E11+E12</f>
        <v>0</v>
      </c>
      <c r="F13" s="124">
        <f>F11+F12</f>
        <v>0</v>
      </c>
      <c r="G13" s="124">
        <f>G11+G12</f>
        <v>0</v>
      </c>
      <c r="H13" s="121" t="str">
        <f t="shared" si="0"/>
        <v> </v>
      </c>
    </row>
    <row r="14" spans="5:8" ht="12" customHeight="1">
      <c r="E14" s="125"/>
      <c r="F14" s="125"/>
      <c r="G14" s="125"/>
      <c r="H14" s="121"/>
    </row>
    <row r="15" spans="2:8" ht="12" customHeight="1">
      <c r="B15" s="118" t="s">
        <v>87</v>
      </c>
      <c r="E15" s="125"/>
      <c r="F15" s="125"/>
      <c r="G15" s="125"/>
      <c r="H15" s="121"/>
    </row>
    <row r="16" spans="2:8" ht="12" customHeight="1">
      <c r="B16" s="118" t="s">
        <v>88</v>
      </c>
      <c r="E16" s="125"/>
      <c r="F16" s="125"/>
      <c r="G16" s="125"/>
      <c r="H16" s="121"/>
    </row>
    <row r="17" spans="1:8" ht="12" customHeight="1">
      <c r="A17" s="112">
        <v>7</v>
      </c>
      <c r="B17" s="118" t="s">
        <v>145</v>
      </c>
      <c r="E17" s="123"/>
      <c r="F17" s="123"/>
      <c r="G17" s="123"/>
      <c r="H17" s="121" t="str">
        <f>IF(E17=F17+G17," ","ERROR")</f>
        <v> </v>
      </c>
    </row>
    <row r="18" spans="1:8" ht="12" customHeight="1">
      <c r="A18" s="112">
        <v>8</v>
      </c>
      <c r="B18" s="118" t="s">
        <v>146</v>
      </c>
      <c r="E18" s="123"/>
      <c r="F18" s="123"/>
      <c r="G18" s="123"/>
      <c r="H18" s="121" t="str">
        <f>IF(E18=F18+G18," ","ERROR")</f>
        <v> </v>
      </c>
    </row>
    <row r="19" spans="1:8" ht="12" customHeight="1">
      <c r="A19" s="112">
        <v>9</v>
      </c>
      <c r="B19" s="118" t="s">
        <v>147</v>
      </c>
      <c r="E19" s="123"/>
      <c r="F19" s="123"/>
      <c r="G19" s="123"/>
      <c r="H19" s="121" t="str">
        <f>IF(E19=F19+G19," ","ERROR")</f>
        <v> </v>
      </c>
    </row>
    <row r="20" spans="1:8" ht="12" customHeight="1">
      <c r="A20" s="112">
        <v>10</v>
      </c>
      <c r="B20" s="118" t="s">
        <v>148</v>
      </c>
      <c r="E20" s="123"/>
      <c r="F20" s="123"/>
      <c r="G20" s="123"/>
      <c r="H20" s="121" t="str">
        <f>IF(E20=F20+G20," ","ERROR")</f>
        <v> </v>
      </c>
    </row>
    <row r="21" spans="1:8" ht="12" customHeight="1">
      <c r="A21" s="112">
        <v>11</v>
      </c>
      <c r="B21" s="118" t="s">
        <v>149</v>
      </c>
      <c r="E21" s="124">
        <f>E17+E18+E19+E20</f>
        <v>0</v>
      </c>
      <c r="F21" s="124">
        <f>F17+F18+F19+F20</f>
        <v>0</v>
      </c>
      <c r="G21" s="124">
        <f>G17+G18+G19+G20</f>
        <v>0</v>
      </c>
      <c r="H21" s="121" t="str">
        <f>IF(E21=F21+G21," ","ERROR")</f>
        <v> </v>
      </c>
    </row>
    <row r="22" spans="5:8" ht="12" customHeight="1">
      <c r="E22" s="125"/>
      <c r="F22" s="125"/>
      <c r="G22" s="125"/>
      <c r="H22" s="121"/>
    </row>
    <row r="23" spans="2:8" ht="12" customHeight="1">
      <c r="B23" s="118" t="s">
        <v>93</v>
      </c>
      <c r="E23" s="125"/>
      <c r="F23" s="125"/>
      <c r="G23" s="125"/>
      <c r="H23" s="121"/>
    </row>
    <row r="24" spans="1:8" ht="12" customHeight="1">
      <c r="A24" s="112">
        <v>12</v>
      </c>
      <c r="B24" s="118" t="s">
        <v>145</v>
      </c>
      <c r="E24" s="123"/>
      <c r="F24" s="123"/>
      <c r="G24" s="123"/>
      <c r="H24" s="121" t="str">
        <f>IF(E24=F24+G24," ","ERROR")</f>
        <v> </v>
      </c>
    </row>
    <row r="25" spans="1:8" ht="12" customHeight="1">
      <c r="A25" s="112">
        <v>13</v>
      </c>
      <c r="B25" s="118" t="s">
        <v>150</v>
      </c>
      <c r="E25" s="123"/>
      <c r="F25" s="123"/>
      <c r="G25" s="123"/>
      <c r="H25" s="121" t="str">
        <f>IF(E25=F25+G25," ","ERROR")</f>
        <v> </v>
      </c>
    </row>
    <row r="26" spans="1:8" ht="12" customHeight="1">
      <c r="A26" s="112">
        <v>14</v>
      </c>
      <c r="B26" s="118" t="s">
        <v>148</v>
      </c>
      <c r="E26" s="123">
        <f>F26+G26</f>
        <v>0</v>
      </c>
      <c r="F26" s="123"/>
      <c r="G26" s="123"/>
      <c r="H26" s="121" t="str">
        <f>IF(E26=F26+G26," ","ERROR")</f>
        <v> </v>
      </c>
    </row>
    <row r="27" spans="1:8" ht="12" customHeight="1">
      <c r="A27" s="112">
        <v>15</v>
      </c>
      <c r="B27" s="118" t="s">
        <v>151</v>
      </c>
      <c r="E27" s="124">
        <f>E24+E25+E26</f>
        <v>0</v>
      </c>
      <c r="F27" s="124">
        <f>F24+F25+F26</f>
        <v>0</v>
      </c>
      <c r="G27" s="124">
        <f>G24+G25+G26</f>
        <v>0</v>
      </c>
      <c r="H27" s="121" t="str">
        <f>IF(E27=F27+G27," ","ERROR")</f>
        <v> </v>
      </c>
    </row>
    <row r="28" spans="5:8" ht="12" customHeight="1">
      <c r="E28" s="125"/>
      <c r="F28" s="125"/>
      <c r="G28" s="125"/>
      <c r="H28" s="121"/>
    </row>
    <row r="29" spans="1:8" ht="12" customHeight="1">
      <c r="A29" s="112">
        <v>16</v>
      </c>
      <c r="B29" s="118" t="s">
        <v>96</v>
      </c>
      <c r="E29" s="123"/>
      <c r="F29" s="123"/>
      <c r="G29" s="123"/>
      <c r="H29" s="121" t="str">
        <f>IF(E29=F29+G29," ","ERROR")</f>
        <v> </v>
      </c>
    </row>
    <row r="30" spans="1:8" ht="12" customHeight="1">
      <c r="A30" s="112">
        <v>17</v>
      </c>
      <c r="B30" s="118" t="s">
        <v>97</v>
      </c>
      <c r="E30" s="123"/>
      <c r="F30" s="123"/>
      <c r="G30" s="123"/>
      <c r="H30" s="121" t="str">
        <f>IF(E30=F30+G30," ","ERROR")</f>
        <v> </v>
      </c>
    </row>
    <row r="31" spans="1:8" ht="12" customHeight="1">
      <c r="A31" s="112">
        <v>18</v>
      </c>
      <c r="B31" s="118" t="s">
        <v>152</v>
      </c>
      <c r="E31" s="123"/>
      <c r="F31" s="123"/>
      <c r="G31" s="123"/>
      <c r="H31" s="121" t="str">
        <f>IF(E31=F31+G31," ","ERROR")</f>
        <v> </v>
      </c>
    </row>
    <row r="32" spans="5:8" ht="12" customHeight="1">
      <c r="E32" s="125"/>
      <c r="F32" s="125"/>
      <c r="G32" s="125"/>
      <c r="H32" s="121"/>
    </row>
    <row r="33" spans="2:8" ht="12" customHeight="1">
      <c r="B33" s="118" t="s">
        <v>99</v>
      </c>
      <c r="E33" s="125"/>
      <c r="F33" s="125"/>
      <c r="G33" s="125"/>
      <c r="H33" s="121"/>
    </row>
    <row r="34" spans="1:8" ht="12" customHeight="1">
      <c r="A34" s="112">
        <v>19</v>
      </c>
      <c r="B34" s="118" t="s">
        <v>145</v>
      </c>
      <c r="E34" s="123"/>
      <c r="F34" s="123"/>
      <c r="G34" s="123"/>
      <c r="H34" s="121" t="str">
        <f>IF(E34=F34+G34," ","ERROR")</f>
        <v> </v>
      </c>
    </row>
    <row r="35" spans="1:8" ht="12" customHeight="1">
      <c r="A35" s="112">
        <v>20</v>
      </c>
      <c r="B35" s="118" t="s">
        <v>150</v>
      </c>
      <c r="E35" s="123"/>
      <c r="F35" s="123"/>
      <c r="G35" s="123"/>
      <c r="H35" s="121" t="str">
        <f>IF(E35=F35+G35," ","ERROR")</f>
        <v> </v>
      </c>
    </row>
    <row r="36" spans="1:8" ht="12" customHeight="1">
      <c r="A36" s="112">
        <v>21</v>
      </c>
      <c r="B36" s="118" t="s">
        <v>148</v>
      </c>
      <c r="E36" s="123"/>
      <c r="F36" s="123"/>
      <c r="G36" s="123"/>
      <c r="H36" s="121" t="str">
        <f>IF(E36=F36+G36," ","ERROR")</f>
        <v> </v>
      </c>
    </row>
    <row r="37" spans="1:8" ht="12" customHeight="1">
      <c r="A37" s="112">
        <v>22</v>
      </c>
      <c r="B37" s="118" t="s">
        <v>153</v>
      </c>
      <c r="E37" s="126">
        <f>E34+E35+E36</f>
        <v>0</v>
      </c>
      <c r="F37" s="126">
        <f>F34+F35+F36</f>
        <v>0</v>
      </c>
      <c r="G37" s="126">
        <f>G34+G35+G36</f>
        <v>0</v>
      </c>
      <c r="H37" s="121" t="str">
        <f>IF(E37=F37+G37," ","ERROR")</f>
        <v> </v>
      </c>
    </row>
    <row r="38" spans="1:8" ht="12" customHeight="1">
      <c r="A38" s="112">
        <v>23</v>
      </c>
      <c r="B38" s="118" t="s">
        <v>101</v>
      </c>
      <c r="E38" s="127">
        <f>E21+E27+E29+E30+E31+E37</f>
        <v>0</v>
      </c>
      <c r="F38" s="127">
        <f>F21+F27+F29+F30+F31+F37</f>
        <v>0</v>
      </c>
      <c r="G38" s="127">
        <f>G21+G27+G29+G30+G31+G37</f>
        <v>0</v>
      </c>
      <c r="H38" s="121" t="str">
        <f>IF(E38=F38+G38," ","ERROR")</f>
        <v> </v>
      </c>
    </row>
    <row r="39" spans="5:8" ht="12" customHeight="1">
      <c r="E39" s="125"/>
      <c r="F39" s="125"/>
      <c r="G39" s="125"/>
      <c r="H39" s="121"/>
    </row>
    <row r="40" spans="1:8" ht="12" customHeight="1">
      <c r="A40" s="112">
        <v>24</v>
      </c>
      <c r="B40" s="118" t="s">
        <v>154</v>
      </c>
      <c r="E40" s="125">
        <f>E13-E38</f>
        <v>0</v>
      </c>
      <c r="F40" s="125">
        <f>F13-F38</f>
        <v>0</v>
      </c>
      <c r="G40" s="125">
        <f>G13-G38</f>
        <v>0</v>
      </c>
      <c r="H40" s="121" t="str">
        <f>IF(E40=F40+G40," ","ERROR")</f>
        <v> </v>
      </c>
    </row>
    <row r="41" spans="2:8" ht="12" customHeight="1">
      <c r="B41" s="118"/>
      <c r="E41" s="125"/>
      <c r="F41" s="125"/>
      <c r="G41" s="125"/>
      <c r="H41" s="121"/>
    </row>
    <row r="42" spans="2:8" ht="12" customHeight="1">
      <c r="B42" s="118" t="s">
        <v>155</v>
      </c>
      <c r="E42" s="125"/>
      <c r="F42" s="125"/>
      <c r="G42" s="125"/>
      <c r="H42" s="121"/>
    </row>
    <row r="43" spans="1:8" ht="12" customHeight="1">
      <c r="A43" s="112">
        <v>25</v>
      </c>
      <c r="B43" s="118" t="s">
        <v>156</v>
      </c>
      <c r="D43" s="128">
        <v>0.35</v>
      </c>
      <c r="E43" s="123">
        <f>F43+G43</f>
        <v>0</v>
      </c>
      <c r="F43" s="123">
        <f>ROUND(F40*D43,0)</f>
        <v>0</v>
      </c>
      <c r="G43" s="123">
        <f>ROUND(G40*0.34,0)</f>
        <v>0</v>
      </c>
      <c r="H43" s="121" t="str">
        <f>IF(E43=F43+G43," ","ERROR")</f>
        <v> </v>
      </c>
    </row>
    <row r="44" spans="1:8" ht="12" customHeight="1">
      <c r="A44" s="112">
        <v>26</v>
      </c>
      <c r="B44" s="118" t="s">
        <v>157</v>
      </c>
      <c r="E44" s="123"/>
      <c r="F44" s="123"/>
      <c r="G44" s="123"/>
      <c r="H44" s="121" t="str">
        <f>IF(E44=F44+G44," ","ERROR")</f>
        <v> </v>
      </c>
    </row>
    <row r="45" spans="1:8" ht="12" customHeight="1">
      <c r="A45"/>
      <c r="B45"/>
      <c r="C45"/>
      <c r="D45"/>
      <c r="E45" s="943"/>
      <c r="F45" s="943"/>
      <c r="G45" s="943"/>
      <c r="H45" s="121" t="str">
        <f>IF(E45=F45+G45," ","ERROR")</f>
        <v> </v>
      </c>
    </row>
    <row r="46" spans="1:8" ht="12" customHeight="1">
      <c r="A46" s="278"/>
      <c r="B46" s="281"/>
      <c r="C46" s="275"/>
      <c r="D46" s="275"/>
      <c r="E46" s="288"/>
      <c r="F46" s="288"/>
      <c r="G46" s="288"/>
      <c r="H46" s="121"/>
    </row>
    <row r="47" spans="1:8" s="121" customFormat="1" ht="12" customHeight="1">
      <c r="A47" s="282">
        <v>27</v>
      </c>
      <c r="B47" s="283" t="s">
        <v>108</v>
      </c>
      <c r="C47" s="284"/>
      <c r="D47" s="284"/>
      <c r="E47" s="292">
        <f>E40-SUM(E43:E44)</f>
        <v>0</v>
      </c>
      <c r="F47" s="292">
        <f>F40-SUM(F43:F44)</f>
        <v>0</v>
      </c>
      <c r="G47" s="292">
        <f>G40-SUM(G43:G44)</f>
        <v>0</v>
      </c>
      <c r="H47" s="121" t="str">
        <f>IF(E47=F47+G47," ","ERROR")</f>
        <v> </v>
      </c>
    </row>
    <row r="48" spans="1:8" ht="12" customHeight="1">
      <c r="A48" s="278"/>
      <c r="H48" s="121"/>
    </row>
    <row r="49" spans="1:8" ht="12" customHeight="1">
      <c r="A49" s="282">
        <v>28</v>
      </c>
      <c r="B49" s="118" t="s">
        <v>109</v>
      </c>
      <c r="H49" s="121"/>
    </row>
    <row r="50" spans="1:8" ht="12" customHeight="1">
      <c r="A50" s="278">
        <v>29</v>
      </c>
      <c r="B50" s="118" t="s">
        <v>110</v>
      </c>
      <c r="H50" s="121"/>
    </row>
    <row r="51" spans="1:8" s="121" customFormat="1" ht="12" customHeight="1">
      <c r="A51" s="278">
        <v>30</v>
      </c>
      <c r="B51" s="120" t="s">
        <v>159</v>
      </c>
      <c r="E51" s="122"/>
      <c r="F51" s="122"/>
      <c r="G51" s="122"/>
      <c r="H51" s="121" t="str">
        <f aca="true" t="shared" si="1" ref="H51:H61">IF(E51=F51+G51," ","ERROR")</f>
        <v> </v>
      </c>
    </row>
    <row r="52" spans="1:8" ht="12" customHeight="1">
      <c r="A52" s="278">
        <v>31</v>
      </c>
      <c r="B52" s="118" t="s">
        <v>160</v>
      </c>
      <c r="E52" s="123"/>
      <c r="F52" s="123"/>
      <c r="G52" s="123"/>
      <c r="H52" s="121" t="str">
        <f t="shared" si="1"/>
        <v> </v>
      </c>
    </row>
    <row r="53" spans="1:8" ht="12" customHeight="1">
      <c r="A53" s="278">
        <v>32</v>
      </c>
      <c r="B53" s="118" t="s">
        <v>161</v>
      </c>
      <c r="E53" s="123"/>
      <c r="F53" s="123"/>
      <c r="G53" s="123"/>
      <c r="H53" s="121" t="str">
        <f t="shared" si="1"/>
        <v> </v>
      </c>
    </row>
    <row r="54" spans="1:8" ht="12" customHeight="1">
      <c r="A54" s="278">
        <v>33</v>
      </c>
      <c r="B54" s="118" t="s">
        <v>162</v>
      </c>
      <c r="E54" s="123"/>
      <c r="F54" s="123"/>
      <c r="G54" s="123"/>
      <c r="H54" s="121" t="str">
        <f t="shared" si="1"/>
        <v> </v>
      </c>
    </row>
    <row r="55" spans="1:8" ht="12" customHeight="1">
      <c r="A55" s="278">
        <v>34</v>
      </c>
      <c r="B55" s="118" t="s">
        <v>163</v>
      </c>
      <c r="E55" s="129"/>
      <c r="F55" s="129"/>
      <c r="G55" s="129"/>
      <c r="H55" s="121" t="str">
        <f t="shared" si="1"/>
        <v> </v>
      </c>
    </row>
    <row r="56" spans="1:8" ht="12" customHeight="1">
      <c r="A56" s="278">
        <v>35</v>
      </c>
      <c r="B56" s="118" t="s">
        <v>164</v>
      </c>
      <c r="E56" s="125">
        <f>E51+E52+E53+E54+E55</f>
        <v>0</v>
      </c>
      <c r="F56" s="125">
        <f>F51+F52+F53+F54+F55</f>
        <v>0</v>
      </c>
      <c r="G56" s="125">
        <f>G51+G52+G53+G54+G55</f>
        <v>0</v>
      </c>
      <c r="H56" s="121" t="str">
        <f t="shared" si="1"/>
        <v> </v>
      </c>
    </row>
    <row r="57" spans="1:8" ht="12" customHeight="1">
      <c r="A57" s="278">
        <v>36</v>
      </c>
      <c r="B57" s="118" t="s">
        <v>116</v>
      </c>
      <c r="E57" s="123"/>
      <c r="F57" s="123"/>
      <c r="G57" s="123"/>
      <c r="H57" s="121" t="str">
        <f t="shared" si="1"/>
        <v> </v>
      </c>
    </row>
    <row r="58" spans="1:8" ht="12" customHeight="1">
      <c r="A58" s="278">
        <v>37</v>
      </c>
      <c r="B58" s="118" t="s">
        <v>117</v>
      </c>
      <c r="E58" s="129"/>
      <c r="F58" s="129"/>
      <c r="G58" s="129"/>
      <c r="H58" s="121" t="str">
        <f t="shared" si="1"/>
        <v> </v>
      </c>
    </row>
    <row r="59" spans="1:8" ht="12" customHeight="1">
      <c r="A59" s="278">
        <v>38</v>
      </c>
      <c r="B59" s="118" t="s">
        <v>165</v>
      </c>
      <c r="E59" s="125">
        <f>E57+E58</f>
        <v>0</v>
      </c>
      <c r="F59" s="125">
        <f>F57+F58</f>
        <v>0</v>
      </c>
      <c r="G59" s="125">
        <f>G57+G58</f>
        <v>0</v>
      </c>
      <c r="H59" s="121" t="str">
        <f t="shared" si="1"/>
        <v> </v>
      </c>
    </row>
    <row r="60" spans="1:8" ht="12">
      <c r="A60" s="278"/>
      <c r="B60" s="118" t="s">
        <v>119</v>
      </c>
      <c r="E60" s="123">
        <f>SUM(F60:G60)</f>
        <v>-715</v>
      </c>
      <c r="F60" s="123">
        <v>-715</v>
      </c>
      <c r="G60" s="123">
        <v>0</v>
      </c>
      <c r="H60" s="121" t="str">
        <f t="shared" si="1"/>
        <v> </v>
      </c>
    </row>
    <row r="61" spans="1:8" ht="12">
      <c r="A61" s="282">
        <v>39</v>
      </c>
      <c r="B61" s="118" t="s">
        <v>120</v>
      </c>
      <c r="E61" s="129">
        <f>SUM(F61:G61)</f>
        <v>250</v>
      </c>
      <c r="F61" s="129">
        <v>250</v>
      </c>
      <c r="G61" s="129">
        <v>0</v>
      </c>
      <c r="H61" s="121" t="str">
        <f t="shared" si="1"/>
        <v> </v>
      </c>
    </row>
    <row r="62" ht="9" customHeight="1">
      <c r="H62" s="121"/>
    </row>
    <row r="63" spans="1:8" s="121" customFormat="1" ht="12.75" thickBot="1">
      <c r="A63" s="119">
        <v>41</v>
      </c>
      <c r="B63" s="120" t="s">
        <v>121</v>
      </c>
      <c r="E63" s="130">
        <f>E56-E59+E60+E61</f>
        <v>-465</v>
      </c>
      <c r="F63" s="130">
        <f>F56-F59+F60+F61</f>
        <v>-465</v>
      </c>
      <c r="G63" s="130">
        <f>G56-G59+G60+G61</f>
        <v>0</v>
      </c>
      <c r="H63" s="121" t="str">
        <f>IF(E63=F63+G63," ","ERROR")</f>
        <v> </v>
      </c>
    </row>
    <row r="64" ht="12.75" thickTop="1"/>
    <row r="65" spans="1:8" ht="12">
      <c r="A65" s="110" t="str">
        <f>Inputs!$D$6</f>
        <v>AVISTA UTILITIES</v>
      </c>
      <c r="B65" s="110"/>
      <c r="C65" s="110"/>
      <c r="D65" s="131"/>
      <c r="E65" s="132"/>
      <c r="H65" s="132"/>
    </row>
    <row r="66" spans="1:8" ht="12">
      <c r="A66" s="110" t="s">
        <v>218</v>
      </c>
      <c r="B66" s="110"/>
      <c r="C66" s="110"/>
      <c r="D66" s="131"/>
      <c r="E66" s="132"/>
      <c r="H66" s="132"/>
    </row>
    <row r="67" spans="1:8" ht="12">
      <c r="A67" s="110" t="str">
        <f>A3</f>
        <v>TWELVE MONTHS ENDED DECEMBER 31, 2004</v>
      </c>
      <c r="B67" s="110"/>
      <c r="C67" s="110"/>
      <c r="D67" s="131"/>
      <c r="E67" s="132"/>
      <c r="H67" s="132"/>
    </row>
    <row r="68" spans="1:8" ht="12">
      <c r="A68" s="110" t="s">
        <v>219</v>
      </c>
      <c r="B68" s="110"/>
      <c r="C68" s="110"/>
      <c r="D68" s="131"/>
      <c r="E68" s="132"/>
      <c r="H68" s="132"/>
    </row>
    <row r="69" spans="2:8" ht="12">
      <c r="B69" s="131"/>
      <c r="C69" s="131"/>
      <c r="D69" s="131"/>
      <c r="E69" s="133"/>
      <c r="H69" s="134"/>
    </row>
    <row r="70" spans="2:8" ht="12">
      <c r="B70" s="131"/>
      <c r="C70" s="131"/>
      <c r="D70" s="131"/>
      <c r="E70" s="132"/>
      <c r="H70" s="132"/>
    </row>
    <row r="71" spans="2:8" ht="12">
      <c r="B71" s="135" t="s">
        <v>128</v>
      </c>
      <c r="C71" s="136"/>
      <c r="D71" s="131"/>
      <c r="E71" s="132"/>
      <c r="H71" s="132"/>
    </row>
    <row r="72" spans="2:8" ht="12">
      <c r="B72" s="118" t="s">
        <v>80</v>
      </c>
      <c r="C72" s="131"/>
      <c r="D72" s="131"/>
      <c r="E72" s="131"/>
      <c r="H72" s="131"/>
    </row>
    <row r="73" spans="2:8" ht="12">
      <c r="B73" s="120" t="s">
        <v>81</v>
      </c>
      <c r="C73" s="131"/>
      <c r="D73" s="131"/>
      <c r="E73" s="131"/>
      <c r="H73" s="131"/>
    </row>
    <row r="74" spans="2:8" ht="12">
      <c r="B74" s="118" t="s">
        <v>82</v>
      </c>
      <c r="C74" s="131"/>
      <c r="D74" s="131"/>
      <c r="E74" s="131"/>
      <c r="H74" s="131"/>
    </row>
    <row r="75" spans="2:8" ht="12">
      <c r="B75" s="118" t="s">
        <v>142</v>
      </c>
      <c r="C75" s="131"/>
      <c r="D75" s="131"/>
      <c r="E75" s="131"/>
      <c r="H75" s="131"/>
    </row>
    <row r="76" spans="2:8" ht="12">
      <c r="B76" s="118" t="s">
        <v>143</v>
      </c>
      <c r="C76" s="131"/>
      <c r="D76" s="131"/>
      <c r="E76" s="131"/>
      <c r="H76" s="131"/>
    </row>
    <row r="77" spans="2:8" ht="12">
      <c r="B77" s="118" t="s">
        <v>85</v>
      </c>
      <c r="C77" s="131"/>
      <c r="D77" s="131"/>
      <c r="E77" s="131"/>
      <c r="H77" s="131"/>
    </row>
    <row r="78" spans="2:8" ht="12">
      <c r="B78" s="118" t="s">
        <v>144</v>
      </c>
      <c r="C78" s="131"/>
      <c r="D78" s="131"/>
      <c r="E78" s="131"/>
      <c r="H78" s="131"/>
    </row>
    <row r="79" spans="3:8" ht="12">
      <c r="C79" s="131"/>
      <c r="D79" s="131"/>
      <c r="E79" s="131"/>
      <c r="H79" s="131"/>
    </row>
    <row r="80" spans="2:8" ht="12">
      <c r="B80" s="118" t="s">
        <v>87</v>
      </c>
      <c r="C80" s="131"/>
      <c r="D80" s="131"/>
      <c r="E80" s="131"/>
      <c r="H80" s="131"/>
    </row>
    <row r="81" spans="2:8" ht="12">
      <c r="B81" s="118" t="s">
        <v>88</v>
      </c>
      <c r="C81" s="131"/>
      <c r="D81" s="131"/>
      <c r="E81" s="131"/>
      <c r="H81" s="131"/>
    </row>
    <row r="82" spans="2:8" ht="12">
      <c r="B82" s="118" t="s">
        <v>145</v>
      </c>
      <c r="C82" s="131"/>
      <c r="D82" s="131"/>
      <c r="E82" s="131"/>
      <c r="H82" s="131"/>
    </row>
    <row r="83" spans="2:8" ht="12">
      <c r="B83" s="118" t="s">
        <v>146</v>
      </c>
      <c r="C83" s="131"/>
      <c r="D83" s="131"/>
      <c r="E83" s="131"/>
      <c r="H83" s="131"/>
    </row>
    <row r="84" spans="2:8" ht="12">
      <c r="B84" s="118" t="s">
        <v>147</v>
      </c>
      <c r="C84" s="131"/>
      <c r="D84" s="131"/>
      <c r="E84" s="131"/>
      <c r="H84" s="131"/>
    </row>
    <row r="85" spans="2:8" ht="12">
      <c r="B85" s="118" t="s">
        <v>148</v>
      </c>
      <c r="C85" s="131"/>
      <c r="D85" s="131"/>
      <c r="E85" s="131"/>
      <c r="H85" s="131"/>
    </row>
    <row r="86" spans="2:8" ht="12">
      <c r="B86" s="118" t="s">
        <v>149</v>
      </c>
      <c r="C86" s="131"/>
      <c r="D86" s="131"/>
      <c r="E86" s="131"/>
      <c r="H86" s="131"/>
    </row>
    <row r="87" spans="3:8" ht="12">
      <c r="C87" s="131"/>
      <c r="D87" s="131"/>
      <c r="E87" s="131"/>
      <c r="H87" s="131"/>
    </row>
    <row r="88" spans="2:8" ht="12">
      <c r="B88" s="118" t="s">
        <v>93</v>
      </c>
      <c r="C88" s="131"/>
      <c r="D88" s="131"/>
      <c r="E88" s="131"/>
      <c r="H88" s="131"/>
    </row>
    <row r="89" spans="2:8" ht="12">
      <c r="B89" s="118" t="s">
        <v>145</v>
      </c>
      <c r="C89" s="131"/>
      <c r="D89" s="131"/>
      <c r="E89" s="131"/>
      <c r="H89" s="131"/>
    </row>
    <row r="90" spans="2:8" ht="12">
      <c r="B90" s="118" t="s">
        <v>150</v>
      </c>
      <c r="C90" s="131"/>
      <c r="D90" s="131"/>
      <c r="E90" s="131"/>
      <c r="H90" s="131"/>
    </row>
    <row r="91" spans="1:8" ht="12">
      <c r="A91" s="111"/>
      <c r="B91" s="118" t="s">
        <v>148</v>
      </c>
      <c r="C91" s="131"/>
      <c r="D91" s="131"/>
      <c r="E91" s="131"/>
      <c r="H91" s="131"/>
    </row>
    <row r="92" spans="1:8" ht="12">
      <c r="A92" s="111"/>
      <c r="B92" s="118" t="s">
        <v>151</v>
      </c>
      <c r="C92" s="131"/>
      <c r="D92" s="131"/>
      <c r="E92" s="131"/>
      <c r="H92" s="131"/>
    </row>
    <row r="93" spans="1:8" ht="12">
      <c r="A93" s="111"/>
      <c r="C93" s="131"/>
      <c r="D93" s="131"/>
      <c r="E93" s="131"/>
      <c r="H93" s="131"/>
    </row>
    <row r="94" spans="1:8" ht="12">
      <c r="A94" s="111"/>
      <c r="B94" s="118" t="s">
        <v>96</v>
      </c>
      <c r="C94" s="131"/>
      <c r="D94" s="131"/>
      <c r="E94" s="131"/>
      <c r="H94" s="131"/>
    </row>
    <row r="95" spans="1:8" ht="12">
      <c r="A95" s="111"/>
      <c r="B95" s="118" t="s">
        <v>97</v>
      </c>
      <c r="C95" s="131"/>
      <c r="D95" s="131"/>
      <c r="E95" s="131"/>
      <c r="H95" s="131"/>
    </row>
    <row r="96" spans="1:8" ht="12">
      <c r="A96" s="111"/>
      <c r="B96" s="118" t="s">
        <v>152</v>
      </c>
      <c r="C96" s="131"/>
      <c r="D96" s="131"/>
      <c r="E96" s="131"/>
      <c r="H96" s="131"/>
    </row>
    <row r="97" spans="1:8" ht="12">
      <c r="A97" s="111"/>
      <c r="C97" s="131"/>
      <c r="D97" s="131"/>
      <c r="E97" s="131"/>
      <c r="H97" s="131"/>
    </row>
    <row r="98" spans="1:8" ht="12">
      <c r="A98" s="111"/>
      <c r="B98" s="118" t="s">
        <v>99</v>
      </c>
      <c r="C98" s="131"/>
      <c r="D98" s="131"/>
      <c r="E98" s="131"/>
      <c r="H98" s="131"/>
    </row>
    <row r="99" spans="1:8" ht="12">
      <c r="A99" s="111"/>
      <c r="B99" s="118" t="s">
        <v>145</v>
      </c>
      <c r="C99" s="131"/>
      <c r="D99" s="131"/>
      <c r="E99" s="131"/>
      <c r="H99" s="131"/>
    </row>
    <row r="100" spans="1:8" ht="12">
      <c r="A100" s="111"/>
      <c r="B100" s="118" t="s">
        <v>150</v>
      </c>
      <c r="C100" s="131"/>
      <c r="D100" s="131"/>
      <c r="E100" s="131"/>
      <c r="H100" s="131"/>
    </row>
    <row r="101" spans="1:8" ht="12">
      <c r="A101" s="111"/>
      <c r="B101" s="118" t="s">
        <v>148</v>
      </c>
      <c r="C101" s="131"/>
      <c r="D101" s="131"/>
      <c r="E101" s="131"/>
      <c r="H101" s="131"/>
    </row>
    <row r="102" spans="1:8" ht="12">
      <c r="A102" s="111"/>
      <c r="B102" s="118" t="s">
        <v>153</v>
      </c>
      <c r="C102" s="131"/>
      <c r="D102" s="131"/>
      <c r="E102" s="131"/>
      <c r="H102" s="131"/>
    </row>
    <row r="103" spans="1:8" ht="12">
      <c r="A103" s="111"/>
      <c r="B103" s="131"/>
      <c r="C103" s="131"/>
      <c r="D103" s="131"/>
      <c r="E103" s="131"/>
      <c r="H103" s="131"/>
    </row>
    <row r="104" spans="1:8" ht="12">
      <c r="A104" s="111"/>
      <c r="B104" s="131" t="s">
        <v>101</v>
      </c>
      <c r="C104" s="131"/>
      <c r="D104" s="131"/>
      <c r="E104" s="131"/>
      <c r="H104" s="131"/>
    </row>
    <row r="105" spans="1:8" ht="12">
      <c r="A105" s="111"/>
      <c r="B105" s="131"/>
      <c r="C105" s="131"/>
      <c r="D105" s="131"/>
      <c r="E105" s="131"/>
      <c r="H105" s="131"/>
    </row>
    <row r="106" spans="1:8" ht="12">
      <c r="A106" s="111"/>
      <c r="B106" s="131" t="s">
        <v>220</v>
      </c>
      <c r="C106" s="131"/>
      <c r="D106" s="131"/>
      <c r="E106" s="131"/>
      <c r="H106" s="131"/>
    </row>
    <row r="107" spans="1:8" ht="12">
      <c r="A107" s="111"/>
      <c r="B107" s="131"/>
      <c r="C107" s="131"/>
      <c r="D107" s="131"/>
      <c r="E107" s="131"/>
      <c r="H107" s="131"/>
    </row>
    <row r="108" spans="1:8" ht="12">
      <c r="A108" s="111"/>
      <c r="B108" s="131" t="s">
        <v>221</v>
      </c>
      <c r="C108" s="131"/>
      <c r="D108" s="131"/>
      <c r="E108" s="132"/>
      <c r="H108" s="131"/>
    </row>
    <row r="109" spans="1:8" ht="12">
      <c r="A109" s="111"/>
      <c r="B109" s="137" t="s">
        <v>222</v>
      </c>
      <c r="C109" s="138">
        <f>Inputs!$D$4</f>
        <v>0.01065</v>
      </c>
      <c r="D109" s="131"/>
      <c r="E109" s="132"/>
      <c r="H109" s="131"/>
    </row>
    <row r="110" spans="1:8" ht="12">
      <c r="A110" s="111"/>
      <c r="B110" s="131"/>
      <c r="C110" s="131"/>
      <c r="D110" s="131"/>
      <c r="E110" s="132"/>
      <c r="H110" s="131"/>
    </row>
  </sheetData>
  <printOptions/>
  <pageMargins left="1" right="0.75" top="0.5" bottom="0.5" header="0.5" footer="0.5"/>
  <pageSetup horizontalDpi="300" verticalDpi="300" orientation="portrait" scale="90" r:id="rId1"/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110"/>
  <sheetViews>
    <sheetView zoomScale="75" zoomScaleNormal="75" workbookViewId="0" topLeftCell="A36">
      <selection activeCell="A64" sqref="A64"/>
    </sheetView>
  </sheetViews>
  <sheetFormatPr defaultColWidth="9.140625" defaultRowHeight="12.75"/>
  <cols>
    <col min="1" max="1" width="5.57421875" style="348" customWidth="1"/>
    <col min="2" max="2" width="26.140625" style="347" customWidth="1"/>
    <col min="3" max="3" width="12.421875" style="347" customWidth="1"/>
    <col min="4" max="4" width="6.7109375" style="347" customWidth="1"/>
    <col min="5" max="16384" width="12.421875" style="347" customWidth="1"/>
  </cols>
  <sheetData>
    <row r="1" spans="1:3" ht="12">
      <c r="A1" s="345" t="str">
        <f>Inputs!$D$6</f>
        <v>AVISTA UTILITIES</v>
      </c>
      <c r="B1" s="346"/>
      <c r="C1" s="345"/>
    </row>
    <row r="2" spans="1:7" ht="12">
      <c r="A2" s="345" t="s">
        <v>134</v>
      </c>
      <c r="B2" s="346"/>
      <c r="C2" s="345"/>
      <c r="E2" s="345"/>
      <c r="F2" s="348" t="s">
        <v>502</v>
      </c>
      <c r="G2" s="345"/>
    </row>
    <row r="3" spans="1:7" ht="12">
      <c r="A3" s="346" t="str">
        <f>WAElec12_04!$A$4</f>
        <v>TWELVE MONTHS ENDED DECEMBER 31, 2004</v>
      </c>
      <c r="B3" s="346"/>
      <c r="C3" s="345"/>
      <c r="E3" s="345"/>
      <c r="F3" s="348" t="s">
        <v>223</v>
      </c>
      <c r="G3" s="345"/>
    </row>
    <row r="4" spans="1:7" ht="12">
      <c r="A4" s="345" t="s">
        <v>1</v>
      </c>
      <c r="B4" s="346"/>
      <c r="C4" s="345"/>
      <c r="E4" s="349"/>
      <c r="F4" s="350" t="s">
        <v>137</v>
      </c>
      <c r="G4" s="351"/>
    </row>
    <row r="5" ht="12">
      <c r="A5" s="348" t="s">
        <v>13</v>
      </c>
    </row>
    <row r="6" spans="1:8" s="348" customFormat="1" ht="12">
      <c r="A6" s="348" t="s">
        <v>138</v>
      </c>
      <c r="B6" s="352" t="s">
        <v>34</v>
      </c>
      <c r="C6" s="352"/>
      <c r="E6" s="352" t="s">
        <v>139</v>
      </c>
      <c r="F6" s="352" t="s">
        <v>140</v>
      </c>
      <c r="G6" s="352" t="s">
        <v>123</v>
      </c>
      <c r="H6" s="353" t="s">
        <v>141</v>
      </c>
    </row>
    <row r="7" ht="12">
      <c r="B7" s="354" t="s">
        <v>80</v>
      </c>
    </row>
    <row r="8" spans="1:8" s="357" customFormat="1" ht="12">
      <c r="A8" s="355">
        <v>1</v>
      </c>
      <c r="B8" s="356" t="s">
        <v>81</v>
      </c>
      <c r="E8" s="358">
        <f>F8+G8</f>
        <v>0</v>
      </c>
      <c r="F8" s="358"/>
      <c r="G8" s="358"/>
      <c r="H8" s="357" t="str">
        <f aca="true" t="shared" si="0" ref="H8:H13">IF(E8=F8+G8," ","ERROR")</f>
        <v> </v>
      </c>
    </row>
    <row r="9" spans="1:8" ht="12">
      <c r="A9" s="348">
        <v>2</v>
      </c>
      <c r="B9" s="354" t="s">
        <v>82</v>
      </c>
      <c r="E9" s="359"/>
      <c r="F9" s="359"/>
      <c r="G9" s="359"/>
      <c r="H9" s="357" t="str">
        <f t="shared" si="0"/>
        <v> </v>
      </c>
    </row>
    <row r="10" spans="1:8" ht="12">
      <c r="A10" s="348">
        <v>3</v>
      </c>
      <c r="B10" s="354" t="s">
        <v>142</v>
      </c>
      <c r="E10" s="359"/>
      <c r="F10" s="359"/>
      <c r="G10" s="359"/>
      <c r="H10" s="357" t="str">
        <f t="shared" si="0"/>
        <v> </v>
      </c>
    </row>
    <row r="11" spans="1:8" ht="12">
      <c r="A11" s="348">
        <v>4</v>
      </c>
      <c r="B11" s="354" t="s">
        <v>143</v>
      </c>
      <c r="E11" s="360">
        <f>E8+E9+E10</f>
        <v>0</v>
      </c>
      <c r="F11" s="360">
        <f>F8+F9+F10</f>
        <v>0</v>
      </c>
      <c r="G11" s="360">
        <f>G8+G9+G10</f>
        <v>0</v>
      </c>
      <c r="H11" s="357" t="str">
        <f t="shared" si="0"/>
        <v> </v>
      </c>
    </row>
    <row r="12" spans="1:8" ht="12">
      <c r="A12" s="348">
        <v>5</v>
      </c>
      <c r="B12" s="354" t="s">
        <v>85</v>
      </c>
      <c r="E12" s="359"/>
      <c r="F12" s="359"/>
      <c r="G12" s="359"/>
      <c r="H12" s="357" t="str">
        <f t="shared" si="0"/>
        <v> </v>
      </c>
    </row>
    <row r="13" spans="1:8" ht="12">
      <c r="A13" s="348">
        <v>6</v>
      </c>
      <c r="B13" s="354" t="s">
        <v>144</v>
      </c>
      <c r="E13" s="360">
        <f>E11+E12</f>
        <v>0</v>
      </c>
      <c r="F13" s="360">
        <f>F11+F12</f>
        <v>0</v>
      </c>
      <c r="G13" s="360">
        <f>G11+G12</f>
        <v>0</v>
      </c>
      <c r="H13" s="357" t="str">
        <f t="shared" si="0"/>
        <v> </v>
      </c>
    </row>
    <row r="14" spans="5:8" ht="12">
      <c r="E14" s="361"/>
      <c r="F14" s="361"/>
      <c r="G14" s="361"/>
      <c r="H14" s="357"/>
    </row>
    <row r="15" spans="2:8" ht="12">
      <c r="B15" s="354" t="s">
        <v>87</v>
      </c>
      <c r="E15" s="361"/>
      <c r="F15" s="361"/>
      <c r="G15" s="361"/>
      <c r="H15" s="357"/>
    </row>
    <row r="16" spans="2:8" ht="12">
      <c r="B16" s="354" t="s">
        <v>88</v>
      </c>
      <c r="E16" s="361"/>
      <c r="F16" s="361"/>
      <c r="G16" s="361"/>
      <c r="H16" s="357"/>
    </row>
    <row r="17" spans="1:8" ht="12">
      <c r="A17" s="348">
        <v>7</v>
      </c>
      <c r="B17" s="354" t="s">
        <v>145</v>
      </c>
      <c r="E17" s="359"/>
      <c r="F17" s="359"/>
      <c r="G17" s="359"/>
      <c r="H17" s="357" t="str">
        <f>IF(E17=F17+G17," ","ERROR")</f>
        <v> </v>
      </c>
    </row>
    <row r="18" spans="1:8" ht="12">
      <c r="A18" s="348">
        <v>8</v>
      </c>
      <c r="B18" s="354" t="s">
        <v>146</v>
      </c>
      <c r="E18" s="359"/>
      <c r="F18" s="359"/>
      <c r="G18" s="359"/>
      <c r="H18" s="357" t="str">
        <f>IF(E18=F18+G18," ","ERROR")</f>
        <v> </v>
      </c>
    </row>
    <row r="19" spans="1:8" ht="12">
      <c r="A19" s="348">
        <v>9</v>
      </c>
      <c r="B19" s="354" t="s">
        <v>147</v>
      </c>
      <c r="E19" s="359">
        <f>SUM(F19:G19)</f>
        <v>0</v>
      </c>
      <c r="F19" s="359">
        <v>-221</v>
      </c>
      <c r="G19" s="359">
        <v>221</v>
      </c>
      <c r="H19" s="357" t="str">
        <f>IF(E19=F19+G19," ","ERROR")</f>
        <v> </v>
      </c>
    </row>
    <row r="20" spans="1:8" ht="12">
      <c r="A20" s="348">
        <v>10</v>
      </c>
      <c r="B20" s="354" t="s">
        <v>148</v>
      </c>
      <c r="E20" s="359"/>
      <c r="F20" s="359"/>
      <c r="G20" s="359"/>
      <c r="H20" s="357" t="str">
        <f>IF(E20=F20+G20," ","ERROR")</f>
        <v> </v>
      </c>
    </row>
    <row r="21" spans="1:8" ht="12">
      <c r="A21" s="348">
        <v>11</v>
      </c>
      <c r="B21" s="354" t="s">
        <v>149</v>
      </c>
      <c r="E21" s="360">
        <f>E17+E18+E19+E20</f>
        <v>0</v>
      </c>
      <c r="F21" s="360">
        <f>F17+F18+F19+F20</f>
        <v>-221</v>
      </c>
      <c r="G21" s="360">
        <f>G17+G18+G19+G20</f>
        <v>221</v>
      </c>
      <c r="H21" s="357" t="str">
        <f>IF(E21=F21+G21," ","ERROR")</f>
        <v> </v>
      </c>
    </row>
    <row r="22" spans="5:8" ht="12">
      <c r="E22" s="361"/>
      <c r="F22" s="361"/>
      <c r="G22" s="361"/>
      <c r="H22" s="357"/>
    </row>
    <row r="23" spans="2:8" ht="12">
      <c r="B23" s="354" t="s">
        <v>93</v>
      </c>
      <c r="E23" s="361"/>
      <c r="F23" s="361"/>
      <c r="G23" s="361"/>
      <c r="H23" s="357"/>
    </row>
    <row r="24" spans="1:8" ht="12">
      <c r="A24" s="348">
        <v>12</v>
      </c>
      <c r="B24" s="354" t="s">
        <v>145</v>
      </c>
      <c r="E24" s="359"/>
      <c r="F24" s="359"/>
      <c r="G24" s="359"/>
      <c r="H24" s="357" t="str">
        <f>IF(E24=F24+G24," ","ERROR")</f>
        <v> </v>
      </c>
    </row>
    <row r="25" spans="1:8" ht="12">
      <c r="A25" s="348">
        <v>13</v>
      </c>
      <c r="B25" s="354" t="s">
        <v>150</v>
      </c>
      <c r="E25" s="359"/>
      <c r="F25" s="359"/>
      <c r="G25" s="359"/>
      <c r="H25" s="357" t="str">
        <f>IF(E25=F25+G25," ","ERROR")</f>
        <v> </v>
      </c>
    </row>
    <row r="26" spans="1:8" ht="12">
      <c r="A26" s="348">
        <v>14</v>
      </c>
      <c r="B26" s="354" t="s">
        <v>148</v>
      </c>
      <c r="E26" s="359">
        <f>F26+G26</f>
        <v>0</v>
      </c>
      <c r="F26" s="359"/>
      <c r="G26" s="359"/>
      <c r="H26" s="357" t="str">
        <f>IF(E26=F26+G26," ","ERROR")</f>
        <v> </v>
      </c>
    </row>
    <row r="27" spans="1:8" ht="12">
      <c r="A27" s="348">
        <v>15</v>
      </c>
      <c r="B27" s="354" t="s">
        <v>151</v>
      </c>
      <c r="E27" s="360">
        <f>E24+E25+E26</f>
        <v>0</v>
      </c>
      <c r="F27" s="360">
        <f>F24+F25+F26</f>
        <v>0</v>
      </c>
      <c r="G27" s="360">
        <f>G24+G25+G26</f>
        <v>0</v>
      </c>
      <c r="H27" s="357" t="str">
        <f>IF(E27=F27+G27," ","ERROR")</f>
        <v> </v>
      </c>
    </row>
    <row r="28" spans="5:8" ht="12">
      <c r="E28" s="361"/>
      <c r="F28" s="361"/>
      <c r="G28" s="361"/>
      <c r="H28" s="357"/>
    </row>
    <row r="29" spans="1:8" ht="12">
      <c r="A29" s="348">
        <v>16</v>
      </c>
      <c r="B29" s="354" t="s">
        <v>96</v>
      </c>
      <c r="E29" s="359"/>
      <c r="F29" s="359"/>
      <c r="G29" s="359"/>
      <c r="H29" s="357" t="str">
        <f>IF(E29=F29+G29," ","ERROR")</f>
        <v> </v>
      </c>
    </row>
    <row r="30" spans="1:8" ht="12">
      <c r="A30" s="348">
        <v>17</v>
      </c>
      <c r="B30" s="354" t="s">
        <v>97</v>
      </c>
      <c r="E30" s="359"/>
      <c r="F30" s="359"/>
      <c r="G30" s="359"/>
      <c r="H30" s="357" t="str">
        <f>IF(E30=F30+G30," ","ERROR")</f>
        <v> </v>
      </c>
    </row>
    <row r="31" spans="1:8" ht="12">
      <c r="A31" s="348">
        <v>18</v>
      </c>
      <c r="B31" s="354" t="s">
        <v>152</v>
      </c>
      <c r="E31" s="359"/>
      <c r="F31" s="359"/>
      <c r="G31" s="359"/>
      <c r="H31" s="357" t="str">
        <f>IF(E31=F31+G31," ","ERROR")</f>
        <v> </v>
      </c>
    </row>
    <row r="32" spans="5:8" ht="12">
      <c r="E32" s="361"/>
      <c r="F32" s="361"/>
      <c r="G32" s="361"/>
      <c r="H32" s="357"/>
    </row>
    <row r="33" spans="2:8" ht="12">
      <c r="B33" s="354" t="s">
        <v>99</v>
      </c>
      <c r="E33" s="361"/>
      <c r="F33" s="361"/>
      <c r="G33" s="361"/>
      <c r="H33" s="357"/>
    </row>
    <row r="34" spans="1:8" ht="12">
      <c r="A34" s="348">
        <v>19</v>
      </c>
      <c r="B34" s="354" t="s">
        <v>145</v>
      </c>
      <c r="E34" s="359"/>
      <c r="F34" s="359"/>
      <c r="G34" s="359"/>
      <c r="H34" s="357" t="str">
        <f>IF(E34=F34+G34," ","ERROR")</f>
        <v> </v>
      </c>
    </row>
    <row r="35" spans="1:8" ht="12">
      <c r="A35" s="348">
        <v>20</v>
      </c>
      <c r="B35" s="354" t="s">
        <v>150</v>
      </c>
      <c r="E35" s="359"/>
      <c r="F35" s="359"/>
      <c r="G35" s="359"/>
      <c r="H35" s="357" t="str">
        <f>IF(E35=F35+G35," ","ERROR")</f>
        <v> </v>
      </c>
    </row>
    <row r="36" spans="1:8" ht="12">
      <c r="A36" s="348">
        <v>21</v>
      </c>
      <c r="B36" s="354" t="s">
        <v>148</v>
      </c>
      <c r="E36" s="359"/>
      <c r="F36" s="359"/>
      <c r="G36" s="359"/>
      <c r="H36" s="357" t="str">
        <f>IF(E36=F36+G36," ","ERROR")</f>
        <v> </v>
      </c>
    </row>
    <row r="37" spans="1:8" ht="12">
      <c r="A37" s="348">
        <v>22</v>
      </c>
      <c r="B37" s="354" t="s">
        <v>153</v>
      </c>
      <c r="E37" s="362">
        <f>E34+E35+E36</f>
        <v>0</v>
      </c>
      <c r="F37" s="362">
        <f>F34+F35+F36</f>
        <v>0</v>
      </c>
      <c r="G37" s="362">
        <f>G34+G35+G36</f>
        <v>0</v>
      </c>
      <c r="H37" s="357" t="str">
        <f>IF(E37=F37+G37," ","ERROR")</f>
        <v> </v>
      </c>
    </row>
    <row r="38" spans="1:8" ht="12">
      <c r="A38" s="348">
        <v>23</v>
      </c>
      <c r="B38" s="354" t="s">
        <v>101</v>
      </c>
      <c r="E38" s="363">
        <f>E21+E27+E29+E30+E31+E37</f>
        <v>0</v>
      </c>
      <c r="F38" s="363">
        <f>F21+F27+F29+F30+F31+F37</f>
        <v>-221</v>
      </c>
      <c r="G38" s="363">
        <f>G21+G27+G29+G30+G31+G37</f>
        <v>221</v>
      </c>
      <c r="H38" s="357" t="str">
        <f>IF(E38=F38+G38," ","ERROR")</f>
        <v> </v>
      </c>
    </row>
    <row r="39" spans="5:8" ht="12">
      <c r="E39" s="361"/>
      <c r="F39" s="361"/>
      <c r="G39" s="361"/>
      <c r="H39" s="357"/>
    </row>
    <row r="40" spans="1:8" ht="12">
      <c r="A40" s="348">
        <v>24</v>
      </c>
      <c r="B40" s="354" t="s">
        <v>154</v>
      </c>
      <c r="E40" s="361">
        <f>E13-E38</f>
        <v>0</v>
      </c>
      <c r="F40" s="361">
        <f>F13-F38</f>
        <v>221</v>
      </c>
      <c r="G40" s="361">
        <f>G13-G38</f>
        <v>-221</v>
      </c>
      <c r="H40" s="357" t="str">
        <f>IF(E40=F40+G40," ","ERROR")</f>
        <v> </v>
      </c>
    </row>
    <row r="41" spans="2:8" ht="12">
      <c r="B41" s="354"/>
      <c r="E41" s="361"/>
      <c r="F41" s="361"/>
      <c r="G41" s="361"/>
      <c r="H41" s="357"/>
    </row>
    <row r="42" spans="2:8" ht="12">
      <c r="B42" s="354" t="s">
        <v>155</v>
      </c>
      <c r="E42" s="361"/>
      <c r="F42" s="361"/>
      <c r="G42" s="361"/>
      <c r="H42" s="357"/>
    </row>
    <row r="43" spans="1:8" ht="12">
      <c r="A43" s="348">
        <v>25</v>
      </c>
      <c r="B43" s="354" t="s">
        <v>156</v>
      </c>
      <c r="D43" s="364">
        <v>0.35</v>
      </c>
      <c r="E43" s="359">
        <f>F43+G43</f>
        <v>0</v>
      </c>
      <c r="F43" s="359"/>
      <c r="G43" s="359"/>
      <c r="H43" s="357" t="str">
        <f>IF(E43=F43+G43," ","ERROR")</f>
        <v> </v>
      </c>
    </row>
    <row r="44" spans="1:8" ht="12">
      <c r="A44" s="348">
        <v>26</v>
      </c>
      <c r="B44" s="354" t="s">
        <v>157</v>
      </c>
      <c r="E44" s="359"/>
      <c r="F44" s="359"/>
      <c r="G44" s="359"/>
      <c r="H44" s="357" t="str">
        <f>IF(E44=F44+G44," ","ERROR")</f>
        <v> </v>
      </c>
    </row>
    <row r="45" spans="1:8" ht="12.75">
      <c r="A45"/>
      <c r="B45"/>
      <c r="C45"/>
      <c r="D45"/>
      <c r="E45" s="943"/>
      <c r="F45" s="943"/>
      <c r="G45" s="943"/>
      <c r="H45" s="357" t="str">
        <f>IF(E45=F45+G45," ","ERROR")</f>
        <v> </v>
      </c>
    </row>
    <row r="46" spans="1:8" ht="12">
      <c r="A46" s="278"/>
      <c r="B46" s="281"/>
      <c r="C46" s="275"/>
      <c r="D46" s="275"/>
      <c r="E46" s="288"/>
      <c r="F46" s="288"/>
      <c r="G46" s="288"/>
      <c r="H46" s="357"/>
    </row>
    <row r="47" spans="1:8" s="357" customFormat="1" ht="12">
      <c r="A47" s="282">
        <v>27</v>
      </c>
      <c r="B47" s="283" t="s">
        <v>108</v>
      </c>
      <c r="C47" s="284"/>
      <c r="D47" s="284"/>
      <c r="E47" s="292">
        <f>E40-SUM(E43:E44)</f>
        <v>0</v>
      </c>
      <c r="F47" s="292">
        <f>F40-SUM(F43:F44)</f>
        <v>221</v>
      </c>
      <c r="G47" s="292">
        <f>G40-SUM(G43:G44)</f>
        <v>-221</v>
      </c>
      <c r="H47" s="357" t="str">
        <f>IF(E47=F47+G47," ","ERROR")</f>
        <v> </v>
      </c>
    </row>
    <row r="48" spans="1:8" ht="12">
      <c r="A48" s="278"/>
      <c r="H48" s="357"/>
    </row>
    <row r="49" spans="1:8" ht="12">
      <c r="A49" s="278"/>
      <c r="B49" s="354" t="s">
        <v>109</v>
      </c>
      <c r="H49" s="357"/>
    </row>
    <row r="50" spans="1:8" ht="12">
      <c r="A50" s="278"/>
      <c r="B50" s="354" t="s">
        <v>110</v>
      </c>
      <c r="H50" s="357"/>
    </row>
    <row r="51" spans="1:8" s="357" customFormat="1" ht="12">
      <c r="A51" s="282">
        <v>28</v>
      </c>
      <c r="B51" s="356" t="s">
        <v>159</v>
      </c>
      <c r="E51" s="358"/>
      <c r="F51" s="358"/>
      <c r="G51" s="358"/>
      <c r="H51" s="357" t="str">
        <f aca="true" t="shared" si="1" ref="H51:H61">IF(E51=F51+G51," ","ERROR")</f>
        <v> </v>
      </c>
    </row>
    <row r="52" spans="1:8" ht="12">
      <c r="A52" s="278">
        <v>29</v>
      </c>
      <c r="B52" s="354" t="s">
        <v>160</v>
      </c>
      <c r="E52" s="359">
        <f>SUM(F52:G52)</f>
        <v>0</v>
      </c>
      <c r="F52" s="359">
        <v>-7325</v>
      </c>
      <c r="G52" s="359">
        <v>7325</v>
      </c>
      <c r="H52" s="357" t="str">
        <f t="shared" si="1"/>
        <v> </v>
      </c>
    </row>
    <row r="53" spans="1:8" ht="12">
      <c r="A53" s="278">
        <v>30</v>
      </c>
      <c r="B53" s="354" t="s">
        <v>161</v>
      </c>
      <c r="E53" s="359"/>
      <c r="F53" s="359"/>
      <c r="G53" s="359"/>
      <c r="H53" s="357" t="str">
        <f t="shared" si="1"/>
        <v> </v>
      </c>
    </row>
    <row r="54" spans="1:8" ht="12">
      <c r="A54" s="278">
        <v>31</v>
      </c>
      <c r="B54" s="354" t="s">
        <v>162</v>
      </c>
      <c r="E54" s="359"/>
      <c r="F54" s="359"/>
      <c r="G54" s="359"/>
      <c r="H54" s="357" t="str">
        <f t="shared" si="1"/>
        <v> </v>
      </c>
    </row>
    <row r="55" spans="1:8" ht="12">
      <c r="A55" s="278">
        <v>32</v>
      </c>
      <c r="B55" s="354" t="s">
        <v>163</v>
      </c>
      <c r="E55" s="365"/>
      <c r="F55" s="365"/>
      <c r="G55" s="365"/>
      <c r="H55" s="357" t="str">
        <f t="shared" si="1"/>
        <v> </v>
      </c>
    </row>
    <row r="56" spans="1:8" ht="12">
      <c r="A56" s="278">
        <v>33</v>
      </c>
      <c r="B56" s="354" t="s">
        <v>164</v>
      </c>
      <c r="E56" s="361">
        <f>E51+E52+E53+E54+E55</f>
        <v>0</v>
      </c>
      <c r="F56" s="361">
        <f>F51+F52+F53+F54+F55</f>
        <v>-7325</v>
      </c>
      <c r="G56" s="361">
        <f>G51+G52+G53+G54+G55</f>
        <v>7325</v>
      </c>
      <c r="H56" s="357" t="str">
        <f t="shared" si="1"/>
        <v> </v>
      </c>
    </row>
    <row r="57" spans="1:8" ht="12">
      <c r="A57" s="278">
        <v>34</v>
      </c>
      <c r="B57" s="354" t="s">
        <v>116</v>
      </c>
      <c r="E57" s="359">
        <f>SUM(F57:G57)</f>
        <v>0</v>
      </c>
      <c r="F57" s="359">
        <v>-5023</v>
      </c>
      <c r="G57" s="359">
        <v>5023</v>
      </c>
      <c r="H57" s="357" t="str">
        <f t="shared" si="1"/>
        <v> </v>
      </c>
    </row>
    <row r="58" spans="1:8" ht="12">
      <c r="A58" s="278">
        <v>35</v>
      </c>
      <c r="B58" s="354" t="s">
        <v>117</v>
      </c>
      <c r="E58" s="365"/>
      <c r="F58" s="365"/>
      <c r="G58" s="365"/>
      <c r="H58" s="357" t="str">
        <f t="shared" si="1"/>
        <v> </v>
      </c>
    </row>
    <row r="59" spans="1:8" ht="12">
      <c r="A59" s="278">
        <v>36</v>
      </c>
      <c r="B59" s="354" t="s">
        <v>165</v>
      </c>
      <c r="E59" s="361">
        <f>E57+E58</f>
        <v>0</v>
      </c>
      <c r="F59" s="361">
        <f>F57+F58</f>
        <v>-5023</v>
      </c>
      <c r="G59" s="361">
        <f>G57+G58</f>
        <v>5023</v>
      </c>
      <c r="H59" s="357" t="str">
        <f t="shared" si="1"/>
        <v> </v>
      </c>
    </row>
    <row r="60" spans="1:8" ht="12">
      <c r="A60" s="278">
        <v>37</v>
      </c>
      <c r="B60" s="354" t="s">
        <v>119</v>
      </c>
      <c r="E60" s="359"/>
      <c r="F60" s="359"/>
      <c r="G60" s="359"/>
      <c r="H60" s="357" t="str">
        <f t="shared" si="1"/>
        <v> </v>
      </c>
    </row>
    <row r="61" spans="1:8" ht="12">
      <c r="A61" s="278">
        <v>38</v>
      </c>
      <c r="B61" s="354" t="s">
        <v>120</v>
      </c>
      <c r="E61" s="365"/>
      <c r="F61" s="365"/>
      <c r="G61" s="365"/>
      <c r="H61" s="357" t="str">
        <f t="shared" si="1"/>
        <v> </v>
      </c>
    </row>
    <row r="62" spans="1:8" ht="9" customHeight="1">
      <c r="A62" s="278"/>
      <c r="H62" s="357"/>
    </row>
    <row r="63" spans="1:8" s="357" customFormat="1" ht="12.75" thickBot="1">
      <c r="A63" s="282">
        <v>39</v>
      </c>
      <c r="B63" s="356" t="s">
        <v>121</v>
      </c>
      <c r="E63" s="366">
        <f>E56-E59+E60+E61</f>
        <v>0</v>
      </c>
      <c r="F63" s="366">
        <f>F56-F59+F60+F61</f>
        <v>-2302</v>
      </c>
      <c r="G63" s="366">
        <f>G56-G59+G60+G61</f>
        <v>2302</v>
      </c>
      <c r="H63" s="357" t="str">
        <f>IF(E63=F63+G63," ","ERROR")</f>
        <v> </v>
      </c>
    </row>
    <row r="64" ht="12.75" thickTop="1">
      <c r="E64" s="367"/>
    </row>
    <row r="65" spans="1:8" ht="12">
      <c r="A65" s="346" t="str">
        <f>Inputs!$D$6</f>
        <v>AVISTA UTILITIES</v>
      </c>
      <c r="B65" s="346"/>
      <c r="C65" s="346"/>
      <c r="D65" s="368"/>
      <c r="E65" s="369"/>
      <c r="F65" s="368"/>
      <c r="G65" s="370" t="s">
        <v>224</v>
      </c>
      <c r="H65" s="369"/>
    </row>
    <row r="66" spans="1:8" ht="12">
      <c r="A66" s="346" t="s">
        <v>218</v>
      </c>
      <c r="B66" s="346"/>
      <c r="C66" s="346"/>
      <c r="D66" s="368"/>
      <c r="E66" s="369"/>
      <c r="F66" s="368"/>
      <c r="G66" s="371"/>
      <c r="H66" s="369"/>
    </row>
    <row r="67" spans="1:8" ht="12">
      <c r="A67" s="346" t="str">
        <f>A3</f>
        <v>TWELVE MONTHS ENDED DECEMBER 31, 2004</v>
      </c>
      <c r="B67" s="346"/>
      <c r="C67" s="346"/>
      <c r="D67" s="368"/>
      <c r="E67" s="369"/>
      <c r="F67" s="368"/>
      <c r="G67" s="372" t="str">
        <f>F2</f>
        <v>PRO FORMA COLSTRIP #3 AFUDC</v>
      </c>
      <c r="H67" s="369"/>
    </row>
    <row r="68" spans="1:8" ht="12">
      <c r="A68" s="346" t="s">
        <v>219</v>
      </c>
      <c r="B68" s="346"/>
      <c r="C68" s="346"/>
      <c r="D68" s="368"/>
      <c r="E68" s="369"/>
      <c r="F68" s="368"/>
      <c r="G68" s="372" t="str">
        <f>F3</f>
        <v>ELIMINATION REALLOCATION</v>
      </c>
      <c r="H68" s="369"/>
    </row>
    <row r="69" spans="2:8" ht="12">
      <c r="B69" s="368"/>
      <c r="C69" s="368"/>
      <c r="D69" s="368"/>
      <c r="E69" s="373"/>
      <c r="F69" s="374"/>
      <c r="G69" s="375" t="str">
        <f>F4</f>
        <v>ELECTRIC</v>
      </c>
      <c r="H69" s="376"/>
    </row>
    <row r="70" spans="2:8" ht="12">
      <c r="B70" s="368"/>
      <c r="C70" s="368"/>
      <c r="D70" s="368"/>
      <c r="E70" s="369"/>
      <c r="F70" s="368"/>
      <c r="G70" s="372"/>
      <c r="H70" s="369"/>
    </row>
    <row r="71" spans="2:8" ht="12">
      <c r="B71" s="377" t="s">
        <v>128</v>
      </c>
      <c r="C71" s="374"/>
      <c r="D71" s="368"/>
      <c r="E71" s="369"/>
      <c r="F71" s="368"/>
      <c r="G71" s="375" t="s">
        <v>123</v>
      </c>
      <c r="H71" s="369"/>
    </row>
    <row r="72" spans="2:8" ht="12">
      <c r="B72" s="354" t="s">
        <v>80</v>
      </c>
      <c r="C72" s="368"/>
      <c r="D72" s="368"/>
      <c r="E72" s="368"/>
      <c r="F72" s="368"/>
      <c r="G72" s="371"/>
      <c r="H72" s="368"/>
    </row>
    <row r="73" spans="2:8" ht="12">
      <c r="B73" s="356" t="s">
        <v>81</v>
      </c>
      <c r="C73" s="368"/>
      <c r="D73" s="368"/>
      <c r="E73" s="368"/>
      <c r="F73" s="368"/>
      <c r="G73" s="378">
        <f>G8</f>
        <v>0</v>
      </c>
      <c r="H73" s="368"/>
    </row>
    <row r="74" spans="2:8" ht="12">
      <c r="B74" s="354" t="s">
        <v>82</v>
      </c>
      <c r="C74" s="368"/>
      <c r="D74" s="368"/>
      <c r="E74" s="368"/>
      <c r="F74" s="368"/>
      <c r="G74" s="361">
        <f>G9</f>
        <v>0</v>
      </c>
      <c r="H74" s="368"/>
    </row>
    <row r="75" spans="2:8" ht="12">
      <c r="B75" s="354" t="s">
        <v>142</v>
      </c>
      <c r="C75" s="368"/>
      <c r="D75" s="368"/>
      <c r="E75" s="368"/>
      <c r="F75" s="368"/>
      <c r="G75" s="363">
        <f>G10</f>
        <v>0</v>
      </c>
      <c r="H75" s="368"/>
    </row>
    <row r="76" spans="2:8" ht="12">
      <c r="B76" s="354" t="s">
        <v>143</v>
      </c>
      <c r="C76" s="368"/>
      <c r="D76" s="368"/>
      <c r="E76" s="368"/>
      <c r="F76" s="368"/>
      <c r="G76" s="361">
        <f>SUM(G73:G75)</f>
        <v>0</v>
      </c>
      <c r="H76" s="368"/>
    </row>
    <row r="77" spans="2:8" ht="12">
      <c r="B77" s="354" t="s">
        <v>85</v>
      </c>
      <c r="C77" s="368"/>
      <c r="D77" s="368"/>
      <c r="E77" s="368"/>
      <c r="F77" s="368"/>
      <c r="G77" s="363">
        <f>G12</f>
        <v>0</v>
      </c>
      <c r="H77" s="368"/>
    </row>
    <row r="78" spans="2:8" ht="12">
      <c r="B78" s="354" t="s">
        <v>144</v>
      </c>
      <c r="C78" s="368"/>
      <c r="D78" s="368"/>
      <c r="E78" s="368"/>
      <c r="F78" s="368"/>
      <c r="G78" s="361">
        <f>G76+G77</f>
        <v>0</v>
      </c>
      <c r="H78" s="368"/>
    </row>
    <row r="79" spans="3:8" ht="12">
      <c r="C79" s="368"/>
      <c r="D79" s="368"/>
      <c r="E79" s="368"/>
      <c r="F79" s="368"/>
      <c r="G79" s="361"/>
      <c r="H79" s="368"/>
    </row>
    <row r="80" spans="2:8" ht="12">
      <c r="B80" s="354" t="s">
        <v>87</v>
      </c>
      <c r="C80" s="368"/>
      <c r="D80" s="368"/>
      <c r="E80" s="368"/>
      <c r="F80" s="368"/>
      <c r="G80" s="361"/>
      <c r="H80" s="368"/>
    </row>
    <row r="81" spans="2:8" ht="12">
      <c r="B81" s="354" t="s">
        <v>88</v>
      </c>
      <c r="C81" s="368"/>
      <c r="D81" s="368"/>
      <c r="E81" s="368"/>
      <c r="F81" s="368"/>
      <c r="G81" s="361"/>
      <c r="H81" s="368"/>
    </row>
    <row r="82" spans="2:8" ht="12">
      <c r="B82" s="354" t="s">
        <v>145</v>
      </c>
      <c r="C82" s="368"/>
      <c r="D82" s="368"/>
      <c r="E82" s="368"/>
      <c r="F82" s="368"/>
      <c r="G82" s="361">
        <f>G17</f>
        <v>0</v>
      </c>
      <c r="H82" s="368"/>
    </row>
    <row r="83" spans="2:8" ht="12">
      <c r="B83" s="354" t="s">
        <v>146</v>
      </c>
      <c r="C83" s="368"/>
      <c r="D83" s="368"/>
      <c r="E83" s="368"/>
      <c r="F83" s="368"/>
      <c r="G83" s="361">
        <f>G18</f>
        <v>0</v>
      </c>
      <c r="H83" s="368"/>
    </row>
    <row r="84" spans="2:8" ht="12">
      <c r="B84" s="354" t="s">
        <v>147</v>
      </c>
      <c r="C84" s="368"/>
      <c r="D84" s="368"/>
      <c r="E84" s="368"/>
      <c r="F84" s="368"/>
      <c r="G84" s="361">
        <f>G19</f>
        <v>221</v>
      </c>
      <c r="H84" s="368"/>
    </row>
    <row r="85" spans="2:8" ht="12">
      <c r="B85" s="354" t="s">
        <v>148</v>
      </c>
      <c r="C85" s="368"/>
      <c r="D85" s="368"/>
      <c r="E85" s="368"/>
      <c r="F85" s="368"/>
      <c r="G85" s="363">
        <f>G20</f>
        <v>0</v>
      </c>
      <c r="H85" s="368"/>
    </row>
    <row r="86" spans="2:8" ht="12">
      <c r="B86" s="354" t="s">
        <v>149</v>
      </c>
      <c r="C86" s="368"/>
      <c r="D86" s="368"/>
      <c r="E86" s="368"/>
      <c r="F86" s="368"/>
      <c r="G86" s="361">
        <f>SUM(G82:G85)</f>
        <v>221</v>
      </c>
      <c r="H86" s="368"/>
    </row>
    <row r="87" spans="3:8" ht="12">
      <c r="C87" s="368"/>
      <c r="D87" s="368"/>
      <c r="E87" s="368"/>
      <c r="F87" s="368"/>
      <c r="G87" s="361"/>
      <c r="H87" s="368"/>
    </row>
    <row r="88" spans="2:8" ht="12">
      <c r="B88" s="354" t="s">
        <v>93</v>
      </c>
      <c r="C88" s="368"/>
      <c r="D88" s="368"/>
      <c r="E88" s="368"/>
      <c r="F88" s="368"/>
      <c r="G88" s="361"/>
      <c r="H88" s="368"/>
    </row>
    <row r="89" spans="2:8" ht="12">
      <c r="B89" s="354" t="s">
        <v>145</v>
      </c>
      <c r="C89" s="368"/>
      <c r="D89" s="368"/>
      <c r="E89" s="368"/>
      <c r="F89" s="368"/>
      <c r="G89" s="361">
        <f>G24</f>
        <v>0</v>
      </c>
      <c r="H89" s="368"/>
    </row>
    <row r="90" spans="2:8" ht="12">
      <c r="B90" s="354" t="s">
        <v>150</v>
      </c>
      <c r="C90" s="368"/>
      <c r="D90" s="368"/>
      <c r="E90" s="368"/>
      <c r="F90" s="368"/>
      <c r="G90" s="361">
        <f>G25</f>
        <v>0</v>
      </c>
      <c r="H90" s="368"/>
    </row>
    <row r="91" spans="1:8" ht="12">
      <c r="A91" s="347"/>
      <c r="B91" s="354" t="s">
        <v>148</v>
      </c>
      <c r="C91" s="368"/>
      <c r="D91" s="368"/>
      <c r="E91" s="368"/>
      <c r="F91" s="368"/>
      <c r="G91" s="361"/>
      <c r="H91" s="368"/>
    </row>
    <row r="92" spans="1:8" ht="12">
      <c r="A92" s="347"/>
      <c r="B92" s="354" t="s">
        <v>151</v>
      </c>
      <c r="C92" s="368"/>
      <c r="D92" s="368"/>
      <c r="E92" s="368"/>
      <c r="F92" s="368"/>
      <c r="G92" s="360">
        <f>SUM(G89:G91)</f>
        <v>0</v>
      </c>
      <c r="H92" s="368"/>
    </row>
    <row r="93" spans="1:8" ht="12">
      <c r="A93" s="347"/>
      <c r="C93" s="368"/>
      <c r="D93" s="368"/>
      <c r="E93" s="368"/>
      <c r="F93" s="368"/>
      <c r="G93" s="361"/>
      <c r="H93" s="368"/>
    </row>
    <row r="94" spans="1:8" ht="12">
      <c r="A94" s="347"/>
      <c r="B94" s="354" t="s">
        <v>96</v>
      </c>
      <c r="C94" s="368"/>
      <c r="D94" s="368"/>
      <c r="E94" s="368"/>
      <c r="F94" s="368"/>
      <c r="G94" s="361">
        <f>G29</f>
        <v>0</v>
      </c>
      <c r="H94" s="368"/>
    </row>
    <row r="95" spans="1:8" ht="12">
      <c r="A95" s="347"/>
      <c r="B95" s="354" t="s">
        <v>97</v>
      </c>
      <c r="C95" s="368"/>
      <c r="D95" s="368"/>
      <c r="E95" s="368"/>
      <c r="F95" s="368"/>
      <c r="G95" s="361">
        <f>G30</f>
        <v>0</v>
      </c>
      <c r="H95" s="368"/>
    </row>
    <row r="96" spans="1:8" ht="12">
      <c r="A96" s="347"/>
      <c r="B96" s="354" t="s">
        <v>152</v>
      </c>
      <c r="C96" s="368"/>
      <c r="D96" s="368"/>
      <c r="E96" s="368"/>
      <c r="F96" s="368"/>
      <c r="G96" s="361">
        <f>G31</f>
        <v>0</v>
      </c>
      <c r="H96" s="368"/>
    </row>
    <row r="97" spans="1:8" ht="12">
      <c r="A97" s="347"/>
      <c r="C97" s="368"/>
      <c r="D97" s="368"/>
      <c r="E97" s="368"/>
      <c r="F97" s="368"/>
      <c r="G97" s="361"/>
      <c r="H97" s="368"/>
    </row>
    <row r="98" spans="1:8" ht="12">
      <c r="A98" s="347"/>
      <c r="B98" s="354" t="s">
        <v>99</v>
      </c>
      <c r="C98" s="368"/>
      <c r="D98" s="368"/>
      <c r="E98" s="368"/>
      <c r="F98" s="368"/>
      <c r="G98" s="361"/>
      <c r="H98" s="368"/>
    </row>
    <row r="99" spans="1:8" ht="12">
      <c r="A99" s="347"/>
      <c r="B99" s="354" t="s">
        <v>145</v>
      </c>
      <c r="C99" s="368"/>
      <c r="D99" s="368"/>
      <c r="E99" s="368"/>
      <c r="F99" s="368"/>
      <c r="G99" s="361">
        <f>G34</f>
        <v>0</v>
      </c>
      <c r="H99" s="368"/>
    </row>
    <row r="100" spans="1:8" ht="12">
      <c r="A100" s="347"/>
      <c r="B100" s="354" t="s">
        <v>150</v>
      </c>
      <c r="C100" s="368"/>
      <c r="D100" s="368"/>
      <c r="E100" s="368"/>
      <c r="F100" s="368"/>
      <c r="G100" s="361">
        <f>G35</f>
        <v>0</v>
      </c>
      <c r="H100" s="368"/>
    </row>
    <row r="101" spans="1:8" ht="12">
      <c r="A101" s="347"/>
      <c r="B101" s="354" t="s">
        <v>148</v>
      </c>
      <c r="C101" s="368"/>
      <c r="D101" s="368"/>
      <c r="E101" s="368"/>
      <c r="F101" s="368"/>
      <c r="G101" s="363">
        <f>G36</f>
        <v>0</v>
      </c>
      <c r="H101" s="368"/>
    </row>
    <row r="102" spans="1:8" ht="12">
      <c r="A102" s="347"/>
      <c r="B102" s="354" t="s">
        <v>153</v>
      </c>
      <c r="C102" s="368"/>
      <c r="D102" s="368"/>
      <c r="E102" s="368"/>
      <c r="F102" s="368"/>
      <c r="G102" s="361">
        <f>G99+G100+G101</f>
        <v>0</v>
      </c>
      <c r="H102" s="368"/>
    </row>
    <row r="103" spans="1:8" ht="12">
      <c r="A103" s="347"/>
      <c r="B103" s="368"/>
      <c r="C103" s="368"/>
      <c r="D103" s="368"/>
      <c r="E103" s="368"/>
      <c r="F103" s="368"/>
      <c r="G103" s="361"/>
      <c r="H103" s="368"/>
    </row>
    <row r="104" spans="1:8" ht="12">
      <c r="A104" s="347"/>
      <c r="B104" s="368" t="s">
        <v>101</v>
      </c>
      <c r="C104" s="368"/>
      <c r="D104" s="368"/>
      <c r="E104" s="368"/>
      <c r="F104" s="368"/>
      <c r="G104" s="362">
        <f>G86+G92+G94+G95+G96+G102</f>
        <v>221</v>
      </c>
      <c r="H104" s="368"/>
    </row>
    <row r="105" spans="1:8" ht="12">
      <c r="A105" s="347"/>
      <c r="B105" s="368"/>
      <c r="C105" s="368"/>
      <c r="D105" s="368"/>
      <c r="E105" s="368"/>
      <c r="F105" s="368"/>
      <c r="G105" s="361"/>
      <c r="H105" s="368"/>
    </row>
    <row r="106" spans="1:8" ht="12">
      <c r="A106" s="347"/>
      <c r="B106" s="368" t="s">
        <v>220</v>
      </c>
      <c r="C106" s="368"/>
      <c r="D106" s="368"/>
      <c r="E106" s="368"/>
      <c r="F106" s="368"/>
      <c r="G106" s="363">
        <f>G78-G104</f>
        <v>-221</v>
      </c>
      <c r="H106" s="368"/>
    </row>
    <row r="107" spans="1:8" ht="12">
      <c r="A107" s="347"/>
      <c r="B107" s="368"/>
      <c r="C107" s="368"/>
      <c r="D107" s="368"/>
      <c r="E107" s="368"/>
      <c r="F107" s="368"/>
      <c r="G107" s="361"/>
      <c r="H107" s="368"/>
    </row>
    <row r="108" spans="1:8" ht="12">
      <c r="A108" s="347"/>
      <c r="B108" s="368" t="s">
        <v>221</v>
      </c>
      <c r="C108" s="368"/>
      <c r="D108" s="368"/>
      <c r="E108" s="369"/>
      <c r="F108" s="368"/>
      <c r="G108" s="361"/>
      <c r="H108" s="368"/>
    </row>
    <row r="109" spans="1:8" ht="12.75" thickBot="1">
      <c r="A109" s="347"/>
      <c r="B109" s="379" t="s">
        <v>222</v>
      </c>
      <c r="C109" s="380"/>
      <c r="D109" s="368"/>
      <c r="E109" s="369"/>
      <c r="F109" s="368"/>
      <c r="G109" s="366">
        <f>ROUND(G106*C109,0)</f>
        <v>0</v>
      </c>
      <c r="H109" s="368"/>
    </row>
    <row r="110" spans="1:8" ht="12.75" thickTop="1">
      <c r="A110" s="347"/>
      <c r="B110" s="368"/>
      <c r="C110" s="368"/>
      <c r="D110" s="368"/>
      <c r="E110" s="369"/>
      <c r="F110" s="368"/>
      <c r="G110" s="371"/>
      <c r="H110" s="368"/>
    </row>
  </sheetData>
  <printOptions horizontalCentered="1"/>
  <pageMargins left="1" right="0.75" top="0.5" bottom="0.5" header="0.5" footer="0.5"/>
  <pageSetup horizontalDpi="300" verticalDpi="300" orientation="portrait" scale="90" r:id="rId1"/>
  <rowBreaks count="1" manualBreakCount="1">
    <brk id="65" max="65535" man="1"/>
  </rowBreaks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110"/>
  <sheetViews>
    <sheetView zoomScale="75" zoomScaleNormal="75" workbookViewId="0" topLeftCell="A38">
      <selection activeCell="G71" sqref="G71"/>
    </sheetView>
  </sheetViews>
  <sheetFormatPr defaultColWidth="9.140625" defaultRowHeight="12.75"/>
  <cols>
    <col min="1" max="1" width="5.57421875" style="79" customWidth="1"/>
    <col min="2" max="2" width="26.140625" style="78" customWidth="1"/>
    <col min="3" max="3" width="12.421875" style="78" customWidth="1"/>
    <col min="4" max="4" width="6.7109375" style="78" customWidth="1"/>
    <col min="5" max="6" width="12.421875" style="78" customWidth="1"/>
    <col min="7" max="8" width="11.7109375" style="78" customWidth="1"/>
    <col min="9" max="16384" width="12.421875" style="78" customWidth="1"/>
  </cols>
  <sheetData>
    <row r="1" spans="1:3" ht="12">
      <c r="A1" s="76" t="str">
        <f>Inputs!$D$6</f>
        <v>AVISTA UTILITIES</v>
      </c>
      <c r="B1" s="77"/>
      <c r="C1" s="76"/>
    </row>
    <row r="2" spans="1:7" ht="12">
      <c r="A2" s="76" t="s">
        <v>134</v>
      </c>
      <c r="B2" s="77"/>
      <c r="C2" s="76"/>
      <c r="E2" s="76"/>
      <c r="F2" s="79" t="s">
        <v>503</v>
      </c>
      <c r="G2" s="76"/>
    </row>
    <row r="3" spans="1:7" ht="12">
      <c r="A3" s="77" t="str">
        <f>WAElec12_04!$A$4</f>
        <v>TWELVE MONTHS ENDED DECEMBER 31, 2004</v>
      </c>
      <c r="B3" s="77"/>
      <c r="C3" s="76"/>
      <c r="E3" s="76"/>
      <c r="F3" s="79" t="s">
        <v>225</v>
      </c>
      <c r="G3" s="76"/>
    </row>
    <row r="4" spans="1:7" ht="12">
      <c r="A4" s="76" t="s">
        <v>1</v>
      </c>
      <c r="B4" s="77"/>
      <c r="C4" s="76"/>
      <c r="E4" s="80"/>
      <c r="F4" s="81" t="s">
        <v>137</v>
      </c>
      <c r="G4" s="82"/>
    </row>
    <row r="5" ht="12">
      <c r="A5" s="79" t="s">
        <v>13</v>
      </c>
    </row>
    <row r="6" spans="1:8" s="79" customFormat="1" ht="12">
      <c r="A6" s="79" t="s">
        <v>138</v>
      </c>
      <c r="B6" s="83" t="s">
        <v>34</v>
      </c>
      <c r="C6" s="83"/>
      <c r="E6" s="83" t="s">
        <v>139</v>
      </c>
      <c r="F6" s="83" t="s">
        <v>140</v>
      </c>
      <c r="G6" s="83" t="s">
        <v>123</v>
      </c>
      <c r="H6" s="85" t="s">
        <v>141</v>
      </c>
    </row>
    <row r="7" ht="12">
      <c r="B7" s="86" t="s">
        <v>80</v>
      </c>
    </row>
    <row r="8" spans="1:8" s="89" customFormat="1" ht="12">
      <c r="A8" s="87">
        <v>1</v>
      </c>
      <c r="B8" s="88" t="s">
        <v>81</v>
      </c>
      <c r="E8" s="90">
        <f>F8+G8</f>
        <v>0</v>
      </c>
      <c r="F8" s="90"/>
      <c r="G8" s="90"/>
      <c r="H8" s="89" t="str">
        <f aca="true" t="shared" si="0" ref="H8:H13">IF(E8=F8+G8," ","ERROR")</f>
        <v> </v>
      </c>
    </row>
    <row r="9" spans="1:8" ht="12">
      <c r="A9" s="79">
        <v>2</v>
      </c>
      <c r="B9" s="86" t="s">
        <v>82</v>
      </c>
      <c r="E9" s="91"/>
      <c r="F9" s="91"/>
      <c r="G9" s="91"/>
      <c r="H9" s="89" t="str">
        <f t="shared" si="0"/>
        <v> </v>
      </c>
    </row>
    <row r="10" spans="1:8" ht="12">
      <c r="A10" s="79">
        <v>3</v>
      </c>
      <c r="B10" s="86" t="s">
        <v>142</v>
      </c>
      <c r="E10" s="91"/>
      <c r="F10" s="91"/>
      <c r="G10" s="91"/>
      <c r="H10" s="89" t="str">
        <f t="shared" si="0"/>
        <v> </v>
      </c>
    </row>
    <row r="11" spans="1:8" ht="12">
      <c r="A11" s="79">
        <v>4</v>
      </c>
      <c r="B11" s="86" t="s">
        <v>143</v>
      </c>
      <c r="E11" s="92">
        <f>E8+E9+E10</f>
        <v>0</v>
      </c>
      <c r="F11" s="92">
        <f>F8+F9+F10</f>
        <v>0</v>
      </c>
      <c r="G11" s="92">
        <f>G8+G9+G10</f>
        <v>0</v>
      </c>
      <c r="H11" s="89" t="str">
        <f t="shared" si="0"/>
        <v> </v>
      </c>
    </row>
    <row r="12" spans="1:8" ht="12">
      <c r="A12" s="79">
        <v>5</v>
      </c>
      <c r="B12" s="86" t="s">
        <v>85</v>
      </c>
      <c r="E12" s="91"/>
      <c r="F12" s="91"/>
      <c r="G12" s="91"/>
      <c r="H12" s="89" t="str">
        <f t="shared" si="0"/>
        <v> </v>
      </c>
    </row>
    <row r="13" spans="1:8" ht="12">
      <c r="A13" s="79">
        <v>6</v>
      </c>
      <c r="B13" s="86" t="s">
        <v>144</v>
      </c>
      <c r="E13" s="92">
        <f>E11+E12</f>
        <v>0</v>
      </c>
      <c r="F13" s="92">
        <f>F11+F12</f>
        <v>0</v>
      </c>
      <c r="G13" s="92">
        <f>G11+G12</f>
        <v>0</v>
      </c>
      <c r="H13" s="89" t="str">
        <f t="shared" si="0"/>
        <v> </v>
      </c>
    </row>
    <row r="14" spans="5:8" ht="12">
      <c r="E14" s="93"/>
      <c r="F14" s="93"/>
      <c r="G14" s="93"/>
      <c r="H14" s="89"/>
    </row>
    <row r="15" spans="2:8" ht="12">
      <c r="B15" s="86" t="s">
        <v>87</v>
      </c>
      <c r="E15" s="93"/>
      <c r="F15" s="93"/>
      <c r="G15" s="93"/>
      <c r="H15" s="89"/>
    </row>
    <row r="16" spans="2:8" ht="12">
      <c r="B16" s="86" t="s">
        <v>88</v>
      </c>
      <c r="E16" s="93"/>
      <c r="F16" s="93"/>
      <c r="G16" s="93"/>
      <c r="H16" s="89"/>
    </row>
    <row r="17" spans="1:8" ht="12">
      <c r="A17" s="79">
        <v>7</v>
      </c>
      <c r="B17" s="86" t="s">
        <v>145</v>
      </c>
      <c r="E17" s="91"/>
      <c r="F17" s="91"/>
      <c r="G17" s="91"/>
      <c r="H17" s="89" t="str">
        <f>IF(E17=F17+G17," ","ERROR")</f>
        <v> </v>
      </c>
    </row>
    <row r="18" spans="1:8" ht="12">
      <c r="A18" s="79">
        <v>8</v>
      </c>
      <c r="B18" s="86" t="s">
        <v>146</v>
      </c>
      <c r="E18" s="91"/>
      <c r="F18" s="91"/>
      <c r="G18" s="91"/>
      <c r="H18" s="89" t="str">
        <f>IF(E18=F18+G18," ","ERROR")</f>
        <v> </v>
      </c>
    </row>
    <row r="19" spans="1:8" ht="12">
      <c r="A19" s="79">
        <v>9</v>
      </c>
      <c r="B19" s="86" t="s">
        <v>147</v>
      </c>
      <c r="E19" s="91"/>
      <c r="F19" s="91"/>
      <c r="G19" s="91"/>
      <c r="H19" s="89" t="str">
        <f>IF(E19=F19+G19," ","ERROR")</f>
        <v> </v>
      </c>
    </row>
    <row r="20" spans="1:8" ht="12">
      <c r="A20" s="79">
        <v>10</v>
      </c>
      <c r="B20" s="86" t="s">
        <v>148</v>
      </c>
      <c r="E20" s="91"/>
      <c r="F20" s="91"/>
      <c r="G20" s="91"/>
      <c r="H20" s="89" t="str">
        <f>IF(E20=F20+G20," ","ERROR")</f>
        <v> </v>
      </c>
    </row>
    <row r="21" spans="1:8" ht="12">
      <c r="A21" s="79">
        <v>11</v>
      </c>
      <c r="B21" s="86" t="s">
        <v>149</v>
      </c>
      <c r="E21" s="92">
        <f>E17+E18+E19+E20</f>
        <v>0</v>
      </c>
      <c r="F21" s="92">
        <f>F17+F18+F19+F20</f>
        <v>0</v>
      </c>
      <c r="G21" s="92">
        <f>G17+G18+G19+G20</f>
        <v>0</v>
      </c>
      <c r="H21" s="89" t="str">
        <f>IF(E21=F21+G21," ","ERROR")</f>
        <v> </v>
      </c>
    </row>
    <row r="22" spans="5:8" ht="12">
      <c r="E22" s="93"/>
      <c r="F22" s="93"/>
      <c r="G22" s="93"/>
      <c r="H22" s="89"/>
    </row>
    <row r="23" spans="2:8" ht="12">
      <c r="B23" s="86" t="s">
        <v>93</v>
      </c>
      <c r="E23" s="93"/>
      <c r="F23" s="93"/>
      <c r="G23" s="93"/>
      <c r="H23" s="89"/>
    </row>
    <row r="24" spans="1:8" ht="12">
      <c r="A24" s="79">
        <v>12</v>
      </c>
      <c r="B24" s="86" t="s">
        <v>145</v>
      </c>
      <c r="E24" s="91"/>
      <c r="F24" s="91"/>
      <c r="G24" s="91"/>
      <c r="H24" s="89" t="str">
        <f>IF(E24=F24+G24," ","ERROR")</f>
        <v> </v>
      </c>
    </row>
    <row r="25" spans="1:8" ht="12">
      <c r="A25" s="79">
        <v>13</v>
      </c>
      <c r="B25" s="86" t="s">
        <v>150</v>
      </c>
      <c r="E25" s="91"/>
      <c r="F25" s="91"/>
      <c r="G25" s="91"/>
      <c r="H25" s="89" t="str">
        <f>IF(E25=F25+G25," ","ERROR")</f>
        <v> </v>
      </c>
    </row>
    <row r="26" spans="1:8" ht="12">
      <c r="A26" s="79">
        <v>14</v>
      </c>
      <c r="B26" s="86" t="s">
        <v>148</v>
      </c>
      <c r="E26" s="91">
        <f>F26+G26</f>
        <v>0</v>
      </c>
      <c r="F26" s="91"/>
      <c r="G26" s="91"/>
      <c r="H26" s="89" t="str">
        <f>IF(E26=F26+G26," ","ERROR")</f>
        <v> </v>
      </c>
    </row>
    <row r="27" spans="1:8" ht="12">
      <c r="A27" s="79">
        <v>15</v>
      </c>
      <c r="B27" s="86" t="s">
        <v>151</v>
      </c>
      <c r="E27" s="92">
        <f>E24+E25+E26</f>
        <v>0</v>
      </c>
      <c r="F27" s="92">
        <f>F24+F25+F26</f>
        <v>0</v>
      </c>
      <c r="G27" s="92">
        <f>G24+G25+G26</f>
        <v>0</v>
      </c>
      <c r="H27" s="89" t="str">
        <f>IF(E27=F27+G27," ","ERROR")</f>
        <v> </v>
      </c>
    </row>
    <row r="28" spans="5:8" ht="12">
      <c r="E28" s="93"/>
      <c r="F28" s="93"/>
      <c r="G28" s="93"/>
      <c r="H28" s="89"/>
    </row>
    <row r="29" spans="1:8" ht="12">
      <c r="A29" s="79">
        <v>16</v>
      </c>
      <c r="B29" s="86" t="s">
        <v>96</v>
      </c>
      <c r="E29" s="91"/>
      <c r="F29" s="91"/>
      <c r="G29" s="91"/>
      <c r="H29" s="89" t="str">
        <f>IF(E29=F29+G29," ","ERROR")</f>
        <v> </v>
      </c>
    </row>
    <row r="30" spans="1:8" ht="12">
      <c r="A30" s="79">
        <v>17</v>
      </c>
      <c r="B30" s="86" t="s">
        <v>97</v>
      </c>
      <c r="E30" s="91"/>
      <c r="F30" s="91"/>
      <c r="G30" s="91"/>
      <c r="H30" s="89" t="str">
        <f>IF(E30=F30+G30," ","ERROR")</f>
        <v> </v>
      </c>
    </row>
    <row r="31" spans="1:8" ht="12">
      <c r="A31" s="79">
        <v>18</v>
      </c>
      <c r="B31" s="86" t="s">
        <v>152</v>
      </c>
      <c r="E31" s="91"/>
      <c r="F31" s="91"/>
      <c r="G31" s="91"/>
      <c r="H31" s="89" t="str">
        <f>IF(E31=F31+G31," ","ERROR")</f>
        <v> </v>
      </c>
    </row>
    <row r="32" spans="5:8" ht="12">
      <c r="E32" s="93"/>
      <c r="F32" s="93"/>
      <c r="G32" s="93"/>
      <c r="H32" s="89"/>
    </row>
    <row r="33" spans="2:8" ht="12">
      <c r="B33" s="86" t="s">
        <v>99</v>
      </c>
      <c r="E33" s="93"/>
      <c r="F33" s="93"/>
      <c r="G33" s="93"/>
      <c r="H33" s="89"/>
    </row>
    <row r="34" spans="1:8" ht="12">
      <c r="A34" s="79">
        <v>19</v>
      </c>
      <c r="B34" s="86" t="s">
        <v>145</v>
      </c>
      <c r="E34" s="91"/>
      <c r="F34" s="91"/>
      <c r="G34" s="91"/>
      <c r="H34" s="89" t="str">
        <f>IF(E34=F34+G34," ","ERROR")</f>
        <v> </v>
      </c>
    </row>
    <row r="35" spans="1:8" ht="12">
      <c r="A35" s="79">
        <v>20</v>
      </c>
      <c r="B35" s="86" t="s">
        <v>150</v>
      </c>
      <c r="E35" s="91"/>
      <c r="F35" s="91"/>
      <c r="G35" s="91"/>
      <c r="H35" s="89" t="str">
        <f>IF(E35=F35+G35," ","ERROR")</f>
        <v> </v>
      </c>
    </row>
    <row r="36" spans="1:8" ht="12">
      <c r="A36" s="79">
        <v>21</v>
      </c>
      <c r="B36" s="86" t="s">
        <v>148</v>
      </c>
      <c r="E36" s="91"/>
      <c r="F36" s="91"/>
      <c r="G36" s="91"/>
      <c r="H36" s="89" t="str">
        <f>IF(E36=F36+G36," ","ERROR")</f>
        <v> </v>
      </c>
    </row>
    <row r="37" spans="1:8" ht="12">
      <c r="A37" s="79">
        <v>22</v>
      </c>
      <c r="B37" s="86" t="s">
        <v>153</v>
      </c>
      <c r="E37" s="94">
        <f>E34+E35+E36</f>
        <v>0</v>
      </c>
      <c r="F37" s="94">
        <f>F34+F35+F36</f>
        <v>0</v>
      </c>
      <c r="G37" s="94">
        <f>G34+G35+G36</f>
        <v>0</v>
      </c>
      <c r="H37" s="89" t="str">
        <f>IF(E37=F37+G37," ","ERROR")</f>
        <v> </v>
      </c>
    </row>
    <row r="38" spans="1:8" ht="12">
      <c r="A38" s="79">
        <v>23</v>
      </c>
      <c r="B38" s="86" t="s">
        <v>101</v>
      </c>
      <c r="E38" s="95">
        <f>E21+E27+E29+E30+E31+E37</f>
        <v>0</v>
      </c>
      <c r="F38" s="95">
        <f>F21+F27+F29+F30+F31+F37</f>
        <v>0</v>
      </c>
      <c r="G38" s="95">
        <f>G21+G27+G29+G30+G31+G37</f>
        <v>0</v>
      </c>
      <c r="H38" s="89" t="str">
        <f>IF(E38=F38+G38," ","ERROR")</f>
        <v> </v>
      </c>
    </row>
    <row r="39" spans="5:8" ht="12">
      <c r="E39" s="93"/>
      <c r="F39" s="93"/>
      <c r="G39" s="93"/>
      <c r="H39" s="89"/>
    </row>
    <row r="40" spans="1:8" ht="12">
      <c r="A40" s="79">
        <v>24</v>
      </c>
      <c r="B40" s="86" t="s">
        <v>154</v>
      </c>
      <c r="E40" s="93">
        <f>E13-E38</f>
        <v>0</v>
      </c>
      <c r="F40" s="93">
        <f>F13-F38</f>
        <v>0</v>
      </c>
      <c r="G40" s="93">
        <f>G13-G38</f>
        <v>0</v>
      </c>
      <c r="H40" s="89" t="str">
        <f>IF(E40=F40+G40," ","ERROR")</f>
        <v> </v>
      </c>
    </row>
    <row r="41" spans="2:8" ht="12">
      <c r="B41" s="86"/>
      <c r="E41" s="93"/>
      <c r="F41" s="93"/>
      <c r="G41" s="93"/>
      <c r="H41" s="89"/>
    </row>
    <row r="42" spans="2:8" ht="12">
      <c r="B42" s="86" t="s">
        <v>155</v>
      </c>
      <c r="E42" s="93"/>
      <c r="F42" s="93"/>
      <c r="G42" s="93"/>
      <c r="H42" s="89"/>
    </row>
    <row r="43" spans="1:8" ht="12">
      <c r="A43" s="79">
        <v>25</v>
      </c>
      <c r="B43" s="86" t="s">
        <v>156</v>
      </c>
      <c r="D43" s="96">
        <v>0.35</v>
      </c>
      <c r="E43" s="91">
        <f>F43+G43</f>
        <v>0</v>
      </c>
      <c r="F43" s="91"/>
      <c r="G43" s="91"/>
      <c r="H43" s="89" t="str">
        <f>IF(E43=F43+G43," ","ERROR")</f>
        <v> </v>
      </c>
    </row>
    <row r="44" spans="1:8" ht="12">
      <c r="A44" s="79">
        <v>26</v>
      </c>
      <c r="B44" s="86" t="s">
        <v>157</v>
      </c>
      <c r="E44" s="91"/>
      <c r="F44" s="91"/>
      <c r="G44" s="91"/>
      <c r="H44" s="89" t="str">
        <f>IF(E44=F44+G44," ","ERROR")</f>
        <v> </v>
      </c>
    </row>
    <row r="45" spans="1:8" ht="12.75">
      <c r="A45"/>
      <c r="B45"/>
      <c r="C45"/>
      <c r="D45"/>
      <c r="E45" s="943"/>
      <c r="F45" s="943"/>
      <c r="G45" s="943"/>
      <c r="H45" s="89" t="str">
        <f>IF(E45=F45+G45," ","ERROR")</f>
        <v> </v>
      </c>
    </row>
    <row r="46" spans="1:8" ht="12">
      <c r="A46" s="278"/>
      <c r="B46" s="281"/>
      <c r="C46" s="275"/>
      <c r="D46" s="275"/>
      <c r="E46" s="288"/>
      <c r="F46" s="288"/>
      <c r="G46" s="288"/>
      <c r="H46" s="89"/>
    </row>
    <row r="47" spans="1:8" s="89" customFormat="1" ht="12">
      <c r="A47" s="282">
        <v>27</v>
      </c>
      <c r="B47" s="283" t="s">
        <v>108</v>
      </c>
      <c r="C47" s="284"/>
      <c r="D47" s="284"/>
      <c r="E47" s="292">
        <f>E40-SUM(E43:E44)</f>
        <v>0</v>
      </c>
      <c r="F47" s="292">
        <f>F40-SUM(F43:F44)</f>
        <v>0</v>
      </c>
      <c r="G47" s="292">
        <f>G40-SUM(G43:G44)</f>
        <v>0</v>
      </c>
      <c r="H47" s="89" t="str">
        <f>IF(E47=F47+G47," ","ERROR")</f>
        <v> </v>
      </c>
    </row>
    <row r="48" spans="1:8" ht="12">
      <c r="A48" s="278"/>
      <c r="H48" s="89"/>
    </row>
    <row r="49" spans="1:8" ht="12">
      <c r="A49" s="278"/>
      <c r="B49" s="86" t="s">
        <v>109</v>
      </c>
      <c r="H49" s="89"/>
    </row>
    <row r="50" spans="1:8" ht="12">
      <c r="A50" s="278"/>
      <c r="B50" s="86" t="s">
        <v>110</v>
      </c>
      <c r="H50" s="89"/>
    </row>
    <row r="51" spans="1:8" s="89" customFormat="1" ht="12">
      <c r="A51" s="282">
        <v>28</v>
      </c>
      <c r="B51" s="88" t="s">
        <v>159</v>
      </c>
      <c r="E51" s="90"/>
      <c r="F51" s="90"/>
      <c r="G51" s="90"/>
      <c r="H51" s="89" t="str">
        <f aca="true" t="shared" si="1" ref="H51:H61">IF(E51=F51+G51," ","ERROR")</f>
        <v> </v>
      </c>
    </row>
    <row r="52" spans="1:8" ht="12">
      <c r="A52" s="278">
        <v>29</v>
      </c>
      <c r="B52" s="86" t="s">
        <v>160</v>
      </c>
      <c r="E52" s="91">
        <f>SUM(F52:G52)</f>
        <v>1535</v>
      </c>
      <c r="F52" s="91">
        <v>492</v>
      </c>
      <c r="G52" s="91">
        <v>1043</v>
      </c>
      <c r="H52" s="89" t="str">
        <f t="shared" si="1"/>
        <v> </v>
      </c>
    </row>
    <row r="53" spans="1:8" ht="12">
      <c r="A53" s="278">
        <v>30</v>
      </c>
      <c r="B53" s="86" t="s">
        <v>161</v>
      </c>
      <c r="E53" s="91"/>
      <c r="F53" s="91"/>
      <c r="G53" s="91"/>
      <c r="H53" s="89" t="str">
        <f t="shared" si="1"/>
        <v> </v>
      </c>
    </row>
    <row r="54" spans="1:8" ht="12">
      <c r="A54" s="278">
        <v>31</v>
      </c>
      <c r="B54" s="86" t="s">
        <v>162</v>
      </c>
      <c r="E54" s="91"/>
      <c r="F54" s="91"/>
      <c r="G54" s="91"/>
      <c r="H54" s="89" t="str">
        <f t="shared" si="1"/>
        <v> </v>
      </c>
    </row>
    <row r="55" spans="1:8" ht="12">
      <c r="A55" s="278">
        <v>32</v>
      </c>
      <c r="B55" s="86" t="s">
        <v>163</v>
      </c>
      <c r="E55" s="97"/>
      <c r="F55" s="97"/>
      <c r="G55" s="97"/>
      <c r="H55" s="89" t="str">
        <f t="shared" si="1"/>
        <v> </v>
      </c>
    </row>
    <row r="56" spans="1:8" ht="12">
      <c r="A56" s="278">
        <v>33</v>
      </c>
      <c r="B56" s="86" t="s">
        <v>164</v>
      </c>
      <c r="E56" s="93">
        <f>E51+E52+E53+E54+E55</f>
        <v>1535</v>
      </c>
      <c r="F56" s="93">
        <f>F51+F52+F53+F54+F55</f>
        <v>492</v>
      </c>
      <c r="G56" s="93">
        <f>G51+G52+G53+G54+G55</f>
        <v>1043</v>
      </c>
      <c r="H56" s="89" t="str">
        <f t="shared" si="1"/>
        <v> </v>
      </c>
    </row>
    <row r="57" spans="1:8" ht="12">
      <c r="A57" s="278">
        <v>34</v>
      </c>
      <c r="B57" s="86" t="s">
        <v>116</v>
      </c>
      <c r="E57" s="91"/>
      <c r="F57" s="91"/>
      <c r="G57" s="91"/>
      <c r="H57" s="89" t="str">
        <f t="shared" si="1"/>
        <v> </v>
      </c>
    </row>
    <row r="58" spans="1:8" ht="12">
      <c r="A58" s="278">
        <v>35</v>
      </c>
      <c r="B58" s="86" t="s">
        <v>117</v>
      </c>
      <c r="E58" s="97"/>
      <c r="F58" s="97"/>
      <c r="G58" s="97"/>
      <c r="H58" s="89" t="str">
        <f t="shared" si="1"/>
        <v> </v>
      </c>
    </row>
    <row r="59" spans="1:8" ht="12">
      <c r="A59" s="278">
        <v>36</v>
      </c>
      <c r="B59" s="86" t="s">
        <v>165</v>
      </c>
      <c r="E59" s="93">
        <f>E57+E58</f>
        <v>0</v>
      </c>
      <c r="F59" s="93">
        <f>F57+F58</f>
        <v>0</v>
      </c>
      <c r="G59" s="93">
        <f>G57+G58</f>
        <v>0</v>
      </c>
      <c r="H59" s="89" t="str">
        <f t="shared" si="1"/>
        <v> </v>
      </c>
    </row>
    <row r="60" spans="1:8" ht="12">
      <c r="A60" s="278">
        <v>37</v>
      </c>
      <c r="B60" s="86" t="s">
        <v>119</v>
      </c>
      <c r="E60" s="91"/>
      <c r="F60" s="91"/>
      <c r="G60" s="91"/>
      <c r="H60" s="89" t="str">
        <f t="shared" si="1"/>
        <v> </v>
      </c>
    </row>
    <row r="61" spans="1:8" ht="12">
      <c r="A61" s="278">
        <v>38</v>
      </c>
      <c r="B61" s="86" t="s">
        <v>120</v>
      </c>
      <c r="E61" s="97"/>
      <c r="F61" s="97"/>
      <c r="G61" s="97"/>
      <c r="H61" s="89" t="str">
        <f t="shared" si="1"/>
        <v> </v>
      </c>
    </row>
    <row r="62" spans="1:8" ht="9" customHeight="1">
      <c r="A62" s="278"/>
      <c r="H62" s="89"/>
    </row>
    <row r="63" spans="1:8" s="89" customFormat="1" ht="12.75" thickBot="1">
      <c r="A63" s="282">
        <v>39</v>
      </c>
      <c r="B63" s="88" t="s">
        <v>121</v>
      </c>
      <c r="E63" s="98">
        <f>E56-E59+E60+E61</f>
        <v>1535</v>
      </c>
      <c r="F63" s="98">
        <f>F56-F59+F60+F61</f>
        <v>492</v>
      </c>
      <c r="G63" s="98">
        <f>G56-G59+G60+G61</f>
        <v>1043</v>
      </c>
      <c r="H63" s="89" t="str">
        <f>IF(E63=F63+G63," ","ERROR")</f>
        <v> </v>
      </c>
    </row>
    <row r="64" ht="12.75" thickTop="1"/>
    <row r="65" spans="1:7" ht="12" customHeight="1">
      <c r="A65" s="77" t="str">
        <f>Inputs!$D$6</f>
        <v>AVISTA UTILITIES</v>
      </c>
      <c r="B65" s="77"/>
      <c r="C65" s="77"/>
      <c r="D65" s="84"/>
      <c r="E65" s="99"/>
      <c r="F65" s="84"/>
      <c r="G65" s="100" t="s">
        <v>224</v>
      </c>
    </row>
    <row r="66" spans="1:7" ht="12">
      <c r="A66" s="77" t="s">
        <v>218</v>
      </c>
      <c r="B66" s="77"/>
      <c r="C66" s="77"/>
      <c r="D66" s="84"/>
      <c r="E66" s="99"/>
      <c r="F66" s="84"/>
      <c r="G66" s="101"/>
    </row>
    <row r="67" spans="1:7" ht="12">
      <c r="A67" s="77" t="str">
        <f>A3</f>
        <v>TWELVE MONTHS ENDED DECEMBER 31, 2004</v>
      </c>
      <c r="B67" s="77"/>
      <c r="C67" s="77"/>
      <c r="D67" s="84"/>
      <c r="E67" s="99"/>
      <c r="F67" s="84"/>
      <c r="G67" s="102" t="str">
        <f>F2</f>
        <v>PRO FORMA COLSTRIP #3 </v>
      </c>
    </row>
    <row r="68" spans="1:7" ht="12">
      <c r="A68" s="77" t="s">
        <v>219</v>
      </c>
      <c r="B68" s="77"/>
      <c r="C68" s="77"/>
      <c r="D68" s="84"/>
      <c r="E68" s="99"/>
      <c r="F68" s="84"/>
      <c r="G68" s="102" t="str">
        <f>F3</f>
        <v>COMMON AFUDC ADJUSTMENT</v>
      </c>
    </row>
    <row r="69" spans="2:7" ht="12">
      <c r="B69" s="84"/>
      <c r="C69" s="84"/>
      <c r="D69" s="84"/>
      <c r="E69" s="103"/>
      <c r="F69" s="104"/>
      <c r="G69" s="105" t="str">
        <f>F4</f>
        <v>ELECTRIC</v>
      </c>
    </row>
    <row r="70" spans="2:7" ht="12">
      <c r="B70" s="84"/>
      <c r="C70" s="84"/>
      <c r="D70" s="84"/>
      <c r="E70" s="99"/>
      <c r="F70" s="84"/>
      <c r="G70" s="102"/>
    </row>
    <row r="71" spans="2:7" ht="12">
      <c r="B71" s="106" t="s">
        <v>128</v>
      </c>
      <c r="C71" s="104"/>
      <c r="D71" s="84"/>
      <c r="E71" s="99"/>
      <c r="F71" s="84"/>
      <c r="G71" s="105" t="s">
        <v>123</v>
      </c>
    </row>
    <row r="72" spans="2:7" ht="12">
      <c r="B72" s="86" t="s">
        <v>80</v>
      </c>
      <c r="C72" s="84"/>
      <c r="D72" s="84"/>
      <c r="E72" s="84"/>
      <c r="F72" s="84"/>
      <c r="G72" s="101"/>
    </row>
    <row r="73" spans="2:7" ht="12">
      <c r="B73" s="88" t="s">
        <v>81</v>
      </c>
      <c r="C73" s="84"/>
      <c r="D73" s="84"/>
      <c r="E73" s="84"/>
      <c r="F73" s="84"/>
      <c r="G73" s="107">
        <f>G8</f>
        <v>0</v>
      </c>
    </row>
    <row r="74" spans="2:7" ht="12">
      <c r="B74" s="86" t="s">
        <v>82</v>
      </c>
      <c r="C74" s="84"/>
      <c r="D74" s="84"/>
      <c r="E74" s="84"/>
      <c r="F74" s="84"/>
      <c r="G74" s="93">
        <f>G9</f>
        <v>0</v>
      </c>
    </row>
    <row r="75" spans="2:7" ht="12">
      <c r="B75" s="86" t="s">
        <v>142</v>
      </c>
      <c r="C75" s="84"/>
      <c r="D75" s="84"/>
      <c r="E75" s="84"/>
      <c r="F75" s="84"/>
      <c r="G75" s="95">
        <f>G10</f>
        <v>0</v>
      </c>
    </row>
    <row r="76" spans="2:7" ht="12">
      <c r="B76" s="86" t="s">
        <v>143</v>
      </c>
      <c r="C76" s="84"/>
      <c r="D76" s="84"/>
      <c r="E76" s="84"/>
      <c r="F76" s="84"/>
      <c r="G76" s="93">
        <f>SUM(G73:G75)</f>
        <v>0</v>
      </c>
    </row>
    <row r="77" spans="2:7" ht="12">
      <c r="B77" s="86" t="s">
        <v>85</v>
      </c>
      <c r="C77" s="84"/>
      <c r="D77" s="84"/>
      <c r="E77" s="84"/>
      <c r="F77" s="84"/>
      <c r="G77" s="95">
        <f>G12</f>
        <v>0</v>
      </c>
    </row>
    <row r="78" spans="2:7" ht="12">
      <c r="B78" s="86" t="s">
        <v>144</v>
      </c>
      <c r="C78" s="84"/>
      <c r="D78" s="84"/>
      <c r="E78" s="84"/>
      <c r="F78" s="84"/>
      <c r="G78" s="93">
        <f>G76+G77</f>
        <v>0</v>
      </c>
    </row>
    <row r="79" spans="3:7" ht="12">
      <c r="C79" s="84"/>
      <c r="D79" s="84"/>
      <c r="E79" s="84"/>
      <c r="F79" s="84"/>
      <c r="G79" s="93"/>
    </row>
    <row r="80" spans="2:7" ht="12">
      <c r="B80" s="86" t="s">
        <v>87</v>
      </c>
      <c r="C80" s="84"/>
      <c r="D80" s="84"/>
      <c r="E80" s="84"/>
      <c r="F80" s="84"/>
      <c r="G80" s="93"/>
    </row>
    <row r="81" spans="2:7" ht="12">
      <c r="B81" s="86" t="s">
        <v>88</v>
      </c>
      <c r="C81" s="84"/>
      <c r="D81" s="84"/>
      <c r="E81" s="84"/>
      <c r="F81" s="84"/>
      <c r="G81" s="93"/>
    </row>
    <row r="82" spans="2:7" ht="12">
      <c r="B82" s="86" t="s">
        <v>145</v>
      </c>
      <c r="C82" s="84"/>
      <c r="D82" s="84"/>
      <c r="E82" s="84"/>
      <c r="F82" s="84"/>
      <c r="G82" s="93">
        <f>G17</f>
        <v>0</v>
      </c>
    </row>
    <row r="83" spans="2:7" ht="12">
      <c r="B83" s="86" t="s">
        <v>146</v>
      </c>
      <c r="C83" s="84"/>
      <c r="D83" s="84"/>
      <c r="E83" s="84"/>
      <c r="F83" s="84"/>
      <c r="G83" s="93">
        <f>G18</f>
        <v>0</v>
      </c>
    </row>
    <row r="84" spans="2:7" ht="12">
      <c r="B84" s="86" t="s">
        <v>147</v>
      </c>
      <c r="C84" s="84"/>
      <c r="D84" s="84"/>
      <c r="E84" s="84"/>
      <c r="F84" s="84"/>
      <c r="G84" s="93">
        <f>G19</f>
        <v>0</v>
      </c>
    </row>
    <row r="85" spans="2:7" ht="12">
      <c r="B85" s="86" t="s">
        <v>148</v>
      </c>
      <c r="C85" s="84"/>
      <c r="D85" s="84"/>
      <c r="E85" s="84"/>
      <c r="F85" s="84"/>
      <c r="G85" s="95">
        <f>G20</f>
        <v>0</v>
      </c>
    </row>
    <row r="86" spans="2:7" ht="12">
      <c r="B86" s="86" t="s">
        <v>149</v>
      </c>
      <c r="C86" s="84"/>
      <c r="D86" s="84"/>
      <c r="E86" s="84"/>
      <c r="F86" s="84"/>
      <c r="G86" s="93">
        <f>SUM(G82:G85)</f>
        <v>0</v>
      </c>
    </row>
    <row r="87" spans="3:7" ht="12">
      <c r="C87" s="84"/>
      <c r="D87" s="84"/>
      <c r="E87" s="84"/>
      <c r="F87" s="84"/>
      <c r="G87" s="93"/>
    </row>
    <row r="88" spans="2:7" ht="12">
      <c r="B88" s="86" t="s">
        <v>93</v>
      </c>
      <c r="C88" s="84"/>
      <c r="D88" s="84"/>
      <c r="E88" s="84"/>
      <c r="F88" s="84"/>
      <c r="G88" s="93"/>
    </row>
    <row r="89" spans="2:7" ht="12">
      <c r="B89" s="86" t="s">
        <v>145</v>
      </c>
      <c r="C89" s="84"/>
      <c r="D89" s="84"/>
      <c r="E89" s="84"/>
      <c r="F89" s="84"/>
      <c r="G89" s="93">
        <f>G24</f>
        <v>0</v>
      </c>
    </row>
    <row r="90" spans="2:7" ht="12">
      <c r="B90" s="86" t="s">
        <v>150</v>
      </c>
      <c r="C90" s="84"/>
      <c r="D90" s="84"/>
      <c r="E90" s="84"/>
      <c r="F90" s="84"/>
      <c r="G90" s="93">
        <f>G25</f>
        <v>0</v>
      </c>
    </row>
    <row r="91" spans="1:7" ht="12">
      <c r="A91" s="78"/>
      <c r="B91" s="86" t="s">
        <v>148</v>
      </c>
      <c r="C91" s="84"/>
      <c r="D91" s="84"/>
      <c r="E91" s="84"/>
      <c r="F91" s="84"/>
      <c r="G91" s="93"/>
    </row>
    <row r="92" spans="1:7" ht="12">
      <c r="A92" s="78"/>
      <c r="B92" s="86" t="s">
        <v>151</v>
      </c>
      <c r="C92" s="84"/>
      <c r="D92" s="84"/>
      <c r="E92" s="84"/>
      <c r="F92" s="84"/>
      <c r="G92" s="92">
        <f>SUM(G89:G91)</f>
        <v>0</v>
      </c>
    </row>
    <row r="93" spans="1:7" ht="12">
      <c r="A93" s="78"/>
      <c r="C93" s="84"/>
      <c r="D93" s="84"/>
      <c r="E93" s="84"/>
      <c r="F93" s="84"/>
      <c r="G93" s="93"/>
    </row>
    <row r="94" spans="1:7" ht="12">
      <c r="A94" s="78"/>
      <c r="B94" s="86" t="s">
        <v>96</v>
      </c>
      <c r="C94" s="84"/>
      <c r="D94" s="84"/>
      <c r="E94" s="84"/>
      <c r="F94" s="84"/>
      <c r="G94" s="93">
        <f>G29</f>
        <v>0</v>
      </c>
    </row>
    <row r="95" spans="1:7" ht="12">
      <c r="A95" s="78"/>
      <c r="B95" s="86" t="s">
        <v>97</v>
      </c>
      <c r="C95" s="84"/>
      <c r="D95" s="84"/>
      <c r="E95" s="84"/>
      <c r="F95" s="84"/>
      <c r="G95" s="93">
        <f>G30</f>
        <v>0</v>
      </c>
    </row>
    <row r="96" spans="1:7" ht="12">
      <c r="A96" s="78"/>
      <c r="B96" s="86" t="s">
        <v>152</v>
      </c>
      <c r="C96" s="84"/>
      <c r="D96" s="84"/>
      <c r="E96" s="84"/>
      <c r="F96" s="84"/>
      <c r="G96" s="93">
        <f>G31</f>
        <v>0</v>
      </c>
    </row>
    <row r="97" spans="1:7" ht="12">
      <c r="A97" s="78"/>
      <c r="C97" s="84"/>
      <c r="D97" s="84"/>
      <c r="E97" s="84"/>
      <c r="F97" s="84"/>
      <c r="G97" s="93"/>
    </row>
    <row r="98" spans="1:7" ht="12">
      <c r="A98" s="78"/>
      <c r="B98" s="86" t="s">
        <v>99</v>
      </c>
      <c r="C98" s="84"/>
      <c r="D98" s="84"/>
      <c r="E98" s="84"/>
      <c r="F98" s="84"/>
      <c r="G98" s="93"/>
    </row>
    <row r="99" spans="1:7" ht="12">
      <c r="A99" s="78"/>
      <c r="B99" s="86" t="s">
        <v>145</v>
      </c>
      <c r="C99" s="84"/>
      <c r="D99" s="84"/>
      <c r="E99" s="84"/>
      <c r="F99" s="84"/>
      <c r="G99" s="93">
        <f>G34</f>
        <v>0</v>
      </c>
    </row>
    <row r="100" spans="1:7" ht="12">
      <c r="A100" s="78"/>
      <c r="B100" s="86" t="s">
        <v>150</v>
      </c>
      <c r="C100" s="84"/>
      <c r="D100" s="84"/>
      <c r="E100" s="84"/>
      <c r="F100" s="84"/>
      <c r="G100" s="93">
        <f>G35</f>
        <v>0</v>
      </c>
    </row>
    <row r="101" spans="1:7" ht="12">
      <c r="A101" s="78"/>
      <c r="B101" s="86" t="s">
        <v>148</v>
      </c>
      <c r="C101" s="84"/>
      <c r="D101" s="84"/>
      <c r="E101" s="84"/>
      <c r="F101" s="84"/>
      <c r="G101" s="95">
        <f>G36</f>
        <v>0</v>
      </c>
    </row>
    <row r="102" spans="1:7" ht="12">
      <c r="A102" s="78"/>
      <c r="B102" s="86" t="s">
        <v>153</v>
      </c>
      <c r="C102" s="84"/>
      <c r="D102" s="84"/>
      <c r="E102" s="84"/>
      <c r="F102" s="84"/>
      <c r="G102" s="93">
        <f>G99+G100+G101</f>
        <v>0</v>
      </c>
    </row>
    <row r="103" spans="1:7" ht="12">
      <c r="A103" s="78"/>
      <c r="B103" s="84"/>
      <c r="C103" s="84"/>
      <c r="D103" s="84"/>
      <c r="E103" s="84"/>
      <c r="F103" s="84"/>
      <c r="G103" s="93"/>
    </row>
    <row r="104" spans="1:7" ht="12">
      <c r="A104" s="78"/>
      <c r="B104" s="84" t="s">
        <v>101</v>
      </c>
      <c r="C104" s="84"/>
      <c r="D104" s="84"/>
      <c r="E104" s="84"/>
      <c r="F104" s="84"/>
      <c r="G104" s="94">
        <f>G86+G92+G94+G95+G96+G102</f>
        <v>0</v>
      </c>
    </row>
    <row r="105" spans="1:7" ht="12">
      <c r="A105" s="78"/>
      <c r="B105" s="84"/>
      <c r="C105" s="84"/>
      <c r="D105" s="84"/>
      <c r="E105" s="84"/>
      <c r="F105" s="84"/>
      <c r="G105" s="93"/>
    </row>
    <row r="106" spans="1:7" ht="12">
      <c r="A106" s="78"/>
      <c r="B106" s="84" t="s">
        <v>220</v>
      </c>
      <c r="C106" s="84"/>
      <c r="D106" s="84"/>
      <c r="E106" s="84"/>
      <c r="F106" s="84"/>
      <c r="G106" s="95">
        <f>G78-G104</f>
        <v>0</v>
      </c>
    </row>
    <row r="107" spans="1:7" ht="12">
      <c r="A107" s="78"/>
      <c r="B107" s="84"/>
      <c r="C107" s="84"/>
      <c r="D107" s="84"/>
      <c r="E107" s="84"/>
      <c r="F107" s="84"/>
      <c r="G107" s="93"/>
    </row>
    <row r="108" spans="1:7" ht="12">
      <c r="A108" s="78"/>
      <c r="B108" s="84" t="s">
        <v>221</v>
      </c>
      <c r="C108" s="84"/>
      <c r="D108" s="84"/>
      <c r="E108" s="99"/>
      <c r="F108" s="84"/>
      <c r="G108" s="93"/>
    </row>
    <row r="109" spans="1:7" ht="12.75" thickBot="1">
      <c r="A109" s="78"/>
      <c r="B109" s="108" t="s">
        <v>222</v>
      </c>
      <c r="C109" s="138">
        <f>Inputs!$D$4</f>
        <v>0.01065</v>
      </c>
      <c r="D109" s="84"/>
      <c r="E109" s="99"/>
      <c r="F109" s="84"/>
      <c r="G109" s="98">
        <f>ROUND(G106*C109,0)</f>
        <v>0</v>
      </c>
    </row>
    <row r="110" spans="1:7" ht="12.75" thickTop="1">
      <c r="A110" s="78"/>
      <c r="B110" s="84"/>
      <c r="C110" s="84"/>
      <c r="D110" s="84"/>
      <c r="E110" s="99"/>
      <c r="F110" s="84"/>
      <c r="G110" s="101"/>
    </row>
  </sheetData>
  <printOptions horizontalCentered="1"/>
  <pageMargins left="1" right="0.75" top="0.5" bottom="0.5" header="0.5" footer="0.5"/>
  <pageSetup horizontalDpi="300" verticalDpi="300" orientation="portrait" scale="90" r:id="rId1"/>
  <rowBreaks count="1" manualBreakCount="1">
    <brk id="65" max="6553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Don Falkner</cp:lastModifiedBy>
  <cp:lastPrinted>2005-09-13T21:45:10Z</cp:lastPrinted>
  <dcterms:created xsi:type="dcterms:W3CDTF">1997-05-15T21:41:44Z</dcterms:created>
  <dcterms:modified xsi:type="dcterms:W3CDTF">2005-09-13T21:47:42Z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050482</vt:lpwstr>
  </property>
  <property fmtid="{D5CDD505-2E9C-101B-9397-08002B2CF9AE}" pid="6" name="IsConfidenti">
    <vt:lpwstr>0</vt:lpwstr>
  </property>
  <property fmtid="{D5CDD505-2E9C-101B-9397-08002B2CF9AE}" pid="7" name="Dat">
    <vt:lpwstr>2005-09-15T00:00:00Z</vt:lpwstr>
  </property>
  <property fmtid="{D5CDD505-2E9C-101B-9397-08002B2CF9AE}" pid="8" name="CaseTy">
    <vt:lpwstr>Tariff Revision</vt:lpwstr>
  </property>
  <property fmtid="{D5CDD505-2E9C-101B-9397-08002B2CF9AE}" pid="9" name="OpenedDa">
    <vt:lpwstr>2005-03-30T00:00:00Z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