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s://home.utc.wa.gov/sites/tp-190976/Staffs Testimony and Exhibits/"/>
    </mc:Choice>
  </mc:AlternateContent>
  <bookViews>
    <workbookView xWindow="-105" yWindow="-105" windowWidth="23250" windowHeight="12570"/>
  </bookViews>
  <sheets>
    <sheet name="AHADC Sch 2.1 " sheetId="1" r:id="rId1"/>
    <sheet name="Hist. Info. BPC  Sch 2.2" sheetId="4" r:id="rId2"/>
    <sheet name="Calc. Adj. Hist. Dist Sch 2.3" sheetId="5" r:id="rId3"/>
    <sheet name="Hist VEAT Report Sch 2.4" sheetId="2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'AHADC Sch 2.1 '!$A$1:$G$28</definedName>
    <definedName name="_xlnm.Print_Area" localSheetId="1">'Hist. Info. BPC  Sch 2.2'!$A$1:$O$18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5" i="1" l="1"/>
  <c r="D14" i="1"/>
  <c r="F13" i="5" l="1"/>
  <c r="G13" i="5"/>
  <c r="H13" i="5"/>
  <c r="I13" i="5"/>
  <c r="J13" i="5"/>
  <c r="D13" i="5"/>
  <c r="F11" i="5"/>
  <c r="G11" i="5"/>
  <c r="H11" i="5"/>
  <c r="I11" i="5"/>
  <c r="J11" i="5"/>
  <c r="D11" i="5"/>
  <c r="F10" i="5"/>
  <c r="F12" i="5" s="1"/>
  <c r="G10" i="5"/>
  <c r="H10" i="5"/>
  <c r="I10" i="5"/>
  <c r="J10" i="5"/>
  <c r="J12" i="5" s="1"/>
  <c r="F9" i="5"/>
  <c r="G9" i="5"/>
  <c r="H9" i="5"/>
  <c r="I9" i="5"/>
  <c r="J9" i="5"/>
  <c r="D9" i="5"/>
  <c r="D10" i="5"/>
  <c r="J14" i="5" l="1"/>
  <c r="G12" i="5"/>
  <c r="F14" i="5"/>
  <c r="G14" i="5"/>
  <c r="I12" i="5"/>
  <c r="H12" i="5"/>
  <c r="I14" i="5" l="1"/>
  <c r="H14" i="5"/>
  <c r="F12" i="2" l="1"/>
  <c r="G12" i="2"/>
  <c r="H12" i="2"/>
  <c r="H15" i="2" s="1"/>
  <c r="I12" i="2"/>
  <c r="J12" i="2"/>
  <c r="K12" i="2"/>
  <c r="K15" i="2" l="1"/>
  <c r="K14" i="2"/>
  <c r="E11" i="1" s="1"/>
  <c r="J15" i="2"/>
  <c r="I15" i="2"/>
  <c r="G14" i="2"/>
  <c r="G15" i="2"/>
  <c r="J14" i="2"/>
  <c r="I14" i="2"/>
  <c r="H14" i="2"/>
  <c r="M15" i="2" l="1"/>
  <c r="M14" i="2" s="1"/>
  <c r="E12" i="1"/>
  <c r="E14" i="1" s="1"/>
  <c r="E16" i="1" s="1"/>
  <c r="E18" i="1" s="1"/>
  <c r="E21" i="1" s="1"/>
  <c r="E22" i="1" s="1"/>
</calcChain>
</file>

<file path=xl/sharedStrings.xml><?xml version="1.0" encoding="utf-8"?>
<sst xmlns="http://schemas.openxmlformats.org/spreadsheetml/2006/main" count="126" uniqueCount="82">
  <si>
    <t>Year</t>
  </si>
  <si>
    <t>Cargo &amp; Passenger entries into Puget Sound</t>
  </si>
  <si>
    <t>Note: only ships larger than 300 gross tons are counted</t>
  </si>
  <si>
    <t>Tank Ships and ATB's entries into Puget Sound</t>
  </si>
  <si>
    <t># Difference</t>
  </si>
  <si>
    <t>Totals</t>
  </si>
  <si>
    <t>Historical Period Assignments</t>
  </si>
  <si>
    <t>Assignment Adjustment Factor</t>
  </si>
  <si>
    <t>Projected Assignments</t>
  </si>
  <si>
    <t>*Note: All the above information came from the Wa Board of Pilotage "Annual Report" for each of the years given. Except the # of Pilot Licenses approved 7/18/19 that came from BPC meeting minutes.</t>
  </si>
  <si>
    <t>Average Assignment Per Pilot</t>
  </si>
  <si>
    <t>Yearly Assignments</t>
  </si>
  <si>
    <t>56 (7/18/19)</t>
  </si>
  <si>
    <t>53(2/19/15), 52(8/1/15)</t>
  </si>
  <si>
    <t>55(6/19/14), 54(11/18/14)</t>
  </si>
  <si>
    <t># of Pilot License Approved</t>
  </si>
  <si>
    <t># of working Pilots</t>
  </si>
  <si>
    <t># of admin Pilots</t>
  </si>
  <si>
    <t>Source: https://fortress.wa.gov/ecy/publications/documents/2008004.pdf</t>
  </si>
  <si>
    <t>Docket TP-190976</t>
  </si>
  <si>
    <t>Line No.</t>
  </si>
  <si>
    <t>added</t>
  </si>
  <si>
    <t>Puget Sound Pilots</t>
  </si>
  <si>
    <t>(Sch 2.4)</t>
  </si>
  <si>
    <t>Source:</t>
  </si>
  <si>
    <t>Average Historical Assignments and Distribution Calculation</t>
  </si>
  <si>
    <t>Historical Information from Board of Pilotage Commission Annual Reports</t>
  </si>
  <si>
    <t>Schedule 2.4</t>
  </si>
  <si>
    <t>Historical Vessel Entry and Transit Report</t>
  </si>
  <si>
    <t>(Sch 3.6)</t>
  </si>
  <si>
    <t>(Sch 2.3)</t>
  </si>
  <si>
    <t>year to year % change</t>
  </si>
  <si>
    <t>Sch. 2.2</t>
  </si>
  <si>
    <t>Line 4 + Line 5</t>
  </si>
  <si>
    <t>Line 6 Current year / Line 6 Previous year - 1</t>
  </si>
  <si>
    <t>Line 6 Current year - Line 6 Previous year</t>
  </si>
  <si>
    <t>BPC Annual Report</t>
  </si>
  <si>
    <t>Actual Distributable Net Income</t>
  </si>
  <si>
    <t>Total Distributable Net Income</t>
  </si>
  <si>
    <t>Distributable Net Income Per Average Assignment</t>
  </si>
  <si>
    <t>Distributable Net Income per assignment</t>
  </si>
  <si>
    <t>Description</t>
  </si>
  <si>
    <t>(a)</t>
  </si>
  <si>
    <t>(b)</t>
  </si>
  <si>
    <t>(c)</t>
  </si>
  <si>
    <t>(d)</t>
  </si>
  <si>
    <t>(e)</t>
  </si>
  <si>
    <t>(f)</t>
  </si>
  <si>
    <t>(g)</t>
  </si>
  <si>
    <t>(h)</t>
  </si>
  <si>
    <t>Total</t>
  </si>
  <si>
    <t>Total Pilots to Fund</t>
  </si>
  <si>
    <t>Calculation Adjusting Historical Distributions</t>
  </si>
  <si>
    <t>Distributable Net Income</t>
  </si>
  <si>
    <t>TAL</t>
  </si>
  <si>
    <t>Page 1 of 4</t>
  </si>
  <si>
    <t>Page 3 of 4</t>
  </si>
  <si>
    <t>Page 4 of 4</t>
  </si>
  <si>
    <t>Page 2 of 4</t>
  </si>
  <si>
    <t>(Sch 2.2)</t>
  </si>
  <si>
    <t>SS-4 Sum of Table 1, items 1 &amp; 2</t>
  </si>
  <si>
    <t>SS-4 Sum of Table 1, items 10 &amp; 11; and Table 2, item 2</t>
  </si>
  <si>
    <t>Average # of Pilots</t>
  </si>
  <si>
    <t>Line 4 / Line 5</t>
  </si>
  <si>
    <t>Line  6 * Line 7</t>
  </si>
  <si>
    <t>(L3 * L4)</t>
  </si>
  <si>
    <t>(L5)</t>
  </si>
  <si>
    <t>(L7 / L8)</t>
  </si>
  <si>
    <t>(L9+L10)</t>
  </si>
  <si>
    <t>(L11)</t>
  </si>
  <si>
    <t>Inflation Adjusted Distributable Net Income Per Average Assignment</t>
  </si>
  <si>
    <t>https://data.bls.gov/cgi-bin/cpicalc.pl?cost1=345319&amp;year1=201401&amp;year2=202001</t>
  </si>
  <si>
    <t>https://data.bls.gov/cgi-bin/cpicalc.pl?cost1=356409&amp;year1=201501&amp;year2=202001</t>
  </si>
  <si>
    <t>https://data.bls.gov/cgi-bin/cpicalc.pl?cost1=392461&amp;year1=201601&amp;year2=202001</t>
  </si>
  <si>
    <t>https://data.bls.gov/cgi-bin/cpicalc.pl?cost1=362925&amp;year1=201701&amp;year2=202001</t>
  </si>
  <si>
    <t>https://data.bls.gov/cgi-bin/cpicalc.pl?cost1=400816&amp;year1=201801&amp;year2=202001</t>
  </si>
  <si>
    <t>Line 8 adjusted for inflation using calculator in source</t>
  </si>
  <si>
    <t>Exh.  SS-2r2 (Revised 7/13/20)</t>
  </si>
  <si>
    <t>Schedule 2.1r2 (revised 7/13/20)</t>
  </si>
  <si>
    <t>Schedule 2.2r (revised 6/26/20)</t>
  </si>
  <si>
    <t>Schedule 2.3r (revised 6/26/20)</t>
  </si>
  <si>
    <t xml:space="preserve"> to: AMCL-2r Schedule 1.1r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</si>
</sst>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"/>
    <numFmt numFmtId="168" formatCode="#,###_);\(#,###\)\,\ "/>
    <numFmt numFmtId="169" formatCode="&quot;$&quot;#,##0"/>
    <numFmt numFmtId="170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0"/>
      <name val="Geneva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2" borderId="1" applyNumberFormat="0" applyAlignment="0" applyProtection="0"/>
    <xf numFmtId="168" fontId="4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168" fontId="5" fillId="0" borderId="0" xfId="6" applyFont="1"/>
    <xf numFmtId="0" fontId="6" fillId="0" borderId="0" xfId="0" applyFont="1"/>
    <xf numFmtId="168" fontId="7" fillId="0" borderId="0" xfId="6" applyFont="1"/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/>
    <xf numFmtId="165" fontId="6" fillId="0" borderId="0" xfId="0" quotePrefix="1" applyNumberFormat="1" applyFont="1"/>
    <xf numFmtId="165" fontId="6" fillId="0" borderId="0" xfId="0" quotePrefix="1" applyNumberFormat="1" applyFont="1" applyAlignment="1">
      <alignment horizontal="right"/>
    </xf>
    <xf numFmtId="164" fontId="6" fillId="0" borderId="4" xfId="1" applyNumberFormat="1" applyFont="1" applyBorder="1" applyAlignment="1">
      <alignment horizontal="right"/>
    </xf>
    <xf numFmtId="164" fontId="6" fillId="0" borderId="0" xfId="1" applyNumberFormat="1" applyFont="1" applyBorder="1"/>
    <xf numFmtId="167" fontId="6" fillId="0" borderId="0" xfId="0" applyNumberFormat="1" applyFont="1"/>
    <xf numFmtId="43" fontId="6" fillId="0" borderId="0" xfId="0" applyNumberFormat="1" applyFont="1"/>
    <xf numFmtId="170" fontId="6" fillId="0" borderId="2" xfId="1" applyNumberFormat="1" applyFont="1" applyBorder="1" applyAlignment="1">
      <alignment horizontal="right"/>
    </xf>
    <xf numFmtId="43" fontId="6" fillId="0" borderId="0" xfId="1" applyFont="1" applyAlignment="1">
      <alignment horizontal="right"/>
    </xf>
    <xf numFmtId="166" fontId="6" fillId="0" borderId="0" xfId="2" applyNumberFormat="1" applyFont="1" applyBorder="1"/>
    <xf numFmtId="164" fontId="6" fillId="0" borderId="0" xfId="0" applyNumberFormat="1" applyFont="1"/>
    <xf numFmtId="43" fontId="6" fillId="0" borderId="0" xfId="1" applyFont="1" applyBorder="1"/>
    <xf numFmtId="0" fontId="6" fillId="0" borderId="0" xfId="0" applyFont="1" applyAlignment="1">
      <alignment horizontal="right"/>
    </xf>
    <xf numFmtId="0" fontId="6" fillId="0" borderId="0" xfId="0" applyFont="1" applyFill="1"/>
    <xf numFmtId="166" fontId="6" fillId="0" borderId="0" xfId="0" applyNumberFormat="1" applyFont="1"/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170" fontId="6" fillId="0" borderId="0" xfId="1" applyNumberFormat="1" applyFont="1" applyFill="1" applyAlignment="1">
      <alignment horizontal="right"/>
    </xf>
    <xf numFmtId="166" fontId="6" fillId="0" borderId="0" xfId="2" applyNumberFormat="1" applyFont="1" applyFill="1" applyAlignment="1">
      <alignment horizontal="right"/>
    </xf>
    <xf numFmtId="169" fontId="6" fillId="0" borderId="0" xfId="2" applyNumberFormat="1" applyFont="1" applyFill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/>
    <xf numFmtId="166" fontId="6" fillId="0" borderId="0" xfId="2" applyNumberFormat="1" applyFont="1"/>
    <xf numFmtId="169" fontId="6" fillId="0" borderId="0" xfId="2" applyNumberFormat="1" applyFont="1"/>
    <xf numFmtId="0" fontId="6" fillId="0" borderId="0" xfId="0" applyFont="1" applyAlignment="1">
      <alignment horizontal="left"/>
    </xf>
    <xf numFmtId="1" fontId="6" fillId="0" borderId="0" xfId="1" applyNumberFormat="1" applyFont="1"/>
    <xf numFmtId="0" fontId="6" fillId="0" borderId="0" xfId="0" applyFont="1" applyAlignment="1">
      <alignment wrapText="1"/>
    </xf>
    <xf numFmtId="168" fontId="7" fillId="0" borderId="0" xfId="6" applyFont="1" applyAlignment="1"/>
    <xf numFmtId="168" fontId="5" fillId="0" borderId="0" xfId="6" applyFont="1" applyBorder="1"/>
    <xf numFmtId="0" fontId="6" fillId="0" borderId="5" xfId="0" applyFont="1" applyBorder="1" applyAlignment="1">
      <alignment horizontal="center"/>
    </xf>
    <xf numFmtId="0" fontId="8" fillId="0" borderId="2" xfId="0" applyFont="1" applyBorder="1"/>
    <xf numFmtId="164" fontId="6" fillId="0" borderId="2" xfId="1" applyNumberFormat="1" applyFont="1" applyBorder="1"/>
    <xf numFmtId="164" fontId="6" fillId="0" borderId="4" xfId="1" applyNumberFormat="1" applyFont="1" applyBorder="1"/>
    <xf numFmtId="10" fontId="6" fillId="0" borderId="0" xfId="3" applyNumberFormat="1" applyFont="1" applyBorder="1"/>
    <xf numFmtId="10" fontId="6" fillId="0" borderId="0" xfId="3" applyNumberFormat="1" applyFont="1"/>
    <xf numFmtId="0" fontId="6" fillId="0" borderId="0" xfId="0" applyFont="1" applyAlignment="1"/>
    <xf numFmtId="0" fontId="9" fillId="0" borderId="0" xfId="7" applyAlignment="1">
      <alignment horizontal="left"/>
    </xf>
    <xf numFmtId="169" fontId="9" fillId="0" borderId="0" xfId="7" applyNumberFormat="1"/>
    <xf numFmtId="166" fontId="6" fillId="0" borderId="0" xfId="2" applyNumberFormat="1" applyFont="1" applyFill="1"/>
    <xf numFmtId="164" fontId="6" fillId="0" borderId="0" xfId="1" applyNumberFormat="1" applyFont="1" applyFill="1"/>
    <xf numFmtId="166" fontId="6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169" fontId="6" fillId="0" borderId="0" xfId="2" applyNumberFormat="1" applyFont="1" applyFill="1"/>
    <xf numFmtId="164" fontId="6" fillId="3" borderId="0" xfId="1" applyNumberFormat="1" applyFont="1" applyFill="1" applyAlignment="1">
      <alignment horizontal="right"/>
    </xf>
    <xf numFmtId="43" fontId="6" fillId="3" borderId="4" xfId="1" applyFont="1" applyFill="1" applyBorder="1" applyAlignment="1">
      <alignment horizontal="right"/>
    </xf>
    <xf numFmtId="43" fontId="6" fillId="3" borderId="2" xfId="1" applyFont="1" applyFill="1" applyBorder="1" applyAlignment="1">
      <alignment horizontal="right"/>
    </xf>
    <xf numFmtId="166" fontId="6" fillId="3" borderId="3" xfId="2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168" fontId="7" fillId="0" borderId="0" xfId="6" applyFont="1" applyAlignment="1">
      <alignment horizontal="left"/>
    </xf>
  </cellXfs>
  <cellStyles count="8">
    <cellStyle name="Calculation 2" xfId="5"/>
    <cellStyle name="Comma" xfId="1" builtinId="3"/>
    <cellStyle name="Currency" xfId="2" builtinId="4"/>
    <cellStyle name="Hyperlink" xfId="7" builtinId="8"/>
    <cellStyle name="Normal" xfId="0" builtinId="0"/>
    <cellStyle name="Normal 2" xfId="4"/>
    <cellStyle name="Normal_WAGas6_97_Avista WA GAS TY2006 Staff Rebuttal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showGridLines="0" tabSelected="1" view="pageBreakPreview" zoomScale="80" zoomScaleNormal="100" zoomScaleSheetLayoutView="80" workbookViewId="0">
      <selection activeCell="G22" sqref="G22"/>
    </sheetView>
  </sheetViews>
  <sheetFormatPr defaultColWidth="9.140625" defaultRowHeight="12.75"/>
  <cols>
    <col min="1" max="1" width="2.28515625" style="2" customWidth="1"/>
    <col min="2" max="2" width="10.7109375" style="2" customWidth="1"/>
    <col min="3" max="3" width="2.28515625" style="2" customWidth="1"/>
    <col min="4" max="4" width="40.7109375" style="2" customWidth="1"/>
    <col min="5" max="5" width="21.42578125" style="2" customWidth="1"/>
    <col min="6" max="6" width="2.5703125" style="2" customWidth="1"/>
    <col min="7" max="7" width="29" style="2" customWidth="1"/>
    <col min="8" max="8" width="39.42578125" style="2" customWidth="1"/>
    <col min="9" max="9" width="35.42578125" style="2" customWidth="1"/>
    <col min="10" max="10" width="23.85546875" style="2" customWidth="1"/>
    <col min="11" max="11" width="21.85546875" style="2" customWidth="1"/>
    <col min="12" max="12" width="21.42578125" style="2" customWidth="1"/>
    <col min="13" max="16384" width="9.140625" style="2"/>
  </cols>
  <sheetData>
    <row r="2" spans="2:12">
      <c r="B2" s="1"/>
      <c r="C2" s="1"/>
      <c r="K2" s="1"/>
    </row>
    <row r="3" spans="2:12">
      <c r="B3" s="3" t="s">
        <v>22</v>
      </c>
      <c r="C3" s="1"/>
      <c r="E3" s="1"/>
      <c r="F3" s="1"/>
      <c r="G3" s="3" t="s">
        <v>77</v>
      </c>
      <c r="K3" s="1"/>
    </row>
    <row r="4" spans="2:12">
      <c r="B4" s="3" t="s">
        <v>25</v>
      </c>
      <c r="C4" s="1"/>
      <c r="E4" s="1"/>
      <c r="F4" s="1"/>
      <c r="G4" s="3" t="s">
        <v>19</v>
      </c>
    </row>
    <row r="5" spans="2:12">
      <c r="B5" s="3" t="s">
        <v>78</v>
      </c>
      <c r="C5" s="1"/>
      <c r="E5" s="1"/>
      <c r="F5" s="1"/>
      <c r="G5" s="3" t="s">
        <v>55</v>
      </c>
    </row>
    <row r="6" spans="2:12">
      <c r="B6" s="1"/>
      <c r="C6" s="1"/>
      <c r="E6" s="1"/>
      <c r="F6" s="1"/>
      <c r="G6" s="1"/>
    </row>
    <row r="7" spans="2:12">
      <c r="B7" s="4" t="s">
        <v>20</v>
      </c>
      <c r="C7" s="5"/>
      <c r="D7" s="4" t="s">
        <v>41</v>
      </c>
      <c r="E7" s="4" t="s">
        <v>42</v>
      </c>
      <c r="F7" s="4"/>
      <c r="G7" s="4" t="s">
        <v>43</v>
      </c>
    </row>
    <row r="8" spans="2:12">
      <c r="B8" s="6">
        <v>1</v>
      </c>
      <c r="C8" s="5"/>
      <c r="D8" s="5"/>
      <c r="E8" s="6"/>
      <c r="F8" s="6"/>
      <c r="G8" s="6"/>
    </row>
    <row r="9" spans="2:12">
      <c r="B9" s="6">
        <v>2</v>
      </c>
      <c r="C9" s="6"/>
      <c r="D9" s="24"/>
      <c r="E9" s="24"/>
      <c r="F9" s="24"/>
      <c r="G9" s="36" t="s">
        <v>24</v>
      </c>
    </row>
    <row r="10" spans="2:12">
      <c r="B10" s="6">
        <v>3</v>
      </c>
      <c r="C10" s="6"/>
      <c r="D10" s="2" t="s">
        <v>6</v>
      </c>
      <c r="E10" s="8">
        <v>7334</v>
      </c>
      <c r="F10" s="9"/>
      <c r="G10" s="2" t="s">
        <v>29</v>
      </c>
      <c r="H10" s="10"/>
      <c r="I10" s="9"/>
    </row>
    <row r="11" spans="2:12">
      <c r="B11" s="6">
        <v>4</v>
      </c>
      <c r="C11" s="6"/>
      <c r="D11" s="2" t="s">
        <v>7</v>
      </c>
      <c r="E11" s="11">
        <f>'Hist VEAT Report Sch 2.4'!K14</f>
        <v>-3.2142857142857251E-3</v>
      </c>
      <c r="F11" s="10"/>
      <c r="G11" s="2" t="s">
        <v>23</v>
      </c>
    </row>
    <row r="12" spans="2:12" ht="13.5" thickBot="1">
      <c r="B12" s="6">
        <v>5</v>
      </c>
      <c r="C12" s="6"/>
      <c r="D12" s="2" t="s">
        <v>8</v>
      </c>
      <c r="E12" s="12">
        <f>E10*(1+E11)</f>
        <v>7310.4264285714289</v>
      </c>
      <c r="F12" s="13"/>
      <c r="G12" s="2" t="s">
        <v>65</v>
      </c>
    </row>
    <row r="13" spans="2:12" ht="13.5" thickTop="1">
      <c r="B13" s="6">
        <v>6</v>
      </c>
      <c r="C13" s="6"/>
      <c r="E13" s="8"/>
      <c r="F13" s="9"/>
      <c r="H13" s="14"/>
      <c r="J13" s="15"/>
      <c r="L13" s="15"/>
    </row>
    <row r="14" spans="2:12">
      <c r="B14" s="6">
        <v>7</v>
      </c>
      <c r="C14" s="6"/>
      <c r="D14" s="2" t="str">
        <f>D12</f>
        <v>Projected Assignments</v>
      </c>
      <c r="E14" s="8">
        <f>E12</f>
        <v>7310.4264285714289</v>
      </c>
      <c r="F14" s="9"/>
      <c r="G14" s="2" t="s">
        <v>66</v>
      </c>
    </row>
    <row r="15" spans="2:12">
      <c r="B15" s="6">
        <v>8</v>
      </c>
      <c r="C15" s="6"/>
      <c r="D15" s="2" t="s">
        <v>54</v>
      </c>
      <c r="E15" s="16">
        <f>AVERAGE('Hist. Info. BPC  Sch 2.2'!F13:J13)</f>
        <v>143.4</v>
      </c>
      <c r="F15" s="5"/>
      <c r="G15" s="2" t="s">
        <v>59</v>
      </c>
    </row>
    <row r="16" spans="2:12">
      <c r="B16" s="6">
        <v>9</v>
      </c>
      <c r="C16" s="6"/>
      <c r="D16" s="2" t="s">
        <v>16</v>
      </c>
      <c r="E16" s="17">
        <f>E14/E15</f>
        <v>50.979263797569239</v>
      </c>
      <c r="F16" s="15"/>
      <c r="G16" s="2" t="s">
        <v>67</v>
      </c>
      <c r="H16" s="15"/>
      <c r="J16" s="18"/>
    </row>
    <row r="17" spans="2:7">
      <c r="B17" s="6">
        <v>10</v>
      </c>
      <c r="C17" s="6"/>
      <c r="D17" s="2" t="s">
        <v>17</v>
      </c>
      <c r="E17" s="59">
        <v>1</v>
      </c>
      <c r="F17" s="19"/>
      <c r="G17" s="2" t="s">
        <v>21</v>
      </c>
    </row>
    <row r="18" spans="2:7" ht="13.5" thickBot="1">
      <c r="B18" s="6">
        <v>11</v>
      </c>
      <c r="C18" s="6"/>
      <c r="D18" s="2" t="s">
        <v>51</v>
      </c>
      <c r="E18" s="60">
        <f>E17+E16</f>
        <v>51.979263797569239</v>
      </c>
      <c r="F18" s="20"/>
      <c r="G18" s="2" t="s">
        <v>68</v>
      </c>
    </row>
    <row r="19" spans="2:7" ht="13.5" thickTop="1">
      <c r="B19" s="6">
        <v>12</v>
      </c>
      <c r="C19" s="6"/>
      <c r="E19" s="21"/>
    </row>
    <row r="20" spans="2:7">
      <c r="B20" s="6">
        <v>13</v>
      </c>
      <c r="C20" s="6"/>
      <c r="D20" s="22" t="s">
        <v>53</v>
      </c>
      <c r="E20" s="56">
        <f>AVERAGE('Calc. Adj. Hist. Dist Sch 2.3'!F15:J15)</f>
        <v>400855.25</v>
      </c>
      <c r="F20" s="23"/>
      <c r="G20" s="2" t="s">
        <v>30</v>
      </c>
    </row>
    <row r="21" spans="2:7">
      <c r="B21" s="6">
        <v>14</v>
      </c>
      <c r="C21" s="6"/>
      <c r="D21" s="2" t="s">
        <v>51</v>
      </c>
      <c r="E21" s="61">
        <f>E18</f>
        <v>51.979263797569239</v>
      </c>
      <c r="F21" s="20"/>
      <c r="G21" s="2" t="s">
        <v>69</v>
      </c>
    </row>
    <row r="22" spans="2:7" ht="13.5" thickBot="1">
      <c r="B22" s="6">
        <v>15</v>
      </c>
      <c r="C22" s="6"/>
      <c r="D22" s="22" t="s">
        <v>38</v>
      </c>
      <c r="E22" s="62">
        <f>E21*E20</f>
        <v>20836160.784390565</v>
      </c>
      <c r="F22" s="18"/>
      <c r="G22" s="1" t="s">
        <v>81</v>
      </c>
    </row>
    <row r="23" spans="2:7" ht="13.5" thickTop="1"/>
  </sheetData>
  <pageMargins left="0.7" right="0.7" top="0.75" bottom="0.75" header="0.3" footer="0.3"/>
  <pageSetup scale="74" orientation="portrait" r:id="rId1"/>
  <colBreaks count="1" manualBreakCount="1">
    <brk id="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"/>
  <sheetViews>
    <sheetView showGridLines="0" view="pageBreakPreview" zoomScaleNormal="100" zoomScaleSheetLayoutView="100" workbookViewId="0">
      <selection activeCell="B4" sqref="B4"/>
    </sheetView>
  </sheetViews>
  <sheetFormatPr defaultColWidth="9.140625" defaultRowHeight="12.75"/>
  <cols>
    <col min="1" max="1" width="2.42578125" style="2" customWidth="1"/>
    <col min="2" max="2" width="9.140625" style="2"/>
    <col min="3" max="3" width="1.7109375" style="2" customWidth="1"/>
    <col min="4" max="4" width="35.28515625" style="2" customWidth="1"/>
    <col min="5" max="5" width="2.7109375" style="2" customWidth="1"/>
    <col min="6" max="6" width="24.85546875" style="2" bestFit="1" customWidth="1"/>
    <col min="7" max="7" width="22.5703125" style="2" bestFit="1" customWidth="1"/>
    <col min="8" max="8" width="15.28515625" style="2" customWidth="1"/>
    <col min="9" max="9" width="17.28515625" style="2" customWidth="1"/>
    <col min="10" max="10" width="16.7109375" style="2" customWidth="1"/>
    <col min="11" max="11" width="12.140625" style="2" bestFit="1" customWidth="1"/>
    <col min="12" max="12" width="3.5703125" style="2" customWidth="1"/>
    <col min="13" max="14" width="16.85546875" style="2" bestFit="1" customWidth="1"/>
    <col min="15" max="15" width="22.85546875" style="2" bestFit="1" customWidth="1"/>
    <col min="16" max="18" width="16.85546875" style="2" bestFit="1" customWidth="1"/>
    <col min="19" max="19" width="25" style="2" bestFit="1" customWidth="1"/>
    <col min="20" max="20" width="22.7109375" style="2" bestFit="1" customWidth="1"/>
    <col min="21" max="21" width="16.85546875" style="2" bestFit="1" customWidth="1"/>
    <col min="22" max="22" width="18.7109375" style="2" bestFit="1" customWidth="1"/>
    <col min="23" max="23" width="16.85546875" style="2" bestFit="1" customWidth="1"/>
    <col min="24" max="24" width="12.140625" style="2" bestFit="1" customWidth="1"/>
    <col min="25" max="25" width="32.42578125" style="2" bestFit="1" customWidth="1"/>
    <col min="26" max="16384" width="9.140625" style="2"/>
  </cols>
  <sheetData>
    <row r="1" spans="2:30">
      <c r="B1" s="1"/>
      <c r="C1" s="1"/>
    </row>
    <row r="2" spans="2:30">
      <c r="B2" s="3" t="s">
        <v>22</v>
      </c>
      <c r="C2" s="3"/>
      <c r="I2" s="1"/>
      <c r="K2" s="1"/>
      <c r="L2" s="1"/>
      <c r="M2" s="3" t="s">
        <v>77</v>
      </c>
      <c r="N2" s="3"/>
      <c r="V2" s="1"/>
      <c r="Y2" s="1"/>
    </row>
    <row r="3" spans="2:30">
      <c r="B3" s="3" t="s">
        <v>26</v>
      </c>
      <c r="C3" s="3"/>
      <c r="I3" s="1"/>
      <c r="K3" s="1"/>
      <c r="L3" s="1"/>
      <c r="M3" s="3" t="s">
        <v>19</v>
      </c>
      <c r="N3" s="3"/>
      <c r="V3" s="1"/>
      <c r="Y3" s="1"/>
    </row>
    <row r="4" spans="2:30">
      <c r="B4" s="3" t="s">
        <v>79</v>
      </c>
      <c r="C4" s="3"/>
      <c r="I4" s="1"/>
      <c r="K4" s="1"/>
      <c r="L4" s="1"/>
      <c r="M4" s="3" t="s">
        <v>58</v>
      </c>
      <c r="N4" s="3"/>
      <c r="V4" s="1"/>
      <c r="Y4" s="1"/>
    </row>
    <row r="5" spans="2:30">
      <c r="B5" s="1"/>
      <c r="C5" s="1"/>
      <c r="I5" s="1"/>
    </row>
    <row r="6" spans="2:30">
      <c r="B6" s="24" t="s">
        <v>20</v>
      </c>
      <c r="C6" s="5"/>
      <c r="D6" s="4" t="s">
        <v>41</v>
      </c>
      <c r="E6" s="4"/>
      <c r="F6" s="25" t="s">
        <v>42</v>
      </c>
      <c r="G6" s="25" t="s">
        <v>43</v>
      </c>
      <c r="H6" s="25" t="s">
        <v>44</v>
      </c>
      <c r="I6" s="25" t="s">
        <v>45</v>
      </c>
      <c r="J6" s="25" t="s">
        <v>46</v>
      </c>
      <c r="K6" s="25" t="s">
        <v>47</v>
      </c>
      <c r="L6" s="25"/>
      <c r="M6" s="25" t="s">
        <v>48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6"/>
      <c r="Z6" s="5"/>
      <c r="AA6" s="5"/>
      <c r="AB6" s="5"/>
      <c r="AC6" s="5"/>
      <c r="AD6" s="5"/>
    </row>
    <row r="7" spans="2:30">
      <c r="B7" s="6">
        <v>1</v>
      </c>
      <c r="C7" s="6"/>
      <c r="D7" s="6"/>
      <c r="E7" s="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5"/>
      <c r="Z7" s="5"/>
      <c r="AA7" s="5"/>
      <c r="AB7" s="5"/>
      <c r="AC7" s="5"/>
      <c r="AD7" s="5"/>
    </row>
    <row r="8" spans="2:30">
      <c r="B8" s="6">
        <v>2</v>
      </c>
      <c r="C8" s="6"/>
      <c r="D8" s="22"/>
      <c r="F8" s="22"/>
      <c r="G8" s="22"/>
      <c r="H8" s="22"/>
      <c r="I8" s="22"/>
      <c r="J8" s="22"/>
      <c r="K8" s="22"/>
      <c r="L8" s="22"/>
      <c r="M8" s="2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>
      <c r="B9" s="6">
        <v>3</v>
      </c>
      <c r="C9" s="6"/>
      <c r="D9" s="28" t="s">
        <v>0</v>
      </c>
      <c r="E9" s="29"/>
      <c r="F9" s="28">
        <v>2014</v>
      </c>
      <c r="G9" s="28">
        <v>2015</v>
      </c>
      <c r="H9" s="28">
        <v>2016</v>
      </c>
      <c r="I9" s="28">
        <v>2017</v>
      </c>
      <c r="J9" s="28">
        <v>2018</v>
      </c>
      <c r="K9" s="28">
        <v>2019</v>
      </c>
      <c r="L9" s="30"/>
      <c r="M9" s="7" t="s">
        <v>24</v>
      </c>
    </row>
    <row r="10" spans="2:30">
      <c r="B10" s="6">
        <v>4</v>
      </c>
      <c r="C10" s="6"/>
      <c r="D10" s="22" t="s">
        <v>15</v>
      </c>
      <c r="F10" s="31" t="s">
        <v>14</v>
      </c>
      <c r="G10" s="31" t="s">
        <v>13</v>
      </c>
      <c r="H10" s="32">
        <v>52</v>
      </c>
      <c r="I10" s="32">
        <v>52</v>
      </c>
      <c r="J10" s="32">
        <v>52</v>
      </c>
      <c r="K10" s="31" t="s">
        <v>12</v>
      </c>
      <c r="L10" s="31"/>
      <c r="M10" s="2" t="s">
        <v>36</v>
      </c>
    </row>
    <row r="11" spans="2:30">
      <c r="B11" s="6">
        <v>5</v>
      </c>
      <c r="C11" s="6"/>
      <c r="D11" s="22" t="s">
        <v>62</v>
      </c>
      <c r="F11" s="33">
        <v>54.2</v>
      </c>
      <c r="G11" s="33">
        <v>53.2</v>
      </c>
      <c r="H11" s="32">
        <v>52</v>
      </c>
      <c r="I11" s="32">
        <v>52</v>
      </c>
      <c r="J11" s="33">
        <v>50.3</v>
      </c>
      <c r="K11" s="31"/>
      <c r="L11" s="31"/>
      <c r="M11" s="2" t="s">
        <v>36</v>
      </c>
    </row>
    <row r="12" spans="2:30">
      <c r="B12" s="6">
        <v>6</v>
      </c>
      <c r="C12" s="6"/>
      <c r="D12" s="22" t="s">
        <v>11</v>
      </c>
      <c r="F12" s="32">
        <v>7616</v>
      </c>
      <c r="G12" s="32">
        <v>7788</v>
      </c>
      <c r="H12" s="32">
        <v>7660</v>
      </c>
      <c r="I12" s="32">
        <v>7250</v>
      </c>
      <c r="J12" s="32">
        <v>7324</v>
      </c>
      <c r="K12" s="34"/>
      <c r="L12" s="34"/>
      <c r="M12" s="2" t="s">
        <v>36</v>
      </c>
    </row>
    <row r="13" spans="2:30">
      <c r="B13" s="6">
        <v>7</v>
      </c>
      <c r="C13" s="6"/>
      <c r="D13" s="22" t="s">
        <v>10</v>
      </c>
      <c r="F13" s="32">
        <v>140</v>
      </c>
      <c r="G13" s="32">
        <v>146</v>
      </c>
      <c r="H13" s="32">
        <v>147</v>
      </c>
      <c r="I13" s="32">
        <v>139</v>
      </c>
      <c r="J13" s="32">
        <v>145</v>
      </c>
      <c r="K13" s="31"/>
      <c r="L13" s="31"/>
      <c r="M13" s="2" t="s">
        <v>36</v>
      </c>
    </row>
    <row r="14" spans="2:30">
      <c r="B14" s="6">
        <v>8</v>
      </c>
      <c r="C14" s="6"/>
      <c r="D14" s="22" t="s">
        <v>38</v>
      </c>
      <c r="F14" s="34">
        <v>18785340</v>
      </c>
      <c r="G14" s="34">
        <v>19011724</v>
      </c>
      <c r="H14" s="34">
        <v>20450685</v>
      </c>
      <c r="I14" s="34">
        <v>18929552</v>
      </c>
      <c r="J14" s="34">
        <v>20245370</v>
      </c>
      <c r="K14" s="32"/>
      <c r="L14" s="32"/>
      <c r="M14" s="2" t="s">
        <v>36</v>
      </c>
    </row>
    <row r="15" spans="2:30">
      <c r="B15" s="6">
        <v>9</v>
      </c>
      <c r="C15" s="6"/>
      <c r="D15" s="22" t="s">
        <v>37</v>
      </c>
      <c r="F15" s="34">
        <v>346733</v>
      </c>
      <c r="G15" s="34">
        <v>357363</v>
      </c>
      <c r="H15" s="34">
        <v>393282</v>
      </c>
      <c r="I15" s="34">
        <v>360975</v>
      </c>
      <c r="J15" s="34">
        <v>402219</v>
      </c>
      <c r="K15" s="34"/>
      <c r="L15" s="34"/>
      <c r="M15" s="2" t="s">
        <v>36</v>
      </c>
    </row>
    <row r="16" spans="2:30">
      <c r="B16" s="6"/>
      <c r="C16" s="6"/>
      <c r="D16" s="22"/>
      <c r="F16" s="35"/>
      <c r="G16" s="35"/>
      <c r="H16" s="35"/>
      <c r="I16" s="35"/>
      <c r="J16" s="35"/>
      <c r="K16" s="34"/>
      <c r="L16" s="34"/>
    </row>
    <row r="17" spans="2:3">
      <c r="B17" s="6"/>
      <c r="C17" s="6"/>
    </row>
    <row r="18" spans="2:3">
      <c r="B18" s="2" t="s">
        <v>9</v>
      </c>
    </row>
  </sheetData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view="pageBreakPreview" zoomScale="80" zoomScaleNormal="100" zoomScaleSheetLayoutView="80" workbookViewId="0">
      <selection activeCell="B4" sqref="B4"/>
    </sheetView>
  </sheetViews>
  <sheetFormatPr defaultColWidth="9.140625" defaultRowHeight="12.75"/>
  <cols>
    <col min="1" max="1" width="2.5703125" style="2" customWidth="1"/>
    <col min="2" max="2" width="9.28515625" style="2" bestFit="1" customWidth="1"/>
    <col min="3" max="3" width="1.5703125" style="2" customWidth="1"/>
    <col min="4" max="4" width="51.42578125" style="2" bestFit="1" customWidth="1"/>
    <col min="5" max="5" width="1.7109375" style="2" customWidth="1"/>
    <col min="6" max="6" width="18.28515625" style="2" customWidth="1"/>
    <col min="7" max="7" width="18.42578125" style="2" customWidth="1"/>
    <col min="8" max="8" width="18.5703125" style="2" customWidth="1"/>
    <col min="9" max="9" width="18.42578125" style="2" customWidth="1"/>
    <col min="10" max="10" width="18.28515625" style="2" customWidth="1"/>
    <col min="11" max="11" width="2" style="2" customWidth="1"/>
    <col min="12" max="12" width="52.85546875" style="2" bestFit="1" customWidth="1"/>
    <col min="13" max="14" width="15.28515625" style="2" bestFit="1" customWidth="1"/>
    <col min="15" max="16384" width="9.140625" style="2"/>
  </cols>
  <sheetData>
    <row r="2" spans="2:12">
      <c r="B2" s="3" t="s">
        <v>22</v>
      </c>
      <c r="C2" s="3"/>
      <c r="D2" s="1"/>
      <c r="E2" s="1"/>
      <c r="G2" s="1"/>
      <c r="H2" s="1"/>
      <c r="J2" s="1"/>
      <c r="K2" s="1"/>
      <c r="L2" s="3" t="s">
        <v>77</v>
      </c>
    </row>
    <row r="3" spans="2:12">
      <c r="B3" s="3" t="s">
        <v>52</v>
      </c>
      <c r="C3" s="3"/>
      <c r="D3" s="1"/>
      <c r="E3" s="1"/>
      <c r="G3" s="1"/>
      <c r="H3" s="1"/>
      <c r="J3" s="1"/>
      <c r="K3" s="1"/>
      <c r="L3" s="3" t="s">
        <v>19</v>
      </c>
    </row>
    <row r="4" spans="2:12">
      <c r="B4" s="3" t="s">
        <v>80</v>
      </c>
      <c r="C4" s="3"/>
      <c r="D4" s="1"/>
      <c r="E4" s="1"/>
      <c r="G4" s="1"/>
      <c r="H4" s="1"/>
      <c r="J4" s="1"/>
      <c r="K4" s="1"/>
      <c r="L4" s="3" t="s">
        <v>56</v>
      </c>
    </row>
    <row r="5" spans="2:12">
      <c r="B5" s="1"/>
      <c r="C5" s="1"/>
      <c r="D5" s="1"/>
      <c r="E5" s="1"/>
      <c r="H5" s="1"/>
    </row>
    <row r="6" spans="2:12">
      <c r="B6" s="24" t="s">
        <v>20</v>
      </c>
      <c r="C6" s="5"/>
      <c r="D6" s="4" t="s">
        <v>41</v>
      </c>
      <c r="E6" s="4"/>
      <c r="F6" s="25" t="s">
        <v>42</v>
      </c>
      <c r="G6" s="25" t="s">
        <v>43</v>
      </c>
      <c r="H6" s="25" t="s">
        <v>44</v>
      </c>
      <c r="I6" s="25" t="s">
        <v>45</v>
      </c>
      <c r="J6" s="25" t="s">
        <v>46</v>
      </c>
      <c r="K6" s="25"/>
      <c r="L6" s="25" t="s">
        <v>47</v>
      </c>
    </row>
    <row r="7" spans="2:12">
      <c r="B7" s="6">
        <v>1</v>
      </c>
      <c r="C7" s="6"/>
      <c r="D7" s="6"/>
      <c r="E7" s="6"/>
      <c r="F7" s="26"/>
      <c r="G7" s="26"/>
      <c r="H7" s="26"/>
      <c r="I7" s="26"/>
      <c r="J7" s="26"/>
      <c r="K7" s="26"/>
      <c r="L7" s="26"/>
    </row>
    <row r="8" spans="2:12">
      <c r="B8" s="6">
        <v>2</v>
      </c>
      <c r="C8" s="6"/>
      <c r="D8" s="6"/>
      <c r="E8" s="6"/>
      <c r="F8" s="26"/>
      <c r="G8" s="26"/>
      <c r="H8" s="26"/>
      <c r="I8" s="26"/>
      <c r="J8" s="26"/>
      <c r="K8" s="26"/>
      <c r="L8" s="26"/>
    </row>
    <row r="9" spans="2:12">
      <c r="B9" s="6">
        <v>3</v>
      </c>
      <c r="C9" s="6"/>
      <c r="D9" s="36" t="str">
        <f>'Hist. Info. BPC  Sch 2.2'!D9</f>
        <v>Year</v>
      </c>
      <c r="E9" s="37"/>
      <c r="F9" s="36">
        <f>'Hist. Info. BPC  Sch 2.2'!F9</f>
        <v>2014</v>
      </c>
      <c r="G9" s="36">
        <f>'Hist. Info. BPC  Sch 2.2'!G9</f>
        <v>2015</v>
      </c>
      <c r="H9" s="36">
        <f>'Hist. Info. BPC  Sch 2.2'!H9</f>
        <v>2016</v>
      </c>
      <c r="I9" s="36">
        <f>'Hist. Info. BPC  Sch 2.2'!I9</f>
        <v>2017</v>
      </c>
      <c r="J9" s="36">
        <f>'Hist. Info. BPC  Sch 2.2'!J9</f>
        <v>2018</v>
      </c>
      <c r="K9" s="7"/>
      <c r="L9" s="7" t="s">
        <v>24</v>
      </c>
    </row>
    <row r="10" spans="2:12">
      <c r="B10" s="6">
        <v>4</v>
      </c>
      <c r="C10" s="6"/>
      <c r="D10" s="2" t="str">
        <f>'Hist. Info. BPC  Sch 2.2'!D14</f>
        <v>Total Distributable Net Income</v>
      </c>
      <c r="F10" s="54">
        <f>'Hist. Info. BPC  Sch 2.2'!F14</f>
        <v>18785340</v>
      </c>
      <c r="G10" s="54">
        <f>'Hist. Info. BPC  Sch 2.2'!G14</f>
        <v>19011724</v>
      </c>
      <c r="H10" s="54">
        <f>'Hist. Info. BPC  Sch 2.2'!H14</f>
        <v>20450685</v>
      </c>
      <c r="I10" s="54">
        <f>'Hist. Info. BPC  Sch 2.2'!I14</f>
        <v>18929552</v>
      </c>
      <c r="J10" s="38">
        <f>'Hist. Info. BPC  Sch 2.2'!J14</f>
        <v>20245370</v>
      </c>
      <c r="K10" s="39"/>
      <c r="L10" s="40" t="s">
        <v>32</v>
      </c>
    </row>
    <row r="11" spans="2:12">
      <c r="B11" s="6">
        <v>5</v>
      </c>
      <c r="C11" s="6"/>
      <c r="D11" s="2" t="str">
        <f>'Hist. Info. BPC  Sch 2.2'!D12</f>
        <v>Yearly Assignments</v>
      </c>
      <c r="F11" s="55">
        <f>'Hist. Info. BPC  Sch 2.2'!F12</f>
        <v>7616</v>
      </c>
      <c r="G11" s="55">
        <f>'Hist. Info. BPC  Sch 2.2'!G12</f>
        <v>7788</v>
      </c>
      <c r="H11" s="55">
        <f>'Hist. Info. BPC  Sch 2.2'!H12</f>
        <v>7660</v>
      </c>
      <c r="I11" s="55">
        <f>'Hist. Info. BPC  Sch 2.2'!I12</f>
        <v>7250</v>
      </c>
      <c r="J11" s="9">
        <f>'Hist. Info. BPC  Sch 2.2'!J12</f>
        <v>7324</v>
      </c>
      <c r="K11" s="41"/>
      <c r="L11" s="40" t="s">
        <v>32</v>
      </c>
    </row>
    <row r="12" spans="2:12">
      <c r="B12" s="6">
        <v>6</v>
      </c>
      <c r="C12" s="6"/>
      <c r="D12" s="2" t="s">
        <v>40</v>
      </c>
      <c r="F12" s="38">
        <f>F10/F11</f>
        <v>2466.5625</v>
      </c>
      <c r="G12" s="38">
        <f>G10/G11</f>
        <v>2441.1561376476629</v>
      </c>
      <c r="H12" s="38">
        <f t="shared" ref="H12:I12" si="0">H10/H11</f>
        <v>2669.8022193211486</v>
      </c>
      <c r="I12" s="38">
        <f t="shared" si="0"/>
        <v>2610.9726896551724</v>
      </c>
      <c r="J12" s="38">
        <f>J10/J11</f>
        <v>2764.2504096122339</v>
      </c>
      <c r="K12" s="39"/>
      <c r="L12" s="40" t="s">
        <v>63</v>
      </c>
    </row>
    <row r="13" spans="2:12">
      <c r="B13" s="6">
        <v>7</v>
      </c>
      <c r="C13" s="6"/>
      <c r="D13" s="2" t="str">
        <f>'Hist. Info. BPC  Sch 2.2'!D13</f>
        <v>Average Assignment Per Pilot</v>
      </c>
      <c r="F13" s="9">
        <f>'Hist. Info. BPC  Sch 2.2'!F13</f>
        <v>140</v>
      </c>
      <c r="G13" s="9">
        <f>'Hist. Info. BPC  Sch 2.2'!G13</f>
        <v>146</v>
      </c>
      <c r="H13" s="9">
        <f>'Hist. Info. BPC  Sch 2.2'!H13</f>
        <v>147</v>
      </c>
      <c r="I13" s="9">
        <f>'Hist. Info. BPC  Sch 2.2'!I13</f>
        <v>139</v>
      </c>
      <c r="J13" s="9">
        <f>'Hist. Info. BPC  Sch 2.2'!J13</f>
        <v>145</v>
      </c>
      <c r="L13" s="40" t="s">
        <v>32</v>
      </c>
    </row>
    <row r="14" spans="2:12">
      <c r="B14" s="6">
        <v>8</v>
      </c>
      <c r="C14" s="6"/>
      <c r="D14" s="2" t="s">
        <v>39</v>
      </c>
      <c r="F14" s="38">
        <f>F13*F12</f>
        <v>345318.75</v>
      </c>
      <c r="G14" s="38">
        <f>G13*G12</f>
        <v>356408.7960965588</v>
      </c>
      <c r="H14" s="38">
        <f>H13*H12</f>
        <v>392460.92624020885</v>
      </c>
      <c r="I14" s="38">
        <f>I13*I12</f>
        <v>362925.20386206894</v>
      </c>
      <c r="J14" s="38">
        <f>J13*J12</f>
        <v>400816.3093937739</v>
      </c>
      <c r="K14" s="39"/>
      <c r="L14" s="40" t="s">
        <v>64</v>
      </c>
    </row>
    <row r="15" spans="2:12">
      <c r="B15" s="6">
        <v>9</v>
      </c>
      <c r="C15" s="6"/>
      <c r="D15" s="2" t="s">
        <v>70</v>
      </c>
      <c r="F15" s="54">
        <v>380830.25</v>
      </c>
      <c r="G15" s="54">
        <v>393412</v>
      </c>
      <c r="H15" s="54">
        <v>427339</v>
      </c>
      <c r="I15" s="54">
        <v>385540</v>
      </c>
      <c r="J15" s="38">
        <v>417155</v>
      </c>
      <c r="K15" s="39"/>
      <c r="L15" s="40" t="s">
        <v>76</v>
      </c>
    </row>
    <row r="16" spans="2:12" ht="15">
      <c r="B16" s="6"/>
      <c r="C16" s="6"/>
      <c r="F16" s="39"/>
      <c r="G16" s="53"/>
      <c r="H16" s="39"/>
      <c r="I16" s="39"/>
      <c r="J16" s="39"/>
      <c r="K16" s="39"/>
      <c r="L16" s="40"/>
    </row>
    <row r="17" spans="2:12">
      <c r="B17" s="6"/>
      <c r="C17" s="6"/>
      <c r="F17" s="58"/>
      <c r="G17" s="58"/>
      <c r="H17" s="58"/>
      <c r="I17" s="58"/>
      <c r="J17" s="58"/>
      <c r="K17" s="39"/>
      <c r="L17" s="40"/>
    </row>
    <row r="18" spans="2:12" ht="64.5">
      <c r="B18" s="6"/>
      <c r="C18" s="6"/>
      <c r="D18" s="2" t="s">
        <v>24</v>
      </c>
      <c r="F18" s="57" t="s">
        <v>71</v>
      </c>
      <c r="G18" s="57" t="s">
        <v>72</v>
      </c>
      <c r="H18" s="57" t="s">
        <v>73</v>
      </c>
      <c r="I18" s="57" t="s">
        <v>74</v>
      </c>
      <c r="J18" s="57" t="s">
        <v>75</v>
      </c>
      <c r="K18" s="42"/>
      <c r="L18" s="52"/>
    </row>
  </sheetData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9"/>
  <sheetViews>
    <sheetView showGridLines="0" view="pageBreakPreview" zoomScale="90" zoomScaleNormal="100" zoomScaleSheetLayoutView="90" workbookViewId="0">
      <selection activeCell="O2" sqref="O2"/>
    </sheetView>
  </sheetViews>
  <sheetFormatPr defaultColWidth="9.140625" defaultRowHeight="12.75"/>
  <cols>
    <col min="1" max="1" width="2.7109375" style="2" customWidth="1"/>
    <col min="2" max="2" width="7.85546875" style="2" bestFit="1" customWidth="1"/>
    <col min="3" max="3" width="2.28515625" style="5" customWidth="1"/>
    <col min="4" max="4" width="43.140625" style="2" bestFit="1" customWidth="1"/>
    <col min="5" max="5" width="2.28515625" style="2" customWidth="1"/>
    <col min="6" max="6" width="10.42578125" style="2" bestFit="1" customWidth="1"/>
    <col min="7" max="11" width="10.5703125" style="2" bestFit="1" customWidth="1"/>
    <col min="12" max="12" width="2.28515625" style="2" customWidth="1"/>
    <col min="13" max="13" width="8.7109375" style="2" bestFit="1" customWidth="1"/>
    <col min="14" max="14" width="2.28515625" style="2" customWidth="1"/>
    <col min="15" max="15" width="36.140625" style="2" bestFit="1" customWidth="1"/>
    <col min="16" max="16384" width="9.140625" style="2"/>
  </cols>
  <sheetData>
    <row r="2" spans="2:18" s="37" customFormat="1">
      <c r="B2" s="64" t="s">
        <v>22</v>
      </c>
      <c r="C2" s="64"/>
      <c r="D2" s="64"/>
      <c r="E2" s="43"/>
      <c r="I2" s="3"/>
      <c r="L2" s="43"/>
      <c r="M2" s="43"/>
      <c r="N2" s="43"/>
      <c r="O2" s="3" t="s">
        <v>77</v>
      </c>
      <c r="R2" s="3"/>
    </row>
    <row r="3" spans="2:18" s="37" customFormat="1">
      <c r="B3" s="64" t="s">
        <v>28</v>
      </c>
      <c r="C3" s="64"/>
      <c r="D3" s="64"/>
      <c r="I3" s="3"/>
      <c r="O3" s="43" t="s">
        <v>19</v>
      </c>
      <c r="R3" s="3"/>
    </row>
    <row r="4" spans="2:18" s="37" customFormat="1">
      <c r="B4" s="64" t="s">
        <v>27</v>
      </c>
      <c r="C4" s="64"/>
      <c r="D4" s="64"/>
      <c r="E4" s="43"/>
      <c r="I4" s="3"/>
      <c r="L4" s="43"/>
      <c r="M4" s="43"/>
      <c r="N4" s="43"/>
      <c r="O4" s="43" t="s">
        <v>57</v>
      </c>
      <c r="R4" s="3"/>
    </row>
    <row r="5" spans="2:18">
      <c r="B5" s="1"/>
      <c r="C5" s="44"/>
      <c r="I5" s="1"/>
      <c r="R5" s="1"/>
    </row>
    <row r="6" spans="2:18">
      <c r="B6" s="24" t="s">
        <v>20</v>
      </c>
      <c r="D6" s="4" t="s">
        <v>41</v>
      </c>
      <c r="E6" s="4"/>
      <c r="F6" s="25" t="s">
        <v>42</v>
      </c>
      <c r="G6" s="25" t="s">
        <v>43</v>
      </c>
      <c r="H6" s="25" t="s">
        <v>44</v>
      </c>
      <c r="I6" s="25" t="s">
        <v>45</v>
      </c>
      <c r="J6" s="25" t="s">
        <v>46</v>
      </c>
      <c r="K6" s="4" t="s">
        <v>47</v>
      </c>
      <c r="L6" s="4"/>
      <c r="M6" s="4" t="s">
        <v>48</v>
      </c>
      <c r="N6" s="4"/>
      <c r="O6" s="4" t="s">
        <v>49</v>
      </c>
    </row>
    <row r="7" spans="2:18">
      <c r="B7" s="45">
        <v>1</v>
      </c>
      <c r="C7" s="6"/>
    </row>
    <row r="8" spans="2:18">
      <c r="B8" s="6">
        <v>2</v>
      </c>
      <c r="C8" s="6"/>
    </row>
    <row r="9" spans="2:18">
      <c r="B9" s="6">
        <v>3</v>
      </c>
      <c r="C9" s="6"/>
      <c r="D9" s="36" t="s">
        <v>0</v>
      </c>
      <c r="E9" s="29"/>
      <c r="F9" s="46">
        <v>2014</v>
      </c>
      <c r="G9" s="46">
        <v>2015</v>
      </c>
      <c r="H9" s="46">
        <v>2016</v>
      </c>
      <c r="I9" s="46">
        <v>2017</v>
      </c>
      <c r="J9" s="46">
        <v>2018</v>
      </c>
      <c r="K9" s="46">
        <v>2019</v>
      </c>
      <c r="L9" s="29"/>
      <c r="M9" s="29" t="s">
        <v>5</v>
      </c>
      <c r="N9" s="29"/>
      <c r="O9" s="7" t="s">
        <v>24</v>
      </c>
    </row>
    <row r="10" spans="2:18">
      <c r="B10" s="6">
        <v>4</v>
      </c>
      <c r="C10" s="6"/>
      <c r="D10" s="2" t="s">
        <v>1</v>
      </c>
      <c r="E10" s="5"/>
      <c r="F10" s="9">
        <v>2001</v>
      </c>
      <c r="G10" s="9">
        <v>2089</v>
      </c>
      <c r="H10" s="9">
        <v>2097</v>
      </c>
      <c r="I10" s="9">
        <v>2124</v>
      </c>
      <c r="J10" s="9">
        <v>2114</v>
      </c>
      <c r="K10" s="9">
        <v>2114</v>
      </c>
      <c r="L10" s="5"/>
      <c r="M10" s="5"/>
      <c r="N10" s="5"/>
      <c r="O10" s="2" t="s">
        <v>60</v>
      </c>
    </row>
    <row r="11" spans="2:18">
      <c r="B11" s="6">
        <v>5</v>
      </c>
      <c r="C11" s="6"/>
      <c r="D11" s="2" t="s">
        <v>3</v>
      </c>
      <c r="E11" s="5"/>
      <c r="F11" s="47">
        <v>586</v>
      </c>
      <c r="G11" s="47">
        <v>630</v>
      </c>
      <c r="H11" s="47">
        <v>665</v>
      </c>
      <c r="I11" s="47">
        <v>658</v>
      </c>
      <c r="J11" s="47">
        <v>686</v>
      </c>
      <c r="K11" s="47">
        <v>677</v>
      </c>
      <c r="L11" s="5"/>
      <c r="M11" s="5"/>
      <c r="N11" s="5"/>
      <c r="O11" s="2" t="s">
        <v>61</v>
      </c>
    </row>
    <row r="12" spans="2:18" ht="13.5" thickBot="1">
      <c r="B12" s="6">
        <v>6</v>
      </c>
      <c r="C12" s="6"/>
      <c r="D12" s="2" t="s">
        <v>50</v>
      </c>
      <c r="E12" s="5"/>
      <c r="F12" s="48">
        <f t="shared" ref="F12:K12" si="0">SUM(F10:F11)</f>
        <v>2587</v>
      </c>
      <c r="G12" s="48">
        <f t="shared" si="0"/>
        <v>2719</v>
      </c>
      <c r="H12" s="48">
        <f t="shared" si="0"/>
        <v>2762</v>
      </c>
      <c r="I12" s="48">
        <f t="shared" si="0"/>
        <v>2782</v>
      </c>
      <c r="J12" s="48">
        <f t="shared" si="0"/>
        <v>2800</v>
      </c>
      <c r="K12" s="48">
        <f t="shared" si="0"/>
        <v>2791</v>
      </c>
      <c r="L12" s="5"/>
      <c r="M12" s="5"/>
      <c r="N12" s="5"/>
      <c r="O12" s="2" t="s">
        <v>33</v>
      </c>
    </row>
    <row r="13" spans="2:18" ht="13.5" thickTop="1">
      <c r="B13" s="6">
        <v>7</v>
      </c>
      <c r="C13" s="6"/>
      <c r="E13" s="5"/>
      <c r="F13" s="9"/>
      <c r="G13" s="9"/>
      <c r="H13" s="9"/>
      <c r="I13" s="9"/>
      <c r="J13" s="9"/>
      <c r="K13" s="9"/>
      <c r="L13" s="5"/>
      <c r="M13" s="5"/>
      <c r="N13" s="5"/>
    </row>
    <row r="14" spans="2:18">
      <c r="B14" s="6">
        <v>8</v>
      </c>
      <c r="C14" s="6"/>
      <c r="D14" s="2" t="s">
        <v>31</v>
      </c>
      <c r="E14" s="49"/>
      <c r="F14" s="50"/>
      <c r="G14" s="50">
        <f t="shared" ref="G14" si="1">(G12/F12)-1</f>
        <v>5.1024352531890305E-2</v>
      </c>
      <c r="H14" s="50">
        <f t="shared" ref="H14" si="2">(H12/G12)-1</f>
        <v>1.5814637734461234E-2</v>
      </c>
      <c r="I14" s="50">
        <f t="shared" ref="I14" si="3">(I12/H12)-1</f>
        <v>7.2411296162200323E-3</v>
      </c>
      <c r="J14" s="50">
        <f t="shared" ref="J14" si="4">(J12/I12)-1</f>
        <v>6.470165348670065E-3</v>
      </c>
      <c r="K14" s="50">
        <f>(K12/J12)-1</f>
        <v>-3.2142857142857251E-3</v>
      </c>
      <c r="L14" s="49"/>
      <c r="M14" s="49">
        <f>M15/SUM(F12:K12)</f>
        <v>1.2408004379295663E-2</v>
      </c>
      <c r="N14" s="49"/>
      <c r="O14" s="2" t="s">
        <v>34</v>
      </c>
    </row>
    <row r="15" spans="2:18">
      <c r="B15" s="6">
        <v>9</v>
      </c>
      <c r="C15" s="6"/>
      <c r="D15" s="2" t="s">
        <v>4</v>
      </c>
      <c r="E15" s="13"/>
      <c r="F15" s="9"/>
      <c r="G15" s="9">
        <f t="shared" ref="G15:J15" si="5">G12-F12</f>
        <v>132</v>
      </c>
      <c r="H15" s="9">
        <f t="shared" si="5"/>
        <v>43</v>
      </c>
      <c r="I15" s="9">
        <f t="shared" si="5"/>
        <v>20</v>
      </c>
      <c r="J15" s="9">
        <f t="shared" si="5"/>
        <v>18</v>
      </c>
      <c r="K15" s="9">
        <f>K12-J12</f>
        <v>-9</v>
      </c>
      <c r="L15" s="13"/>
      <c r="M15" s="13">
        <f>SUM(F15:K15)</f>
        <v>204</v>
      </c>
      <c r="N15" s="13"/>
      <c r="O15" s="2" t="s">
        <v>35</v>
      </c>
    </row>
    <row r="17" spans="4:7">
      <c r="D17" s="63"/>
      <c r="E17" s="63"/>
      <c r="F17" s="63"/>
      <c r="G17" s="63"/>
    </row>
    <row r="18" spans="4:7">
      <c r="D18" s="51" t="s">
        <v>18</v>
      </c>
      <c r="E18" s="51"/>
      <c r="F18" s="51"/>
      <c r="G18" s="51"/>
    </row>
    <row r="19" spans="4:7">
      <c r="D19" s="63" t="s">
        <v>2</v>
      </c>
      <c r="E19" s="63"/>
      <c r="F19" s="63"/>
    </row>
  </sheetData>
  <mergeCells count="5">
    <mergeCell ref="D19:F19"/>
    <mergeCell ref="B3:D3"/>
    <mergeCell ref="B2:D2"/>
    <mergeCell ref="B4:D4"/>
    <mergeCell ref="D17:G17"/>
  </mergeCells>
  <pageMargins left="0.7" right="0.7" top="1" bottom="0.75" header="0.3" footer="0.3"/>
  <pageSetup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2020-07-13T23:25:10+00:00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4CCB14-6F8B-4F55-8FD3-9F0159A1E2ED}">
  <ds:schemaRefs>
    <ds:schemaRef ds:uri="http://schemas.microsoft.com/office/infopath/2007/PartnerControls"/>
    <ds:schemaRef ds:uri="http://purl.org/dc/elements/1.1/"/>
    <ds:schemaRef ds:uri="a0689114-bdb9-4146-803a-240f5368dce0"/>
    <ds:schemaRef ds:uri="http://schemas.microsoft.com/office/2006/metadata/properties"/>
    <ds:schemaRef ds:uri="http://purl.org/dc/terms/"/>
    <ds:schemaRef ds:uri="24f70c62-691b-492e-ba59-9d389529a97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BAD42D-6B0F-42CD-99B0-85CA57CBD4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607DF-3C9B-4E9C-8C94-793FACF9EE53}"/>
</file>

<file path=customXml/itemProps4.xml><?xml version="1.0" encoding="utf-8"?>
<ds:datastoreItem xmlns:ds="http://schemas.openxmlformats.org/officeDocument/2006/customXml" ds:itemID="{7F0D98C7-1B84-4E43-BD9D-A745080C3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AHADC Sch 2.1 </vt:lpstr>
      <vt:lpstr>Hist. Info. BPC  Sch 2.2</vt:lpstr>
      <vt:lpstr>Calc. Adj. Hist. Dist Sch 2.3</vt:lpstr>
      <vt:lpstr>Hist VEAT Report Sch 2.4</vt:lpstr>
      <vt:lpstr>'AHADC Sch 2.1 '!Print_Area</vt:lpstr>
      <vt:lpstr>'Hist. Info. BPC  Sch 2.2'!Print_Area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Sevall, Scott (UTC)</dc:creator>
  <dc:description/>
  <cp:lastModifiedBy>Sevall, Scott (UTC)</cp:lastModifiedBy>
  <cp:lastPrinted>2020-05-06T18:38:59Z</cp:lastPrinted>
  <dcterms:created xsi:type="dcterms:W3CDTF">2020-04-07T17:38:49Z</dcterms:created>
  <dcterms:modified xsi:type="dcterms:W3CDTF">2020-07-13T21:41:23Z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{533EBB52-ADF7-4381-8B7D-544690416105}</vt:lpwstr>
  </property>
  <property fmtid="{D5CDD505-2E9C-101B-9397-08002B2CF9AE}" pid="3" name="ContentTypeId">
    <vt:lpwstr>0x0101006E56B4D1795A2E4DB2F0B01679ED314A000B45DDC509B45C478FAB6DD6BD075772</vt:lpwstr>
  </property>
  <property fmtid="{D5CDD505-2E9C-101B-9397-08002B2CF9AE}" pid="4" name="Document Type">
    <vt:lpwstr>Exhibit</vt:lpwstr>
  </property>
  <property fmtid="{D5CDD505-2E9C-101B-9397-08002B2CF9AE}" pid="5" name="EfsecDocumentType">
    <vt:lpwstr>Documents</vt:lpwstr>
  </property>
  <property fmtid="{D5CDD505-2E9C-101B-9397-08002B2CF9AE}" pid="6" name="IsOfficialRecord">
    <vt:bool>false</vt:bool>
  </property>
  <property fmtid="{D5CDD505-2E9C-101B-9397-08002B2CF9AE}" pid="7" name="IsVisibleToEfsecCouncil">
    <vt:bool>false</vt:bool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