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PacifiCorp.us\dfs\PDXCO\SHR02\REA\REG\zregulation\___RECENT MAJOR FILINGS\_WASHINGTON\WA UE-210532 LIRF\NEW-PAC-Natives-and-WPs-7-1-21 (R)\Cheung\Native Exhibits\"/>
    </mc:Choice>
  </mc:AlternateContent>
  <xr:revisionPtr revIDLastSave="0" documentId="8_{F5388A9B-446B-42F6-9446-B14895DDD9F3}" xr6:coauthVersionLast="46" xr6:coauthVersionMax="46" xr10:uidLastSave="{00000000-0000-0000-0000-000000000000}"/>
  <bookViews>
    <workbookView xWindow="19080" yWindow="480" windowWidth="19440" windowHeight="15000" tabRatio="849" activeTab="3" xr2:uid="{00000000-000D-0000-FFFF-FFFF00000000}"/>
  </bookViews>
  <sheets>
    <sheet name="Results" sheetId="4" r:id="rId1"/>
    <sheet name="Price Change" sheetId="16" r:id="rId2"/>
    <sheet name="Adjustments" sheetId="17" r:id="rId3"/>
    <sheet name="Variables" sheetId="3" r:id="rId4"/>
    <sheet name="Lead Sheet ADJ_1" sheetId="18" r:id="rId5"/>
    <sheet name="Page ADJ_1.1" sheetId="19" r:id="rId6"/>
    <sheet name="Page ADJ_1.2" sheetId="20" r:id="rId7"/>
    <sheet name="Page ADJ_1.3" sheetId="21" r:id="rId8"/>
    <sheet name="Page ADJ_1.4R" sheetId="22" r:id="rId9"/>
    <sheet name="Lead Sheet ADJ_2" sheetId="23" r:id="rId10"/>
    <sheet name="Page ADJ_2.1" sheetId="24" r:id="rId11"/>
    <sheet name="Page ADJ_2.2" sheetId="25" r:id="rId12"/>
    <sheet name="Lead Sheet ADJ_3" sheetId="26" r:id="rId13"/>
    <sheet name="Page ADJ_3.1" sheetId="27" r:id="rId14"/>
    <sheet name="Lead Sheet ADJ_4" sheetId="28" r:id="rId15"/>
    <sheet name="Page ADJ_4.1" sheetId="29" r:id="rId16"/>
  </sheets>
  <externalReferences>
    <externalReference r:id="rId17"/>
    <externalReference r:id="rId18"/>
    <externalReference r:id="rId19"/>
    <externalReference r:id="rId20"/>
    <externalReference r:id="rId21"/>
    <externalReference r:id="rId22"/>
    <externalReference r:id="rId23"/>
    <externalReference r:id="rId24"/>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11" hidden="1">[1]Inputs!#REF!</definedName>
    <definedName name="__123Graph_A" hidden="1">[1]Inputs!#REF!</definedName>
    <definedName name="__123Graph_B" localSheetId="11" hidden="1">[1]Inputs!#REF!</definedName>
    <definedName name="__123Graph_B" hidden="1">[1]Inputs!#REF!</definedName>
    <definedName name="__123Graph_D" localSheetId="11"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localSheetId="6" hidden="1">#REF!</definedName>
    <definedName name="_Fill" localSheetId="7" hidden="1">#REF!</definedName>
    <definedName name="_Fill" localSheetId="11" hidden="1">#REF!</definedName>
    <definedName name="_Fill" hidden="1">#REF!</definedName>
    <definedName name="_xlnm._FilterDatabase" localSheetId="12" hidden="1">'Lead Sheet ADJ_3'!$D$7:$J$58</definedName>
    <definedName name="_xlnm._FilterDatabase" hidden="1">#REF!</definedName>
    <definedName name="_j1" localSheetId="4" hidden="1">{"PRINT",#N/A,TRUE,"APPA";"PRINT",#N/A,TRUE,"APS";"PRINT",#N/A,TRUE,"BHPL";"PRINT",#N/A,TRUE,"BHPL2";"PRINT",#N/A,TRUE,"CDWR";"PRINT",#N/A,TRUE,"EWEB";"PRINT",#N/A,TRUE,"LADWP";"PRINT",#N/A,TRUE,"NEVBASE"}</definedName>
    <definedName name="_j1" localSheetId="9" hidden="1">{"PRINT",#N/A,TRUE,"APPA";"PRINT",#N/A,TRUE,"APS";"PRINT",#N/A,TRUE,"BHPL";"PRINT",#N/A,TRUE,"BHPL2";"PRINT",#N/A,TRUE,"CDWR";"PRINT",#N/A,TRUE,"EWEB";"PRINT",#N/A,TRUE,"LADWP";"PRINT",#N/A,TRUE,"NEVBASE"}</definedName>
    <definedName name="_j1" localSheetId="6" hidden="1">{"PRINT",#N/A,TRUE,"APPA";"PRINT",#N/A,TRUE,"APS";"PRINT",#N/A,TRUE,"BHPL";"PRINT",#N/A,TRUE,"BHPL2";"PRINT",#N/A,TRUE,"CDWR";"PRINT",#N/A,TRUE,"EWEB";"PRINT",#N/A,TRUE,"LADWP";"PRINT",#N/A,TRUE,"NEVBASE"}</definedName>
    <definedName name="_j1" localSheetId="7" hidden="1">{"PRINT",#N/A,TRUE,"APPA";"PRINT",#N/A,TRUE,"APS";"PRINT",#N/A,TRUE,"BHPL";"PRINT",#N/A,TRUE,"BHPL2";"PRINT",#N/A,TRUE,"CDWR";"PRINT",#N/A,TRUE,"EWEB";"PRINT",#N/A,TRUE,"LADWP";"PRINT",#N/A,TRUE,"NEVBASE"}</definedName>
    <definedName name="_j1" localSheetId="1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4" hidden="1">{"PRINT",#N/A,TRUE,"APPA";"PRINT",#N/A,TRUE,"APS";"PRINT",#N/A,TRUE,"BHPL";"PRINT",#N/A,TRUE,"BHPL2";"PRINT",#N/A,TRUE,"CDWR";"PRINT",#N/A,TRUE,"EWEB";"PRINT",#N/A,TRUE,"LADWP";"PRINT",#N/A,TRUE,"NEVBASE"}</definedName>
    <definedName name="_j2" localSheetId="9"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7" hidden="1">{"PRINT",#N/A,TRUE,"APPA";"PRINT",#N/A,TRUE,"APS";"PRINT",#N/A,TRUE,"BHPL";"PRINT",#N/A,TRUE,"BHPL2";"PRINT",#N/A,TRUE,"CDWR";"PRINT",#N/A,TRUE,"EWEB";"PRINT",#N/A,TRUE,"LADWP";"PRINT",#N/A,TRUE,"NEVBASE"}</definedName>
    <definedName name="_j2" localSheetId="1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4" hidden="1">{"PRINT",#N/A,TRUE,"APPA";"PRINT",#N/A,TRUE,"APS";"PRINT",#N/A,TRUE,"BHPL";"PRINT",#N/A,TRUE,"BHPL2";"PRINT",#N/A,TRUE,"CDWR";"PRINT",#N/A,TRUE,"EWEB";"PRINT",#N/A,TRUE,"LADWP";"PRINT",#N/A,TRUE,"NEVBASE"}</definedName>
    <definedName name="_j3" localSheetId="9"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7" hidden="1">{"PRINT",#N/A,TRUE,"APPA";"PRINT",#N/A,TRUE,"APS";"PRINT",#N/A,TRUE,"BHPL";"PRINT",#N/A,TRUE,"BHPL2";"PRINT",#N/A,TRUE,"CDWR";"PRINT",#N/A,TRUE,"EWEB";"PRINT",#N/A,TRUE,"LADWP";"PRINT",#N/A,TRUE,"NEVBASE"}</definedName>
    <definedName name="_j3" localSheetId="1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4" hidden="1">{"PRINT",#N/A,TRUE,"APPA";"PRINT",#N/A,TRUE,"APS";"PRINT",#N/A,TRUE,"BHPL";"PRINT",#N/A,TRUE,"BHPL2";"PRINT",#N/A,TRUE,"CDWR";"PRINT",#N/A,TRUE,"EWEB";"PRINT",#N/A,TRUE,"LADWP";"PRINT",#N/A,TRUE,"NEVBASE"}</definedName>
    <definedName name="_j4" localSheetId="9"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7" hidden="1">{"PRINT",#N/A,TRUE,"APPA";"PRINT",#N/A,TRUE,"APS";"PRINT",#N/A,TRUE,"BHPL";"PRINT",#N/A,TRUE,"BHPL2";"PRINT",#N/A,TRUE,"CDWR";"PRINT",#N/A,TRUE,"EWEB";"PRINT",#N/A,TRUE,"LADWP";"PRINT",#N/A,TRUE,"NEVBASE"}</definedName>
    <definedName name="_j4" localSheetId="1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4" hidden="1">{"PRINT",#N/A,TRUE,"APPA";"PRINT",#N/A,TRUE,"APS";"PRINT",#N/A,TRUE,"BHPL";"PRINT",#N/A,TRUE,"BHPL2";"PRINT",#N/A,TRUE,"CDWR";"PRINT",#N/A,TRUE,"EWEB";"PRINT",#N/A,TRUE,"LADWP";"PRINT",#N/A,TRUE,"NEVBASE"}</definedName>
    <definedName name="_j5" localSheetId="9"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7" hidden="1">{"PRINT",#N/A,TRUE,"APPA";"PRINT",#N/A,TRUE,"APS";"PRINT",#N/A,TRUE,"BHPL";"PRINT",#N/A,TRUE,"BHPL2";"PRINT",#N/A,TRUE,"CDWR";"PRINT",#N/A,TRUE,"EWEB";"PRINT",#N/A,TRUE,"LADWP";"PRINT",#N/A,TRUE,"NEVBASE"}</definedName>
    <definedName name="_j5" localSheetId="1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1" hidden="1">#REF!</definedName>
    <definedName name="_Key1" hidden="1">#REF!</definedName>
    <definedName name="_Key2" localSheetId="6" hidden="1">#REF!</definedName>
    <definedName name="_Key2" localSheetId="7" hidden="1">#REF!</definedName>
    <definedName name="_Key2" localSheetId="1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11" hidden="1">#REF!</definedName>
    <definedName name="_Sort" hidden="1">#REF!</definedName>
    <definedName name="a" hidden="1">'[4]DSM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localSheetId="4" hidden="1">{"YTD-Total",#N/A,TRUE,"Provision";"YTD-Utility",#N/A,TRUE,"Prov Utility";"YTD-NonUtility",#N/A,TRUE,"Prov NonUtility"}</definedName>
    <definedName name="combined1" localSheetId="9" hidden="1">{"YTD-Total",#N/A,TRUE,"Provision";"YTD-Utility",#N/A,TRUE,"Prov Utility";"YTD-NonUtility",#N/A,TRUE,"Prov NonUtility"}</definedName>
    <definedName name="combined1" localSheetId="6" hidden="1">{"YTD-Total",#N/A,TRUE,"Provision";"YTD-Utility",#N/A,TRUE,"Prov Utility";"YTD-NonUtility",#N/A,TRUE,"Prov NonUtility"}</definedName>
    <definedName name="combined1" localSheetId="7" hidden="1">{"YTD-Total",#N/A,TRUE,"Provision";"YTD-Utility",#N/A,TRUE,"Prov Utility";"YTD-NonUtility",#N/A,TRUE,"Prov NonUtility"}</definedName>
    <definedName name="combined1" localSheetId="11" hidden="1">{"YTD-Total",#N/A,TRUE,"Provision";"YTD-Utility",#N/A,TRUE,"Prov Utility";"YTD-NonUtility",#N/A,TRUE,"Prov NonUtility"}</definedName>
    <definedName name="combined1" hidden="1">{"YTD-Total",#N/A,TRUE,"Provision";"YTD-Utility",#N/A,TRUE,"Prov Utility";"YTD-NonUtility",#N/A,TRUE,"Prov NonUtility"}</definedName>
    <definedName name="Cost_Debt">Variables!$D$8</definedName>
    <definedName name="Cost_equity">Variables!$D$10</definedName>
    <definedName name="Cost_pref">Variables!$D$9</definedName>
    <definedName name="DUDE" localSheetId="11" hidden="1">#REF!</definedName>
    <definedName name="DUDE" hidden="1">#REF!</definedName>
    <definedName name="energy" localSheetId="4" hidden="1">{#N/A,#N/A,FALSE,"Bgt";#N/A,#N/A,FALSE,"Act";#N/A,#N/A,FALSE,"Chrt Data";#N/A,#N/A,FALSE,"Bus Result";#N/A,#N/A,FALSE,"Main Charts";#N/A,#N/A,FALSE,"P&amp;L Ttl";#N/A,#N/A,FALSE,"P&amp;L C_Ttl";#N/A,#N/A,FALSE,"P&amp;L C_Oct";#N/A,#N/A,FALSE,"P&amp;L C_Sep";#N/A,#N/A,FALSE,"1996";#N/A,#N/A,FALSE,"Data"}</definedName>
    <definedName name="energy" localSheetId="9"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1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4"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1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localSheetId="4"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1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ross_up_factor">Variables!$D$34</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1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1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4" hidden="1">{#N/A,#N/A,FALSE,"Actual";#N/A,#N/A,FALSE,"Normalized";#N/A,#N/A,FALSE,"Electric Actual";#N/A,#N/A,FALSE,"Electric Normalized"}</definedName>
    <definedName name="Master" localSheetId="9" hidden="1">{#N/A,#N/A,FALSE,"Actual";#N/A,#N/A,FALSE,"Normalized";#N/A,#N/A,FALSE,"Electric Actual";#N/A,#N/A,FALSE,"Electric Normalized"}</definedName>
    <definedName name="Master" localSheetId="6" hidden="1">{#N/A,#N/A,FALSE,"Actual";#N/A,#N/A,FALSE,"Normalized";#N/A,#N/A,FALSE,"Electric Actual";#N/A,#N/A,FALSE,"Electric Normalized"}</definedName>
    <definedName name="Master" localSheetId="7" hidden="1">{#N/A,#N/A,FALSE,"Actual";#N/A,#N/A,FALSE,"Normalized";#N/A,#N/A,FALSE,"Electric Actual";#N/A,#N/A,FALSE,"Electric Normalized"}</definedName>
    <definedName name="Master" localSheetId="11" hidden="1">{#N/A,#N/A,FALSE,"Actual";#N/A,#N/A,FALSE,"Normalized";#N/A,#N/A,FALSE,"Electric Actual";#N/A,#N/A,FALSE,"Electric Normalized"}</definedName>
    <definedName name="Master" hidden="1">{#N/A,#N/A,FALSE,"Actual";#N/A,#N/A,FALSE,"Normalized";#N/A,#N/A,FALSE,"Electric Actual";#N/A,#N/A,FALSE,"Electric Normalized"}</definedName>
    <definedName name="mmm" localSheetId="4"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localSheetId="6" hidden="1">{"PRINT",#N/A,TRUE,"APPA";"PRINT",#N/A,TRUE,"APS";"PRINT",#N/A,TRUE,"BHPL";"PRINT",#N/A,TRUE,"BHPL2";"PRINT",#N/A,TRUE,"CDWR";"PRINT",#N/A,TRUE,"EWEB";"PRINT",#N/A,TRUE,"LADWP";"PRINT",#N/A,TRUE,"NEVBASE"}</definedName>
    <definedName name="mmm" localSheetId="7" hidden="1">{"PRINT",#N/A,TRUE,"APPA";"PRINT",#N/A,TRUE,"APS";"PRINT",#N/A,TRUE,"BHPL";"PRINT",#N/A,TRUE,"BHPL2";"PRINT",#N/A,TRUE,"CDWR";"PRINT",#N/A,TRUE,"EWEB";"PRINT",#N/A,TRUE,"LADWP";"PRINT",#N/A,TRUE,"NEVBASE"}</definedName>
    <definedName name="mmm" localSheetId="1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4"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localSheetId="6" hidden="1">{"Factors Pages 1-2",#N/A,FALSE,"Factors";"Factors Page 3",#N/A,FALSE,"Factors";"Factors Page 4",#N/A,FALSE,"Factors";"Factors Page 5",#N/A,FALSE,"Factors";"Factors Pages 8-27",#N/A,FALSE,"Factors"}</definedName>
    <definedName name="others" localSheetId="7" hidden="1">{"Factors Pages 1-2",#N/A,FALSE,"Factors";"Factors Page 3",#N/A,FALSE,"Factors";"Factors Page 4",#N/A,FALSE,"Factors";"Factors Page 5",#N/A,FALSE,"Factors";"Factors Pages 8-27",#N/A,FALSE,"Factors"}</definedName>
    <definedName name="others" localSheetId="1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verall_ROR">Variables!$E$11</definedName>
    <definedName name="Percent_common">Variables!$C$10</definedName>
    <definedName name="Percent_debt">Variables!$C$8</definedName>
    <definedName name="Percent_pref">Variables!$C$9</definedName>
    <definedName name="pete" localSheetId="4"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7" hidden="1">{#N/A,#N/A,FALSE,"Bgt";#N/A,#N/A,FALSE,"Act";#N/A,#N/A,FALSE,"Chrt Data";#N/A,#N/A,FALSE,"Bus Result";#N/A,#N/A,FALSE,"Main Charts";#N/A,#N/A,FALSE,"P&amp;L Ttl";#N/A,#N/A,FALSE,"P&amp;L C_Ttl";#N/A,#N/A,FALSE,"P&amp;L C_Oct";#N/A,#N/A,FALSE,"P&amp;L C_Sep";#N/A,#N/A,FALSE,"1996";#N/A,#N/A,FALSE,"Data"}</definedName>
    <definedName name="pete" localSheetId="1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[7]Inputs!#REF!</definedName>
    <definedName name="_xlnm.Print_Area" localSheetId="2">Adjustments!$A$1:$F$85</definedName>
    <definedName name="_xlnm.Print_Area" localSheetId="4">'Lead Sheet ADJ_1'!$A$1:$J$60</definedName>
    <definedName name="_xlnm.Print_Area" localSheetId="9">'Lead Sheet ADJ_2'!$A$1:$J$62</definedName>
    <definedName name="_xlnm.Print_Area" localSheetId="12">'Lead Sheet ADJ_3'!$A$1:$J$58</definedName>
    <definedName name="_xlnm.Print_Area" localSheetId="14">'Lead Sheet ADJ_4'!$A$1:$J$59</definedName>
    <definedName name="_xlnm.Print_Area" localSheetId="6">'Page ADJ_1.2'!$A$1:$AC$58</definedName>
    <definedName name="_xlnm.Print_Area" localSheetId="7">'Page ADJ_1.3'!$A$1:$AC$58</definedName>
    <definedName name="_xlnm.Print_Area" localSheetId="8">'Page ADJ_1.4R'!$A$1:$D$43</definedName>
    <definedName name="_xlnm.Print_Area" localSheetId="10">'Page ADJ_2.1'!$A$1:$D$23</definedName>
    <definedName name="_xlnm.Print_Area" localSheetId="11">'Page ADJ_2.2'!$A$1:$P$68</definedName>
    <definedName name="_xlnm.Print_Area" localSheetId="13">'Page ADJ_3.1'!$A$1:$E$18</definedName>
    <definedName name="_xlnm.Print_Area" localSheetId="15">'Page ADJ_4.1'!$A$1:$D$20</definedName>
    <definedName name="_xlnm.Print_Area" localSheetId="1">'Price Change'!$A$1:$F$21</definedName>
    <definedName name="_xlnm.Print_Titles" localSheetId="2">Adjustments!$A:$A</definedName>
    <definedName name="retail" localSheetId="4"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localSheetId="6" hidden="1">{#N/A,#N/A,FALSE,"Loans";#N/A,#N/A,FALSE,"Program Costs";#N/A,#N/A,FALSE,"Measures";#N/A,#N/A,FALSE,"Net Lost Rev";#N/A,#N/A,FALSE,"Incentive"}</definedName>
    <definedName name="retail" localSheetId="7" hidden="1">{#N/A,#N/A,FALSE,"Loans";#N/A,#N/A,FALSE,"Program Costs";#N/A,#N/A,FALSE,"Measures";#N/A,#N/A,FALSE,"Net Lost Rev";#N/A,#N/A,FALSE,"Incentive"}</definedName>
    <definedName name="retail" localSheetId="1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1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11"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11" hidden="1">"45L44VY312ZTNKFVYNPU1SXDT"</definedName>
    <definedName name="SAPBEXwbID" hidden="1">"45L44VY312ZTNKFVYNPU1SXDT"</definedName>
    <definedName name="shit" localSheetId="4"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localSheetId="6" hidden="1">{"PRINT",#N/A,TRUE,"APPA";"PRINT",#N/A,TRUE,"APS";"PRINT",#N/A,TRUE,"BHPL";"PRINT",#N/A,TRUE,"BHPL2";"PRINT",#N/A,TRUE,"CDWR";"PRINT",#N/A,TRUE,"EWEB";"PRINT",#N/A,TRUE,"LADWP";"PRINT",#N/A,TRUE,"NEVBASE"}</definedName>
    <definedName name="shit" localSheetId="7" hidden="1">{"PRINT",#N/A,TRUE,"APPA";"PRINT",#N/A,TRUE,"APS";"PRINT",#N/A,TRUE,"BHPL";"PRINT",#N/A,TRUE,"BHPL2";"PRINT",#N/A,TRUE,"CDWR";"PRINT",#N/A,TRUE,"EWEB";"PRINT",#N/A,TRUE,"LADWP";"PRINT",#N/A,TRUE,"NEVBASE"}</definedName>
    <definedName name="shit" localSheetId="1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4" hidden="1">{#N/A,#N/A,FALSE,"Actual";#N/A,#N/A,FALSE,"Normalized";#N/A,#N/A,FALSE,"Electric Actual";#N/A,#N/A,FALSE,"Electric Normalized"}</definedName>
    <definedName name="spippw" localSheetId="9" hidden="1">{#N/A,#N/A,FALSE,"Actual";#N/A,#N/A,FALSE,"Normalized";#N/A,#N/A,FALSE,"Electric Actual";#N/A,#N/A,FALSE,"Electric Normalized"}</definedName>
    <definedName name="spippw" localSheetId="6" hidden="1">{#N/A,#N/A,FALSE,"Actual";#N/A,#N/A,FALSE,"Normalized";#N/A,#N/A,FALSE,"Electric Actual";#N/A,#N/A,FALSE,"Electric Normalized"}</definedName>
    <definedName name="spippw" localSheetId="7" hidden="1">{#N/A,#N/A,FALSE,"Actual";#N/A,#N/A,FALSE,"Normalized";#N/A,#N/A,FALSE,"Electric Actual";#N/A,#N/A,FALSE,"Electric Normalized"}</definedName>
    <definedName name="spippw" localSheetId="11" hidden="1">{#N/A,#N/A,FALSE,"Actual";#N/A,#N/A,FALSE,"Normalized";#N/A,#N/A,FALSE,"Electric Actual";#N/A,#N/A,FALSE,"Electric Normalized"}</definedName>
    <definedName name="spippw" hidden="1">{#N/A,#N/A,FALSE,"Actual";#N/A,#N/A,FALSE,"Normalized";#N/A,#N/A,FALSE,"Electric Actual";#N/A,#N/A,FALSE,"Electric Normalized"}</definedName>
    <definedName name="standard1" localSheetId="4" hidden="1">{"YTD-Total",#N/A,FALSE,"Provision"}</definedName>
    <definedName name="standard1" localSheetId="9" hidden="1">{"YTD-Total",#N/A,FALSE,"Provision"}</definedName>
    <definedName name="standard1" localSheetId="6" hidden="1">{"YTD-Total",#N/A,FALSE,"Provision"}</definedName>
    <definedName name="standard1" localSheetId="7" hidden="1">{"YTD-Total",#N/A,FALSE,"Provision"}</definedName>
    <definedName name="standard1" localSheetId="11" hidden="1">{"YTD-Total",#N/A,FALSE,"Provision"}</definedName>
    <definedName name="standard1" hidden="1">{"YTD-Total",#N/A,FALSE,"Provision"}</definedName>
    <definedName name="Unadj_Op_revenue">Results!$B$37</definedName>
    <definedName name="Unadj_rate_base">Results!$B$64</definedName>
    <definedName name="Unadj_ROE">Results!$B$67</definedName>
    <definedName name="uncollectible_perc">Variables!$D$20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[8]Inputs!#REF!</definedName>
    <definedName name="WA_rev_tax_perc">Variables!$D$22</definedName>
    <definedName name="Weighted_cost_debt">Variables!$E$8</definedName>
    <definedName name="Weighted_cost_equity">Variables!$E$10</definedName>
    <definedName name="Weighted_cost_pref">Variables!$E$9</definedName>
    <definedName name="wrn.Adj._.Back_Up." localSheetId="4" hidden="1">{"Page 3.4.1",#N/A,FALSE,"Totals";"Page 3.4.2",#N/A,FALSE,"Totals"}</definedName>
    <definedName name="wrn.Adj._.Back_Up." localSheetId="9" hidden="1">{"Page 3.4.1",#N/A,FALSE,"Totals";"Page 3.4.2",#N/A,FALSE,"Totals"}</definedName>
    <definedName name="wrn.Adj._.Back_Up." localSheetId="6" hidden="1">{"Page 3.4.1",#N/A,FALSE,"Totals";"Page 3.4.2",#N/A,FALSE,"Totals"}</definedName>
    <definedName name="wrn.Adj._.Back_Up." localSheetId="7" hidden="1">{"Page 3.4.1",#N/A,FALSE,"Totals";"Page 3.4.2",#N/A,FALSE,"Totals"}</definedName>
    <definedName name="wrn.Adj._.Back_Up." localSheetId="11" hidden="1">{"Page 3.4.1",#N/A,FALSE,"Totals";"Page 3.4.2",#N/A,FALSE,"Totals"}</definedName>
    <definedName name="wrn.Adj._.Back_Up." hidden="1">{"Page 3.4.1",#N/A,FALSE,"Totals";"Page 3.4.2",#N/A,FALSE,"Totals"}</definedName>
    <definedName name="wrn.ALL." localSheetId="4"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localSheetId="6" hidden="1">{#N/A,#N/A,FALSE,"Summary EPS";#N/A,#N/A,FALSE,"1st Qtr Electric";#N/A,#N/A,FALSE,"1st Qtr Australia";#N/A,#N/A,FALSE,"1st Qtr Telecom";#N/A,#N/A,FALSE,"1st QTR Other"}</definedName>
    <definedName name="wrn.ALL." localSheetId="7" hidden="1">{#N/A,#N/A,FALSE,"Summary EPS";#N/A,#N/A,FALSE,"1st Qtr Electric";#N/A,#N/A,FALSE,"1st Qtr Australia";#N/A,#N/A,FALSE,"1st Qtr Telecom";#N/A,#N/A,FALSE,"1st QTR Other"}</definedName>
    <definedName name="wrn.ALL." localSheetId="1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4"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7" hidden="1">{#N/A,#N/A,FALSE,"Top level";#N/A,#N/A,FALSE,"Top level JEs";#N/A,#N/A,FALSE,"PHI";#N/A,#N/A,FALSE,"PHI JEs";#N/A,#N/A,FALSE,"PacifiCorp";#N/A,#N/A,FALSE,"PacifiCorp JEs";#N/A,#N/A,FALSE,"PGHC";#N/A,#N/A,FALSE,"PGHC JEs";#N/A,#N/A,FALSE,"Domestic"}</definedName>
    <definedName name="wrn.All._.BSs._.and._.JEs." localSheetId="1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4"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1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4"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7" hidden="1">{#N/A,#N/A,FALSE,"Top level MTD";#N/A,#N/A,FALSE,"PHI MTD";#N/A,#N/A,FALSE,"PacifiCorp MTD";#N/A,#N/A,FALSE,"PGHC MTD";#N/A,#N/A,FALSE,"Top level YTD";#N/A,#N/A,FALSE,"PHI YTD";#N/A,#N/A,FALSE,"PacifiCorp YTD";#N/A,#N/A,FALSE,"PGHC YTD"}</definedName>
    <definedName name="wrn.All._.other._.months." localSheetId="1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4" hidden="1">{#N/A,#N/A,FALSE,"Cover";#N/A,#N/A,FALSE,"Lead Sheet";#N/A,#N/A,FALSE,"T-Accounts";#N/A,#N/A,FALSE,"Ins &amp; Prem ActualEstimates"}</definedName>
    <definedName name="wrn.All._.Pages." localSheetId="9" hidden="1">{#N/A,#N/A,FALSE,"Cover";#N/A,#N/A,FALSE,"Lead Sheet";#N/A,#N/A,FALSE,"T-Accounts";#N/A,#N/A,FALSE,"Ins &amp; Prem ActualEstimates"}</definedName>
    <definedName name="wrn.All._.Pages." localSheetId="6" hidden="1">{#N/A,#N/A,FALSE,"Cover";#N/A,#N/A,FALSE,"Lead Sheet";#N/A,#N/A,FALSE,"T-Accounts";#N/A,#N/A,FALSE,"Ins &amp; Prem ActualEstimates"}</definedName>
    <definedName name="wrn.All._.Pages." localSheetId="7" hidden="1">{#N/A,#N/A,FALSE,"Cover";#N/A,#N/A,FALSE,"Lead Sheet";#N/A,#N/A,FALSE,"T-Accounts";#N/A,#N/A,FALSE,"Ins &amp; Prem ActualEstimates"}</definedName>
    <definedName name="wrn.All._.Pages." localSheetId="11"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4"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localSheetId="6" hidden="1">{#N/A,#N/A,FALSE,"P&amp;L Ttl";#N/A,#N/A,FALSE,"P&amp;L C_Ttl New";#N/A,#N/A,FALSE,"Bus Res";#N/A,#N/A,FALSE,"Chrts";#N/A,#N/A,FALSE,"pcf";#N/A,#N/A,FALSE,"pcr ";#N/A,#N/A,FALSE,"Exp Stmt ";#N/A,#N/A,FALSE,"Exp Stmt BU";#N/A,#N/A,FALSE,"Cap";#N/A,#N/A,FALSE,"IT Ytd"}</definedName>
    <definedName name="wrn.BUS._.RPT." localSheetId="7" hidden="1">{#N/A,#N/A,FALSE,"P&amp;L Ttl";#N/A,#N/A,FALSE,"P&amp;L C_Ttl New";#N/A,#N/A,FALSE,"Bus Res";#N/A,#N/A,FALSE,"Chrts";#N/A,#N/A,FALSE,"pcf";#N/A,#N/A,FALSE,"pcr ";#N/A,#N/A,FALSE,"Exp Stmt ";#N/A,#N/A,FALSE,"Exp Stmt BU";#N/A,#N/A,FALSE,"Cap";#N/A,#N/A,FALSE,"IT Ytd"}</definedName>
    <definedName name="wrn.BUS._.RPT." localSheetId="1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4"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localSheetId="6" hidden="1">{"YTD-Total",#N/A,TRUE,"Provision";"YTD-Utility",#N/A,TRUE,"Prov Utility";"YTD-NonUtility",#N/A,TRUE,"Prov NonUtility"}</definedName>
    <definedName name="wrn.Combined._.YTD." localSheetId="7" hidden="1">{"YTD-Total",#N/A,TRUE,"Provision";"YTD-Utility",#N/A,TRUE,"Prov Utility";"YTD-NonUtility",#N/A,TRUE,"Prov NonUtility"}</definedName>
    <definedName name="wrn.Combined._.YTD." localSheetId="1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4"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localSheetId="6" hidden="1">{"Conol gross povision grouped",#N/A,FALSE,"Consol Gross";"Consol Gross Grouped",#N/A,FALSE,"Consol Gross"}</definedName>
    <definedName name="wrn.ConsolGrossGrp." localSheetId="7" hidden="1">{"Conol gross povision grouped",#N/A,FALSE,"Consol Gross";"Consol Gross Grouped",#N/A,FALSE,"Consol Gross"}</definedName>
    <definedName name="wrn.ConsolGrossGrp." localSheetId="11"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4"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localSheetId="6" hidden="1">{"Factors Pages 1-2",#N/A,FALSE,"Factors";"Factors Page 3",#N/A,FALSE,"Factors";"Factors Page 4",#N/A,FALSE,"Factors";"Factors Page 5",#N/A,FALSE,"Factors";"Factors Pages 8-27",#N/A,FALSE,"Factors"}</definedName>
    <definedName name="wrn.Factors._.Tab._.10." localSheetId="7" hidden="1">{"Factors Pages 1-2",#N/A,FALSE,"Factors";"Factors Page 3",#N/A,FALSE,"Factors";"Factors Page 4",#N/A,FALSE,"Factors";"Factors Page 5",#N/A,FALSE,"Factors";"Factors Pages 8-27",#N/A,FALSE,"Factors"}</definedName>
    <definedName name="wrn.Factors._.Tab._.10." localSheetId="1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4" hidden="1">{"FullView",#N/A,FALSE,"Consltd-For contngcy"}</definedName>
    <definedName name="wrn.Full._.View." localSheetId="9" hidden="1">{"FullView",#N/A,FALSE,"Consltd-For contngcy"}</definedName>
    <definedName name="wrn.Full._.View." localSheetId="6" hidden="1">{"FullView",#N/A,FALSE,"Consltd-For contngcy"}</definedName>
    <definedName name="wrn.Full._.View." localSheetId="7" hidden="1">{"FullView",#N/A,FALSE,"Consltd-For contngcy"}</definedName>
    <definedName name="wrn.Full._.View." localSheetId="11" hidden="1">{"FullView",#N/A,FALSE,"Consltd-For contngcy"}</definedName>
    <definedName name="wrn.Full._.View." hidden="1">{"FullView",#N/A,FALSE,"Consltd-For contngcy"}</definedName>
    <definedName name="wrn.GLReport." localSheetId="4"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1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4" hidden="1">{"Open issues Only",#N/A,FALSE,"TIMELINE"}</definedName>
    <definedName name="wrn.Open._.Issues._.Only." localSheetId="9" hidden="1">{"Open issues Only",#N/A,FALSE,"TIMELINE"}</definedName>
    <definedName name="wrn.Open._.Issues._.Only." localSheetId="6" hidden="1">{"Open issues Only",#N/A,FALSE,"TIMELINE"}</definedName>
    <definedName name="wrn.Open._.Issues._.Only." localSheetId="7" hidden="1">{"Open issues Only",#N/A,FALSE,"TIMELINE"}</definedName>
    <definedName name="wrn.Open._.Issues._.Only." localSheetId="11" hidden="1">{"Open issues Only",#N/A,FALSE,"TIMELINE"}</definedName>
    <definedName name="wrn.Open._.Issues._.Only." hidden="1">{"Open issues Only",#N/A,FALSE,"TIMELINE"}</definedName>
    <definedName name="wrn.OR._.Carrying._.Charge._.JV." localSheetId="4"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localSheetId="6" hidden="1">{#N/A,#N/A,FALSE,"Loans";#N/A,#N/A,FALSE,"Program Costs";#N/A,#N/A,FALSE,"Measures";#N/A,#N/A,FALSE,"Net Lost Rev";#N/A,#N/A,FALSE,"Incentive"}</definedName>
    <definedName name="wrn.OR._.Carrying._.Charge._.JV." localSheetId="7" hidden="1">{#N/A,#N/A,FALSE,"Loans";#N/A,#N/A,FALSE,"Program Costs";#N/A,#N/A,FALSE,"Measures";#N/A,#N/A,FALSE,"Net Lost Rev";#N/A,#N/A,FALSE,"Incentive"}</definedName>
    <definedName name="wrn.OR._.Carrying._.Charge._.JV." localSheetId="1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1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4"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7" hidden="1">{#N/A,#N/A,FALSE,"Bgt";#N/A,#N/A,FALSE,"Act";#N/A,#N/A,FALSE,"Chrt Data";#N/A,#N/A,FALSE,"Bus Result";#N/A,#N/A,FALSE,"Main Charts";#N/A,#N/A,FALSE,"P&amp;L Ttl";#N/A,#N/A,FALSE,"P&amp;L C_Ttl";#N/A,#N/A,FALSE,"P&amp;L C_Oct";#N/A,#N/A,FALSE,"P&amp;L C_Sep";#N/A,#N/A,FALSE,"1996";#N/A,#N/A,FALSE,"Data"}</definedName>
    <definedName name="wrn.pages." localSheetId="1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4" hidden="1">{#N/A,#N/A,FALSE,"Consltd-For contngcy";"PaymentView",#N/A,FALSE,"Consltd-For contngcy"}</definedName>
    <definedName name="wrn.Payment._.View." localSheetId="9" hidden="1">{#N/A,#N/A,FALSE,"Consltd-For contngcy";"PaymentView",#N/A,FALSE,"Consltd-For contngcy"}</definedName>
    <definedName name="wrn.Payment._.View." localSheetId="6" hidden="1">{#N/A,#N/A,FALSE,"Consltd-For contngcy";"PaymentView",#N/A,FALSE,"Consltd-For contngcy"}</definedName>
    <definedName name="wrn.Payment._.View." localSheetId="7" hidden="1">{#N/A,#N/A,FALSE,"Consltd-For contngcy";"PaymentView",#N/A,FALSE,"Consltd-For contngcy"}</definedName>
    <definedName name="wrn.Payment._.View." localSheetId="11" hidden="1">{#N/A,#N/A,FALSE,"Consltd-For contngcy";"PaymentView",#N/A,FALSE,"Consltd-For contngcy"}</definedName>
    <definedName name="wrn.Payment._.View." hidden="1">{#N/A,#N/A,FALSE,"Consltd-For contngcy";"PaymentView",#N/A,FALSE,"Consltd-For contngcy"}</definedName>
    <definedName name="wrn.PFSreconview." localSheetId="4" hidden="1">{"PFS recon view",#N/A,FALSE,"Hyperion Proof"}</definedName>
    <definedName name="wrn.PFSreconview." localSheetId="9" hidden="1">{"PFS recon view",#N/A,FALSE,"Hyperion Proof"}</definedName>
    <definedName name="wrn.PFSreconview." localSheetId="6" hidden="1">{"PFS recon view",#N/A,FALSE,"Hyperion Proof"}</definedName>
    <definedName name="wrn.PFSreconview." localSheetId="7" hidden="1">{"PFS recon view",#N/A,FALSE,"Hyperion Proof"}</definedName>
    <definedName name="wrn.PFSreconview." localSheetId="11" hidden="1">{"PFS recon view",#N/A,FALSE,"Hyperion Proof"}</definedName>
    <definedName name="wrn.PFSreconview." hidden="1">{"PFS recon view",#N/A,FALSE,"Hyperion Proof"}</definedName>
    <definedName name="wrn.PGHCreconview." localSheetId="4" hidden="1">{"PGHC recon view",#N/A,FALSE,"Hyperion Proof"}</definedName>
    <definedName name="wrn.PGHCreconview." localSheetId="9" hidden="1">{"PGHC recon view",#N/A,FALSE,"Hyperion Proof"}</definedName>
    <definedName name="wrn.PGHCreconview." localSheetId="6" hidden="1">{"PGHC recon view",#N/A,FALSE,"Hyperion Proof"}</definedName>
    <definedName name="wrn.PGHCreconview." localSheetId="7" hidden="1">{"PGHC recon view",#N/A,FALSE,"Hyperion Proof"}</definedName>
    <definedName name="wrn.PGHCreconview." localSheetId="11" hidden="1">{"PGHC recon view",#N/A,FALSE,"Hyperion Proof"}</definedName>
    <definedName name="wrn.PGHCreconview." hidden="1">{"PGHC recon view",#N/A,FALSE,"Hyperion Proof"}</definedName>
    <definedName name="wrn.PHI._.all._.other._.months." localSheetId="4" hidden="1">{#N/A,#N/A,FALSE,"PHI MTD";#N/A,#N/A,FALSE,"PHI YTD"}</definedName>
    <definedName name="wrn.PHI._.all._.other._.months." localSheetId="9" hidden="1">{#N/A,#N/A,FALSE,"PHI MTD";#N/A,#N/A,FALSE,"PHI YTD"}</definedName>
    <definedName name="wrn.PHI._.all._.other._.months." localSheetId="6" hidden="1">{#N/A,#N/A,FALSE,"PHI MTD";#N/A,#N/A,FALSE,"PHI YTD"}</definedName>
    <definedName name="wrn.PHI._.all._.other._.months." localSheetId="7" hidden="1">{#N/A,#N/A,FALSE,"PHI MTD";#N/A,#N/A,FALSE,"PHI YTD"}</definedName>
    <definedName name="wrn.PHI._.all._.other._.months." localSheetId="11" hidden="1">{#N/A,#N/A,FALSE,"PHI MTD";#N/A,#N/A,FALSE,"PHI YTD"}</definedName>
    <definedName name="wrn.PHI._.all._.other._.months." hidden="1">{#N/A,#N/A,FALSE,"PHI MTD";#N/A,#N/A,FALSE,"PHI YTD"}</definedName>
    <definedName name="wrn.PHI._.only." localSheetId="4" hidden="1">{#N/A,#N/A,FALSE,"PHI"}</definedName>
    <definedName name="wrn.PHI._.only." localSheetId="9" hidden="1">{#N/A,#N/A,FALSE,"PHI"}</definedName>
    <definedName name="wrn.PHI._.only." localSheetId="6" hidden="1">{#N/A,#N/A,FALSE,"PHI"}</definedName>
    <definedName name="wrn.PHI._.only." localSheetId="7" hidden="1">{#N/A,#N/A,FALSE,"PHI"}</definedName>
    <definedName name="wrn.PHI._.only." localSheetId="11" hidden="1">{#N/A,#N/A,FALSE,"PHI"}</definedName>
    <definedName name="wrn.PHI._.only." hidden="1">{#N/A,#N/A,FALSE,"PHI"}</definedName>
    <definedName name="wrn.PHI._.Sept._.Dec._.March." localSheetId="4" hidden="1">{#N/A,#N/A,FALSE,"PHI MTD";#N/A,#N/A,FALSE,"PHI QTD";#N/A,#N/A,FALSE,"PHI YTD"}</definedName>
    <definedName name="wrn.PHI._.Sept._.Dec._.March." localSheetId="9" hidden="1">{#N/A,#N/A,FALSE,"PHI MTD";#N/A,#N/A,FALSE,"PHI QTD";#N/A,#N/A,FALSE,"PHI YTD"}</definedName>
    <definedName name="wrn.PHI._.Sept._.Dec._.March." localSheetId="6" hidden="1">{#N/A,#N/A,FALSE,"PHI MTD";#N/A,#N/A,FALSE,"PHI QTD";#N/A,#N/A,FALSE,"PHI YTD"}</definedName>
    <definedName name="wrn.PHI._.Sept._.Dec._.March." localSheetId="7" hidden="1">{#N/A,#N/A,FALSE,"PHI MTD";#N/A,#N/A,FALSE,"PHI QTD";#N/A,#N/A,FALSE,"PHI YTD"}</definedName>
    <definedName name="wrn.PHI._.Sept._.Dec._.March." localSheetId="11" hidden="1">{#N/A,#N/A,FALSE,"PHI MTD";#N/A,#N/A,FALSE,"PHI QTD";#N/A,#N/A,FALSE,"PHI YTD"}</definedName>
    <definedName name="wrn.PHI._.Sept._.Dec._.March." hidden="1">{#N/A,#N/A,FALSE,"PHI MTD";#N/A,#N/A,FALSE,"PHI QTD";#N/A,#N/A,FALSE,"PHI YTD"}</definedName>
    <definedName name="wrn.PPMCoCodeView." localSheetId="4" hidden="1">{"PPM Co Code View",#N/A,FALSE,"Comp Codes"}</definedName>
    <definedName name="wrn.PPMCoCodeView." localSheetId="9" hidden="1">{"PPM Co Code View",#N/A,FALSE,"Comp Codes"}</definedName>
    <definedName name="wrn.PPMCoCodeView." localSheetId="6" hidden="1">{"PPM Co Code View",#N/A,FALSE,"Comp Codes"}</definedName>
    <definedName name="wrn.PPMCoCodeView." localSheetId="7" hidden="1">{"PPM Co Code View",#N/A,FALSE,"Comp Codes"}</definedName>
    <definedName name="wrn.PPMCoCodeView." localSheetId="11" hidden="1">{"PPM Co Code View",#N/A,FALSE,"Comp Codes"}</definedName>
    <definedName name="wrn.PPMCoCodeView." hidden="1">{"PPM Co Code View",#N/A,FALSE,"Comp Codes"}</definedName>
    <definedName name="wrn.PPMreconview." localSheetId="4" hidden="1">{"PPM Recon View",#N/A,FALSE,"Hyperion Proof"}</definedName>
    <definedName name="wrn.PPMreconview." localSheetId="9" hidden="1">{"PPM Recon View",#N/A,FALSE,"Hyperion Proof"}</definedName>
    <definedName name="wrn.PPMreconview." localSheetId="6" hidden="1">{"PPM Recon View",#N/A,FALSE,"Hyperion Proof"}</definedName>
    <definedName name="wrn.PPMreconview." localSheetId="7" hidden="1">{"PPM Recon View",#N/A,FALSE,"Hyperion Proof"}</definedName>
    <definedName name="wrn.PPMreconview." localSheetId="11" hidden="1">{"PPM Recon View",#N/A,FALSE,"Hyperion Proof"}</definedName>
    <definedName name="wrn.PPMreconview." hidden="1">{"PPM Recon View",#N/A,FALSE,"Hyperion Proof"}</definedName>
    <definedName name="wrn.ProofElectricOnly." localSheetId="4" hidden="1">{"Electric Only",#N/A,FALSE,"Hyperion Proof"}</definedName>
    <definedName name="wrn.ProofElectricOnly." localSheetId="9" hidden="1">{"Electric Only",#N/A,FALSE,"Hyperion Proof"}</definedName>
    <definedName name="wrn.ProofElectricOnly." localSheetId="6" hidden="1">{"Electric Only",#N/A,FALSE,"Hyperion Proof"}</definedName>
    <definedName name="wrn.ProofElectricOnly." localSheetId="7" hidden="1">{"Electric Only",#N/A,FALSE,"Hyperion Proof"}</definedName>
    <definedName name="wrn.ProofElectricOnly." localSheetId="11" hidden="1">{"Electric Only",#N/A,FALSE,"Hyperion Proof"}</definedName>
    <definedName name="wrn.ProofElectricOnly." hidden="1">{"Electric Only",#N/A,FALSE,"Hyperion Proof"}</definedName>
    <definedName name="wrn.ProofTotal." localSheetId="4" hidden="1">{"Proof Total",#N/A,FALSE,"Hyperion Proof"}</definedName>
    <definedName name="wrn.ProofTotal." localSheetId="9" hidden="1">{"Proof Total",#N/A,FALSE,"Hyperion Proof"}</definedName>
    <definedName name="wrn.ProofTotal." localSheetId="6" hidden="1">{"Proof Total",#N/A,FALSE,"Hyperion Proof"}</definedName>
    <definedName name="wrn.ProofTotal." localSheetId="7" hidden="1">{"Proof Total",#N/A,FALSE,"Hyperion Proof"}</definedName>
    <definedName name="wrn.ProofTotal." localSheetId="11" hidden="1">{"Proof Total",#N/A,FALSE,"Hyperion Proof"}</definedName>
    <definedName name="wrn.ProofTotal." hidden="1">{"Proof Total",#N/A,FALSE,"Hyperion Proof"}</definedName>
    <definedName name="wrn.Reformat._.only." localSheetId="4" hidden="1">{#N/A,#N/A,FALSE,"Dec 1999 mapping"}</definedName>
    <definedName name="wrn.Reformat._.only." localSheetId="9" hidden="1">{#N/A,#N/A,FALSE,"Dec 1999 mapping"}</definedName>
    <definedName name="wrn.Reformat._.only." localSheetId="6" hidden="1">{#N/A,#N/A,FALSE,"Dec 1999 mapping"}</definedName>
    <definedName name="wrn.Reformat._.only." localSheetId="7" hidden="1">{#N/A,#N/A,FALSE,"Dec 1999 mapping"}</definedName>
    <definedName name="wrn.Reformat._.only." localSheetId="11" hidden="1">{#N/A,#N/A,FALSE,"Dec 1999 mapping"}</definedName>
    <definedName name="wrn.Reformat._.only." hidden="1">{#N/A,#N/A,FALSE,"Dec 1999 mapping"}</definedName>
    <definedName name="wrn.SALES._.VAR._.95._.BUDGET." localSheetId="4"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localSheetId="6" hidden="1">{"PRINT",#N/A,TRUE,"APPA";"PRINT",#N/A,TRUE,"APS";"PRINT",#N/A,TRUE,"BHPL";"PRINT",#N/A,TRUE,"BHPL2";"PRINT",#N/A,TRUE,"CDWR";"PRINT",#N/A,TRUE,"EWEB";"PRINT",#N/A,TRUE,"LADWP";"PRINT",#N/A,TRUE,"NEVBASE"}</definedName>
    <definedName name="wrn.SALES._.VAR._.95._.BUDGET." localSheetId="7" hidden="1">{"PRINT",#N/A,TRUE,"APPA";"PRINT",#N/A,TRUE,"APS";"PRINT",#N/A,TRUE,"BHPL";"PRINT",#N/A,TRUE,"BHPL2";"PRINT",#N/A,TRUE,"CDWR";"PRINT",#N/A,TRUE,"EWEB";"PRINT",#N/A,TRUE,"LADWP";"PRINT",#N/A,TRUE,"NEVBASE"}</definedName>
    <definedName name="wrn.SALES._.VAR._.95._.BUDGET." localSheetId="1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4"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1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4" hidden="1">{"YTD-Total",#N/A,FALSE,"Provision"}</definedName>
    <definedName name="wrn.Standard." localSheetId="9" hidden="1">{"YTD-Total",#N/A,FALSE,"Provision"}</definedName>
    <definedName name="wrn.Standard." localSheetId="6" hidden="1">{"YTD-Total",#N/A,FALSE,"Provision"}</definedName>
    <definedName name="wrn.Standard." localSheetId="7" hidden="1">{"YTD-Total",#N/A,FALSE,"Provision"}</definedName>
    <definedName name="wrn.Standard." localSheetId="11" hidden="1">{"YTD-Total",#N/A,FALSE,"Provision"}</definedName>
    <definedName name="wrn.Standard." hidden="1">{"YTD-Total",#N/A,FALSE,"Provision"}</definedName>
    <definedName name="wrn.Standard._.NonUtility._.Only." localSheetId="4" hidden="1">{"YTD-NonUtility",#N/A,FALSE,"Prov NonUtility"}</definedName>
    <definedName name="wrn.Standard._.NonUtility._.Only." localSheetId="9" hidden="1">{"YTD-NonUtility",#N/A,FALSE,"Prov NonUtility"}</definedName>
    <definedName name="wrn.Standard._.NonUtility._.Only." localSheetId="6" hidden="1">{"YTD-NonUtility",#N/A,FALSE,"Prov NonUtility"}</definedName>
    <definedName name="wrn.Standard._.NonUtility._.Only." localSheetId="7" hidden="1">{"YTD-NonUtility",#N/A,FALSE,"Prov NonUtility"}</definedName>
    <definedName name="wrn.Standard._.NonUtility._.Only." localSheetId="11" hidden="1">{"YTD-NonUtility",#N/A,FALSE,"Prov NonUtility"}</definedName>
    <definedName name="wrn.Standard._.NonUtility._.Only." hidden="1">{"YTD-NonUtility",#N/A,FALSE,"Prov NonUtility"}</definedName>
    <definedName name="wrn.Standard._.Utility._.Only." localSheetId="4" hidden="1">{"YTD-Utility",#N/A,FALSE,"Prov Utility"}</definedName>
    <definedName name="wrn.Standard._.Utility._.Only." localSheetId="9" hidden="1">{"YTD-Utility",#N/A,FALSE,"Prov Utility"}</definedName>
    <definedName name="wrn.Standard._.Utility._.Only." localSheetId="6" hidden="1">{"YTD-Utility",#N/A,FALSE,"Prov Utility"}</definedName>
    <definedName name="wrn.Standard._.Utility._.Only." localSheetId="7" hidden="1">{"YTD-Utility",#N/A,FALSE,"Prov Utility"}</definedName>
    <definedName name="wrn.Standard._.Utility._.Only." localSheetId="11" hidden="1">{"YTD-Utility",#N/A,FALSE,"Prov Utility"}</definedName>
    <definedName name="wrn.Standard._.Utility._.Only." hidden="1">{"YTD-Utility",#N/A,FALSE,"Prov Utility"}</definedName>
    <definedName name="wrn.Summary._.View." localSheetId="4" hidden="1">{#N/A,#N/A,FALSE,"Consltd-For contngcy"}</definedName>
    <definedName name="wrn.Summary._.View." localSheetId="9" hidden="1">{#N/A,#N/A,FALSE,"Consltd-For contngcy"}</definedName>
    <definedName name="wrn.Summary._.View." localSheetId="6" hidden="1">{#N/A,#N/A,FALSE,"Consltd-For contngcy"}</definedName>
    <definedName name="wrn.Summary._.View." localSheetId="7" hidden="1">{#N/A,#N/A,FALSE,"Consltd-For contngcy"}</definedName>
    <definedName name="wrn.Summary._.View." localSheetId="11" hidden="1">{#N/A,#N/A,FALSE,"Consltd-For contngcy"}</definedName>
    <definedName name="wrn.Summary._.View." hidden="1">{#N/A,#N/A,FALSE,"Consltd-For contngcy"}</definedName>
    <definedName name="wrn.UK._.Conversion._.Only." localSheetId="4" hidden="1">{#N/A,#N/A,FALSE,"Dec 1999 UK Continuing Ops"}</definedName>
    <definedName name="wrn.UK._.Conversion._.Only." localSheetId="9" hidden="1">{#N/A,#N/A,FALSE,"Dec 1999 UK Continuing Ops"}</definedName>
    <definedName name="wrn.UK._.Conversion._.Only." localSheetId="6" hidden="1">{#N/A,#N/A,FALSE,"Dec 1999 UK Continuing Ops"}</definedName>
    <definedName name="wrn.UK._.Conversion._.Only." localSheetId="7" hidden="1">{#N/A,#N/A,FALSE,"Dec 1999 UK Continuing Ops"}</definedName>
    <definedName name="wrn.UK._.Conversion._.Only." localSheetId="11" hidden="1">{#N/A,#N/A,FALSE,"Dec 1999 UK Continuing Ops"}</definedName>
    <definedName name="wrn.UK._.Conversion._.Only." hidden="1">{#N/A,#N/A,FALSE,"Dec 1999 UK Continuing Ops"}</definedName>
    <definedName name="wrn.YearEnd." localSheetId="4"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localSheetId="6" hidden="1">{"Factors Pages 1-2",#N/A,FALSE,"Variables";"Factors Page 3",#N/A,FALSE,"Variables";"Factors Page 4",#N/A,FALSE,"Variables";"Factors Page 5",#N/A,FALSE,"Variables";"YE Pages 7-26",#N/A,FALSE,"Variables"}</definedName>
    <definedName name="wrn.YearEnd." localSheetId="7" hidden="1">{"Factors Pages 1-2",#N/A,FALSE,"Variables";"Factors Page 3",#N/A,FALSE,"Variables";"Factors Page 4",#N/A,FALSE,"Variables";"Factors Page 5",#N/A,FALSE,"Variables";"YE Pages 7-26",#N/A,FALSE,"Variables"}</definedName>
    <definedName name="wrn.YearEnd." localSheetId="1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UTC_reg_fee_perc">Variables!$D$21</definedName>
    <definedName name="y" hidden="1">'[4]DSM Output'!$B$21:$B$23</definedName>
    <definedName name="z" hidden="1">'[4]DSM Output'!$G$21:$G$23</definedName>
    <definedName name="Z_01844156_6462_4A28_9785_1A86F4D0C834_.wvu.PrintTitles" localSheetId="6" hidden="1">#REF!</definedName>
    <definedName name="Z_01844156_6462_4A28_9785_1A86F4D0C834_.wvu.PrintTitles" localSheetId="7" hidden="1">#REF!</definedName>
    <definedName name="Z_01844156_6462_4A28_9785_1A86F4D0C834_.wvu.PrintTitles" localSheetId="11" hidden="1">#REF!</definedName>
    <definedName name="Z_01844156_6462_4A28_9785_1A86F4D0C834_.wvu.PrintTitles" hidden="1">#REF!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9" l="1"/>
  <c r="A3" i="29"/>
  <c r="C9" i="29"/>
  <c r="D10" i="29"/>
  <c r="C15" i="29"/>
  <c r="D15" i="29" s="1"/>
  <c r="B2" i="27"/>
  <c r="C7" i="27"/>
  <c r="C16" i="27"/>
  <c r="I20" i="26"/>
  <c r="A1" i="25"/>
  <c r="A2" i="25"/>
  <c r="A3" i="25"/>
  <c r="D11" i="25"/>
  <c r="D12" i="25"/>
  <c r="D13" i="25"/>
  <c r="D18" i="25" s="1"/>
  <c r="F18" i="25" s="1"/>
  <c r="E23" i="25" s="1"/>
  <c r="F23" i="25" s="1"/>
  <c r="G23" i="25" s="1"/>
  <c r="H23" i="25" s="1"/>
  <c r="I23" i="25" s="1"/>
  <c r="J23" i="25" s="1"/>
  <c r="K23" i="25" s="1"/>
  <c r="L23" i="25" s="1"/>
  <c r="M23" i="25" s="1"/>
  <c r="N23" i="25" s="1"/>
  <c r="O23" i="25" s="1"/>
  <c r="P23" i="25" s="1"/>
  <c r="J29" i="25" s="1"/>
  <c r="K29" i="25" s="1"/>
  <c r="E18" i="25"/>
  <c r="D42" i="25"/>
  <c r="D49" i="25" s="1"/>
  <c r="D43" i="25"/>
  <c r="D44" i="25"/>
  <c r="D50" i="25"/>
  <c r="E50" i="25"/>
  <c r="F50" i="25"/>
  <c r="E56" i="25" s="1"/>
  <c r="F56" i="25" s="1"/>
  <c r="G56" i="25" s="1"/>
  <c r="H56" i="25" s="1"/>
  <c r="I56" i="25" s="1"/>
  <c r="J56" i="25" s="1"/>
  <c r="K56" i="25" s="1"/>
  <c r="L56" i="25" s="1"/>
  <c r="M56" i="25" s="1"/>
  <c r="N56" i="25" s="1"/>
  <c r="O56" i="25" s="1"/>
  <c r="P56" i="25" s="1"/>
  <c r="J62" i="25" s="1"/>
  <c r="K62" i="25" s="1"/>
  <c r="A1" i="24"/>
  <c r="A2" i="24"/>
  <c r="A3" i="24"/>
  <c r="B9" i="24"/>
  <c r="B16" i="24"/>
  <c r="B21" i="24"/>
  <c r="F10" i="23" s="1"/>
  <c r="B22" i="24"/>
  <c r="F15" i="23" s="1"/>
  <c r="B23" i="24"/>
  <c r="F11" i="23"/>
  <c r="I11" i="23" s="1"/>
  <c r="F12" i="23"/>
  <c r="I12" i="23" s="1"/>
  <c r="H15" i="23"/>
  <c r="F16" i="23"/>
  <c r="I16" i="23" s="1"/>
  <c r="F17" i="23"/>
  <c r="I17" i="23"/>
  <c r="H20" i="23"/>
  <c r="H25" i="23"/>
  <c r="I32" i="23"/>
  <c r="I35" i="23" s="1"/>
  <c r="I33" i="23"/>
  <c r="F34" i="23"/>
  <c r="I34" i="23"/>
  <c r="F35" i="23"/>
  <c r="H45" i="23"/>
  <c r="H46" i="23"/>
  <c r="H47" i="23"/>
  <c r="A2" i="22"/>
  <c r="C13" i="22"/>
  <c r="C25" i="22"/>
  <c r="C31" i="22"/>
  <c r="C39" i="22"/>
  <c r="A2" i="21"/>
  <c r="A3" i="21"/>
  <c r="E16" i="21"/>
  <c r="F16" i="21"/>
  <c r="G16" i="21"/>
  <c r="H16" i="21"/>
  <c r="I16" i="21"/>
  <c r="J16" i="21"/>
  <c r="K16" i="21"/>
  <c r="L16" i="21"/>
  <c r="M16" i="21"/>
  <c r="N16" i="21"/>
  <c r="O16" i="21"/>
  <c r="P16" i="21"/>
  <c r="Q16" i="21"/>
  <c r="R16" i="21"/>
  <c r="S16" i="21"/>
  <c r="T16" i="21"/>
  <c r="U16" i="21"/>
  <c r="V16" i="21"/>
  <c r="W16" i="21"/>
  <c r="X16" i="21"/>
  <c r="Y16" i="21"/>
  <c r="Z16" i="21"/>
  <c r="AA16" i="21"/>
  <c r="AB16" i="21"/>
  <c r="AC16" i="21"/>
  <c r="E17" i="21"/>
  <c r="F17" i="21"/>
  <c r="G17" i="21"/>
  <c r="H17" i="21"/>
  <c r="I17" i="21"/>
  <c r="J17" i="21"/>
  <c r="K17" i="21"/>
  <c r="L17" i="21"/>
  <c r="M17" i="21"/>
  <c r="N17" i="21"/>
  <c r="O17" i="21"/>
  <c r="P17" i="21"/>
  <c r="Q17" i="21"/>
  <c r="R17" i="21"/>
  <c r="S17" i="21"/>
  <c r="T17" i="21"/>
  <c r="U17" i="21"/>
  <c r="V17" i="21"/>
  <c r="W17" i="21"/>
  <c r="X17" i="21"/>
  <c r="Y17" i="21"/>
  <c r="Z17" i="21"/>
  <c r="AA17" i="21"/>
  <c r="AB17" i="21"/>
  <c r="AC17" i="21"/>
  <c r="E18" i="21"/>
  <c r="F18" i="21"/>
  <c r="G18" i="21"/>
  <c r="H18" i="21"/>
  <c r="I18" i="21"/>
  <c r="J18" i="21"/>
  <c r="K18" i="21"/>
  <c r="L18" i="21"/>
  <c r="M18" i="21"/>
  <c r="N18" i="21"/>
  <c r="O18" i="21"/>
  <c r="P18" i="21"/>
  <c r="Q18" i="21"/>
  <c r="R18" i="21"/>
  <c r="S18" i="21"/>
  <c r="T18" i="21"/>
  <c r="U18" i="21"/>
  <c r="V18" i="21"/>
  <c r="W18" i="21"/>
  <c r="X18" i="21"/>
  <c r="Y18" i="21"/>
  <c r="Z18" i="21"/>
  <c r="AA18" i="21"/>
  <c r="AB18" i="21"/>
  <c r="AC18"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E22" i="21"/>
  <c r="F22" i="21"/>
  <c r="G22" i="21" s="1"/>
  <c r="H22" i="21" s="1"/>
  <c r="I22" i="21" s="1"/>
  <c r="J22" i="21" s="1"/>
  <c r="K22" i="21" s="1"/>
  <c r="L22" i="21" s="1"/>
  <c r="M22" i="21" s="1"/>
  <c r="N22" i="21" s="1"/>
  <c r="O22" i="21" s="1"/>
  <c r="P22" i="21" s="1"/>
  <c r="Q22" i="21" s="1"/>
  <c r="R22" i="21" s="1"/>
  <c r="S22" i="21" s="1"/>
  <c r="T22" i="21" s="1"/>
  <c r="U22" i="21" s="1"/>
  <c r="V22" i="21" s="1"/>
  <c r="W22" i="21" s="1"/>
  <c r="X22" i="21" s="1"/>
  <c r="Y22" i="21" s="1"/>
  <c r="Z22" i="21" s="1"/>
  <c r="AA22" i="21" s="1"/>
  <c r="AB22" i="21" s="1"/>
  <c r="AC22" i="21" s="1"/>
  <c r="D14" i="19" s="1"/>
  <c r="E23" i="21"/>
  <c r="F23" i="21" s="1"/>
  <c r="G23" i="21" s="1"/>
  <c r="H23" i="21" s="1"/>
  <c r="I23" i="21" s="1"/>
  <c r="J23" i="21" s="1"/>
  <c r="K23" i="21" s="1"/>
  <c r="L23" i="21" s="1"/>
  <c r="M23" i="21" s="1"/>
  <c r="N23" i="21" s="1"/>
  <c r="O23" i="21" s="1"/>
  <c r="P23" i="21" s="1"/>
  <c r="Q23" i="21" s="1"/>
  <c r="R23" i="21" s="1"/>
  <c r="S23" i="21" s="1"/>
  <c r="T23" i="21" s="1"/>
  <c r="U23" i="21" s="1"/>
  <c r="V23" i="21" s="1"/>
  <c r="W23" i="21" s="1"/>
  <c r="X23" i="21" s="1"/>
  <c r="Y23" i="21" s="1"/>
  <c r="Z23" i="21" s="1"/>
  <c r="AA23" i="21" s="1"/>
  <c r="AB23" i="21" s="1"/>
  <c r="AC23" i="21" s="1"/>
  <c r="D15" i="19" s="1"/>
  <c r="R42" i="21"/>
  <c r="S42" i="21" s="1"/>
  <c r="U42" i="21"/>
  <c r="V42" i="21"/>
  <c r="W42" i="21" s="1"/>
  <c r="E45" i="21"/>
  <c r="F45" i="21"/>
  <c r="G45" i="21"/>
  <c r="H45" i="21"/>
  <c r="I45" i="21"/>
  <c r="J45" i="21"/>
  <c r="K45" i="21"/>
  <c r="L45" i="21"/>
  <c r="M45" i="21"/>
  <c r="N45" i="21"/>
  <c r="O45" i="21"/>
  <c r="P45" i="21"/>
  <c r="Q45" i="21"/>
  <c r="R45" i="21"/>
  <c r="S45" i="21"/>
  <c r="T45" i="21"/>
  <c r="U45" i="21"/>
  <c r="V45" i="21"/>
  <c r="W45" i="21"/>
  <c r="X45" i="21"/>
  <c r="Y45" i="21"/>
  <c r="Z45" i="21"/>
  <c r="AA45" i="21"/>
  <c r="AB45" i="21"/>
  <c r="AC45" i="21"/>
  <c r="R46" i="21"/>
  <c r="E49" i="21"/>
  <c r="F49" i="21"/>
  <c r="G49" i="21"/>
  <c r="H49" i="21"/>
  <c r="I49" i="21"/>
  <c r="J49" i="21"/>
  <c r="K49" i="21"/>
  <c r="L49" i="21"/>
  <c r="M49" i="21"/>
  <c r="N49" i="21"/>
  <c r="O49" i="21"/>
  <c r="P49" i="21"/>
  <c r="Q49" i="21"/>
  <c r="R49" i="21"/>
  <c r="S49" i="21"/>
  <c r="T49" i="21"/>
  <c r="U49" i="21"/>
  <c r="V49" i="21"/>
  <c r="W49" i="21"/>
  <c r="X49" i="21"/>
  <c r="Y49" i="21"/>
  <c r="Z49" i="21"/>
  <c r="AA49" i="21"/>
  <c r="AB49" i="21"/>
  <c r="AC49" i="21"/>
  <c r="Q50" i="21"/>
  <c r="R50" i="21"/>
  <c r="T50" i="21"/>
  <c r="U50" i="21"/>
  <c r="V50" i="21"/>
  <c r="C54" i="21"/>
  <c r="Q46" i="21" s="1"/>
  <c r="C55" i="21"/>
  <c r="U46" i="21" s="1"/>
  <c r="A2" i="20"/>
  <c r="A3" i="20"/>
  <c r="R12" i="20"/>
  <c r="S12" i="20" s="1"/>
  <c r="R13" i="20"/>
  <c r="R18" i="20" s="1"/>
  <c r="S13" i="20"/>
  <c r="T13" i="20" s="1"/>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E17" i="20"/>
  <c r="F17" i="20"/>
  <c r="G17" i="20"/>
  <c r="H17" i="20"/>
  <c r="I17" i="20"/>
  <c r="J17" i="20"/>
  <c r="K17" i="20"/>
  <c r="L17" i="20"/>
  <c r="M17" i="20"/>
  <c r="N17" i="20"/>
  <c r="O17" i="20"/>
  <c r="P17" i="20"/>
  <c r="Q17" i="20"/>
  <c r="R17" i="20"/>
  <c r="E18" i="20"/>
  <c r="F18" i="20"/>
  <c r="G18" i="20"/>
  <c r="H18" i="20"/>
  <c r="I18" i="20"/>
  <c r="J18" i="20"/>
  <c r="K18" i="20"/>
  <c r="L18" i="20"/>
  <c r="M18" i="20"/>
  <c r="N18" i="20"/>
  <c r="O18" i="20"/>
  <c r="P18" i="20"/>
  <c r="Q18"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E22" i="20"/>
  <c r="F22" i="20"/>
  <c r="G22" i="20" s="1"/>
  <c r="H22" i="20" s="1"/>
  <c r="I22" i="20" s="1"/>
  <c r="J22" i="20" s="1"/>
  <c r="K22" i="20" s="1"/>
  <c r="L22" i="20" s="1"/>
  <c r="M22" i="20" s="1"/>
  <c r="N22" i="20" s="1"/>
  <c r="O22" i="20" s="1"/>
  <c r="P22" i="20" s="1"/>
  <c r="Q22" i="20" s="1"/>
  <c r="R22" i="20" s="1"/>
  <c r="E23" i="20"/>
  <c r="F23" i="20" s="1"/>
  <c r="G23" i="20" s="1"/>
  <c r="H23" i="20" s="1"/>
  <c r="I23" i="20" s="1"/>
  <c r="J23" i="20" s="1"/>
  <c r="K23" i="20" s="1"/>
  <c r="L23" i="20" s="1"/>
  <c r="M23" i="20" s="1"/>
  <c r="N23" i="20" s="1"/>
  <c r="O23" i="20" s="1"/>
  <c r="P23" i="20" s="1"/>
  <c r="Q23" i="20" s="1"/>
  <c r="R23" i="20" s="1"/>
  <c r="R42" i="20"/>
  <c r="S42" i="20" s="1"/>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P46"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N50" i="20"/>
  <c r="O50" i="20"/>
  <c r="P50" i="20"/>
  <c r="Q50" i="20"/>
  <c r="R50" i="20"/>
  <c r="C54" i="20"/>
  <c r="Q46" i="20" s="1"/>
  <c r="C55" i="20"/>
  <c r="R46" i="20" s="1"/>
  <c r="A1" i="19"/>
  <c r="A2" i="19"/>
  <c r="A3" i="19"/>
  <c r="D8" i="19"/>
  <c r="F8" i="19"/>
  <c r="D9" i="19"/>
  <c r="F9" i="19"/>
  <c r="D10" i="19"/>
  <c r="D11" i="19"/>
  <c r="F11" i="19"/>
  <c r="D12" i="19"/>
  <c r="F12" i="19"/>
  <c r="F14" i="19"/>
  <c r="F15" i="19"/>
  <c r="F21" i="19"/>
  <c r="F22" i="19"/>
  <c r="F23" i="19"/>
  <c r="J9" i="18"/>
  <c r="J10" i="18"/>
  <c r="H11" i="18"/>
  <c r="J11" i="18"/>
  <c r="J14" i="18"/>
  <c r="J15" i="18"/>
  <c r="J16" i="18"/>
  <c r="J19" i="18"/>
  <c r="J20" i="18"/>
  <c r="J21" i="18"/>
  <c r="H25" i="18"/>
  <c r="I25" i="18"/>
  <c r="H26" i="18"/>
  <c r="I26" i="18"/>
  <c r="H27" i="18"/>
  <c r="I27" i="18"/>
  <c r="H28" i="18"/>
  <c r="I28" i="18" s="1"/>
  <c r="H29" i="18"/>
  <c r="I29" i="18"/>
  <c r="H31" i="18"/>
  <c r="H32" i="18"/>
  <c r="H33" i="18"/>
  <c r="D19" i="29" l="1"/>
  <c r="F12" i="28" s="1"/>
  <c r="I12" i="28" s="1"/>
  <c r="C17" i="29"/>
  <c r="C19" i="29" s="1"/>
  <c r="F10" i="28" s="1"/>
  <c r="I10" i="28" s="1"/>
  <c r="E49" i="25"/>
  <c r="F49" i="25" s="1"/>
  <c r="E55" i="25" s="1"/>
  <c r="F55" i="25" s="1"/>
  <c r="G55" i="25" s="1"/>
  <c r="H55" i="25" s="1"/>
  <c r="I55" i="25" s="1"/>
  <c r="J55" i="25" s="1"/>
  <c r="K55" i="25" s="1"/>
  <c r="L55" i="25" s="1"/>
  <c r="M55" i="25" s="1"/>
  <c r="N55" i="25" s="1"/>
  <c r="O55" i="25" s="1"/>
  <c r="P55" i="25" s="1"/>
  <c r="J61" i="25" s="1"/>
  <c r="K61" i="25" s="1"/>
  <c r="F18" i="23"/>
  <c r="I15" i="23"/>
  <c r="I18" i="23" s="1"/>
  <c r="I10" i="23"/>
  <c r="I13" i="23" s="1"/>
  <c r="F13" i="23"/>
  <c r="W50" i="21"/>
  <c r="W46" i="21"/>
  <c r="X42" i="21"/>
  <c r="S50" i="21"/>
  <c r="T46" i="21"/>
  <c r="S46" i="21"/>
  <c r="V46" i="21"/>
  <c r="T42" i="20"/>
  <c r="S46" i="20"/>
  <c r="T46" i="20"/>
  <c r="S50" i="20"/>
  <c r="U13" i="20"/>
  <c r="U18" i="20"/>
  <c r="S17" i="20"/>
  <c r="S22" i="20" s="1"/>
  <c r="T12" i="20"/>
  <c r="O46" i="20"/>
  <c r="N46" i="20"/>
  <c r="T18" i="20"/>
  <c r="S18" i="20"/>
  <c r="S23" i="20" s="1"/>
  <c r="T23" i="20" s="1"/>
  <c r="U23" i="20" s="1"/>
  <c r="X50" i="21" l="1"/>
  <c r="Y46" i="21"/>
  <c r="Y42" i="21"/>
  <c r="X46" i="21"/>
  <c r="V13" i="20"/>
  <c r="V18" i="20"/>
  <c r="V23" i="20" s="1"/>
  <c r="U17" i="20"/>
  <c r="U12" i="20"/>
  <c r="U42" i="20"/>
  <c r="U46" i="20"/>
  <c r="T50" i="20"/>
  <c r="T17" i="20"/>
  <c r="T22" i="20" s="1"/>
  <c r="U22" i="20" s="1"/>
  <c r="Y50" i="21" l="1"/>
  <c r="Z42" i="21"/>
  <c r="V42" i="20"/>
  <c r="V46" i="20"/>
  <c r="U50" i="20"/>
  <c r="V12" i="20"/>
  <c r="W13" i="20"/>
  <c r="AA42" i="21" l="1"/>
  <c r="Z50" i="21"/>
  <c r="AA46" i="21"/>
  <c r="Z46" i="21"/>
  <c r="X13" i="20"/>
  <c r="X18" i="20"/>
  <c r="W12" i="20"/>
  <c r="V17" i="20"/>
  <c r="V22" i="20" s="1"/>
  <c r="W42" i="20"/>
  <c r="W46" i="20"/>
  <c r="V50" i="20"/>
  <c r="W18" i="20"/>
  <c r="W23" i="20" s="1"/>
  <c r="AB42" i="21" l="1"/>
  <c r="AA50" i="21"/>
  <c r="AB46" i="21"/>
  <c r="X12" i="20"/>
  <c r="X17" i="20"/>
  <c r="W50" i="20"/>
  <c r="X42" i="20"/>
  <c r="W17" i="20"/>
  <c r="W22" i="20" s="1"/>
  <c r="X22" i="20" s="1"/>
  <c r="X23" i="20"/>
  <c r="Y13" i="20"/>
  <c r="AC42" i="21" l="1"/>
  <c r="AB50" i="21"/>
  <c r="Y23" i="20"/>
  <c r="X50" i="20"/>
  <c r="Y42" i="20"/>
  <c r="X46" i="20"/>
  <c r="Z13" i="20"/>
  <c r="Y18" i="20"/>
  <c r="Y12" i="20"/>
  <c r="Y17" i="20"/>
  <c r="Y22" i="20" s="1"/>
  <c r="D21" i="19" l="1"/>
  <c r="AC50" i="21"/>
  <c r="D23" i="19" s="1"/>
  <c r="AC46" i="21"/>
  <c r="D22" i="19" s="1"/>
  <c r="AA13" i="20"/>
  <c r="AA18" i="20" s="1"/>
  <c r="Z18" i="20"/>
  <c r="Z23" i="20" s="1"/>
  <c r="AA23" i="20" s="1"/>
  <c r="Z42" i="20"/>
  <c r="Z46" i="20"/>
  <c r="Y50" i="20"/>
  <c r="Y46" i="20"/>
  <c r="Z12" i="20"/>
  <c r="AA42" i="20" l="1"/>
  <c r="AA46" i="20"/>
  <c r="Z50" i="20"/>
  <c r="AA12" i="20"/>
  <c r="AA17" i="20" s="1"/>
  <c r="AB13" i="20"/>
  <c r="AB18" i="20"/>
  <c r="AB23" i="20" s="1"/>
  <c r="Z17" i="20"/>
  <c r="Z22" i="20" s="1"/>
  <c r="AB42" i="20" l="1"/>
  <c r="AB46" i="20"/>
  <c r="AA50" i="20"/>
  <c r="AC13" i="20"/>
  <c r="C9" i="19" s="1"/>
  <c r="E9" i="19" s="1"/>
  <c r="F11" i="18" s="1"/>
  <c r="I11" i="18" s="1"/>
  <c r="AC18" i="20"/>
  <c r="C12" i="19" s="1"/>
  <c r="E12" i="19" s="1"/>
  <c r="F16" i="18" s="1"/>
  <c r="I16" i="18" s="1"/>
  <c r="AB12" i="20"/>
  <c r="AA22" i="20"/>
  <c r="F21" i="23"/>
  <c r="F41" i="23" l="1"/>
  <c r="I21" i="23"/>
  <c r="AC12" i="20"/>
  <c r="C8" i="19" s="1"/>
  <c r="E8" i="19" s="1"/>
  <c r="F9" i="18" s="1"/>
  <c r="I9" i="18" s="1"/>
  <c r="AB17" i="20"/>
  <c r="AC42" i="20"/>
  <c r="AC46" i="20"/>
  <c r="C22" i="19" s="1"/>
  <c r="E22" i="19" s="1"/>
  <c r="F15" i="18" s="1"/>
  <c r="AB50" i="20"/>
  <c r="AB22" i="20"/>
  <c r="AC23" i="20"/>
  <c r="C15" i="19" s="1"/>
  <c r="E15" i="19" s="1"/>
  <c r="F21" i="18" s="1"/>
  <c r="I21" i="18" s="1"/>
  <c r="I41" i="23" l="1"/>
  <c r="F42" i="23"/>
  <c r="C21" i="19"/>
  <c r="E21" i="19" s="1"/>
  <c r="F10" i="18" s="1"/>
  <c r="I10" i="18" s="1"/>
  <c r="AC50" i="20"/>
  <c r="C23" i="19" s="1"/>
  <c r="E23" i="19" s="1"/>
  <c r="F20" i="18" s="1"/>
  <c r="I20" i="18" s="1"/>
  <c r="I15" i="18"/>
  <c r="F31" i="18"/>
  <c r="AC17" i="20"/>
  <c r="C11" i="19" s="1"/>
  <c r="E11" i="19" s="1"/>
  <c r="F14" i="18" s="1"/>
  <c r="I14" i="18" s="1"/>
  <c r="I42" i="23" l="1"/>
  <c r="F43" i="23"/>
  <c r="I43" i="23" s="1"/>
  <c r="I31" i="18"/>
  <c r="F32" i="18"/>
  <c r="AC22" i="20"/>
  <c r="C14" i="19" s="1"/>
  <c r="E14" i="19" s="1"/>
  <c r="F19" i="18" s="1"/>
  <c r="I19" i="18" s="1"/>
  <c r="I32" i="18" l="1"/>
  <c r="F33" i="18"/>
  <c r="I33" i="18" s="1"/>
  <c r="F22" i="23" l="1"/>
  <c r="F20" i="23"/>
  <c r="F45" i="23" l="1"/>
  <c r="I20" i="23"/>
  <c r="F23" i="23"/>
  <c r="F37" i="23"/>
  <c r="I22" i="23"/>
  <c r="F38" i="23" l="1"/>
  <c r="I37" i="23"/>
  <c r="I23" i="23"/>
  <c r="F46" i="23"/>
  <c r="I45" i="23"/>
  <c r="F27" i="23"/>
  <c r="I27" i="23" s="1"/>
  <c r="F47" i="23" l="1"/>
  <c r="I47" i="23" s="1"/>
  <c r="I46" i="23"/>
  <c r="I38" i="23"/>
  <c r="F39" i="23"/>
  <c r="I39" i="23" s="1"/>
  <c r="F26" i="23"/>
  <c r="I26" i="23" s="1"/>
  <c r="F25" i="23" l="1"/>
  <c r="F28" i="23" l="1"/>
  <c r="I25" i="23"/>
  <c r="I28" i="23" s="1"/>
  <c r="D76" i="17"/>
  <c r="D57" i="17"/>
  <c r="D55" i="17"/>
  <c r="D41" i="17"/>
  <c r="D33" i="17"/>
  <c r="D28" i="17"/>
  <c r="C77" i="17" l="1"/>
  <c r="C76" i="17"/>
  <c r="C57" i="17"/>
  <c r="F57" i="17" s="1"/>
  <c r="C55" i="17"/>
  <c r="C41" i="17"/>
  <c r="C33" i="17"/>
  <c r="F33" i="17" s="1"/>
  <c r="C28" i="17"/>
  <c r="B2" i="3" l="1"/>
  <c r="A2" i="17"/>
  <c r="A2" i="16"/>
  <c r="B84" i="17" l="1"/>
  <c r="B80" i="17"/>
  <c r="B77" i="17"/>
  <c r="B74" i="17"/>
  <c r="B73" i="17"/>
  <c r="B62" i="17"/>
  <c r="B61" i="17"/>
  <c r="B60" i="17"/>
  <c r="B59" i="17"/>
  <c r="B58" i="17"/>
  <c r="B56" i="17"/>
  <c r="B51" i="17"/>
  <c r="B50" i="17"/>
  <c r="B49" i="17"/>
  <c r="B48" i="17"/>
  <c r="B47" i="17"/>
  <c r="B46" i="17"/>
  <c r="B45" i="17"/>
  <c r="B44" i="17"/>
  <c r="B43" i="17"/>
  <c r="B42" i="17"/>
  <c r="B35" i="17"/>
  <c r="B34" i="17"/>
  <c r="B32" i="17"/>
  <c r="B30" i="17"/>
  <c r="B29" i="17"/>
  <c r="B26" i="17"/>
  <c r="B25" i="17"/>
  <c r="B24" i="17"/>
  <c r="B23" i="17"/>
  <c r="B22" i="17"/>
  <c r="B21" i="17"/>
  <c r="B20" i="17"/>
  <c r="B19" i="17"/>
  <c r="B18" i="17"/>
  <c r="B17" i="17"/>
  <c r="B13" i="17"/>
  <c r="B12" i="17"/>
  <c r="B11" i="17"/>
  <c r="B10" i="17"/>
  <c r="E14" i="17"/>
  <c r="F14" i="17"/>
  <c r="E27" i="17"/>
  <c r="F27" i="17"/>
  <c r="F72" i="17" s="1"/>
  <c r="F78" i="17" s="1"/>
  <c r="F81" i="17" s="1"/>
  <c r="F83" i="17" s="1"/>
  <c r="F85" i="17" s="1"/>
  <c r="F31" i="17" s="1"/>
  <c r="E52" i="17"/>
  <c r="F52" i="17"/>
  <c r="E63" i="17"/>
  <c r="E65" i="17" l="1"/>
  <c r="E14" i="16" s="1"/>
  <c r="E72" i="17"/>
  <c r="I30" i="4" l="1"/>
  <c r="D83" i="4" l="1"/>
  <c r="D76" i="4"/>
  <c r="F76" i="4" s="1"/>
  <c r="D73" i="4"/>
  <c r="F73" i="4" s="1"/>
  <c r="D63" i="17"/>
  <c r="D60" i="4"/>
  <c r="F60" i="4" s="1"/>
  <c r="D59" i="4"/>
  <c r="F59" i="4" s="1"/>
  <c r="D58" i="4"/>
  <c r="F58" i="4" s="1"/>
  <c r="D57" i="4"/>
  <c r="F57" i="4" s="1"/>
  <c r="D55" i="4"/>
  <c r="F55" i="4" s="1"/>
  <c r="D52" i="17"/>
  <c r="D50" i="4"/>
  <c r="F50" i="4" s="1"/>
  <c r="D49" i="4"/>
  <c r="F49" i="4" s="1"/>
  <c r="D48" i="4"/>
  <c r="F48" i="4" s="1"/>
  <c r="D47" i="4"/>
  <c r="F47" i="4" s="1"/>
  <c r="D46" i="4"/>
  <c r="F46" i="4" s="1"/>
  <c r="D45" i="4"/>
  <c r="F45" i="4" s="1"/>
  <c r="D44" i="4"/>
  <c r="F44" i="4" s="1"/>
  <c r="D43" i="4"/>
  <c r="F43" i="4" s="1"/>
  <c r="D42" i="4"/>
  <c r="F42" i="4" s="1"/>
  <c r="D41" i="4"/>
  <c r="F41" i="4" s="1"/>
  <c r="D34" i="4"/>
  <c r="F34" i="4" s="1"/>
  <c r="D33" i="4"/>
  <c r="F33" i="4" s="1"/>
  <c r="D29" i="4"/>
  <c r="F29" i="4" s="1"/>
  <c r="D28" i="4"/>
  <c r="F28" i="4" s="1"/>
  <c r="D27" i="17"/>
  <c r="C27" i="17"/>
  <c r="B27" i="17" s="1"/>
  <c r="D24" i="4"/>
  <c r="F24" i="4" s="1"/>
  <c r="D17" i="4"/>
  <c r="F17" i="4" s="1"/>
  <c r="D14" i="17"/>
  <c r="C14" i="17"/>
  <c r="B14" i="17" s="1"/>
  <c r="D12" i="4"/>
  <c r="F12" i="4" s="1"/>
  <c r="D11" i="4"/>
  <c r="F11" i="4" s="1"/>
  <c r="D10" i="4"/>
  <c r="F10" i="4" s="1"/>
  <c r="D9" i="4"/>
  <c r="F9" i="4" s="1"/>
  <c r="D72" i="17" l="1"/>
  <c r="D65" i="17"/>
  <c r="E13" i="16" s="1"/>
  <c r="D78" i="17" l="1"/>
  <c r="A13" i="16"/>
  <c r="A14" i="16" s="1"/>
  <c r="A15" i="16" s="1"/>
  <c r="A16" i="16" s="1"/>
  <c r="A17" i="16" s="1"/>
  <c r="A18" i="16" s="1"/>
  <c r="A19" i="16" s="1"/>
  <c r="A20" i="16" s="1"/>
  <c r="A21" i="16" s="1"/>
  <c r="D81" i="17" l="1"/>
  <c r="D83" i="17" l="1"/>
  <c r="D85" i="17" l="1"/>
  <c r="D31" i="17" l="1"/>
  <c r="D36" i="17" l="1"/>
  <c r="D38" i="17" l="1"/>
  <c r="D13" i="16" s="1"/>
  <c r="J31" i="4" l="1"/>
  <c r="H62" i="4"/>
  <c r="H51" i="4"/>
  <c r="J61" i="4"/>
  <c r="H31" i="4"/>
  <c r="H64" i="4" l="1"/>
  <c r="F31" i="4" l="1"/>
  <c r="D31" i="4"/>
  <c r="D13" i="4" l="1"/>
  <c r="E10" i="3" l="1"/>
  <c r="E9" i="3"/>
  <c r="E8" i="3"/>
  <c r="E11" i="3" l="1"/>
  <c r="D26" i="3" l="1"/>
  <c r="D30" i="3" s="1"/>
  <c r="D32" i="3" l="1"/>
  <c r="D34" i="3" s="1"/>
  <c r="F13" i="16" l="1"/>
  <c r="D69" i="17"/>
  <c r="D21" i="4" l="1"/>
  <c r="F21" i="4" s="1"/>
  <c r="D25" i="4"/>
  <c r="F25" i="4" s="1"/>
  <c r="D22" i="4"/>
  <c r="F22" i="4" s="1"/>
  <c r="D23" i="4"/>
  <c r="F23" i="4" s="1"/>
  <c r="B62" i="4"/>
  <c r="B51" i="4"/>
  <c r="B13" i="4"/>
  <c r="B26" i="4"/>
  <c r="D18" i="4" l="1"/>
  <c r="F18" i="4" s="1"/>
  <c r="D19" i="4"/>
  <c r="F19" i="4" s="1"/>
  <c r="D20" i="4"/>
  <c r="F20" i="4" s="1"/>
  <c r="B64" i="4"/>
  <c r="B35" i="4"/>
  <c r="D16" i="4" l="1"/>
  <c r="F16" i="4" s="1"/>
  <c r="J57" i="4"/>
  <c r="J11" i="4"/>
  <c r="J60" i="4"/>
  <c r="J24" i="4"/>
  <c r="B37" i="4"/>
  <c r="J55" i="4"/>
  <c r="J73" i="4"/>
  <c r="J46" i="4"/>
  <c r="J76" i="4"/>
  <c r="J42" i="4"/>
  <c r="J28" i="4"/>
  <c r="J43" i="4"/>
  <c r="J17" i="4"/>
  <c r="J45" i="4"/>
  <c r="B77" i="4"/>
  <c r="J50" i="4"/>
  <c r="J49" i="4"/>
  <c r="J59" i="4"/>
  <c r="J33" i="4"/>
  <c r="J58" i="4"/>
  <c r="J44" i="4"/>
  <c r="J41" i="4"/>
  <c r="F13" i="4"/>
  <c r="J12" i="4"/>
  <c r="J48" i="4"/>
  <c r="J47" i="4"/>
  <c r="J10" i="4"/>
  <c r="D26" i="4" l="1"/>
  <c r="B66" i="4"/>
  <c r="B67" i="4" s="1"/>
  <c r="B68" i="4"/>
  <c r="B80" i="4"/>
  <c r="B82" i="4" s="1"/>
  <c r="F9" i="16" l="1"/>
  <c r="D68" i="17"/>
  <c r="J16" i="4" l="1"/>
  <c r="J20" i="4"/>
  <c r="J23" i="4"/>
  <c r="J25" i="4"/>
  <c r="F26" i="4" l="1"/>
  <c r="J19" i="4"/>
  <c r="J21" i="4"/>
  <c r="J18" i="4"/>
  <c r="J34" i="4" l="1"/>
  <c r="B83" i="4" l="1"/>
  <c r="F83" i="4" l="1"/>
  <c r="J83" i="4"/>
  <c r="B28" i="17" l="1"/>
  <c r="D27" i="4" s="1"/>
  <c r="C72" i="17"/>
  <c r="B55" i="17" l="1"/>
  <c r="D54" i="4" s="1"/>
  <c r="B72" i="17"/>
  <c r="F27" i="4"/>
  <c r="D71" i="4"/>
  <c r="B76" i="17"/>
  <c r="D75" i="4" s="1"/>
  <c r="F75" i="4" s="1"/>
  <c r="J75" i="4" s="1"/>
  <c r="C78" i="17" l="1"/>
  <c r="J27" i="4"/>
  <c r="F71" i="4"/>
  <c r="F54" i="4"/>
  <c r="C63" i="17" l="1"/>
  <c r="J54" i="4"/>
  <c r="C81" i="17"/>
  <c r="B41" i="17"/>
  <c r="D40" i="4" s="1"/>
  <c r="C52" i="17"/>
  <c r="B52" i="17" l="1"/>
  <c r="C65" i="17"/>
  <c r="F40" i="4"/>
  <c r="D51" i="4"/>
  <c r="C83" i="17"/>
  <c r="J40" i="4" l="1"/>
  <c r="J51" i="4" s="1"/>
  <c r="F51" i="4"/>
  <c r="E12" i="16"/>
  <c r="C85" i="17"/>
  <c r="C31" i="17" l="1"/>
  <c r="C36" i="17" l="1"/>
  <c r="C38" i="17" l="1"/>
  <c r="D12" i="16" l="1"/>
  <c r="C68" i="17"/>
  <c r="C69" i="17"/>
  <c r="F12" i="16" l="1"/>
  <c r="F63" i="17" l="1"/>
  <c r="B57" i="17"/>
  <c r="D56" i="4" s="1"/>
  <c r="F36" i="17"/>
  <c r="F38" i="17" s="1"/>
  <c r="B33" i="17"/>
  <c r="D32" i="4" s="1"/>
  <c r="F32" i="4" s="1"/>
  <c r="J32" i="4" s="1"/>
  <c r="F56" i="4" l="1"/>
  <c r="D62" i="4"/>
  <c r="D64" i="4" s="1"/>
  <c r="F65" i="17"/>
  <c r="F68" i="17" s="1"/>
  <c r="B63" i="17"/>
  <c r="D15" i="16"/>
  <c r="E15" i="16" l="1"/>
  <c r="E16" i="16" s="1"/>
  <c r="B65" i="17"/>
  <c r="F69" i="17"/>
  <c r="F62" i="4"/>
  <c r="F64" i="4" s="1"/>
  <c r="C11" i="27" s="1"/>
  <c r="J56" i="4"/>
  <c r="J62" i="4" s="1"/>
  <c r="J64" i="4" s="1"/>
  <c r="I16" i="26" l="1"/>
  <c r="I18" i="26" s="1"/>
  <c r="I21" i="26" s="1"/>
  <c r="F10" i="26" s="1"/>
  <c r="I10" i="26" s="1"/>
  <c r="C14" i="27"/>
  <c r="C18" i="27" s="1"/>
  <c r="F15" i="16"/>
  <c r="E75" i="17" l="1"/>
  <c r="B75" i="17" l="1"/>
  <c r="D74" i="4" s="1"/>
  <c r="E78" i="17"/>
  <c r="E81" i="17" l="1"/>
  <c r="B78" i="17"/>
  <c r="F74" i="4"/>
  <c r="D77" i="4"/>
  <c r="D80" i="4" s="1"/>
  <c r="D82" i="4" s="1"/>
  <c r="D84" i="4" s="1"/>
  <c r="D30" i="4" s="1"/>
  <c r="D35" i="4" s="1"/>
  <c r="D37" i="4" s="1"/>
  <c r="D68" i="4" s="1"/>
  <c r="F77" i="4" l="1"/>
  <c r="F80" i="4" s="1"/>
  <c r="F82" i="4" s="1"/>
  <c r="F84" i="4" s="1"/>
  <c r="F30" i="4" s="1"/>
  <c r="F35" i="4" s="1"/>
  <c r="F37" i="4" s="1"/>
  <c r="J74" i="4"/>
  <c r="B81" i="17"/>
  <c r="E83" i="17"/>
  <c r="E85" i="17" l="1"/>
  <c r="B83" i="17"/>
  <c r="F68" i="4"/>
  <c r="H9" i="4"/>
  <c r="F66" i="4"/>
  <c r="H22" i="4" l="1"/>
  <c r="H29" i="4"/>
  <c r="J29" i="4" s="1"/>
  <c r="H13" i="4"/>
  <c r="J9" i="4"/>
  <c r="J13" i="4" s="1"/>
  <c r="F67" i="4"/>
  <c r="D67" i="4" s="1"/>
  <c r="D66" i="4"/>
  <c r="B85" i="17"/>
  <c r="E31" i="17"/>
  <c r="E36" i="17" l="1"/>
  <c r="B31" i="17"/>
  <c r="H26" i="4"/>
  <c r="H71" i="4" s="1"/>
  <c r="H77" i="4" s="1"/>
  <c r="H80" i="4" s="1"/>
  <c r="H82" i="4" s="1"/>
  <c r="H84" i="4" s="1"/>
  <c r="H30" i="4" s="1"/>
  <c r="H35" i="4" s="1"/>
  <c r="H37" i="4" s="1"/>
  <c r="J22" i="4"/>
  <c r="J26" i="4" s="1"/>
  <c r="J71" i="4" s="1"/>
  <c r="J77" i="4" s="1"/>
  <c r="J80" i="4" s="1"/>
  <c r="J82" i="4" s="1"/>
  <c r="J84" i="4" s="1"/>
  <c r="J30" i="4" s="1"/>
  <c r="J35" i="4" s="1"/>
  <c r="J37" i="4" s="1"/>
  <c r="J66" i="4" s="1"/>
  <c r="J67" i="4" l="1"/>
  <c r="H67" i="4" s="1"/>
  <c r="H66" i="4"/>
  <c r="E38" i="17"/>
  <c r="B36" i="17"/>
  <c r="D14" i="16" l="1"/>
  <c r="E69" i="17"/>
  <c r="B69" i="17" s="1"/>
  <c r="E68" i="17"/>
  <c r="B38" i="17"/>
  <c r="B68" i="17" s="1"/>
  <c r="F14" i="16" l="1"/>
  <c r="F16" i="16" s="1"/>
  <c r="D16" i="16"/>
</calcChain>
</file>

<file path=xl/sharedStrings.xml><?xml version="1.0" encoding="utf-8"?>
<sst xmlns="http://schemas.openxmlformats.org/spreadsheetml/2006/main" count="776" uniqueCount="319">
  <si>
    <t xml:space="preserve">Capital Structure </t>
  </si>
  <si>
    <t>Embedded Cost</t>
  </si>
  <si>
    <t>Weighted Cost</t>
  </si>
  <si>
    <t>DEBT%</t>
  </si>
  <si>
    <t>PREFERRED %</t>
  </si>
  <si>
    <t>COMMON %</t>
  </si>
  <si>
    <t>PacifiCorp</t>
  </si>
  <si>
    <t>Estimated Price Change</t>
  </si>
  <si>
    <t>Return on Rate Base</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</si>
  <si>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</si>
  <si>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</si>
  <si>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</si>
  <si>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</si>
  <si>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</si>
  <si>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</si>
  <si>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</si>
  <si>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</si>
  <si>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</si>
  <si>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</si>
  <si>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</si>
  <si>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</si>
  <si>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</si>
  <si>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</si>
  <si>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</si>
  <si>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</si>
  <si>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</si>
  <si>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</si>
  <si>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</si>
  <si>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</si>
  <si>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</si>
  <si>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</si>
  <si>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</si>
  <si>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</si>
  <si>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</si>
  <si>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</si>
  <si>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</si>
  <si>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</si>
  <si>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</si>
  <si>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</si>
  <si>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</si>
  <si>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</si>
  <si>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</si>
  <si>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</si>
  <si>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</si>
  <si>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</si>
  <si>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</si>
  <si>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</si>
  <si>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Weatherization</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</si>
  <si>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</si>
  <si>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</si>
  <si>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</si>
  <si>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</si>
  <si>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</si>
  <si>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</si>
  <si>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</si>
  <si>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</si>
  <si>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</si>
  <si>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</si>
  <si>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</si>
  <si>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</si>
  <si>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Return on Equity</t>
  </si>
  <si>
    <t>TAX CALCULATION:</t>
  </si>
  <si>
    <t>Operating Revenue</t>
  </si>
  <si>
    <t>Other Deductions</t>
  </si>
  <si>
    <t>Interest (AFUDC)</t>
  </si>
  <si>
    <t>Interest</t>
  </si>
  <si>
    <t>Schedule "M" Additions</t>
  </si>
  <si>
    <t>Schedule "M" Deductions</t>
  </si>
  <si>
    <t>Income Before Tax</t>
  </si>
  <si>
    <t>State Income Taxes</t>
  </si>
  <si>
    <t>Taxable Income</t>
  </si>
  <si>
    <t>Total Normalized Results</t>
  </si>
  <si>
    <t>(1)</t>
  </si>
  <si>
    <t>(2)</t>
  </si>
  <si>
    <t>(3)</t>
  </si>
  <si>
    <t>(4)</t>
  </si>
  <si>
    <t>(5)</t>
  </si>
  <si>
    <t>(1) + (2)</t>
  </si>
  <si>
    <t>(3) + (4)</t>
  </si>
  <si>
    <t>Federal Income Taxes Before Credits</t>
  </si>
  <si>
    <t>Energy Tax Credits</t>
  </si>
  <si>
    <t>Federal Income Taxes</t>
  </si>
  <si>
    <t>Price Change</t>
  </si>
  <si>
    <t>Results with Price Change</t>
  </si>
  <si>
    <t>WUTC Regulatory Fee</t>
  </si>
  <si>
    <t>Operating Deductions</t>
  </si>
  <si>
    <t>Uncollectable Accounts</t>
  </si>
  <si>
    <t>Taxes Other - Resource Supplier</t>
  </si>
  <si>
    <t>Taxes Other - Gross Receipts</t>
  </si>
  <si>
    <t>Sub-Total</t>
  </si>
  <si>
    <t>Net Operating Income</t>
  </si>
  <si>
    <t>Net to Gross Bump-up Factor</t>
  </si>
  <si>
    <t>State Taxes</t>
  </si>
  <si>
    <t>Capital Structure and Cost</t>
  </si>
  <si>
    <t>Estimated Return on Equity Impact</t>
  </si>
  <si>
    <t>NOI</t>
  </si>
  <si>
    <t>Rate Base</t>
  </si>
  <si>
    <t>Rev. Req.</t>
  </si>
  <si>
    <t xml:space="preserve">Notes: </t>
  </si>
  <si>
    <t>Total Adjusted Results</t>
  </si>
  <si>
    <t>Adj. No.</t>
  </si>
  <si>
    <t>Line No.</t>
  </si>
  <si>
    <t>A</t>
  </si>
  <si>
    <t>B</t>
  </si>
  <si>
    <t>Pro Forma Adjustments</t>
  </si>
  <si>
    <t>WUTC Public Utility Tax</t>
  </si>
  <si>
    <t>Total Pro Forma Adjustments</t>
  </si>
  <si>
    <t>Federal Income Tax @ 21.00%</t>
  </si>
  <si>
    <t>(From UE-191024 Settlement JAM/RAM - Results Tab)</t>
  </si>
  <si>
    <t>1</t>
  </si>
  <si>
    <t>2</t>
  </si>
  <si>
    <t>WIJAM Transmission Transition Adj</t>
  </si>
  <si>
    <t>Interest True Up</t>
  </si>
  <si>
    <t>Remove Deferred State Tax Expense &amp; Balance</t>
  </si>
  <si>
    <t>3</t>
  </si>
  <si>
    <t>4</t>
  </si>
  <si>
    <t>Removed Deferred State Tax Expense &amp; Balance</t>
  </si>
  <si>
    <t>Summary of Pro Forma Adjustments</t>
  </si>
  <si>
    <t>Revenue Requirement Adjustment Summary</t>
  </si>
  <si>
    <t>C</t>
  </si>
  <si>
    <t>D</t>
  </si>
  <si>
    <t>E</t>
  </si>
  <si>
    <t>(1) The revenue requirement column is calculated using the Company's approved return on rate base of 7.17% and the NOI</t>
  </si>
  <si>
    <t>Wind &amp; Transmission Capital True-Up</t>
  </si>
  <si>
    <t>Interest 
True-Up</t>
  </si>
  <si>
    <t>Variables - Washington General Rate Case UE-191024</t>
  </si>
  <si>
    <t>Results of Operations</t>
  </si>
  <si>
    <t>Washington Limited-Issue Rate Filing</t>
  </si>
  <si>
    <t>The table below presents the Company's pro forma ratemaking adjustments and their impact on net operating income (NOI), rate base, and the Washington revenue requirement.</t>
  </si>
  <si>
    <t>Settlement Amount 2021 GRC UE-191024</t>
  </si>
  <si>
    <t>conversion factor of 75.315%. The development of these percentages can be found on Page 1.4</t>
  </si>
  <si>
    <t xml:space="preserve">This adjustment calculates the net impact to customer rates due to capital costs and timing variances between balances and in-service dates included in the 2021 Rate Case versus actual in-service balances and dates through May 2021 for new wind and transmission projects, and wind repowering projects identified in the 2021 Rate Case Settlement. </t>
  </si>
  <si>
    <t>Description of Adjustment:</t>
  </si>
  <si>
    <t>SG</t>
  </si>
  <si>
    <t>PRO</t>
  </si>
  <si>
    <t>Accumulated Def Inc Tax Bal - Wind Retirement</t>
  </si>
  <si>
    <t>Deferred Income Tax Expense - Wind Retirement</t>
  </si>
  <si>
    <t>SCHMAT</t>
  </si>
  <si>
    <t>Schedule M Adjustment Wind Retirement</t>
  </si>
  <si>
    <t>Accumulated Def Inc Tax Bal - Wind &amp; Transmission</t>
  </si>
  <si>
    <t>Deferred Income Tax Expense - Wind &amp; Transmission</t>
  </si>
  <si>
    <t>SCHMDT</t>
  </si>
  <si>
    <t>Schedule M Adjustment - Wind &amp; Transmission</t>
  </si>
  <si>
    <t>Adjustment to Tax:</t>
  </si>
  <si>
    <t>108TP</t>
  </si>
  <si>
    <t>Transmission Depreciation Reserve</t>
  </si>
  <si>
    <t>108OP</t>
  </si>
  <si>
    <t>Wind Depreciation Reserve - Retirement</t>
  </si>
  <si>
    <t>Wind Depreciation Reserve</t>
  </si>
  <si>
    <t>Adjustment to Depreciation Reserve:</t>
  </si>
  <si>
    <t>403TP</t>
  </si>
  <si>
    <t>Transmission Depreciation Expense</t>
  </si>
  <si>
    <t>403OP</t>
  </si>
  <si>
    <t>Wind Depreciation Expense - Retirement</t>
  </si>
  <si>
    <t>Wind Depreciation Expense</t>
  </si>
  <si>
    <t>Adjustment to Depreciation Expense:</t>
  </si>
  <si>
    <t>Capital - Transmission</t>
  </si>
  <si>
    <t>Capital - Wind Retirement</t>
  </si>
  <si>
    <t>Capital - Wind</t>
  </si>
  <si>
    <t>Adjustment to Rate Base:</t>
  </si>
  <si>
    <t>REF#</t>
  </si>
  <si>
    <t>ALLOCATED</t>
  </si>
  <si>
    <t>FACTOR %</t>
  </si>
  <si>
    <t>FACTOR</t>
  </si>
  <si>
    <t>COMPANY</t>
  </si>
  <si>
    <t>Type</t>
  </si>
  <si>
    <t>ACCOUNT</t>
  </si>
  <si>
    <t>WASHINGTON</t>
  </si>
  <si>
    <t>TOTAL</t>
  </si>
  <si>
    <t>ADJ_1</t>
  </si>
  <si>
    <t>PAGE</t>
  </si>
  <si>
    <t>Adjustment</t>
  </si>
  <si>
    <t>ACTUAL RETIREMENT</t>
  </si>
  <si>
    <t>2021 GRC Retirement</t>
  </si>
  <si>
    <t>*Reflects 2021 EOP balances based on 2021 GRC Settlement assumptions</t>
  </si>
  <si>
    <t>108TP*</t>
  </si>
  <si>
    <t>108OP*</t>
  </si>
  <si>
    <t>ACTUAL 
IN-SERVICE</t>
  </si>
  <si>
    <t>2021 GRC Additions</t>
  </si>
  <si>
    <t>Adjustment Summary</t>
  </si>
  <si>
    <t>ADJ_1.1</t>
  </si>
  <si>
    <t>Page</t>
  </si>
  <si>
    <t>*Pro Forma Comp. Depr. Rate</t>
  </si>
  <si>
    <t>*Historical Comp. Depr. Rate</t>
  </si>
  <si>
    <t>Wind</t>
  </si>
  <si>
    <t>Other Plant Wind</t>
  </si>
  <si>
    <t>Factor</t>
  </si>
  <si>
    <t>Account</t>
  </si>
  <si>
    <t>Depreciation Reserve</t>
  </si>
  <si>
    <t>Depreciation Expense*</t>
  </si>
  <si>
    <t>Electric Plant in Service</t>
  </si>
  <si>
    <t>WIND REPOWERING RETIREMENTS</t>
  </si>
  <si>
    <t>Trans</t>
  </si>
  <si>
    <t>Transmission Plant</t>
  </si>
  <si>
    <t>WIND &amp; TRANSMISSION CAPITAL ADDITIONS</t>
  </si>
  <si>
    <t>Capital Additions Per 2021 General Rate Case</t>
  </si>
  <si>
    <t>Actual In-Service Capital Additions</t>
  </si>
  <si>
    <t xml:space="preserve"> placed in-service through May 2021 plus forecasts through July 2021.</t>
  </si>
  <si>
    <t>*TB Flats Wind Project expected to be placed in-service in July.  In-service amounts reflect actual</t>
  </si>
  <si>
    <t>Ref. 8.12.2</t>
  </si>
  <si>
    <t>Ref. Exhibit SEM-3C</t>
  </si>
  <si>
    <t>Total Repowering Retirement</t>
  </si>
  <si>
    <t>Foote Creek</t>
  </si>
  <si>
    <t xml:space="preserve">Dunlap 1 </t>
  </si>
  <si>
    <t>Repowering</t>
  </si>
  <si>
    <t>ACTUAL
RETIREMENT</t>
  </si>
  <si>
    <t>2021 GRC 
Retirement</t>
  </si>
  <si>
    <t>PROJECT</t>
  </si>
  <si>
    <t>Page 8.12.2</t>
  </si>
  <si>
    <t>Total Repowering</t>
  </si>
  <si>
    <t>Page 8.13.2</t>
  </si>
  <si>
    <t>Total New Wind</t>
  </si>
  <si>
    <t>TB Flats Wind Operating 2020 Allocation</t>
  </si>
  <si>
    <t>Pryor Mountain Wind Operating</t>
  </si>
  <si>
    <t>Ekola Flats Wind Operating 2020 Allocation</t>
  </si>
  <si>
    <t>Cedar Springs Wind Operating 2020 Allocation</t>
  </si>
  <si>
    <t>*</t>
  </si>
  <si>
    <t>TB Flats Wind Project 500 MW 2020</t>
  </si>
  <si>
    <t>Pryor Mtn Wind Project 240 MW 2020</t>
  </si>
  <si>
    <t>Ekola Flats Wind Project 250 MW 2020</t>
  </si>
  <si>
    <t>Cedar Springs Wind Project 200 MW 2020</t>
  </si>
  <si>
    <t>New Wind</t>
  </si>
  <si>
    <t>Total Transmission</t>
  </si>
  <si>
    <t>Q0542 Pryor Mountain</t>
  </si>
  <si>
    <t>Q712 Cedar Springs Wind 1</t>
  </si>
  <si>
    <t>Q707 TB Flats 1</t>
  </si>
  <si>
    <t>Aeolus-Bridger/Anticline Seg D2 500kV TL</t>
  </si>
  <si>
    <t>ACTUAL 
IN-SERVICE
May-21</t>
  </si>
  <si>
    <t>2021 GRC 
Capital Additions</t>
  </si>
  <si>
    <t>REDACTED</t>
  </si>
  <si>
    <t>Wind &amp; Transmission Capital Costs Summary</t>
  </si>
  <si>
    <t>Page ADJ_1.4 REDACTED</t>
  </si>
  <si>
    <t xml:space="preserve">This adjustment removes the system allocation of transmission assets associated with select generation resources and reallocates those transmission assets using control-area specific CAGE &amp; CAGW factor. </t>
  </si>
  <si>
    <t>Accumulated Deferred Income Tax Balance</t>
  </si>
  <si>
    <t>Deferred Income Tax Expense</t>
  </si>
  <si>
    <t>Schedule M Adjustment</t>
  </si>
  <si>
    <t>CAGW</t>
  </si>
  <si>
    <t>CAGE</t>
  </si>
  <si>
    <t>ADIT - Transmission</t>
  </si>
  <si>
    <t>ADJ_2.2</t>
  </si>
  <si>
    <t>Transmission  - Control Area Generation - East</t>
  </si>
  <si>
    <t>Transmission  - Control Area Generation - West</t>
  </si>
  <si>
    <t>Transmission  - System</t>
  </si>
  <si>
    <t>ADJ_2.1</t>
  </si>
  <si>
    <t>WIJAM Transmission Transition Adjustment</t>
  </si>
  <si>
    <t>ADJ_2</t>
  </si>
  <si>
    <t>Net Plant</t>
  </si>
  <si>
    <t>Ref. ADJ_2</t>
  </si>
  <si>
    <t>Gross Plant EPIS</t>
  </si>
  <si>
    <t>TOTAL:</t>
  </si>
  <si>
    <t>Assets Associated with EAST Side Generating Plants:</t>
  </si>
  <si>
    <t>Assets Associated with WEST Side Generating Plants:</t>
  </si>
  <si>
    <t>Asset Balances as of December 31, 2020</t>
  </si>
  <si>
    <t>Page ADJ_2.1</t>
  </si>
  <si>
    <t>**Incremental Piece related to the change in depreciation rates</t>
  </si>
  <si>
    <t>*Composite Previous 2013 Depreciation Study Rate Transmission CAGE</t>
  </si>
  <si>
    <t>*Composite Previous 2013 Depreciation Study Rate Transmission CAGW</t>
  </si>
  <si>
    <t>*Composite Stipulated 2018 Depreciation Study Rate Transmission CAGE</t>
  </si>
  <si>
    <t>*Composite Stipulated 2018 Depreciation Study Rate Transmission CAGW</t>
  </si>
  <si>
    <t>Dec 2021</t>
  </si>
  <si>
    <t>Expense</t>
  </si>
  <si>
    <t>*Composite Stipulated 2018 Depreciation Study Rate Transmission SG</t>
  </si>
  <si>
    <t>AMA</t>
  </si>
  <si>
    <t>Depreciation Reserve**</t>
  </si>
  <si>
    <t>CY 2020</t>
  </si>
  <si>
    <t>CY 2021</t>
  </si>
  <si>
    <t>Ref. ADJ_2.1</t>
  </si>
  <si>
    <t>INCLUDE IN WASHINGTON LIRF ON CAGW/CAGE:</t>
  </si>
  <si>
    <t>**Incremental adjustment related to the change in depreciation rates</t>
  </si>
  <si>
    <t>REMOVE FROM WASHINGTON GRC SYSTEM ALLOCATED:</t>
  </si>
  <si>
    <t>Depreciation Rates Update Impact</t>
  </si>
  <si>
    <t xml:space="preserve">This adjustment calculates the revision to interest expense required to synchronize the expense with rate base reflected in rates. This is done by multiplying Washington net rate base by the Company’s weighted cost of debt in this case.  
</t>
  </si>
  <si>
    <t>Description of Adjustment</t>
  </si>
  <si>
    <t>ADJ_3.1</t>
  </si>
  <si>
    <t>Total Pro forma Interest True-up Adjustment</t>
  </si>
  <si>
    <t>Unadjusted Interest Expense</t>
  </si>
  <si>
    <t>Trued-up Interest Expense</t>
  </si>
  <si>
    <t>Weighted Cost of Debt:</t>
  </si>
  <si>
    <t>Jurisdiction Specific Adjusted Rate Base</t>
  </si>
  <si>
    <t>Pro forma:</t>
  </si>
  <si>
    <t>Adjustment Detail:</t>
  </si>
  <si>
    <t>Below</t>
  </si>
  <si>
    <t>Situs</t>
  </si>
  <si>
    <t>WA</t>
  </si>
  <si>
    <t>Other Interest Expense - Pro forma</t>
  </si>
  <si>
    <t>Adjustment to Expense:</t>
  </si>
  <si>
    <t>ADJ_3</t>
  </si>
  <si>
    <t>Page ADJ_3</t>
  </si>
  <si>
    <t>Pro Forma Adjustment</t>
  </si>
  <si>
    <t>Above</t>
  </si>
  <si>
    <t>Pro Forma Interest Expense</t>
  </si>
  <si>
    <t>Exhibit No. SLC-2, Page 1.4</t>
  </si>
  <si>
    <t>Weighted Cost of Debt</t>
  </si>
  <si>
    <t>Exh No. SLC-2, Page 1.1, Line 57, Column (3)</t>
  </si>
  <si>
    <t>Pro Forma Washington Allocated Rate Base</t>
  </si>
  <si>
    <t>Reference</t>
  </si>
  <si>
    <t>Pro Forma Results</t>
  </si>
  <si>
    <t>Exh No. SLC-2, Page 1.1, Line 67, Column (1)</t>
  </si>
  <si>
    <t>Unadjusted Results</t>
  </si>
  <si>
    <t>Interest True-up Calculation</t>
  </si>
  <si>
    <t>PAGE ADJ_3.1</t>
  </si>
  <si>
    <t>This adjustment removes the deferred state income tax expense and associated balances from results since state income tax expense is excluded under the WIJAM allocation methodology.</t>
  </si>
  <si>
    <t>ADJ_4.1</t>
  </si>
  <si>
    <t>ADIT Balance</t>
  </si>
  <si>
    <t>Def Inc Tax Expense</t>
  </si>
  <si>
    <t>ADJ_4</t>
  </si>
  <si>
    <t>Ref. ADJ_4</t>
  </si>
  <si>
    <t>Adjustment to remove the State portion of Def Inc Tax Exp &amp; ADIT</t>
  </si>
  <si>
    <t>Portion of Total Deferred Income Tax Expense related to State</t>
  </si>
  <si>
    <t>Ratio of Deferred State Tax Rate to Combined Deferred Tax rate</t>
  </si>
  <si>
    <t>Combined Deferred Tax Rate</t>
  </si>
  <si>
    <t>Def State Tax Rate in the Combined Deferred Tax Rate</t>
  </si>
  <si>
    <t>Total Deferred Income Tax Balance Allocated to Washington before removal of State Tax portion</t>
  </si>
  <si>
    <t xml:space="preserve">     before removal of State Tax portion</t>
  </si>
  <si>
    <t>Total Deferred Income Tax Expense Allocated to Washington</t>
  </si>
  <si>
    <t>ADIT State Balance</t>
  </si>
  <si>
    <t>Tax Rates</t>
  </si>
  <si>
    <t>Description</t>
  </si>
  <si>
    <t>PAGE ADJ_4.1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</si>
</sst>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
    <numFmt numFmtId="167" formatCode="0.0000%"/>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0"/>
      <color rgb="FFFF0000"/>
      <name val="Arial"/>
      <family val="2"/>
    </font>
    <font>
      <sz val="9"/>
      <name val="Arial"/>
      <family val="2"/>
    </font>
    <font>
      <sz val="10"/>
      <color rgb="FFFF0000"/>
      <name val="Arial"/>
      <family val="2"/>
    </font>
    <font>
      <sz val="10"/>
      <color theme="1"/>
      <name val="Arial"/>
      <family val="2"/>
    </font>
    <font>
      <b/>
      <sz val="11"/>
      <color theme="1"/>
      <name val="Calibri"/>
      <family val="2"/>
      <scheme val="minor"/>
    </font>
    <font>
      <sz val="10"/>
      <color rgb="FF000000"/>
      <name val="Arial"/>
      <family val="2"/>
    </font>
    <font>
      <sz val="12"/>
      <name val="Times New Roman"/>
      <family val="1"/>
    </font>
    <font>
      <u/>
      <sz val="10"/>
      <name val="Arial"/>
      <family val="2"/>
    </font>
    <font>
      <b/>
      <sz val="10"/>
      <color theme="1"/>
      <name val="Arial"/>
      <family val="2"/>
    </font>
    <font>
      <i/>
      <sz val="10"/>
      <color theme="1"/>
      <name val="Arial"/>
      <family val="2"/>
    </font>
    <font>
      <b/>
      <u/>
      <sz val="10"/>
      <color theme="1"/>
      <name val="Arial"/>
      <family val="2"/>
    </font>
    <font>
      <i/>
      <sz val="10"/>
      <name val="Arial"/>
      <family val="2"/>
    </font>
    <font>
      <i/>
      <u/>
      <sz val="10"/>
      <color theme="1"/>
      <name val="Arial"/>
      <family val="2"/>
    </font>
    <font>
      <b/>
      <u/>
      <sz val="10"/>
      <name val="Arial"/>
      <family val="2"/>
    </font>
    <font>
      <sz val="10"/>
      <color indexed="9"/>
      <name val="Arial"/>
      <family val="2"/>
    </font>
    <font>
      <b/>
      <i/>
      <sz val="10"/>
      <name val="Arial"/>
      <family val="2"/>
    </font>
    <font>
      <sz val="9"/>
      <color theme="1"/>
      <name val="Arial"/>
      <family val="2"/>
    </font>
    <font>
      <b/>
      <i/>
      <sz val="10"/>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8" tint="0.59999389629810485"/>
        <bgColor indexed="64"/>
      </patternFill>
    </fill>
    <fill>
      <patternFill patternType="solid">
        <fgColor theme="2"/>
        <bgColor indexed="64"/>
      </patternFill>
    </fill>
  </fills>
  <borders count="3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1">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9" fillId="0" borderId="0"/>
    <xf numFmtId="0" fontId="1" fillId="0" borderId="0"/>
    <xf numFmtId="0" fontId="12" fillId="0" borderId="0"/>
    <xf numFmtId="43" fontId="3" fillId="0" borderId="0" applyFont="0" applyFill="0" applyBorder="0" applyAlignment="0" applyProtection="0"/>
    <xf numFmtId="9" fontId="1" fillId="0" borderId="0" applyFont="0" applyFill="0" applyBorder="0" applyAlignment="0" applyProtection="0"/>
    <xf numFmtId="0" fontId="3" fillId="0" borderId="0"/>
    <xf numFmtId="0" fontId="12"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3" fillId="0" borderId="0"/>
    <xf numFmtId="41" fontId="1" fillId="0" borderId="0" applyFont="0" applyFill="0" applyBorder="0" applyAlignment="0" applyProtection="0"/>
  </cellStyleXfs>
  <cellXfs count="390">
    <xf numFmtId="0" fontId="0" fillId="0" borderId="0" xfId="0"/>
    <xf numFmtId="164" fontId="5" fillId="0" borderId="0" xfId="1" applyNumberFormat="1" applyFont="1" applyAlignment="1">
      <alignment horizontal="left"/>
    </xf>
    <xf numFmtId="164" fontId="3" fillId="0" borderId="0" xfId="1" applyNumberFormat="1" applyFont="1" applyFill="1" applyBorder="1"/>
    <xf numFmtId="164" fontId="5" fillId="0" borderId="0" xfId="1" applyNumberFormat="1" applyFont="1" applyFill="1" applyBorder="1"/>
    <xf numFmtId="164" fontId="5" fillId="0" borderId="0" xfId="1" applyNumberFormat="1" applyFont="1"/>
    <xf numFmtId="164" fontId="5" fillId="0" borderId="0" xfId="1" applyNumberFormat="1" applyFont="1" applyAlignment="1">
      <alignment vertical="center"/>
    </xf>
    <xf numFmtId="164" fontId="3" fillId="0" borderId="1" xfId="1" applyNumberFormat="1" applyFont="1" applyBorder="1" applyAlignment="1">
      <alignment vertical="center"/>
    </xf>
    <xf numFmtId="164" fontId="3" fillId="0" borderId="2" xfId="1" applyNumberFormat="1" applyFont="1" applyBorder="1" applyAlignment="1">
      <alignment vertical="center"/>
    </xf>
    <xf numFmtId="164" fontId="3" fillId="0" borderId="0" xfId="1" applyNumberFormat="1" applyFont="1" applyBorder="1" applyAlignment="1">
      <alignment vertical="center"/>
    </xf>
    <xf numFmtId="164" fontId="3" fillId="0" borderId="4" xfId="1" applyNumberFormat="1" applyFont="1" applyBorder="1" applyAlignment="1">
      <alignment vertical="center"/>
    </xf>
    <xf numFmtId="164" fontId="5" fillId="0" borderId="0" xfId="1" applyNumberFormat="1" applyFont="1" applyBorder="1" applyAlignment="1">
      <alignment vertical="center"/>
    </xf>
    <xf numFmtId="164" fontId="3" fillId="0" borderId="0" xfId="1" applyNumberFormat="1" applyFont="1" applyFill="1" applyBorder="1" applyProtection="1">
      <protection locked="0"/>
    </xf>
    <xf numFmtId="164" fontId="3" fillId="0" borderId="0" xfId="1" applyNumberFormat="1" applyFont="1" applyFill="1" applyBorder="1" applyAlignment="1">
      <alignment vertical="center"/>
    </xf>
    <xf numFmtId="164" fontId="5" fillId="0" borderId="0" xfId="1" applyNumberFormat="1" applyFont="1" applyFill="1" applyBorder="1" applyAlignment="1">
      <alignment vertical="center"/>
    </xf>
    <xf numFmtId="164" fontId="3" fillId="0" borderId="0" xfId="1" applyNumberFormat="1" applyFont="1" applyFill="1"/>
    <xf numFmtId="165" fontId="3" fillId="0" borderId="9" xfId="2" applyNumberFormat="1" applyFont="1" applyFill="1" applyBorder="1" applyAlignment="1">
      <alignment vertical="center"/>
    </xf>
    <xf numFmtId="165" fontId="3" fillId="0" borderId="10" xfId="2" applyNumberFormat="1" applyFont="1" applyFill="1" applyBorder="1" applyAlignment="1">
      <alignment vertical="center"/>
    </xf>
    <xf numFmtId="165" fontId="3" fillId="0" borderId="22" xfId="2" applyNumberFormat="1" applyFont="1" applyFill="1" applyBorder="1" applyAlignment="1">
      <alignment vertical="center"/>
    </xf>
    <xf numFmtId="0" fontId="3" fillId="0" borderId="0" xfId="0" applyFont="1"/>
    <xf numFmtId="0" fontId="3" fillId="0" borderId="0" xfId="0" applyFont="1" applyBorder="1"/>
    <xf numFmtId="165" fontId="3" fillId="0" borderId="0" xfId="2" applyNumberFormat="1" applyFont="1" applyBorder="1" applyAlignment="1">
      <alignment vertical="center"/>
    </xf>
    <xf numFmtId="164" fontId="5" fillId="0" borderId="0" xfId="1" quotePrefix="1" applyNumberFormat="1" applyFont="1" applyBorder="1" applyAlignment="1">
      <alignment horizontal="left" vertical="center"/>
    </xf>
    <xf numFmtId="10" fontId="3" fillId="0" borderId="0" xfId="2" applyNumberFormat="1" applyFont="1" applyBorder="1" applyAlignment="1">
      <alignment vertical="center"/>
    </xf>
    <xf numFmtId="0" fontId="5" fillId="0" borderId="0" xfId="0" applyFont="1"/>
    <xf numFmtId="0" fontId="5" fillId="0" borderId="2" xfId="0" applyFont="1" applyBorder="1"/>
    <xf numFmtId="164" fontId="3" fillId="0" borderId="9" xfId="1" applyNumberFormat="1" applyFont="1" applyFill="1" applyBorder="1" applyProtection="1">
      <protection locked="0"/>
    </xf>
    <xf numFmtId="164" fontId="3" fillId="0" borderId="9" xfId="1" quotePrefix="1" applyNumberFormat="1" applyFont="1" applyFill="1" applyBorder="1" applyAlignment="1" applyProtection="1">
      <alignment horizontal="left"/>
      <protection locked="0"/>
    </xf>
    <xf numFmtId="164" fontId="3" fillId="0" borderId="9" xfId="1" applyNumberFormat="1" applyFont="1" applyFill="1" applyBorder="1" applyAlignment="1" applyProtection="1">
      <alignment horizontal="left"/>
      <protection locked="0"/>
    </xf>
    <xf numFmtId="164" fontId="3" fillId="0" borderId="11" xfId="1" applyNumberFormat="1" applyFont="1" applyFill="1" applyBorder="1" applyProtection="1">
      <protection locked="0"/>
    </xf>
    <xf numFmtId="164" fontId="3" fillId="0" borderId="13" xfId="1" applyNumberFormat="1" applyFont="1" applyFill="1" applyBorder="1" applyAlignment="1" applyProtection="1">
      <alignment horizontal="left"/>
      <protection locked="0"/>
    </xf>
    <xf numFmtId="164" fontId="3" fillId="0" borderId="15" xfId="1" applyNumberFormat="1" applyFont="1" applyFill="1" applyBorder="1" applyAlignment="1"/>
    <xf numFmtId="164" fontId="3" fillId="0" borderId="11" xfId="1" quotePrefix="1" applyNumberFormat="1" applyFont="1" applyFill="1" applyBorder="1" applyAlignment="1" applyProtection="1">
      <alignment horizontal="left"/>
      <protection locked="0"/>
    </xf>
    <xf numFmtId="164" fontId="3" fillId="0" borderId="15" xfId="1" applyNumberFormat="1" applyFont="1" applyFill="1" applyBorder="1" applyAlignment="1">
      <alignment vertical="center"/>
    </xf>
    <xf numFmtId="164" fontId="3" fillId="0" borderId="9" xfId="0" applyNumberFormat="1" applyFont="1" applyFill="1" applyBorder="1"/>
    <xf numFmtId="164" fontId="3" fillId="0" borderId="9" xfId="1" applyNumberFormat="1" applyFont="1" applyFill="1" applyBorder="1"/>
    <xf numFmtId="165" fontId="3" fillId="0" borderId="0" xfId="2" applyNumberFormat="1" applyFont="1"/>
    <xf numFmtId="165" fontId="3" fillId="0" borderId="2" xfId="2" applyNumberFormat="1" applyFont="1" applyBorder="1"/>
    <xf numFmtId="0" fontId="5" fillId="0" borderId="0" xfId="0" applyFont="1" applyBorder="1" applyAlignment="1">
      <alignment horizontal="center" vertical="center" wrapText="1"/>
    </xf>
    <xf numFmtId="0" fontId="5" fillId="0" borderId="0" xfId="0" quotePrefix="1" applyFont="1" applyBorder="1" applyAlignment="1">
      <alignment horizontal="center"/>
    </xf>
    <xf numFmtId="0" fontId="5" fillId="0" borderId="0" xfId="0" applyFont="1" applyAlignment="1">
      <alignment horizontal="left"/>
    </xf>
    <xf numFmtId="0" fontId="5"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3" fillId="0" borderId="5" xfId="0" applyFont="1" applyBorder="1"/>
    <xf numFmtId="0" fontId="3" fillId="0" borderId="6" xfId="0" applyFont="1" applyBorder="1"/>
    <xf numFmtId="0" fontId="3" fillId="0" borderId="0" xfId="0" applyFont="1" applyBorder="1" applyAlignment="1">
      <alignment horizontal="centerContinuous"/>
    </xf>
    <xf numFmtId="0" fontId="3" fillId="0" borderId="0" xfId="0" quotePrefix="1" applyFont="1" applyBorder="1" applyAlignment="1">
      <alignment horizontal="centerContinuous"/>
    </xf>
    <xf numFmtId="0" fontId="3" fillId="0" borderId="0" xfId="0" applyFont="1" applyAlignment="1">
      <alignment horizontal="center"/>
    </xf>
    <xf numFmtId="0" fontId="3" fillId="0" borderId="2" xfId="0" applyFont="1" applyBorder="1"/>
    <xf numFmtId="165" fontId="3" fillId="0" borderId="0" xfId="2" quotePrefix="1" applyNumberFormat="1" applyFont="1"/>
    <xf numFmtId="10" fontId="3" fillId="0" borderId="0" xfId="2" applyNumberFormat="1" applyFont="1"/>
    <xf numFmtId="165" fontId="3" fillId="0" borderId="3" xfId="2" quotePrefix="1" applyNumberFormat="1" applyFont="1" applyBorder="1"/>
    <xf numFmtId="165" fontId="3" fillId="0" borderId="0" xfId="2" quotePrefix="1" applyNumberFormat="1" applyFont="1" applyBorder="1"/>
    <xf numFmtId="0" fontId="3" fillId="0" borderId="0" xfId="0" quotePrefix="1" applyFont="1" applyAlignment="1">
      <alignment horizontal="left"/>
    </xf>
    <xf numFmtId="164" fontId="3" fillId="0" borderId="10" xfId="1" quotePrefix="1" applyNumberFormat="1" applyFont="1" applyFill="1" applyBorder="1" applyAlignment="1" applyProtection="1">
      <alignment horizontal="center"/>
      <protection locked="0"/>
    </xf>
    <xf numFmtId="164" fontId="3" fillId="0" borderId="22" xfId="1" quotePrefix="1" applyNumberFormat="1" applyFont="1" applyFill="1" applyBorder="1" applyAlignment="1" applyProtection="1">
      <alignment horizontal="center"/>
      <protection locked="0"/>
    </xf>
    <xf numFmtId="164" fontId="3" fillId="0" borderId="9" xfId="1" quotePrefix="1" applyNumberFormat="1" applyFont="1" applyFill="1" applyBorder="1" applyAlignment="1" applyProtection="1">
      <alignment horizontal="center"/>
      <protection locked="0"/>
    </xf>
    <xf numFmtId="164" fontId="5" fillId="0" borderId="22" xfId="1" applyNumberFormat="1" applyFont="1" applyFill="1" applyBorder="1" applyAlignment="1" applyProtection="1">
      <alignment horizontal="center" vertical="center" wrapText="1"/>
      <protection locked="0"/>
    </xf>
    <xf numFmtId="164" fontId="3" fillId="0" borderId="10" xfId="1" applyNumberFormat="1" applyFont="1" applyFill="1" applyBorder="1" applyProtection="1">
      <protection locked="0"/>
    </xf>
    <xf numFmtId="164" fontId="3" fillId="0" borderId="22" xfId="1" applyNumberFormat="1" applyFont="1" applyFill="1" applyBorder="1" applyProtection="1">
      <protection locked="0"/>
    </xf>
    <xf numFmtId="164" fontId="3" fillId="0" borderId="10" xfId="1" quotePrefix="1" applyNumberFormat="1" applyFont="1" applyFill="1" applyBorder="1" applyAlignment="1" applyProtection="1">
      <alignment horizontal="left"/>
      <protection locked="0"/>
    </xf>
    <xf numFmtId="164" fontId="3" fillId="0" borderId="10" xfId="1" applyNumberFormat="1" applyFont="1" applyFill="1" applyBorder="1" applyAlignment="1" applyProtection="1">
      <alignment horizontal="left"/>
      <protection locked="0"/>
    </xf>
    <xf numFmtId="164" fontId="3" fillId="0" borderId="12" xfId="1" applyNumberFormat="1" applyFont="1" applyFill="1" applyBorder="1" applyProtection="1">
      <protection locked="0"/>
    </xf>
    <xf numFmtId="164" fontId="3" fillId="0" borderId="10" xfId="1" applyNumberFormat="1" applyFont="1" applyFill="1" applyBorder="1"/>
    <xf numFmtId="164" fontId="3" fillId="0" borderId="14" xfId="1" applyNumberFormat="1" applyFont="1" applyFill="1" applyBorder="1" applyAlignment="1" applyProtection="1">
      <alignment horizontal="left"/>
      <protection locked="0"/>
    </xf>
    <xf numFmtId="164" fontId="3" fillId="0" borderId="22" xfId="1" quotePrefix="1" applyNumberFormat="1" applyFont="1" applyFill="1" applyBorder="1" applyAlignment="1" applyProtection="1">
      <alignment horizontal="left"/>
      <protection locked="0"/>
    </xf>
    <xf numFmtId="164" fontId="3" fillId="0" borderId="16" xfId="1" applyNumberFormat="1" applyFont="1" applyFill="1" applyBorder="1" applyAlignment="1"/>
    <xf numFmtId="164" fontId="3" fillId="0" borderId="12" xfId="1" quotePrefix="1" applyNumberFormat="1" applyFont="1" applyFill="1" applyBorder="1" applyAlignment="1" applyProtection="1">
      <alignment horizontal="left"/>
      <protection locked="0"/>
    </xf>
    <xf numFmtId="164" fontId="3" fillId="0" borderId="14" xfId="1" quotePrefix="1" applyNumberFormat="1" applyFont="1" applyFill="1" applyBorder="1" applyAlignment="1" applyProtection="1">
      <alignment horizontal="left"/>
      <protection locked="0"/>
    </xf>
    <xf numFmtId="164" fontId="3" fillId="0" borderId="18" xfId="1" applyNumberFormat="1" applyFont="1" applyFill="1" applyBorder="1" applyProtection="1">
      <protection locked="0"/>
    </xf>
    <xf numFmtId="164" fontId="3" fillId="0" borderId="17" xfId="1" applyNumberFormat="1" applyFont="1" applyFill="1" applyBorder="1" applyProtection="1">
      <protection locked="0"/>
    </xf>
    <xf numFmtId="164" fontId="5" fillId="0" borderId="0" xfId="1" applyNumberFormat="1" applyFont="1" applyFill="1" applyAlignment="1">
      <alignment horizontal="left"/>
    </xf>
    <xf numFmtId="164" fontId="5" fillId="0" borderId="0" xfId="1" applyNumberFormat="1" applyFont="1" applyFill="1" applyBorder="1" applyAlignment="1">
      <alignment horizontal="left"/>
    </xf>
    <xf numFmtId="164" fontId="6" fillId="0" borderId="0" xfId="1" applyNumberFormat="1" applyFont="1" applyFill="1" applyBorder="1" applyAlignment="1">
      <alignment horizontal="left"/>
    </xf>
    <xf numFmtId="164" fontId="5" fillId="0" borderId="0" xfId="1" applyNumberFormat="1" applyFont="1" applyFill="1"/>
    <xf numFmtId="164" fontId="5" fillId="0" borderId="0" xfId="1" applyNumberFormat="1" applyFont="1" applyFill="1" applyAlignment="1">
      <alignment vertical="center"/>
    </xf>
    <xf numFmtId="164" fontId="3" fillId="0" borderId="22" xfId="1" applyNumberFormat="1" applyFont="1" applyFill="1" applyBorder="1" applyAlignment="1" applyProtection="1">
      <alignment horizontal="center"/>
      <protection locked="0"/>
    </xf>
    <xf numFmtId="164" fontId="3" fillId="0" borderId="23" xfId="1" applyNumberFormat="1" applyFont="1" applyFill="1" applyBorder="1" applyProtection="1">
      <protection locked="0"/>
    </xf>
    <xf numFmtId="164" fontId="3" fillId="0" borderId="25" xfId="1" applyNumberFormat="1" applyFont="1" applyFill="1" applyBorder="1" applyProtection="1">
      <protection locked="0"/>
    </xf>
    <xf numFmtId="164" fontId="3" fillId="0" borderId="24" xfId="1" applyNumberFormat="1" applyFont="1" applyFill="1" applyBorder="1" applyAlignment="1"/>
    <xf numFmtId="164" fontId="3" fillId="0" borderId="23" xfId="1" quotePrefix="1" applyNumberFormat="1" applyFont="1" applyFill="1" applyBorder="1" applyAlignment="1" applyProtection="1">
      <alignment horizontal="left"/>
      <protection locked="0"/>
    </xf>
    <xf numFmtId="164" fontId="3" fillId="0" borderId="24" xfId="1" applyNumberFormat="1" applyFont="1" applyFill="1" applyBorder="1" applyAlignment="1">
      <alignment vertical="center"/>
    </xf>
    <xf numFmtId="164" fontId="3" fillId="0" borderId="16" xfId="1" applyNumberFormat="1" applyFont="1" applyFill="1" applyBorder="1" applyAlignment="1">
      <alignment vertical="center"/>
    </xf>
    <xf numFmtId="164" fontId="3" fillId="0" borderId="22" xfId="0" applyNumberFormat="1" applyFont="1" applyFill="1" applyBorder="1"/>
    <xf numFmtId="164" fontId="3" fillId="0" borderId="10" xfId="0" applyNumberFormat="1" applyFont="1" applyFill="1" applyBorder="1"/>
    <xf numFmtId="164" fontId="3" fillId="0" borderId="25" xfId="1" applyNumberFormat="1" applyFont="1" applyFill="1" applyBorder="1" applyAlignment="1">
      <alignment vertical="center"/>
    </xf>
    <xf numFmtId="164" fontId="3" fillId="0" borderId="22" xfId="1" applyNumberFormat="1" applyFont="1" applyFill="1" applyBorder="1"/>
    <xf numFmtId="164" fontId="3" fillId="0" borderId="26" xfId="1" applyNumberFormat="1" applyFont="1" applyFill="1" applyBorder="1"/>
    <xf numFmtId="0" fontId="3" fillId="0" borderId="0" xfId="0" applyFont="1" applyFill="1" applyBorder="1"/>
    <xf numFmtId="164" fontId="5" fillId="0" borderId="0" xfId="1" quotePrefix="1" applyNumberFormat="1" applyFont="1" applyFill="1" applyBorder="1" applyAlignment="1">
      <alignment horizontal="left" vertical="center"/>
    </xf>
    <xf numFmtId="164" fontId="3" fillId="0" borderId="9" xfId="1" applyNumberFormat="1" applyFont="1" applyFill="1" applyBorder="1" applyAlignment="1">
      <alignment vertical="center"/>
    </xf>
    <xf numFmtId="164" fontId="3" fillId="0" borderId="10" xfId="1" applyNumberFormat="1" applyFont="1" applyFill="1" applyBorder="1" applyAlignment="1">
      <alignment vertical="center"/>
    </xf>
    <xf numFmtId="0" fontId="3" fillId="0" borderId="0" xfId="0" applyFont="1" applyFill="1" applyAlignment="1">
      <alignment horizontal="center"/>
    </xf>
    <xf numFmtId="165" fontId="3" fillId="0" borderId="5" xfId="2" applyNumberFormat="1" applyFont="1" applyFill="1" applyBorder="1"/>
    <xf numFmtId="165" fontId="3" fillId="0" borderId="0" xfId="2" applyNumberFormat="1" applyFont="1" applyFill="1" applyBorder="1"/>
    <xf numFmtId="165" fontId="3" fillId="0" borderId="6" xfId="2" applyNumberFormat="1" applyFont="1" applyFill="1" applyBorder="1"/>
    <xf numFmtId="165" fontId="3" fillId="0" borderId="2" xfId="2" applyNumberFormat="1" applyFont="1" applyFill="1" applyBorder="1"/>
    <xf numFmtId="165" fontId="3" fillId="0" borderId="0" xfId="2" applyNumberFormat="1" applyFont="1" applyFill="1"/>
    <xf numFmtId="164" fontId="3" fillId="0" borderId="2" xfId="1" applyNumberFormat="1" applyFont="1" applyFill="1" applyBorder="1" applyAlignment="1">
      <alignment vertical="center"/>
    </xf>
    <xf numFmtId="164" fontId="3" fillId="0" borderId="4" xfId="1" applyNumberFormat="1" applyFont="1" applyFill="1" applyBorder="1" applyAlignment="1">
      <alignment vertical="center"/>
    </xf>
    <xf numFmtId="0" fontId="5" fillId="0" borderId="0" xfId="0" applyFont="1" applyFill="1" applyBorder="1" applyAlignment="1">
      <alignment horizontal="center" vertical="center" wrapText="1"/>
    </xf>
    <xf numFmtId="165" fontId="5" fillId="0" borderId="0" xfId="2" applyNumberFormat="1" applyFont="1" applyFill="1" applyBorder="1" applyAlignment="1">
      <alignment vertical="center"/>
    </xf>
    <xf numFmtId="10" fontId="3" fillId="0" borderId="5" xfId="2" applyNumberFormat="1" applyFont="1" applyBorder="1"/>
    <xf numFmtId="10" fontId="3" fillId="0" borderId="6" xfId="2" applyNumberFormat="1" applyFont="1" applyBorder="1"/>
    <xf numFmtId="10" fontId="3" fillId="0" borderId="7" xfId="0" applyNumberFormat="1" applyFont="1" applyBorder="1"/>
    <xf numFmtId="164" fontId="5" fillId="0" borderId="27" xfId="1" applyNumberFormat="1" applyFont="1" applyFill="1" applyBorder="1" applyAlignment="1">
      <alignment horizontal="center"/>
    </xf>
    <xf numFmtId="164" fontId="5" fillId="0" borderId="19" xfId="1" applyNumberFormat="1" applyFont="1" applyFill="1" applyBorder="1" applyAlignment="1"/>
    <xf numFmtId="0" fontId="3" fillId="0" borderId="0" xfId="0" applyFont="1" applyFill="1"/>
    <xf numFmtId="164" fontId="5" fillId="0" borderId="9" xfId="1" applyNumberFormat="1" applyFont="1" applyFill="1" applyBorder="1" applyAlignment="1" applyProtection="1">
      <alignment horizontal="center" vertical="center" wrapText="1"/>
      <protection locked="0"/>
    </xf>
    <xf numFmtId="164" fontId="5" fillId="0" borderId="10" xfId="1" applyNumberFormat="1" applyFont="1" applyFill="1" applyBorder="1" applyAlignment="1" applyProtection="1">
      <alignment horizontal="center" vertical="center" wrapText="1"/>
      <protection locked="0"/>
    </xf>
    <xf numFmtId="164" fontId="3" fillId="0" borderId="0" xfId="1" quotePrefix="1" applyNumberFormat="1" applyFont="1" applyFill="1" applyBorder="1" applyAlignment="1" applyProtection="1">
      <alignment horizontal="center"/>
      <protection locked="0"/>
    </xf>
    <xf numFmtId="164" fontId="5" fillId="0" borderId="0" xfId="1" applyNumberFormat="1" applyFont="1" applyFill="1" applyBorder="1" applyAlignment="1" applyProtection="1">
      <alignment horizontal="center" vertical="center" wrapText="1"/>
      <protection locked="0"/>
    </xf>
    <xf numFmtId="164" fontId="3" fillId="0" borderId="0" xfId="1" applyNumberFormat="1" applyFont="1" applyFill="1" applyBorder="1" applyAlignment="1" applyProtection="1">
      <alignment horizontal="left"/>
      <protection locked="0"/>
    </xf>
    <xf numFmtId="164" fontId="3" fillId="0" borderId="0" xfId="1" quotePrefix="1" applyNumberFormat="1" applyFont="1" applyFill="1" applyBorder="1" applyAlignment="1" applyProtection="1">
      <alignment horizontal="left"/>
      <protection locked="0"/>
    </xf>
    <xf numFmtId="165" fontId="3" fillId="0" borderId="0" xfId="2" applyNumberFormat="1" applyFont="1" applyFill="1" applyBorder="1" applyAlignment="1">
      <alignment vertical="center"/>
    </xf>
    <xf numFmtId="164" fontId="3" fillId="0" borderId="0" xfId="0" applyNumberFormat="1" applyFont="1" applyFill="1" applyBorder="1"/>
    <xf numFmtId="164" fontId="5" fillId="0" borderId="20" xfId="1" applyNumberFormat="1" applyFont="1" applyFill="1" applyBorder="1" applyAlignment="1"/>
    <xf numFmtId="164" fontId="3" fillId="0" borderId="1" xfId="1" applyNumberFormat="1" applyFont="1" applyFill="1" applyBorder="1" applyProtection="1">
      <protection locked="0"/>
    </xf>
    <xf numFmtId="164" fontId="3" fillId="0" borderId="2" xfId="1" applyNumberFormat="1" applyFont="1" applyFill="1" applyBorder="1" applyAlignment="1" applyProtection="1">
      <alignment horizontal="left"/>
      <protection locked="0"/>
    </xf>
    <xf numFmtId="164" fontId="3" fillId="0" borderId="3" xfId="1" applyNumberFormat="1" applyFont="1" applyFill="1" applyBorder="1" applyAlignment="1"/>
    <xf numFmtId="164" fontId="3" fillId="0" borderId="1" xfId="1" quotePrefix="1" applyNumberFormat="1" applyFont="1" applyFill="1" applyBorder="1" applyAlignment="1" applyProtection="1">
      <alignment horizontal="left"/>
      <protection locked="0"/>
    </xf>
    <xf numFmtId="164" fontId="3" fillId="0" borderId="3" xfId="1" applyNumberFormat="1" applyFont="1" applyFill="1" applyBorder="1" applyAlignment="1">
      <alignment vertical="center"/>
    </xf>
    <xf numFmtId="164" fontId="3" fillId="0" borderId="2" xfId="1" quotePrefix="1" applyNumberFormat="1" applyFont="1" applyFill="1" applyBorder="1" applyAlignment="1" applyProtection="1">
      <alignment horizontal="left"/>
      <protection locked="0"/>
    </xf>
    <xf numFmtId="164" fontId="3" fillId="0" borderId="28" xfId="1" applyNumberFormat="1" applyFont="1" applyFill="1" applyBorder="1" applyProtection="1">
      <protection locked="0"/>
    </xf>
    <xf numFmtId="164" fontId="5" fillId="0" borderId="20" xfId="1" applyNumberFormat="1" applyFont="1" applyFill="1" applyBorder="1"/>
    <xf numFmtId="164" fontId="5" fillId="0" borderId="21" xfId="1" applyNumberFormat="1" applyFont="1" applyFill="1" applyBorder="1"/>
    <xf numFmtId="0" fontId="3" fillId="0" borderId="0" xfId="0" applyFont="1" applyBorder="1" applyAlignment="1">
      <alignment horizontal="right"/>
    </xf>
    <xf numFmtId="164" fontId="3" fillId="0" borderId="0" xfId="1" applyNumberFormat="1" applyFont="1" applyBorder="1"/>
    <xf numFmtId="0" fontId="5" fillId="0" borderId="0" xfId="0" applyFont="1" applyFill="1" applyAlignment="1">
      <alignment horizontal="left"/>
    </xf>
    <xf numFmtId="0" fontId="5" fillId="0" borderId="0" xfId="0" applyFont="1" applyFill="1" applyAlignment="1">
      <alignment horizontal="centerContinuous"/>
    </xf>
    <xf numFmtId="0" fontId="6" fillId="0" borderId="0" xfId="0" applyFont="1" applyFill="1" applyAlignment="1">
      <alignment horizontal="centerContinuous"/>
    </xf>
    <xf numFmtId="0" fontId="3" fillId="0" borderId="0" xfId="0" applyFont="1" applyFill="1" applyAlignment="1">
      <alignment horizontal="left"/>
    </xf>
    <xf numFmtId="0" fontId="8" fillId="0" borderId="0" xfId="0" applyFont="1" applyFill="1"/>
    <xf numFmtId="0" fontId="5" fillId="0" borderId="0" xfId="0" applyFont="1" applyFill="1" applyAlignment="1">
      <alignment horizontal="center"/>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5" fillId="0" borderId="0" xfId="0" applyFont="1" applyFill="1" applyAlignment="1">
      <alignment horizontal="right"/>
    </xf>
    <xf numFmtId="164" fontId="8" fillId="0" borderId="0" xfId="1" applyNumberFormat="1" applyFont="1" applyFill="1"/>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NumberFormat="1" applyFont="1" applyFill="1" applyAlignment="1">
      <alignment horizontal="center"/>
    </xf>
    <xf numFmtId="43" fontId="3" fillId="0" borderId="0" xfId="0" applyNumberFormat="1" applyFont="1" applyFill="1"/>
    <xf numFmtId="164" fontId="5" fillId="0" borderId="1" xfId="0" applyNumberFormat="1" applyFont="1" applyBorder="1"/>
    <xf numFmtId="164" fontId="5" fillId="0" borderId="1" xfId="0" applyNumberFormat="1" applyFont="1" applyFill="1" applyBorder="1"/>
    <xf numFmtId="164" fontId="5" fillId="0" borderId="0" xfId="0" applyNumberFormat="1" applyFont="1" applyFill="1" applyBorder="1"/>
    <xf numFmtId="0" fontId="5" fillId="0" borderId="0" xfId="0" applyFont="1" applyFill="1" applyBorder="1"/>
    <xf numFmtId="0" fontId="3" fillId="2" borderId="0" xfId="0" applyFont="1" applyFill="1"/>
    <xf numFmtId="0" fontId="8" fillId="2" borderId="0" xfId="0" applyFont="1" applyFill="1"/>
    <xf numFmtId="0" fontId="3" fillId="0" borderId="0" xfId="0" applyFont="1" applyFill="1" applyAlignment="1">
      <alignment horizontal="right"/>
    </xf>
    <xf numFmtId="164" fontId="3" fillId="0" borderId="0" xfId="0" applyNumberFormat="1" applyFont="1" applyFill="1"/>
    <xf numFmtId="0" fontId="7" fillId="0" borderId="0" xfId="0" applyFont="1" applyFill="1" applyAlignment="1">
      <alignment horizontal="left"/>
    </xf>
    <xf numFmtId="0" fontId="3" fillId="0" borderId="0" xfId="0" applyFont="1" applyFill="1" applyAlignment="1"/>
    <xf numFmtId="0" fontId="3" fillId="0" borderId="0" xfId="0" applyFont="1" applyFill="1" applyAlignment="1">
      <alignment horizontal="left" vertical="top"/>
    </xf>
    <xf numFmtId="164" fontId="9" fillId="0" borderId="9" xfId="1" quotePrefix="1" applyNumberFormat="1" applyFont="1" applyFill="1" applyBorder="1" applyAlignment="1" applyProtection="1">
      <alignment horizontal="left"/>
      <protection locked="0"/>
    </xf>
    <xf numFmtId="164" fontId="9" fillId="0" borderId="13" xfId="1" quotePrefix="1" applyNumberFormat="1" applyFont="1" applyFill="1" applyBorder="1" applyAlignment="1" applyProtection="1">
      <alignment horizontal="left"/>
      <protection locked="0"/>
    </xf>
    <xf numFmtId="164" fontId="9" fillId="0" borderId="9" xfId="1" applyNumberFormat="1" applyFont="1" applyFill="1" applyBorder="1" applyAlignment="1" applyProtection="1">
      <alignment horizontal="left"/>
      <protection locked="0"/>
    </xf>
    <xf numFmtId="0" fontId="5" fillId="0" borderId="0" xfId="0" applyFont="1" applyFill="1" applyBorder="1" applyAlignment="1">
      <alignment horizontal="center"/>
    </xf>
    <xf numFmtId="0" fontId="5" fillId="0" borderId="0" xfId="0" applyFont="1" applyFill="1" applyBorder="1" applyAlignment="1">
      <alignment horizontal="center" wrapText="1"/>
    </xf>
    <xf numFmtId="164" fontId="8" fillId="0" borderId="0" xfId="1" applyNumberFormat="1" applyFont="1" applyFill="1" applyBorder="1"/>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0" xfId="0" applyFont="1" applyFill="1"/>
    <xf numFmtId="164" fontId="9" fillId="0" borderId="10" xfId="0" applyNumberFormat="1" applyFont="1" applyFill="1" applyBorder="1"/>
    <xf numFmtId="0" fontId="3" fillId="0" borderId="0" xfId="0" applyFont="1" applyFill="1" applyAlignment="1">
      <alignment horizontal="left" vertical="top" wrapText="1"/>
    </xf>
    <xf numFmtId="0" fontId="9" fillId="0" borderId="0" xfId="7"/>
    <xf numFmtId="0" fontId="9" fillId="0" borderId="18" xfId="7" applyBorder="1" applyAlignment="1">
      <alignment horizontal="left" vertical="top" wrapText="1"/>
    </xf>
    <xf numFmtId="0" fontId="9" fillId="0" borderId="28" xfId="7" applyBorder="1" applyAlignment="1">
      <alignment horizontal="left" vertical="top" wrapText="1"/>
    </xf>
    <xf numFmtId="0" fontId="9" fillId="0" borderId="17" xfId="7" applyBorder="1"/>
    <xf numFmtId="0" fontId="9" fillId="0" borderId="10" xfId="7" applyBorder="1" applyAlignment="1">
      <alignment horizontal="left" vertical="top" wrapText="1"/>
    </xf>
    <xf numFmtId="0" fontId="9" fillId="0" borderId="0" xfId="7" applyAlignment="1">
      <alignment horizontal="left" vertical="top" wrapText="1"/>
    </xf>
    <xf numFmtId="0" fontId="9" fillId="0" borderId="9" xfId="7" applyBorder="1"/>
    <xf numFmtId="0" fontId="11" fillId="0" borderId="0" xfId="8" applyFont="1"/>
    <xf numFmtId="0" fontId="9" fillId="0" borderId="29" xfId="7" applyBorder="1" applyAlignment="1">
      <alignment horizontal="left" vertical="top" wrapText="1"/>
    </xf>
    <xf numFmtId="0" fontId="9" fillId="0" borderId="30" xfId="7" applyBorder="1" applyAlignment="1">
      <alignment horizontal="left" vertical="top" wrapText="1"/>
    </xf>
    <xf numFmtId="0" fontId="9" fillId="0" borderId="31" xfId="7" applyBorder="1"/>
    <xf numFmtId="0" fontId="5" fillId="0" borderId="0" xfId="9" applyFont="1"/>
    <xf numFmtId="0" fontId="3" fillId="0" borderId="0" xfId="9" applyFont="1" applyAlignment="1">
      <alignment horizontal="center"/>
    </xf>
    <xf numFmtId="41" fontId="3" fillId="0" borderId="0" xfId="10" applyNumberFormat="1" applyFont="1" applyFill="1" applyBorder="1" applyAlignment="1">
      <alignment horizontal="center"/>
    </xf>
    <xf numFmtId="165" fontId="3" fillId="0" borderId="0" xfId="11" applyNumberFormat="1" applyFont="1" applyFill="1" applyBorder="1" applyAlignment="1">
      <alignment horizontal="left"/>
    </xf>
    <xf numFmtId="0" fontId="3" fillId="0" borderId="0" xfId="12" applyAlignment="1">
      <alignment horizontal="center"/>
    </xf>
    <xf numFmtId="0" fontId="3" fillId="0" borderId="0" xfId="13" applyFont="1" applyAlignment="1">
      <alignment horizontal="center"/>
    </xf>
    <xf numFmtId="165" fontId="3" fillId="0" borderId="0" xfId="11" applyNumberFormat="1" applyFont="1" applyFill="1" applyBorder="1" applyAlignment="1">
      <alignment horizontal="center"/>
    </xf>
    <xf numFmtId="41" fontId="3" fillId="0" borderId="0" xfId="7" applyNumberFormat="1" applyFont="1"/>
    <xf numFmtId="0" fontId="3" fillId="0" borderId="0" xfId="8" applyFont="1"/>
    <xf numFmtId="41" fontId="9" fillId="0" borderId="0" xfId="7" applyNumberFormat="1"/>
    <xf numFmtId="0" fontId="3" fillId="0" borderId="0" xfId="9" applyFont="1" applyAlignment="1">
      <alignment horizontal="left"/>
    </xf>
    <xf numFmtId="164" fontId="3" fillId="0" borderId="0" xfId="14" applyNumberFormat="1" applyFont="1" applyFill="1" applyBorder="1" applyAlignment="1">
      <alignment horizontal="center"/>
    </xf>
    <xf numFmtId="0" fontId="3" fillId="0" borderId="0" xfId="9" applyFont="1"/>
    <xf numFmtId="0" fontId="5" fillId="0" borderId="0" xfId="9" applyFont="1" applyAlignment="1">
      <alignment horizontal="left"/>
    </xf>
    <xf numFmtId="164" fontId="3" fillId="0" borderId="0" xfId="14" applyNumberFormat="1" applyFont="1" applyBorder="1" applyAlignment="1">
      <alignment horizontal="center"/>
    </xf>
    <xf numFmtId="0" fontId="13" fillId="0" borderId="0" xfId="9" applyFont="1" applyAlignment="1">
      <alignment horizontal="center"/>
    </xf>
    <xf numFmtId="0" fontId="14" fillId="0" borderId="0" xfId="7" applyFont="1"/>
    <xf numFmtId="166" fontId="9" fillId="0" borderId="0" xfId="7" applyNumberFormat="1" applyAlignment="1">
      <alignment horizontal="right"/>
    </xf>
    <xf numFmtId="0" fontId="9" fillId="0" borderId="0" xfId="7" applyAlignment="1">
      <alignment horizontal="right"/>
    </xf>
    <xf numFmtId="0" fontId="9" fillId="0" borderId="0" xfId="8" applyFont="1"/>
    <xf numFmtId="2" fontId="14" fillId="0" borderId="0" xfId="8" applyNumberFormat="1" applyFont="1"/>
    <xf numFmtId="164" fontId="14" fillId="0" borderId="18" xfId="8" applyNumberFormat="1" applyFont="1" applyBorder="1"/>
    <xf numFmtId="164" fontId="9" fillId="0" borderId="28" xfId="15" applyNumberFormat="1" applyFont="1" applyFill="1" applyBorder="1"/>
    <xf numFmtId="164" fontId="9" fillId="0" borderId="28" xfId="8" applyNumberFormat="1" applyFont="1" applyBorder="1"/>
    <xf numFmtId="0" fontId="9" fillId="0" borderId="17" xfId="8" applyFont="1" applyBorder="1" applyAlignment="1">
      <alignment horizontal="left"/>
    </xf>
    <xf numFmtId="164" fontId="14" fillId="0" borderId="10" xfId="8" applyNumberFormat="1" applyFont="1" applyBorder="1"/>
    <xf numFmtId="164" fontId="9" fillId="0" borderId="0" xfId="8" applyNumberFormat="1" applyFont="1"/>
    <xf numFmtId="0" fontId="9" fillId="0" borderId="9" xfId="8" applyFont="1" applyBorder="1"/>
    <xf numFmtId="164" fontId="9" fillId="0" borderId="0" xfId="15" applyNumberFormat="1" applyFont="1" applyBorder="1"/>
    <xf numFmtId="0" fontId="9" fillId="0" borderId="9" xfId="8" applyFont="1" applyBorder="1" applyAlignment="1">
      <alignment horizontal="left"/>
    </xf>
    <xf numFmtId="0" fontId="14" fillId="0" borderId="14" xfId="8" applyFont="1" applyBorder="1" applyAlignment="1">
      <alignment horizontal="center"/>
    </xf>
    <xf numFmtId="0" fontId="14" fillId="0" borderId="2" xfId="8" applyFont="1" applyBorder="1" applyAlignment="1">
      <alignment horizontal="center" wrapText="1"/>
    </xf>
    <xf numFmtId="49" fontId="14" fillId="0" borderId="2" xfId="8" applyNumberFormat="1" applyFont="1" applyBorder="1" applyAlignment="1">
      <alignment horizontal="center" wrapText="1"/>
    </xf>
    <xf numFmtId="0" fontId="9" fillId="0" borderId="13" xfId="8" applyFont="1" applyBorder="1"/>
    <xf numFmtId="0" fontId="14" fillId="0" borderId="29" xfId="8" applyFont="1" applyBorder="1" applyAlignment="1">
      <alignment horizontal="center"/>
    </xf>
    <xf numFmtId="0" fontId="14" fillId="0" borderId="30" xfId="8" applyFont="1" applyBorder="1" applyAlignment="1">
      <alignment horizontal="center" wrapText="1"/>
    </xf>
    <xf numFmtId="49" fontId="14" fillId="0" borderId="30" xfId="8" applyNumberFormat="1" applyFont="1" applyBorder="1" applyAlignment="1">
      <alignment horizontal="center" wrapText="1"/>
    </xf>
    <xf numFmtId="0" fontId="9" fillId="0" borderId="31" xfId="8" applyFont="1" applyBorder="1"/>
    <xf numFmtId="0" fontId="14" fillId="0" borderId="0" xfId="8" applyFont="1" applyAlignment="1">
      <alignment horizontal="right"/>
    </xf>
    <xf numFmtId="0" fontId="15" fillId="0" borderId="0" xfId="8" applyFont="1"/>
    <xf numFmtId="0" fontId="9" fillId="0" borderId="17" xfId="8" applyFont="1" applyBorder="1"/>
    <xf numFmtId="0" fontId="14" fillId="0" borderId="0" xfId="8" applyFont="1"/>
    <xf numFmtId="0" fontId="9" fillId="0" borderId="29" xfId="8" applyFont="1" applyBorder="1"/>
    <xf numFmtId="0" fontId="9" fillId="0" borderId="0" xfId="8" applyFont="1" applyAlignment="1">
      <alignment horizontal="right"/>
    </xf>
    <xf numFmtId="0" fontId="16" fillId="0" borderId="0" xfId="8" applyFont="1"/>
    <xf numFmtId="164" fontId="14" fillId="0" borderId="0" xfId="8" applyNumberFormat="1" applyFont="1"/>
    <xf numFmtId="164" fontId="9" fillId="0" borderId="0" xfId="15" applyNumberFormat="1" applyFont="1" applyFill="1" applyBorder="1"/>
    <xf numFmtId="0" fontId="9" fillId="0" borderId="0" xfId="8" applyFont="1" applyAlignment="1">
      <alignment horizontal="left"/>
    </xf>
    <xf numFmtId="0" fontId="17" fillId="0" borderId="0" xfId="13" applyFont="1" applyAlignment="1">
      <alignment horizontal="center"/>
    </xf>
    <xf numFmtId="165" fontId="15" fillId="0" borderId="0" xfId="11" applyNumberFormat="1" applyFont="1"/>
    <xf numFmtId="17" fontId="5" fillId="0" borderId="0" xfId="8" applyNumberFormat="1" applyFont="1" applyAlignment="1">
      <alignment horizontal="center"/>
    </xf>
    <xf numFmtId="165" fontId="15" fillId="0" borderId="0" xfId="11" applyNumberFormat="1" applyFont="1" applyFill="1"/>
    <xf numFmtId="0" fontId="14" fillId="0" borderId="0" xfId="8" applyFont="1" applyAlignment="1">
      <alignment horizontal="center"/>
    </xf>
    <xf numFmtId="0" fontId="14" fillId="0" borderId="0" xfId="8" applyFont="1" applyAlignment="1">
      <alignment horizontal="center" wrapText="1"/>
    </xf>
    <xf numFmtId="49" fontId="14" fillId="0" borderId="0" xfId="8" applyNumberFormat="1" applyFont="1" applyAlignment="1">
      <alignment horizontal="center" wrapText="1"/>
    </xf>
    <xf numFmtId="0" fontId="18" fillId="0" borderId="0" xfId="8" applyFont="1" applyAlignment="1">
      <alignment horizontal="center"/>
    </xf>
    <xf numFmtId="0" fontId="5" fillId="0" borderId="0" xfId="8" applyFont="1"/>
    <xf numFmtId="0" fontId="9" fillId="0" borderId="0" xfId="8" applyFont="1" applyAlignment="1">
      <alignment horizontal="center"/>
    </xf>
    <xf numFmtId="17" fontId="5" fillId="0" borderId="2" xfId="8" applyNumberFormat="1" applyFont="1" applyBorder="1" applyAlignment="1">
      <alignment horizontal="center"/>
    </xf>
    <xf numFmtId="0" fontId="19" fillId="0" borderId="0" xfId="8" applyFont="1"/>
    <xf numFmtId="164" fontId="9" fillId="0" borderId="0" xfId="15" applyNumberFormat="1" applyFont="1"/>
    <xf numFmtId="164" fontId="9" fillId="0" borderId="0" xfId="15" applyNumberFormat="1" applyFont="1" applyAlignment="1">
      <alignment horizontal="center"/>
    </xf>
    <xf numFmtId="165" fontId="18" fillId="0" borderId="0" xfId="11" applyNumberFormat="1" applyFont="1" applyFill="1" applyAlignment="1">
      <alignment horizontal="center"/>
    </xf>
    <xf numFmtId="0" fontId="5" fillId="0" borderId="0" xfId="13" applyFont="1" applyAlignment="1">
      <alignment horizontal="center"/>
    </xf>
    <xf numFmtId="10" fontId="15" fillId="0" borderId="0" xfId="11" applyNumberFormat="1" applyFont="1" applyAlignment="1">
      <alignment horizontal="center"/>
    </xf>
    <xf numFmtId="164" fontId="14" fillId="0" borderId="0" xfId="8" applyNumberFormat="1" applyFont="1" applyAlignment="1">
      <alignment horizontal="center"/>
    </xf>
    <xf numFmtId="0" fontId="14" fillId="0" borderId="0" xfId="8" applyFont="1" applyAlignment="1">
      <alignment horizontal="center" wrapText="1"/>
    </xf>
    <xf numFmtId="49" fontId="14" fillId="0" borderId="0" xfId="8" applyNumberFormat="1" applyFont="1" applyAlignment="1">
      <alignment horizontal="center" wrapText="1"/>
    </xf>
    <xf numFmtId="0" fontId="1" fillId="0" borderId="0" xfId="8"/>
    <xf numFmtId="164" fontId="14" fillId="0" borderId="0" xfId="15" applyNumberFormat="1" applyFont="1" applyAlignment="1">
      <alignment horizontal="center"/>
    </xf>
    <xf numFmtId="14" fontId="9" fillId="0" borderId="0" xfId="8" applyNumberFormat="1" applyFont="1"/>
    <xf numFmtId="164" fontId="5" fillId="0" borderId="0" xfId="15" applyNumberFormat="1" applyFont="1" applyAlignment="1">
      <alignment horizontal="center"/>
    </xf>
    <xf numFmtId="164" fontId="9" fillId="0" borderId="4" xfId="15" applyNumberFormat="1" applyFont="1" applyFill="1" applyBorder="1"/>
    <xf numFmtId="164" fontId="9" fillId="0" borderId="4" xfId="15" applyNumberFormat="1" applyFont="1" applyBorder="1"/>
    <xf numFmtId="164" fontId="9" fillId="3" borderId="0" xfId="15" applyNumberFormat="1" applyFont="1" applyFill="1"/>
    <xf numFmtId="0" fontId="14" fillId="0" borderId="0" xfId="8" applyFont="1" applyAlignment="1">
      <alignment horizontal="center" vertical="center" wrapText="1"/>
    </xf>
    <xf numFmtId="0" fontId="14" fillId="0" borderId="0" xfId="8" applyFont="1" applyAlignment="1">
      <alignment horizontal="left" vertical="top"/>
    </xf>
    <xf numFmtId="0" fontId="14" fillId="0" borderId="2" xfId="8" applyFont="1" applyBorder="1" applyAlignment="1">
      <alignment horizontal="center" vertical="center" wrapText="1"/>
    </xf>
    <xf numFmtId="0" fontId="14" fillId="0" borderId="2" xfId="8" applyFont="1" applyBorder="1" applyAlignment="1">
      <alignment horizontal="center"/>
    </xf>
    <xf numFmtId="164" fontId="14" fillId="0" borderId="0" xfId="15" applyNumberFormat="1" applyFont="1" applyAlignment="1">
      <alignment horizontal="right"/>
    </xf>
    <xf numFmtId="17" fontId="9" fillId="0" borderId="0" xfId="8" applyNumberFormat="1" applyFont="1"/>
    <xf numFmtId="0" fontId="10" fillId="0" borderId="0" xfId="8" applyFont="1"/>
    <xf numFmtId="164" fontId="9" fillId="0" borderId="0" xfId="15" applyNumberFormat="1" applyFont="1" applyFill="1"/>
    <xf numFmtId="0" fontId="9" fillId="0" borderId="0" xfId="7" applyAlignment="1">
      <alignment horizontal="center"/>
    </xf>
    <xf numFmtId="164" fontId="3" fillId="0" borderId="0" xfId="15" applyNumberFormat="1" applyFont="1" applyFill="1" applyBorder="1" applyAlignment="1">
      <alignment horizontal="center"/>
    </xf>
    <xf numFmtId="165" fontId="3" fillId="0" borderId="0" xfId="11" applyNumberFormat="1" applyFont="1" applyFill="1" applyBorder="1" applyAlignment="1"/>
    <xf numFmtId="164" fontId="3" fillId="0" borderId="2" xfId="15" applyNumberFormat="1" applyFont="1" applyFill="1" applyBorder="1" applyAlignment="1">
      <alignment horizontal="center"/>
    </xf>
    <xf numFmtId="41" fontId="3" fillId="0" borderId="2" xfId="10" applyNumberFormat="1" applyFont="1" applyFill="1" applyBorder="1" applyAlignment="1">
      <alignment horizontal="center"/>
    </xf>
    <xf numFmtId="41" fontId="8" fillId="0" borderId="0" xfId="7" applyNumberFormat="1" applyFont="1"/>
    <xf numFmtId="0" fontId="8" fillId="0" borderId="0" xfId="7" applyFont="1"/>
    <xf numFmtId="164" fontId="9" fillId="0" borderId="0" xfId="7" applyNumberFormat="1"/>
    <xf numFmtId="164" fontId="9" fillId="0" borderId="2" xfId="15" applyNumberFormat="1" applyFont="1" applyBorder="1"/>
    <xf numFmtId="164" fontId="9" fillId="0" borderId="2" xfId="8" applyNumberFormat="1" applyFont="1" applyBorder="1"/>
    <xf numFmtId="165" fontId="9" fillId="0" borderId="0" xfId="11" applyNumberFormat="1" applyFont="1"/>
    <xf numFmtId="164" fontId="9" fillId="0" borderId="0" xfId="16" applyNumberFormat="1" applyFont="1"/>
    <xf numFmtId="49" fontId="14" fillId="0" borderId="2" xfId="8" applyNumberFormat="1" applyFont="1" applyBorder="1" applyAlignment="1">
      <alignment horizontal="center"/>
    </xf>
    <xf numFmtId="165" fontId="9" fillId="0" borderId="0" xfId="17" applyNumberFormat="1" applyFont="1" applyFill="1"/>
    <xf numFmtId="0" fontId="14" fillId="0" borderId="30" xfId="8" applyFont="1" applyBorder="1" applyAlignment="1">
      <alignment horizontal="center"/>
    </xf>
    <xf numFmtId="165" fontId="9" fillId="0" borderId="0" xfId="17" applyNumberFormat="1" applyFont="1"/>
    <xf numFmtId="165" fontId="15" fillId="0" borderId="0" xfId="18" applyNumberFormat="1" applyFont="1"/>
    <xf numFmtId="0" fontId="9" fillId="0" borderId="0" xfId="12" applyFont="1"/>
    <xf numFmtId="164" fontId="14" fillId="0" borderId="0" xfId="8" applyNumberFormat="1" applyFont="1" applyAlignment="1">
      <alignment horizontal="right"/>
    </xf>
    <xf numFmtId="164" fontId="9" fillId="0" borderId="0" xfId="16" applyNumberFormat="1" applyFont="1" applyBorder="1"/>
    <xf numFmtId="0" fontId="9" fillId="0" borderId="0" xfId="12" applyFont="1" applyAlignment="1">
      <alignment horizontal="center"/>
    </xf>
    <xf numFmtId="164" fontId="5" fillId="0" borderId="2" xfId="15" applyNumberFormat="1" applyFont="1" applyBorder="1" applyAlignment="1">
      <alignment horizontal="center"/>
    </xf>
    <xf numFmtId="164" fontId="5" fillId="0" borderId="32" xfId="15" applyNumberFormat="1" applyFont="1" applyBorder="1" applyAlignment="1">
      <alignment horizontal="center"/>
    </xf>
    <xf numFmtId="0" fontId="9" fillId="4" borderId="0" xfId="8" applyFont="1" applyFill="1"/>
    <xf numFmtId="0" fontId="14" fillId="4" borderId="0" xfId="8" applyFont="1" applyFill="1"/>
    <xf numFmtId="10" fontId="15" fillId="0" borderId="0" xfId="18" applyNumberFormat="1" applyFont="1" applyAlignment="1">
      <alignment horizontal="center"/>
    </xf>
    <xf numFmtId="164" fontId="3" fillId="0" borderId="2" xfId="15" applyNumberFormat="1" applyFont="1" applyBorder="1" applyAlignment="1">
      <alignment horizontal="center"/>
    </xf>
    <xf numFmtId="164" fontId="3" fillId="0" borderId="32" xfId="15" applyNumberFormat="1" applyFont="1" applyBorder="1" applyAlignment="1">
      <alignment horizontal="center"/>
    </xf>
    <xf numFmtId="0" fontId="3" fillId="0" borderId="0" xfId="19"/>
    <xf numFmtId="0" fontId="3" fillId="0" borderId="0" xfId="19" applyAlignment="1">
      <alignment horizontal="center"/>
    </xf>
    <xf numFmtId="0" fontId="3" fillId="0" borderId="18" xfId="19" applyBorder="1" applyAlignment="1">
      <alignment horizontal="left" vertical="top" wrapText="1"/>
    </xf>
    <xf numFmtId="0" fontId="3" fillId="0" borderId="28" xfId="19" applyBorder="1" applyAlignment="1">
      <alignment horizontal="left" vertical="top" wrapText="1"/>
    </xf>
    <xf numFmtId="0" fontId="3" fillId="0" borderId="17" xfId="19" applyBorder="1" applyAlignment="1">
      <alignment vertical="top"/>
    </xf>
    <xf numFmtId="0" fontId="3" fillId="0" borderId="10" xfId="19" applyBorder="1" applyAlignment="1">
      <alignment horizontal="left" vertical="top" wrapText="1"/>
    </xf>
    <xf numFmtId="0" fontId="3" fillId="0" borderId="0" xfId="19" applyAlignment="1">
      <alignment horizontal="left" vertical="top" wrapText="1"/>
    </xf>
    <xf numFmtId="0" fontId="3" fillId="0" borderId="9" xfId="19" applyBorder="1" applyAlignment="1">
      <alignment vertical="top"/>
    </xf>
    <xf numFmtId="0" fontId="3" fillId="0" borderId="29" xfId="19" applyBorder="1" applyAlignment="1">
      <alignment horizontal="left" vertical="top" wrapText="1"/>
    </xf>
    <xf numFmtId="0" fontId="3" fillId="0" borderId="30" xfId="19" applyBorder="1" applyAlignment="1">
      <alignment horizontal="left" vertical="top" wrapText="1"/>
    </xf>
    <xf numFmtId="0" fontId="3" fillId="0" borderId="31" xfId="19" applyBorder="1" applyAlignment="1">
      <alignment vertical="top"/>
    </xf>
    <xf numFmtId="0" fontId="3" fillId="0" borderId="0" xfId="1" applyNumberFormat="1" applyFont="1" applyBorder="1" applyAlignment="1" applyProtection="1">
      <alignment horizontal="center"/>
    </xf>
    <xf numFmtId="0" fontId="5" fillId="0" borderId="0" xfId="19" applyFont="1"/>
    <xf numFmtId="164" fontId="3" fillId="0" borderId="0" xfId="1" applyNumberFormat="1" applyFont="1" applyProtection="1"/>
    <xf numFmtId="164" fontId="3" fillId="0" borderId="0" xfId="19" applyNumberFormat="1"/>
    <xf numFmtId="164" fontId="3" fillId="0" borderId="0" xfId="1" applyNumberFormat="1" applyFont="1" applyBorder="1" applyProtection="1"/>
    <xf numFmtId="0" fontId="3" fillId="0" borderId="0" xfId="19" quotePrefix="1" applyAlignment="1">
      <alignment horizontal="left"/>
    </xf>
    <xf numFmtId="167" fontId="3" fillId="0" borderId="0" xfId="2" applyNumberFormat="1" applyFont="1" applyBorder="1" applyAlignment="1" applyProtection="1">
      <alignment horizontal="center"/>
    </xf>
    <xf numFmtId="0" fontId="3" fillId="0" borderId="0" xfId="19" quotePrefix="1" applyAlignment="1">
      <alignment horizontal="center"/>
    </xf>
    <xf numFmtId="165" fontId="3" fillId="0" borderId="0" xfId="2" applyNumberFormat="1" applyFont="1" applyBorder="1" applyProtection="1"/>
    <xf numFmtId="166" fontId="3" fillId="0" borderId="0" xfId="19" applyNumberFormat="1" applyAlignment="1">
      <alignment horizontal="center"/>
    </xf>
    <xf numFmtId="164" fontId="3" fillId="0" borderId="4" xfId="19" applyNumberFormat="1" applyBorder="1"/>
    <xf numFmtId="2" fontId="3" fillId="0" borderId="0" xfId="19" applyNumberFormat="1" applyAlignment="1">
      <alignment horizontal="center"/>
    </xf>
    <xf numFmtId="0" fontId="3" fillId="0" borderId="0" xfId="19" applyAlignment="1">
      <alignment horizontal="left"/>
    </xf>
    <xf numFmtId="165" fontId="3" fillId="0" borderId="2" xfId="2" applyNumberFormat="1" applyFont="1" applyBorder="1" applyProtection="1"/>
    <xf numFmtId="2" fontId="3" fillId="0" borderId="0" xfId="19" quotePrefix="1" applyNumberFormat="1" applyAlignment="1">
      <alignment horizontal="center"/>
    </xf>
    <xf numFmtId="0" fontId="20" fillId="0" borderId="0" xfId="19" applyFont="1"/>
    <xf numFmtId="164" fontId="3" fillId="0" borderId="0" xfId="1" applyNumberFormat="1" applyFont="1" applyFill="1" applyProtection="1"/>
    <xf numFmtId="164" fontId="3" fillId="0" borderId="0" xfId="1" applyNumberFormat="1" applyFont="1" applyFill="1" applyBorder="1" applyAlignment="1" applyProtection="1">
      <alignment vertical="center"/>
    </xf>
    <xf numFmtId="164" fontId="3" fillId="0" borderId="0" xfId="19" applyNumberFormat="1" applyAlignment="1">
      <alignment vertical="center"/>
    </xf>
    <xf numFmtId="0" fontId="21" fillId="0" borderId="0" xfId="19" applyFont="1"/>
    <xf numFmtId="167" fontId="3" fillId="0" borderId="0" xfId="2" applyNumberFormat="1" applyFont="1" applyFill="1" applyAlignment="1" applyProtection="1">
      <alignment horizontal="center"/>
    </xf>
    <xf numFmtId="0" fontId="20" fillId="0" borderId="0" xfId="19" applyFont="1" applyAlignment="1">
      <alignment horizontal="center"/>
    </xf>
    <xf numFmtId="164" fontId="20" fillId="0" borderId="0" xfId="19" applyNumberFormat="1" applyFont="1"/>
    <xf numFmtId="167" fontId="20" fillId="0" borderId="0" xfId="2" applyNumberFormat="1" applyFont="1" applyFill="1" applyAlignment="1" applyProtection="1">
      <alignment horizontal="center"/>
    </xf>
    <xf numFmtId="0" fontId="20" fillId="0" borderId="0" xfId="13" applyFont="1" applyAlignment="1">
      <alignment horizontal="center"/>
    </xf>
    <xf numFmtId="164" fontId="20" fillId="0" borderId="0" xfId="1" applyNumberFormat="1" applyFont="1" applyFill="1" applyProtection="1"/>
    <xf numFmtId="0" fontId="20" fillId="0" borderId="0" xfId="19" quotePrefix="1" applyFont="1" applyAlignment="1">
      <alignment horizontal="left"/>
    </xf>
    <xf numFmtId="0" fontId="13" fillId="0" borderId="0" xfId="19" applyFont="1" applyAlignment="1">
      <alignment horizontal="center"/>
    </xf>
    <xf numFmtId="0" fontId="3" fillId="0" borderId="0" xfId="19" applyAlignment="1">
      <alignment horizontal="right"/>
    </xf>
    <xf numFmtId="0" fontId="5" fillId="0" borderId="0" xfId="19" quotePrefix="1" applyFont="1" applyAlignment="1">
      <alignment horizontal="left"/>
    </xf>
    <xf numFmtId="164" fontId="5" fillId="0" borderId="0" xfId="1" applyNumberFormat="1" applyFont="1" applyBorder="1"/>
    <xf numFmtId="0" fontId="5" fillId="0" borderId="0" xfId="0" applyFont="1" applyAlignment="1" applyProtection="1">
      <alignment horizontal="left"/>
      <protection locked="0"/>
    </xf>
    <xf numFmtId="10" fontId="5" fillId="0" borderId="0" xfId="2" applyNumberFormat="1" applyFont="1" applyBorder="1"/>
    <xf numFmtId="164" fontId="14" fillId="0" borderId="0" xfId="1" applyNumberFormat="1" applyFont="1" applyFill="1" applyBorder="1"/>
    <xf numFmtId="0" fontId="5" fillId="0" borderId="2" xfId="0" applyFont="1" applyBorder="1" applyAlignment="1">
      <alignment horizontal="left"/>
    </xf>
    <xf numFmtId="0" fontId="9" fillId="0" borderId="0" xfId="0" applyFont="1"/>
    <xf numFmtId="0" fontId="22" fillId="0" borderId="0" xfId="19" applyFont="1"/>
    <xf numFmtId="0" fontId="3" fillId="0" borderId="18" xfId="8" applyFont="1" applyBorder="1" applyAlignment="1">
      <alignment horizontal="left" vertical="top" wrapText="1"/>
    </xf>
    <xf numFmtId="0" fontId="3" fillId="0" borderId="28" xfId="8" applyFont="1" applyBorder="1" applyAlignment="1">
      <alignment horizontal="left" vertical="top" wrapText="1"/>
    </xf>
    <xf numFmtId="0" fontId="3" fillId="0" borderId="17" xfId="8" applyFont="1" applyBorder="1" applyAlignment="1">
      <alignment vertical="top" wrapText="1"/>
    </xf>
    <xf numFmtId="0" fontId="3" fillId="0" borderId="10" xfId="8" applyFont="1" applyBorder="1" applyAlignment="1">
      <alignment horizontal="left" vertical="top" wrapText="1"/>
    </xf>
    <xf numFmtId="0" fontId="3" fillId="0" borderId="0" xfId="8" applyFont="1" applyAlignment="1">
      <alignment horizontal="left" vertical="top" wrapText="1"/>
    </xf>
    <xf numFmtId="0" fontId="3" fillId="0" borderId="9" xfId="8" applyFont="1" applyBorder="1" applyAlignment="1">
      <alignment vertical="top" wrapText="1"/>
    </xf>
    <xf numFmtId="0" fontId="3" fillId="0" borderId="29" xfId="8" applyFont="1" applyBorder="1" applyAlignment="1">
      <alignment horizontal="left" vertical="top" wrapText="1"/>
    </xf>
    <xf numFmtId="0" fontId="3" fillId="0" borderId="30" xfId="8" applyFont="1" applyBorder="1" applyAlignment="1">
      <alignment horizontal="left" vertical="top" wrapText="1"/>
    </xf>
    <xf numFmtId="0" fontId="3" fillId="0" borderId="31" xfId="8" applyFont="1" applyBorder="1" applyAlignment="1">
      <alignment vertical="top" wrapText="1"/>
    </xf>
    <xf numFmtId="0" fontId="3" fillId="0" borderId="0" xfId="8" applyFont="1" applyAlignment="1">
      <alignment horizontal="center"/>
    </xf>
    <xf numFmtId="41" fontId="3" fillId="0" borderId="0" xfId="15" applyNumberFormat="1" applyFont="1" applyAlignment="1">
      <alignment horizontal="center"/>
    </xf>
    <xf numFmtId="167" fontId="3" fillId="0" borderId="0" xfId="11" applyNumberFormat="1" applyFont="1" applyAlignment="1">
      <alignment horizontal="center"/>
    </xf>
    <xf numFmtId="41" fontId="3" fillId="0" borderId="0" xfId="15" applyNumberFormat="1" applyFont="1" applyBorder="1" applyAlignment="1">
      <alignment horizontal="center"/>
    </xf>
    <xf numFmtId="0" fontId="3" fillId="0" borderId="0" xfId="8" quotePrefix="1" applyFont="1" applyAlignment="1">
      <alignment horizontal="left"/>
    </xf>
    <xf numFmtId="0" fontId="3" fillId="0" borderId="0" xfId="8" applyFont="1" applyAlignment="1">
      <alignment horizontal="left"/>
    </xf>
    <xf numFmtId="0" fontId="5" fillId="0" borderId="0" xfId="8" applyFont="1" applyAlignment="1">
      <alignment horizontal="left"/>
    </xf>
    <xf numFmtId="167" fontId="3" fillId="0" borderId="0" xfId="11" applyNumberFormat="1" applyFont="1" applyBorder="1" applyAlignment="1">
      <alignment horizontal="center"/>
    </xf>
    <xf numFmtId="1" fontId="3" fillId="0" borderId="0" xfId="8" applyNumberFormat="1" applyFont="1" applyAlignment="1">
      <alignment horizontal="center"/>
    </xf>
    <xf numFmtId="41" fontId="3" fillId="0" borderId="0" xfId="15" applyNumberFormat="1" applyFont="1" applyFill="1" applyBorder="1" applyAlignment="1">
      <alignment horizontal="center"/>
    </xf>
    <xf numFmtId="41" fontId="8" fillId="0" borderId="0" xfId="15" applyNumberFormat="1" applyFont="1" applyFill="1" applyBorder="1" applyAlignment="1">
      <alignment horizontal="center"/>
    </xf>
    <xf numFmtId="41" fontId="8" fillId="0" borderId="0" xfId="15" applyNumberFormat="1" applyFont="1" applyBorder="1" applyAlignment="1">
      <alignment horizontal="center"/>
    </xf>
    <xf numFmtId="164" fontId="3" fillId="0" borderId="0" xfId="15" applyNumberFormat="1" applyFont="1" applyBorder="1" applyAlignment="1">
      <alignment horizontal="center"/>
    </xf>
    <xf numFmtId="0" fontId="8" fillId="0" borderId="0" xfId="8" applyFont="1" applyAlignment="1">
      <alignment horizontal="center"/>
    </xf>
    <xf numFmtId="0" fontId="13" fillId="0" borderId="0" xfId="8" applyFont="1" applyAlignment="1">
      <alignment horizontal="center"/>
    </xf>
    <xf numFmtId="17" fontId="3" fillId="0" borderId="0" xfId="8" applyNumberFormat="1" applyFont="1"/>
    <xf numFmtId="0" fontId="23" fillId="0" borderId="0" xfId="8" applyFont="1" applyAlignment="1">
      <alignment horizontal="center"/>
    </xf>
    <xf numFmtId="0" fontId="3" fillId="0" borderId="0" xfId="8" applyFont="1" applyAlignment="1">
      <alignment horizontal="right"/>
    </xf>
    <xf numFmtId="41" fontId="9" fillId="0" borderId="0" xfId="20" applyFont="1"/>
    <xf numFmtId="41" fontId="14" fillId="0" borderId="0" xfId="20" applyFont="1" applyAlignment="1">
      <alignment horizontal="right"/>
    </xf>
    <xf numFmtId="41" fontId="14" fillId="0" borderId="6" xfId="20" applyFont="1" applyBorder="1"/>
    <xf numFmtId="41" fontId="14" fillId="0" borderId="33" xfId="20" applyFont="1" applyBorder="1"/>
    <xf numFmtId="0" fontId="9" fillId="0" borderId="6" xfId="8" applyFont="1" applyBorder="1"/>
    <xf numFmtId="0" fontId="9" fillId="0" borderId="34" xfId="8" applyFont="1" applyBorder="1"/>
    <xf numFmtId="0" fontId="9" fillId="0" borderId="35" xfId="8" applyFont="1" applyBorder="1"/>
    <xf numFmtId="41" fontId="9" fillId="0" borderId="5" xfId="20" applyFont="1" applyBorder="1"/>
    <xf numFmtId="0" fontId="9" fillId="0" borderId="5" xfId="8" applyFont="1" applyBorder="1"/>
    <xf numFmtId="0" fontId="9" fillId="0" borderId="36" xfId="8" applyFont="1" applyBorder="1"/>
    <xf numFmtId="41" fontId="9" fillId="0" borderId="35" xfId="20" applyFont="1" applyBorder="1"/>
    <xf numFmtId="41" fontId="9" fillId="0" borderId="6" xfId="20" applyFont="1" applyBorder="1"/>
    <xf numFmtId="165" fontId="9" fillId="0" borderId="35" xfId="8" applyNumberFormat="1" applyFont="1" applyBorder="1"/>
    <xf numFmtId="165" fontId="9" fillId="0" borderId="6" xfId="11" applyNumberFormat="1" applyFont="1" applyBorder="1"/>
    <xf numFmtId="17" fontId="9" fillId="0" borderId="34" xfId="8" applyNumberFormat="1" applyFont="1" applyBorder="1"/>
    <xf numFmtId="17" fontId="9" fillId="0" borderId="36" xfId="8" applyNumberFormat="1" applyFont="1" applyBorder="1"/>
    <xf numFmtId="0" fontId="9" fillId="0" borderId="35" xfId="8" applyFont="1" applyBorder="1" applyAlignment="1">
      <alignment horizontal="center"/>
    </xf>
    <xf numFmtId="165" fontId="9" fillId="0" borderId="6" xfId="11" applyNumberFormat="1" applyFont="1" applyBorder="1" applyAlignment="1">
      <alignment horizontal="right"/>
    </xf>
    <xf numFmtId="0" fontId="3" fillId="0" borderId="34" xfId="8" applyFont="1" applyBorder="1"/>
    <xf numFmtId="41" fontId="9" fillId="0" borderId="35" xfId="8" applyNumberFormat="1" applyFont="1" applyBorder="1"/>
    <xf numFmtId="0" fontId="9" fillId="0" borderId="37" xfId="8" applyFont="1" applyBorder="1"/>
    <xf numFmtId="17" fontId="9" fillId="0" borderId="36" xfId="8" applyNumberFormat="1" applyFont="1" applyBorder="1" applyAlignment="1">
      <alignment vertical="top" wrapText="1"/>
    </xf>
    <xf numFmtId="41" fontId="9" fillId="0" borderId="37" xfId="20" applyFont="1" applyBorder="1" applyAlignment="1">
      <alignment horizontal="center"/>
    </xf>
    <xf numFmtId="0" fontId="9" fillId="5" borderId="38" xfId="8" applyFont="1" applyFill="1" applyBorder="1" applyAlignment="1">
      <alignment horizontal="center"/>
    </xf>
    <xf numFmtId="41" fontId="9" fillId="5" borderId="7" xfId="20" applyFont="1" applyFill="1" applyBorder="1" applyAlignment="1">
      <alignment horizontal="center"/>
    </xf>
    <xf numFmtId="0" fontId="9" fillId="5" borderId="7" xfId="8" applyFont="1" applyFill="1" applyBorder="1" applyAlignment="1">
      <alignment horizontal="center"/>
    </xf>
    <xf numFmtId="41" fontId="9" fillId="0" borderId="0" xfId="20" applyFont="1" applyBorder="1"/>
    <xf numFmtId="41" fontId="9" fillId="0" borderId="0" xfId="20" applyFont="1" applyBorder="1" applyAlignment="1">
      <alignment horizontal="right"/>
    </xf>
  </cellXfs>
  <cellStyles count="21">
    <cellStyle name="Comma" xfId="1" builtinId="3"/>
    <cellStyle name="Comma [0] 2" xfId="20" xr:uid="{77A44D99-7214-4403-889D-C432D1D22E77}"/>
    <cellStyle name="Comma 10 6" xfId="14" xr:uid="{72D91F5F-5C86-49CC-A752-DCF670D6B585}"/>
    <cellStyle name="Comma 2" xfId="4" xr:uid="{00000000-0005-0000-0000-000001000000}"/>
    <cellStyle name="Comma 2 2" xfId="10" xr:uid="{60DA7813-8B62-4D73-BFD4-B566B38A305C}"/>
    <cellStyle name="Comma 3" xfId="15" xr:uid="{E6E11CC0-3341-4CC1-9A99-990E9AF68A08}"/>
    <cellStyle name="Comma 4" xfId="16" xr:uid="{AC7E610E-5402-40EA-BC67-9E18FEC81EA8}"/>
    <cellStyle name="Normal" xfId="0" builtinId="0"/>
    <cellStyle name="Normal 12" xfId="19" xr:uid="{9EB73695-BBAD-4AC8-B07F-17EE0477B848}"/>
    <cellStyle name="Normal 15" xfId="7" xr:uid="{4E2D35CC-116A-4D4F-B841-C2EF3105281A}"/>
    <cellStyle name="Normal 2" xfId="3" xr:uid="{00000000-0005-0000-0000-000003000000}"/>
    <cellStyle name="Normal 2 3" xfId="12" xr:uid="{66582D50-C5B2-4AC0-8033-0C7740429A16}"/>
    <cellStyle name="Normal 3" xfId="6" xr:uid="{00000000-0005-0000-0000-000004000000}"/>
    <cellStyle name="Normal 4" xfId="8" xr:uid="{B6A0E0A7-2EE2-42AA-AE2F-C157BC479EF1}"/>
    <cellStyle name="Normal_Adjustment Template" xfId="13" xr:uid="{440D61A8-A2DC-454A-89BB-DE5BA52F0E0D}"/>
    <cellStyle name="Normal_Copy of File50007" xfId="9" xr:uid="{A7233EF0-A824-4C70-8E94-CBD20CC06DC1}"/>
    <cellStyle name="Percent" xfId="2" builtinId="5"/>
    <cellStyle name="Percent 10 3" xfId="11" xr:uid="{DCF60E33-E319-41E0-91CC-855A2BC45DE7}"/>
    <cellStyle name="Percent 2" xfId="5" xr:uid="{00000000-0005-0000-0000-000006000000}"/>
    <cellStyle name="Percent 2 2" xfId="17" xr:uid="{A634E8EB-1697-44AD-A368-6986FF367344}"/>
    <cellStyle name="Percent 4" xfId="18" xr:uid="{DE846C1D-7659-4613-9B2A-9ABCA1397D09}"/>
  </cellStyles>
  <dxfs count="1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DXCO/SHR02/REA/REG/zregulation/___RECENT%20MAJOR%20FILINGS/_WASHINGTON/WA%20UE-210532%20LIRF/NEW-PAC-Natives-and-WPs-7-1-21%20(R)/Cheung/ADJ_1%20-%20Wind%20&amp;%20Transmission%20Capital%20True-Up_REDACT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DXCO/SHR02/REA/REG/zregulation/___RECENT%20MAJOR%20FILINGS/_WASHINGTON/WA%20UE-210532%20LIRF/NEW-PAC-Natives-and-WPs-7-1-21%20(R)/Cheung/ADJ_2%20-%20WIJAM%20Transmission%20Transition%20Ad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DXCO/SHR02/REA/REG/zregulation/___RECENT%20MAJOR%20FILINGS/_WASHINGTON/WA%20UE-210532%20LIRF/NEW-PAC-Natives-and-WPs-7-1-21%20(R)/Cheung/ADJ_3%20-%20Interest%20True-U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147"/>
  <sheetViews>
    <sheetView view="pageBreakPreview" zoomScale="85" zoomScaleNormal="100" zoomScaleSheetLayoutView="85" workbookViewId="0">
      <selection activeCell="B42" sqref="B42"/>
    </sheetView>
  </sheetViews>
  <sheetFormatPr defaultRowHeight="12.75" x14ac:dyDescent="0.2"/>
  <cols>
    <col min="1" max="1" width="40" style="18" customWidth="1"/>
    <col min="2" max="2" width="15.7109375" style="18" customWidth="1"/>
    <col min="3" max="3" width="0.7109375" style="18" customWidth="1"/>
    <col min="4" max="4" width="15.7109375" style="18" customWidth="1"/>
    <col min="5" max="5" width="0.7109375" style="18" customWidth="1"/>
    <col min="6" max="6" width="15.7109375" style="18" customWidth="1"/>
    <col min="7" max="7" width="0.7109375" style="18" customWidth="1"/>
    <col min="8" max="8" width="15.7109375" style="18" customWidth="1"/>
    <col min="9" max="9" width="0.7109375" style="18" customWidth="1"/>
    <col min="10" max="10" width="15.85546875" style="18" customWidth="1"/>
    <col min="11" max="16384" width="9.140625" style="18"/>
  </cols>
  <sheetData>
    <row r="1" spans="1:10" x14ac:dyDescent="0.2">
      <c r="A1" s="4" t="s">
        <v>6</v>
      </c>
    </row>
    <row r="2" spans="1:10" x14ac:dyDescent="0.2">
      <c r="A2" s="1" t="s">
        <v>127</v>
      </c>
    </row>
    <row r="3" spans="1:10" x14ac:dyDescent="0.2">
      <c r="A3" s="1" t="s">
        <v>126</v>
      </c>
    </row>
    <row r="4" spans="1:10" x14ac:dyDescent="0.2">
      <c r="A4" s="1"/>
    </row>
    <row r="5" spans="1:10" x14ac:dyDescent="0.2">
      <c r="A5" s="1"/>
      <c r="B5" s="38" t="s">
        <v>72</v>
      </c>
      <c r="C5" s="39"/>
      <c r="D5" s="38" t="s">
        <v>73</v>
      </c>
      <c r="E5" s="39"/>
      <c r="F5" s="38" t="s">
        <v>74</v>
      </c>
      <c r="G5" s="39"/>
      <c r="H5" s="38" t="s">
        <v>75</v>
      </c>
      <c r="I5" s="39"/>
      <c r="J5" s="38" t="s">
        <v>76</v>
      </c>
    </row>
    <row r="6" spans="1:10" x14ac:dyDescent="0.2">
      <c r="A6" s="1"/>
      <c r="B6" s="126" t="s">
        <v>108</v>
      </c>
      <c r="D6" s="45"/>
      <c r="F6" s="46" t="s">
        <v>77</v>
      </c>
      <c r="H6" s="46"/>
      <c r="J6" s="46" t="s">
        <v>78</v>
      </c>
    </row>
    <row r="7" spans="1:10" ht="43.5" customHeight="1" x14ac:dyDescent="0.2">
      <c r="A7" s="19"/>
      <c r="B7" s="37" t="s">
        <v>83</v>
      </c>
      <c r="C7" s="37"/>
      <c r="D7" s="100" t="s">
        <v>104</v>
      </c>
      <c r="E7" s="37"/>
      <c r="F7" s="37" t="s">
        <v>71</v>
      </c>
      <c r="G7" s="37"/>
      <c r="H7" s="37" t="s">
        <v>82</v>
      </c>
      <c r="I7" s="37"/>
      <c r="J7" s="37" t="s">
        <v>83</v>
      </c>
    </row>
    <row r="8" spans="1:10" x14ac:dyDescent="0.2">
      <c r="A8" s="10" t="s">
        <v>9</v>
      </c>
      <c r="B8" s="8"/>
      <c r="D8" s="8"/>
      <c r="F8" s="8"/>
      <c r="H8" s="8"/>
      <c r="J8" s="8"/>
    </row>
    <row r="9" spans="1:10" x14ac:dyDescent="0.2">
      <c r="A9" s="10" t="s">
        <v>10</v>
      </c>
      <c r="B9" s="12">
        <v>366359248.40368605</v>
      </c>
      <c r="D9" s="8">
        <f>Adjustments!B10</f>
        <v>0</v>
      </c>
      <c r="F9" s="8">
        <f>B9+D9</f>
        <v>366359248.40368605</v>
      </c>
      <c r="H9" s="8">
        <f>-(F37-(F64*Overall_ROR))/gross_up_factor</f>
        <v>-616596.92460877448</v>
      </c>
      <c r="J9" s="8">
        <f>F9+H9</f>
        <v>365742651.47907728</v>
      </c>
    </row>
    <row r="10" spans="1:10" x14ac:dyDescent="0.2">
      <c r="A10" s="10" t="s">
        <v>11</v>
      </c>
      <c r="B10" s="12">
        <v>0</v>
      </c>
      <c r="D10" s="8">
        <f>Adjustments!B11</f>
        <v>0</v>
      </c>
      <c r="F10" s="8">
        <f>B10+D10</f>
        <v>0</v>
      </c>
      <c r="H10" s="8"/>
      <c r="J10" s="8">
        <f t="shared" ref="J10:J12" si="0">F10+H10</f>
        <v>0</v>
      </c>
    </row>
    <row r="11" spans="1:10" x14ac:dyDescent="0.2">
      <c r="A11" s="10" t="s">
        <v>12</v>
      </c>
      <c r="B11" s="12">
        <v>2218213.8014192116</v>
      </c>
      <c r="D11" s="8">
        <f>Adjustments!B12</f>
        <v>0</v>
      </c>
      <c r="F11" s="8">
        <f>B11+D11</f>
        <v>2218213.8014192116</v>
      </c>
      <c r="H11" s="8"/>
      <c r="J11" s="8">
        <f t="shared" si="0"/>
        <v>2218213.8014192116</v>
      </c>
    </row>
    <row r="12" spans="1:10" x14ac:dyDescent="0.2">
      <c r="A12" s="10" t="s">
        <v>13</v>
      </c>
      <c r="B12" s="12">
        <v>13849210.275009101</v>
      </c>
      <c r="D12" s="8">
        <f>Adjustments!B13</f>
        <v>0</v>
      </c>
      <c r="F12" s="8">
        <f>B12+D12</f>
        <v>13849210.275009101</v>
      </c>
      <c r="H12" s="8"/>
      <c r="J12" s="8">
        <f t="shared" si="0"/>
        <v>13849210.275009101</v>
      </c>
    </row>
    <row r="13" spans="1:10" ht="13.5" thickBot="1" x14ac:dyDescent="0.25">
      <c r="A13" s="10" t="s">
        <v>14</v>
      </c>
      <c r="B13" s="9">
        <f>SUM(B9:B12)</f>
        <v>382426672.48011434</v>
      </c>
      <c r="D13" s="9">
        <f>SUM(D9:D12)</f>
        <v>0</v>
      </c>
      <c r="F13" s="9">
        <f>SUM(F9:F12)</f>
        <v>382426672.48011434</v>
      </c>
      <c r="H13" s="9">
        <f>SUM(H9:H12)</f>
        <v>-616596.92460877448</v>
      </c>
      <c r="J13" s="9">
        <f>SUM(J9:J12)</f>
        <v>381810075.55550557</v>
      </c>
    </row>
    <row r="14" spans="1:10" ht="13.5" thickTop="1" x14ac:dyDescent="0.2">
      <c r="A14" s="10"/>
      <c r="B14" s="8"/>
      <c r="D14" s="8"/>
      <c r="F14" s="8"/>
      <c r="H14" s="8"/>
      <c r="J14" s="8"/>
    </row>
    <row r="15" spans="1:10" x14ac:dyDescent="0.2">
      <c r="A15" s="10" t="s">
        <v>15</v>
      </c>
      <c r="B15" s="8"/>
      <c r="D15" s="8"/>
      <c r="F15" s="8"/>
      <c r="H15" s="8"/>
      <c r="J15" s="8"/>
    </row>
    <row r="16" spans="1:10" x14ac:dyDescent="0.2">
      <c r="A16" s="10" t="s">
        <v>16</v>
      </c>
      <c r="B16" s="12">
        <v>68669129.345882222</v>
      </c>
      <c r="D16" s="8">
        <f>Adjustments!B17</f>
        <v>0</v>
      </c>
      <c r="F16" s="8">
        <f t="shared" ref="F16:F25" si="1">B16+D16</f>
        <v>68669129.345882222</v>
      </c>
      <c r="H16" s="8"/>
      <c r="J16" s="8">
        <f t="shared" ref="J16:J25" si="2">F16+H16</f>
        <v>68669129.345882222</v>
      </c>
    </row>
    <row r="17" spans="1:10" x14ac:dyDescent="0.2">
      <c r="A17" s="10" t="s">
        <v>17</v>
      </c>
      <c r="B17" s="12">
        <v>0</v>
      </c>
      <c r="D17" s="8">
        <f>Adjustments!B18</f>
        <v>0</v>
      </c>
      <c r="F17" s="8">
        <f t="shared" si="1"/>
        <v>0</v>
      </c>
      <c r="H17" s="8"/>
      <c r="J17" s="8">
        <f t="shared" si="2"/>
        <v>0</v>
      </c>
    </row>
    <row r="18" spans="1:10" x14ac:dyDescent="0.2">
      <c r="A18" s="10" t="s">
        <v>18</v>
      </c>
      <c r="B18" s="12">
        <v>3407007.9200268453</v>
      </c>
      <c r="D18" s="8">
        <f>Adjustments!B19</f>
        <v>0</v>
      </c>
      <c r="F18" s="8">
        <f t="shared" si="1"/>
        <v>3407007.9200268453</v>
      </c>
      <c r="H18" s="8"/>
      <c r="J18" s="8">
        <f t="shared" si="2"/>
        <v>3407007.9200268453</v>
      </c>
    </row>
    <row r="19" spans="1:10" x14ac:dyDescent="0.2">
      <c r="A19" s="10" t="s">
        <v>19</v>
      </c>
      <c r="B19" s="12">
        <v>52058272.880133539</v>
      </c>
      <c r="D19" s="8">
        <f>Adjustments!B20</f>
        <v>0</v>
      </c>
      <c r="F19" s="8">
        <f t="shared" si="1"/>
        <v>52058272.880133539</v>
      </c>
      <c r="H19" s="8"/>
      <c r="J19" s="8">
        <f t="shared" si="2"/>
        <v>52058272.880133539</v>
      </c>
    </row>
    <row r="20" spans="1:10" x14ac:dyDescent="0.2">
      <c r="A20" s="10" t="s">
        <v>20</v>
      </c>
      <c r="B20" s="12">
        <v>16427542.398784848</v>
      </c>
      <c r="D20" s="8">
        <f>Adjustments!B21</f>
        <v>0</v>
      </c>
      <c r="F20" s="8">
        <f t="shared" si="1"/>
        <v>16427542.398784848</v>
      </c>
      <c r="H20" s="8"/>
      <c r="J20" s="8">
        <f t="shared" si="2"/>
        <v>16427542.398784848</v>
      </c>
    </row>
    <row r="21" spans="1:10" x14ac:dyDescent="0.2">
      <c r="A21" s="10" t="s">
        <v>21</v>
      </c>
      <c r="B21" s="12">
        <v>12374940.184378542</v>
      </c>
      <c r="D21" s="8">
        <f>Adjustments!B22</f>
        <v>0</v>
      </c>
      <c r="F21" s="8">
        <f t="shared" si="1"/>
        <v>12374940.184378542</v>
      </c>
      <c r="H21" s="8"/>
      <c r="J21" s="8">
        <f t="shared" si="2"/>
        <v>12374940.184378542</v>
      </c>
    </row>
    <row r="22" spans="1:10" x14ac:dyDescent="0.2">
      <c r="A22" s="10" t="s">
        <v>22</v>
      </c>
      <c r="B22" s="12">
        <v>7101912.873423445</v>
      </c>
      <c r="D22" s="8">
        <f>Adjustments!B23</f>
        <v>0</v>
      </c>
      <c r="F22" s="8">
        <f t="shared" si="1"/>
        <v>7101912.873423445</v>
      </c>
      <c r="H22" s="8">
        <f>H9*uncollectible_perc</f>
        <v>-3171.5177173912953</v>
      </c>
      <c r="J22" s="8">
        <f t="shared" si="2"/>
        <v>7098741.3557060538</v>
      </c>
    </row>
    <row r="23" spans="1:10" x14ac:dyDescent="0.2">
      <c r="A23" s="10" t="s">
        <v>23</v>
      </c>
      <c r="B23" s="12">
        <v>1037713.8594706436</v>
      </c>
      <c r="D23" s="8">
        <f>Adjustments!B24</f>
        <v>0</v>
      </c>
      <c r="F23" s="8">
        <f t="shared" si="1"/>
        <v>1037713.8594706436</v>
      </c>
      <c r="H23" s="8"/>
      <c r="J23" s="8">
        <f t="shared" si="2"/>
        <v>1037713.8594706436</v>
      </c>
    </row>
    <row r="24" spans="1:10" x14ac:dyDescent="0.2">
      <c r="A24" s="10" t="s">
        <v>24</v>
      </c>
      <c r="B24" s="12">
        <v>0</v>
      </c>
      <c r="D24" s="8">
        <f>Adjustments!B25</f>
        <v>0</v>
      </c>
      <c r="F24" s="8">
        <f t="shared" si="1"/>
        <v>0</v>
      </c>
      <c r="H24" s="8"/>
      <c r="J24" s="8">
        <f t="shared" si="2"/>
        <v>0</v>
      </c>
    </row>
    <row r="25" spans="1:10" x14ac:dyDescent="0.2">
      <c r="A25" s="10" t="s">
        <v>25</v>
      </c>
      <c r="B25" s="12">
        <v>6531279.6868191902</v>
      </c>
      <c r="D25" s="8">
        <f>Adjustments!B26</f>
        <v>0</v>
      </c>
      <c r="F25" s="8">
        <f t="shared" si="1"/>
        <v>6531279.6868191902</v>
      </c>
      <c r="H25" s="8"/>
      <c r="J25" s="8">
        <f t="shared" si="2"/>
        <v>6531279.6868191902</v>
      </c>
    </row>
    <row r="26" spans="1:10" x14ac:dyDescent="0.2">
      <c r="A26" s="10" t="s">
        <v>26</v>
      </c>
      <c r="B26" s="6">
        <f>SUM(B16:B25)</f>
        <v>167607799.14891928</v>
      </c>
      <c r="D26" s="6">
        <f>SUM(D16:D25)</f>
        <v>0</v>
      </c>
      <c r="F26" s="6">
        <f>SUM(F16:F25)</f>
        <v>167607799.14891928</v>
      </c>
      <c r="H26" s="6">
        <f>SUM(H16:H25)</f>
        <v>-3171.5177173912953</v>
      </c>
      <c r="J26" s="6">
        <f>SUM(J16:J25)</f>
        <v>167604627.63120189</v>
      </c>
    </row>
    <row r="27" spans="1:10" x14ac:dyDescent="0.2">
      <c r="A27" s="10" t="s">
        <v>27</v>
      </c>
      <c r="B27" s="12">
        <v>117309607.36845624</v>
      </c>
      <c r="D27" s="8">
        <f>Adjustments!B28</f>
        <v>-288835.64086887613</v>
      </c>
      <c r="F27" s="8">
        <f>B27+D27</f>
        <v>117020771.72758737</v>
      </c>
      <c r="H27" s="8"/>
      <c r="J27" s="8">
        <f t="shared" ref="J27:J34" si="3">F27+H27</f>
        <v>117020771.72758737</v>
      </c>
    </row>
    <row r="28" spans="1:10" x14ac:dyDescent="0.2">
      <c r="A28" s="10" t="s">
        <v>28</v>
      </c>
      <c r="B28" s="12">
        <v>7134745.3027785588</v>
      </c>
      <c r="D28" s="12">
        <f>Adjustments!B29</f>
        <v>0</v>
      </c>
      <c r="F28" s="8">
        <f>B28+D28</f>
        <v>7134745.3027785588</v>
      </c>
      <c r="H28" s="8"/>
      <c r="J28" s="8">
        <f t="shared" si="3"/>
        <v>7134745.3027785588</v>
      </c>
    </row>
    <row r="29" spans="1:10" x14ac:dyDescent="0.2">
      <c r="A29" s="10" t="s">
        <v>29</v>
      </c>
      <c r="B29" s="12">
        <v>24625697.053818107</v>
      </c>
      <c r="D29" s="12">
        <f>Adjustments!B30</f>
        <v>0</v>
      </c>
      <c r="F29" s="8">
        <f>B29+D29</f>
        <v>24625697.053818107</v>
      </c>
      <c r="H29" s="8">
        <f>H9*(WUTC_reg_fee_perc+WA_rev_tax_perc)</f>
        <v>-25588.772371264142</v>
      </c>
      <c r="J29" s="8">
        <f t="shared" si="3"/>
        <v>24600108.281446844</v>
      </c>
    </row>
    <row r="30" spans="1:10" x14ac:dyDescent="0.2">
      <c r="A30" s="10" t="s">
        <v>30</v>
      </c>
      <c r="B30" s="12">
        <v>3670093.6939849933</v>
      </c>
      <c r="D30" s="12">
        <f>D84</f>
        <v>765455.2995616768</v>
      </c>
      <c r="F30" s="12">
        <f>F84</f>
        <v>4435548.9935466573</v>
      </c>
      <c r="H30" s="12">
        <f>H84</f>
        <v>-123445.69324922499</v>
      </c>
      <c r="I30" s="12">
        <f>I84</f>
        <v>0</v>
      </c>
      <c r="J30" s="12">
        <f>J84</f>
        <v>4312103.3002974316</v>
      </c>
    </row>
    <row r="31" spans="1:10" x14ac:dyDescent="0.2">
      <c r="A31" s="10" t="s">
        <v>31</v>
      </c>
      <c r="B31" s="12">
        <v>0</v>
      </c>
      <c r="D31" s="12">
        <f>D79</f>
        <v>0</v>
      </c>
      <c r="F31" s="8">
        <f>F79</f>
        <v>0</v>
      </c>
      <c r="H31" s="8">
        <f>H79</f>
        <v>0</v>
      </c>
      <c r="J31" s="8">
        <f>J79</f>
        <v>0</v>
      </c>
    </row>
    <row r="32" spans="1:10" x14ac:dyDescent="0.2">
      <c r="A32" s="10" t="s">
        <v>32</v>
      </c>
      <c r="B32" s="12">
        <v>-15901789.281915484</v>
      </c>
      <c r="D32" s="12">
        <f>Adjustments!B33</f>
        <v>-692786.76692797593</v>
      </c>
      <c r="F32" s="8">
        <f>B32+D32</f>
        <v>-16594576.04884346</v>
      </c>
      <c r="H32" s="8"/>
      <c r="J32" s="8">
        <f t="shared" si="3"/>
        <v>-16594576.04884346</v>
      </c>
    </row>
    <row r="33" spans="1:10" x14ac:dyDescent="0.2">
      <c r="A33" s="10" t="s">
        <v>33</v>
      </c>
      <c r="B33" s="12">
        <v>0</v>
      </c>
      <c r="D33" s="12">
        <f>Adjustments!B34</f>
        <v>0</v>
      </c>
      <c r="F33" s="8">
        <f>B33+D33</f>
        <v>0</v>
      </c>
      <c r="H33" s="8"/>
      <c r="J33" s="8">
        <f t="shared" si="3"/>
        <v>0</v>
      </c>
    </row>
    <row r="34" spans="1:10" x14ac:dyDescent="0.2">
      <c r="A34" s="10" t="s">
        <v>34</v>
      </c>
      <c r="B34" s="12">
        <v>65435.101564292796</v>
      </c>
      <c r="D34" s="8">
        <f>Adjustments!B35</f>
        <v>0</v>
      </c>
      <c r="F34" s="8">
        <f>B34+D34</f>
        <v>65435.101564292796</v>
      </c>
      <c r="H34" s="8"/>
      <c r="J34" s="8">
        <f t="shared" si="3"/>
        <v>65435.101564292796</v>
      </c>
    </row>
    <row r="35" spans="1:10" x14ac:dyDescent="0.2">
      <c r="A35" s="10" t="s">
        <v>35</v>
      </c>
      <c r="B35" s="6">
        <f>SUM(B26:B34)</f>
        <v>304511588.38760597</v>
      </c>
      <c r="D35" s="6">
        <f>SUM(D26:D34)</f>
        <v>-216167.10823517526</v>
      </c>
      <c r="F35" s="6">
        <f>SUM(F26:F34)</f>
        <v>304295421.27937084</v>
      </c>
      <c r="H35" s="6">
        <f>SUM(H26:H34)</f>
        <v>-152205.98333788043</v>
      </c>
      <c r="J35" s="6">
        <f>SUM(J26:J34)</f>
        <v>304143215.29603291</v>
      </c>
    </row>
    <row r="36" spans="1:10" x14ac:dyDescent="0.2">
      <c r="A36" s="10"/>
      <c r="B36" s="8"/>
      <c r="D36" s="8"/>
      <c r="F36" s="8"/>
      <c r="H36" s="8"/>
      <c r="J36" s="8"/>
    </row>
    <row r="37" spans="1:10" ht="13.5" thickBot="1" x14ac:dyDescent="0.25">
      <c r="A37" s="10" t="s">
        <v>36</v>
      </c>
      <c r="B37" s="9">
        <f>B13-B35</f>
        <v>77915084.092508376</v>
      </c>
      <c r="D37" s="9">
        <f>D13-D35</f>
        <v>216167.10823517526</v>
      </c>
      <c r="F37" s="99">
        <f>F13-F35</f>
        <v>78131251.200743496</v>
      </c>
      <c r="H37" s="9">
        <f>H13-H35</f>
        <v>-464390.94127089402</v>
      </c>
      <c r="J37" s="9">
        <f>J13-J35</f>
        <v>77666860.259472668</v>
      </c>
    </row>
    <row r="38" spans="1:10" ht="13.5" thickTop="1" x14ac:dyDescent="0.2">
      <c r="A38" s="10"/>
      <c r="B38" s="8"/>
      <c r="D38" s="8"/>
      <c r="F38" s="8"/>
      <c r="H38" s="8"/>
      <c r="J38" s="8"/>
    </row>
    <row r="39" spans="1:10" x14ac:dyDescent="0.2">
      <c r="A39" s="10" t="s">
        <v>37</v>
      </c>
      <c r="B39" s="8"/>
      <c r="D39" s="8"/>
      <c r="F39" s="8"/>
      <c r="H39" s="8"/>
      <c r="J39" s="8"/>
    </row>
    <row r="40" spans="1:10" x14ac:dyDescent="0.2">
      <c r="A40" s="10" t="s">
        <v>38</v>
      </c>
      <c r="B40" s="12">
        <v>2182560253.960989</v>
      </c>
      <c r="D40" s="8">
        <f>Adjustments!B41</f>
        <v>-14570276.832111917</v>
      </c>
      <c r="F40" s="8">
        <f t="shared" ref="F40:F50" si="4">B40+D40</f>
        <v>2167989977.1288772</v>
      </c>
      <c r="H40" s="8"/>
      <c r="J40" s="8">
        <f t="shared" ref="J40:J50" si="5">F40+H40</f>
        <v>2167989977.1288772</v>
      </c>
    </row>
    <row r="41" spans="1:10" x14ac:dyDescent="0.2">
      <c r="A41" s="10" t="s">
        <v>39</v>
      </c>
      <c r="B41" s="12">
        <v>34942.962564657755</v>
      </c>
      <c r="D41" s="8">
        <f>Adjustments!B42</f>
        <v>0</v>
      </c>
      <c r="F41" s="8">
        <f t="shared" si="4"/>
        <v>34942.962564657755</v>
      </c>
      <c r="H41" s="8"/>
      <c r="J41" s="8">
        <f t="shared" si="5"/>
        <v>34942.962564657755</v>
      </c>
    </row>
    <row r="42" spans="1:10" x14ac:dyDescent="0.2">
      <c r="A42" s="10" t="s">
        <v>40</v>
      </c>
      <c r="B42" s="12">
        <v>430572.05631386954</v>
      </c>
      <c r="D42" s="8">
        <f>Adjustments!B43</f>
        <v>0</v>
      </c>
      <c r="F42" s="8">
        <f t="shared" si="4"/>
        <v>430572.05631386954</v>
      </c>
      <c r="H42" s="8"/>
      <c r="J42" s="8">
        <f t="shared" si="5"/>
        <v>430572.05631386954</v>
      </c>
    </row>
    <row r="43" spans="1:10" x14ac:dyDescent="0.2">
      <c r="A43" s="10" t="s">
        <v>41</v>
      </c>
      <c r="B43" s="12">
        <v>0</v>
      </c>
      <c r="D43" s="8">
        <f>Adjustments!B44</f>
        <v>0</v>
      </c>
      <c r="F43" s="8">
        <f t="shared" si="4"/>
        <v>0</v>
      </c>
      <c r="H43" s="8"/>
      <c r="J43" s="8">
        <f t="shared" si="5"/>
        <v>0</v>
      </c>
    </row>
    <row r="44" spans="1:10" x14ac:dyDescent="0.2">
      <c r="A44" s="10" t="s">
        <v>42</v>
      </c>
      <c r="B44" s="12">
        <v>0</v>
      </c>
      <c r="D44" s="8">
        <f>Adjustments!B45</f>
        <v>0</v>
      </c>
      <c r="F44" s="8">
        <f t="shared" si="4"/>
        <v>0</v>
      </c>
      <c r="H44" s="8"/>
      <c r="J44" s="8">
        <f t="shared" si="5"/>
        <v>0</v>
      </c>
    </row>
    <row r="45" spans="1:10" x14ac:dyDescent="0.2">
      <c r="A45" s="10" t="s">
        <v>43</v>
      </c>
      <c r="B45" s="12">
        <v>0</v>
      </c>
      <c r="D45" s="8">
        <f>Adjustments!B46</f>
        <v>0</v>
      </c>
      <c r="F45" s="8">
        <f t="shared" si="4"/>
        <v>0</v>
      </c>
      <c r="H45" s="8"/>
      <c r="J45" s="8">
        <f t="shared" si="5"/>
        <v>0</v>
      </c>
    </row>
    <row r="46" spans="1:10" x14ac:dyDescent="0.2">
      <c r="A46" s="10" t="s">
        <v>44</v>
      </c>
      <c r="B46" s="12">
        <v>0</v>
      </c>
      <c r="D46" s="8">
        <f>Adjustments!B47</f>
        <v>0</v>
      </c>
      <c r="F46" s="8">
        <f t="shared" si="4"/>
        <v>0</v>
      </c>
      <c r="H46" s="8"/>
      <c r="J46" s="8">
        <f t="shared" si="5"/>
        <v>0</v>
      </c>
    </row>
    <row r="47" spans="1:10" x14ac:dyDescent="0.2">
      <c r="A47" s="10" t="s">
        <v>45</v>
      </c>
      <c r="B47" s="12">
        <v>1.1001713573932648E-4</v>
      </c>
      <c r="D47" s="8">
        <f>Adjustments!B48</f>
        <v>0</v>
      </c>
      <c r="F47" s="8">
        <f t="shared" si="4"/>
        <v>1.1001713573932648E-4</v>
      </c>
      <c r="H47" s="8"/>
      <c r="J47" s="8">
        <f t="shared" si="5"/>
        <v>1.1001713573932648E-4</v>
      </c>
    </row>
    <row r="48" spans="1:10" x14ac:dyDescent="0.2">
      <c r="A48" s="10" t="s">
        <v>46</v>
      </c>
      <c r="B48" s="12">
        <v>23459504.952025533</v>
      </c>
      <c r="D48" s="8">
        <f>Adjustments!B49</f>
        <v>0</v>
      </c>
      <c r="F48" s="8">
        <f t="shared" si="4"/>
        <v>23459504.952025533</v>
      </c>
      <c r="H48" s="8"/>
      <c r="J48" s="8">
        <f t="shared" si="5"/>
        <v>23459504.952025533</v>
      </c>
    </row>
    <row r="49" spans="1:10" x14ac:dyDescent="0.2">
      <c r="A49" s="10" t="s">
        <v>47</v>
      </c>
      <c r="B49" s="12">
        <v>5092.6441051398033</v>
      </c>
      <c r="D49" s="8">
        <f>Adjustments!B50</f>
        <v>0</v>
      </c>
      <c r="F49" s="8">
        <f t="shared" si="4"/>
        <v>5092.6441051398033</v>
      </c>
      <c r="H49" s="8"/>
      <c r="J49" s="8">
        <f t="shared" si="5"/>
        <v>5092.6441051398033</v>
      </c>
    </row>
    <row r="50" spans="1:10" x14ac:dyDescent="0.2">
      <c r="A50" s="10" t="s">
        <v>48</v>
      </c>
      <c r="B50" s="12">
        <v>0</v>
      </c>
      <c r="D50" s="8">
        <f>Adjustments!B51</f>
        <v>0</v>
      </c>
      <c r="F50" s="8">
        <f t="shared" si="4"/>
        <v>0</v>
      </c>
      <c r="H50" s="8"/>
      <c r="J50" s="8">
        <f t="shared" si="5"/>
        <v>0</v>
      </c>
    </row>
    <row r="51" spans="1:10" ht="13.5" thickBot="1" x14ac:dyDescent="0.25">
      <c r="A51" s="10" t="s">
        <v>49</v>
      </c>
      <c r="B51" s="9">
        <f>SUM(B40:B50)</f>
        <v>2206490366.576108</v>
      </c>
      <c r="D51" s="9">
        <f>SUM(D40:D50)</f>
        <v>-14570276.832111917</v>
      </c>
      <c r="F51" s="9">
        <f>SUM(F40:F50)</f>
        <v>2191920089.7439961</v>
      </c>
      <c r="H51" s="9">
        <f>SUM(H40:H50)</f>
        <v>0</v>
      </c>
      <c r="J51" s="9">
        <f>SUM(J40:J50)</f>
        <v>2191920089.7439961</v>
      </c>
    </row>
    <row r="52" spans="1:10" ht="13.5" thickTop="1" x14ac:dyDescent="0.2">
      <c r="A52" s="10"/>
      <c r="B52" s="8"/>
      <c r="D52" s="8"/>
      <c r="F52" s="8"/>
      <c r="H52" s="8"/>
      <c r="J52" s="8"/>
    </row>
    <row r="53" spans="1:10" x14ac:dyDescent="0.2">
      <c r="A53" s="10" t="s">
        <v>50</v>
      </c>
      <c r="B53" s="8"/>
      <c r="D53" s="8"/>
      <c r="F53" s="8"/>
      <c r="H53" s="8"/>
      <c r="J53" s="8"/>
    </row>
    <row r="54" spans="1:10" x14ac:dyDescent="0.2">
      <c r="A54" s="10" t="s">
        <v>51</v>
      </c>
      <c r="B54" s="12">
        <v>-764511699.83147621</v>
      </c>
      <c r="D54" s="8">
        <f>Adjustments!B55</f>
        <v>3732209.0419171331</v>
      </c>
      <c r="F54" s="8">
        <f t="shared" ref="F54:F60" si="6">B54+D54</f>
        <v>-760779490.78955913</v>
      </c>
      <c r="H54" s="8"/>
      <c r="J54" s="8">
        <f t="shared" ref="J54:J61" si="7">F54+H54</f>
        <v>-760779490.78955913</v>
      </c>
    </row>
    <row r="55" spans="1:10" x14ac:dyDescent="0.2">
      <c r="A55" s="10" t="s">
        <v>52</v>
      </c>
      <c r="B55" s="12">
        <v>-61873796.613600463</v>
      </c>
      <c r="D55" s="8">
        <f>Adjustments!B56</f>
        <v>0</v>
      </c>
      <c r="F55" s="8">
        <f t="shared" si="6"/>
        <v>-61873796.613600463</v>
      </c>
      <c r="H55" s="8"/>
      <c r="J55" s="8">
        <f t="shared" si="7"/>
        <v>-61873796.613600463</v>
      </c>
    </row>
    <row r="56" spans="1:10" x14ac:dyDescent="0.2">
      <c r="A56" s="10" t="s">
        <v>53</v>
      </c>
      <c r="B56" s="12">
        <v>-236009448.53391173</v>
      </c>
      <c r="D56" s="8">
        <f>Adjustments!B57</f>
        <v>7375686.0760486256</v>
      </c>
      <c r="F56" s="8">
        <f t="shared" si="6"/>
        <v>-228633762.45786312</v>
      </c>
      <c r="H56" s="8"/>
      <c r="J56" s="8">
        <f t="shared" si="7"/>
        <v>-228633762.45786312</v>
      </c>
    </row>
    <row r="57" spans="1:10" x14ac:dyDescent="0.2">
      <c r="A57" s="10" t="s">
        <v>54</v>
      </c>
      <c r="B57" s="12">
        <v>-19597.460327859608</v>
      </c>
      <c r="D57" s="8">
        <f>Adjustments!B58</f>
        <v>0</v>
      </c>
      <c r="F57" s="8">
        <f t="shared" si="6"/>
        <v>-19597.460327859608</v>
      </c>
      <c r="H57" s="8"/>
      <c r="J57" s="8">
        <f t="shared" si="7"/>
        <v>-19597.460327859608</v>
      </c>
    </row>
    <row r="58" spans="1:10" x14ac:dyDescent="0.2">
      <c r="A58" s="10" t="s">
        <v>55</v>
      </c>
      <c r="B58" s="12">
        <v>-2479813.3255259153</v>
      </c>
      <c r="D58" s="8">
        <f>Adjustments!B59</f>
        <v>0</v>
      </c>
      <c r="F58" s="8">
        <f t="shared" si="6"/>
        <v>-2479813.3255259153</v>
      </c>
      <c r="H58" s="8"/>
      <c r="J58" s="8">
        <f t="shared" si="7"/>
        <v>-2479813.3255259153</v>
      </c>
    </row>
    <row r="59" spans="1:10" x14ac:dyDescent="0.2">
      <c r="A59" s="10" t="s">
        <v>56</v>
      </c>
      <c r="B59" s="12">
        <v>-2829106.1541666668</v>
      </c>
      <c r="D59" s="8">
        <f>Adjustments!B60</f>
        <v>0</v>
      </c>
      <c r="F59" s="8">
        <f t="shared" si="6"/>
        <v>-2829106.1541666668</v>
      </c>
      <c r="H59" s="8"/>
      <c r="J59" s="8">
        <f t="shared" si="7"/>
        <v>-2829106.1541666668</v>
      </c>
    </row>
    <row r="60" spans="1:10" x14ac:dyDescent="0.2">
      <c r="A60" s="10" t="s">
        <v>57</v>
      </c>
      <c r="B60" s="12">
        <v>-51955666.231506482</v>
      </c>
      <c r="D60" s="8">
        <f>Adjustments!B61</f>
        <v>0</v>
      </c>
      <c r="F60" s="8">
        <f t="shared" si="6"/>
        <v>-51955666.231506482</v>
      </c>
      <c r="H60" s="8"/>
      <c r="J60" s="8">
        <f t="shared" si="7"/>
        <v>-51955666.231506482</v>
      </c>
    </row>
    <row r="61" spans="1:10" x14ac:dyDescent="0.2">
      <c r="A61" s="10"/>
      <c r="B61" s="8"/>
      <c r="D61" s="8"/>
      <c r="F61" s="8"/>
      <c r="H61" s="8"/>
      <c r="J61" s="8">
        <f t="shared" si="7"/>
        <v>0</v>
      </c>
    </row>
    <row r="62" spans="1:10" ht="13.5" thickBot="1" x14ac:dyDescent="0.25">
      <c r="A62" s="10" t="s">
        <v>58</v>
      </c>
      <c r="B62" s="9">
        <f>SUM(B54:B60)</f>
        <v>-1119679128.1505153</v>
      </c>
      <c r="D62" s="9">
        <f>SUM(D54:D60)</f>
        <v>11107895.117965758</v>
      </c>
      <c r="F62" s="9">
        <f>SUM(F54:F60)</f>
        <v>-1108571233.0325496</v>
      </c>
      <c r="H62" s="9">
        <f>SUM(H54:H60)</f>
        <v>0</v>
      </c>
      <c r="J62" s="9">
        <f>SUM(J54:J60)</f>
        <v>-1108571233.0325496</v>
      </c>
    </row>
    <row r="63" spans="1:10" ht="13.5" thickTop="1" x14ac:dyDescent="0.2">
      <c r="A63" s="10"/>
      <c r="B63" s="8"/>
      <c r="D63" s="8"/>
      <c r="F63" s="8"/>
      <c r="H63" s="8"/>
      <c r="J63" s="8"/>
    </row>
    <row r="64" spans="1:10" ht="13.5" thickBot="1" x14ac:dyDescent="0.25">
      <c r="A64" s="10" t="s">
        <v>59</v>
      </c>
      <c r="B64" s="9">
        <f>B51+B62</f>
        <v>1086811238.4255927</v>
      </c>
      <c r="D64" s="9">
        <f>D51+D62</f>
        <v>-3462381.7141461596</v>
      </c>
      <c r="F64" s="99">
        <f>F51+F62</f>
        <v>1083348856.7114465</v>
      </c>
      <c r="H64" s="9">
        <f>H51+H62</f>
        <v>0</v>
      </c>
      <c r="J64" s="9">
        <f>J51+J62</f>
        <v>1083348856.7114465</v>
      </c>
    </row>
    <row r="65" spans="1:10" ht="13.5" thickTop="1" x14ac:dyDescent="0.2">
      <c r="A65" s="10"/>
      <c r="B65" s="8"/>
      <c r="D65" s="8"/>
      <c r="F65" s="8"/>
      <c r="H65" s="8"/>
      <c r="J65" s="8"/>
    </row>
    <row r="66" spans="1:10" x14ac:dyDescent="0.2">
      <c r="A66" s="10" t="s">
        <v>8</v>
      </c>
      <c r="B66" s="22">
        <f>B37/B64</f>
        <v>7.1691459692098822E-2</v>
      </c>
      <c r="D66" s="22">
        <f>F66-B66</f>
        <v>4.286618335880843E-4</v>
      </c>
      <c r="F66" s="22">
        <f>F37/F64</f>
        <v>7.2120121525686906E-2</v>
      </c>
      <c r="H66" s="22">
        <f>J66-F66</f>
        <v>-4.2866241875262612E-4</v>
      </c>
      <c r="J66" s="22">
        <f>J37/J64</f>
        <v>7.169145910693428E-2</v>
      </c>
    </row>
    <row r="67" spans="1:10" x14ac:dyDescent="0.2">
      <c r="A67" s="10" t="s">
        <v>60</v>
      </c>
      <c r="B67" s="22">
        <f>(B66-Weighted_cost_debt-Weighted_cost_pref)/Percent_common</f>
        <v>9.499999937291001E-2</v>
      </c>
      <c r="D67" s="22">
        <f>F67-B67</f>
        <v>8.7303835761320947E-4</v>
      </c>
      <c r="F67" s="22">
        <f>(F66-Weighted_cost_debt-Weighted_cost_pref)/Percent_common</f>
        <v>9.587303773052322E-2</v>
      </c>
      <c r="H67" s="22">
        <f>J67-F67</f>
        <v>-8.7303773052321842E-4</v>
      </c>
      <c r="J67" s="22">
        <f>ROUND((J66-Weighted_cost_debt-Weighted_cost_pref)/Percent_common,3)</f>
        <v>9.5000000000000001E-2</v>
      </c>
    </row>
    <row r="68" spans="1:10" x14ac:dyDescent="0.2">
      <c r="A68" s="13" t="s">
        <v>7</v>
      </c>
      <c r="B68" s="12">
        <f>-(B37-(B64*Overall_ROR))/gross_up_factor</f>
        <v>0.44430785307978871</v>
      </c>
      <c r="C68" s="107"/>
      <c r="D68" s="12">
        <f>-(D37-(D64*Overall_ROR))/gross_up_factor</f>
        <v>-616597.36891670455</v>
      </c>
      <c r="E68" s="107"/>
      <c r="F68" s="12">
        <f>-(F37-(F64*Overall_ROR))/gross_up_factor</f>
        <v>-616596.92460877448</v>
      </c>
      <c r="G68" s="107"/>
      <c r="H68" s="12"/>
      <c r="I68" s="107"/>
      <c r="J68" s="12"/>
    </row>
    <row r="69" spans="1:10" x14ac:dyDescent="0.2">
      <c r="A69" s="10"/>
      <c r="B69" s="20"/>
      <c r="D69" s="20"/>
      <c r="F69" s="20"/>
      <c r="H69" s="20"/>
      <c r="J69" s="20"/>
    </row>
    <row r="70" spans="1:10" x14ac:dyDescent="0.2">
      <c r="A70" s="10" t="s">
        <v>61</v>
      </c>
      <c r="B70" s="8"/>
      <c r="D70" s="8"/>
      <c r="F70" s="8"/>
      <c r="H70" s="8"/>
      <c r="J70" s="8"/>
    </row>
    <row r="71" spans="1:10" x14ac:dyDescent="0.2">
      <c r="A71" s="10" t="s">
        <v>62</v>
      </c>
      <c r="B71" s="12">
        <v>65683388.504577897</v>
      </c>
      <c r="D71" s="8">
        <f t="shared" ref="D71:J71" si="8">D13-D26-D27-D28-D29-D34</f>
        <v>288835.64086887613</v>
      </c>
      <c r="F71" s="8">
        <f>F13-F26-F27-F28-F29-F34</f>
        <v>65972224.145446725</v>
      </c>
      <c r="H71" s="8">
        <f t="shared" si="8"/>
        <v>-587836.63452011906</v>
      </c>
      <c r="J71" s="8">
        <f t="shared" si="8"/>
        <v>65384387.510926612</v>
      </c>
    </row>
    <row r="72" spans="1:10" x14ac:dyDescent="0.2">
      <c r="A72" s="10" t="s">
        <v>63</v>
      </c>
      <c r="B72" s="12">
        <v>0</v>
      </c>
      <c r="D72" s="8"/>
      <c r="F72" s="8"/>
      <c r="H72" s="8"/>
      <c r="J72" s="8"/>
    </row>
    <row r="73" spans="1:10" x14ac:dyDescent="0.2">
      <c r="A73" s="10" t="s">
        <v>64</v>
      </c>
      <c r="B73" s="12">
        <v>-3016519.6037139692</v>
      </c>
      <c r="D73" s="8">
        <f>Adjustments!B74</f>
        <v>0</v>
      </c>
      <c r="F73" s="8">
        <f>B73+D73</f>
        <v>-3016519.6037139692</v>
      </c>
      <c r="H73" s="8"/>
      <c r="J73" s="8">
        <f t="shared" ref="J73:J76" si="9">F73+H73</f>
        <v>-3016519.6037139692</v>
      </c>
    </row>
    <row r="74" spans="1:10" x14ac:dyDescent="0.2">
      <c r="A74" s="10" t="s">
        <v>65</v>
      </c>
      <c r="B74" s="12">
        <v>27206102.259058326</v>
      </c>
      <c r="D74" s="8">
        <f>Adjustments!B75</f>
        <v>-86673.662954948843</v>
      </c>
      <c r="F74" s="8">
        <f>B74+D74</f>
        <v>27119428.596103378</v>
      </c>
      <c r="H74" s="8"/>
      <c r="J74" s="8">
        <f t="shared" si="9"/>
        <v>27119428.596103378</v>
      </c>
    </row>
    <row r="75" spans="1:10" x14ac:dyDescent="0.2">
      <c r="A75" s="10" t="s">
        <v>66</v>
      </c>
      <c r="B75" s="12">
        <v>159781242.06404316</v>
      </c>
      <c r="C75" s="19"/>
      <c r="D75" s="8">
        <f>Adjustments!B76</f>
        <v>-671524.24912967277</v>
      </c>
      <c r="F75" s="8">
        <f>B75+D75</f>
        <v>159109717.81491348</v>
      </c>
      <c r="H75" s="8"/>
      <c r="J75" s="8">
        <f t="shared" si="9"/>
        <v>159109717.81491348</v>
      </c>
    </row>
    <row r="76" spans="1:10" x14ac:dyDescent="0.2">
      <c r="A76" s="10" t="s">
        <v>67</v>
      </c>
      <c r="B76" s="98">
        <v>111825407.85880338</v>
      </c>
      <c r="C76" s="19"/>
      <c r="D76" s="7">
        <f>Adjustments!B77</f>
        <v>-3941040.1813138328</v>
      </c>
      <c r="F76" s="7">
        <f>B76+D76</f>
        <v>107884367.67748955</v>
      </c>
      <c r="H76" s="7"/>
      <c r="J76" s="7">
        <f t="shared" si="9"/>
        <v>107884367.67748955</v>
      </c>
    </row>
    <row r="77" spans="1:10" x14ac:dyDescent="0.2">
      <c r="A77" s="10" t="s">
        <v>68</v>
      </c>
      <c r="B77" s="8">
        <f t="shared" ref="B77:J77" si="10">B71-B73-B74+B75-B76</f>
        <v>89449640.054473326</v>
      </c>
      <c r="C77" s="19"/>
      <c r="D77" s="8">
        <f t="shared" si="10"/>
        <v>3645025.2360079847</v>
      </c>
      <c r="F77" s="8">
        <f t="shared" si="10"/>
        <v>93094665.29048124</v>
      </c>
      <c r="H77" s="8">
        <f t="shared" si="10"/>
        <v>-587836.63452011906</v>
      </c>
      <c r="J77" s="8">
        <f t="shared" si="10"/>
        <v>92506828.655961126</v>
      </c>
    </row>
    <row r="78" spans="1:10" x14ac:dyDescent="0.2">
      <c r="A78" s="10"/>
      <c r="B78" s="8"/>
      <c r="C78" s="19"/>
      <c r="D78" s="8"/>
      <c r="F78" s="8"/>
      <c r="H78" s="8"/>
      <c r="J78" s="8"/>
    </row>
    <row r="79" spans="1:10" x14ac:dyDescent="0.2">
      <c r="A79" s="10" t="s">
        <v>69</v>
      </c>
      <c r="B79" s="8">
        <v>0</v>
      </c>
      <c r="C79" s="19"/>
      <c r="D79" s="8">
        <v>0</v>
      </c>
      <c r="F79" s="8">
        <v>0</v>
      </c>
      <c r="H79" s="8">
        <v>0</v>
      </c>
      <c r="J79" s="8">
        <v>0</v>
      </c>
    </row>
    <row r="80" spans="1:10" x14ac:dyDescent="0.2">
      <c r="A80" s="10" t="s">
        <v>70</v>
      </c>
      <c r="B80" s="8">
        <f>B77-B79</f>
        <v>89449640.054473326</v>
      </c>
      <c r="C80" s="19"/>
      <c r="D80" s="8">
        <f>D77-D79</f>
        <v>3645025.2360079847</v>
      </c>
      <c r="F80" s="8">
        <f>F77-F79</f>
        <v>93094665.29048124</v>
      </c>
      <c r="H80" s="8">
        <f>H77-H79</f>
        <v>-587836.63452011906</v>
      </c>
      <c r="J80" s="8">
        <f>J77-J79</f>
        <v>92506828.655961126</v>
      </c>
    </row>
    <row r="81" spans="1:10" x14ac:dyDescent="0.2">
      <c r="A81" s="10"/>
      <c r="B81" s="8"/>
      <c r="C81" s="19"/>
      <c r="D81" s="8"/>
      <c r="F81" s="8"/>
      <c r="H81" s="8"/>
      <c r="J81" s="8"/>
    </row>
    <row r="82" spans="1:10" x14ac:dyDescent="0.2">
      <c r="A82" s="10" t="s">
        <v>79</v>
      </c>
      <c r="B82" s="8">
        <f>B80*0.21</f>
        <v>18784424.411439396</v>
      </c>
      <c r="C82" s="19"/>
      <c r="D82" s="8">
        <f>D80*0.21</f>
        <v>765455.2995616768</v>
      </c>
      <c r="F82" s="8">
        <f>F80*0.21</f>
        <v>19549879.711001061</v>
      </c>
      <c r="H82" s="8">
        <f>H80*0.21</f>
        <v>-123445.69324922499</v>
      </c>
      <c r="J82" s="8">
        <f>J80*0.21</f>
        <v>19426434.017751835</v>
      </c>
    </row>
    <row r="83" spans="1:10" x14ac:dyDescent="0.2">
      <c r="A83" s="10" t="s">
        <v>80</v>
      </c>
      <c r="B83" s="8">
        <f>B84-B82</f>
        <v>-15114330.717454404</v>
      </c>
      <c r="C83" s="19"/>
      <c r="D83" s="8">
        <f>Adjustments!B84</f>
        <v>0</v>
      </c>
      <c r="F83" s="8">
        <f>B83+D83</f>
        <v>-15114330.717454404</v>
      </c>
      <c r="H83" s="8"/>
      <c r="J83" s="8">
        <f t="shared" ref="J83" si="11">F83+H83</f>
        <v>-15114330.717454404</v>
      </c>
    </row>
    <row r="84" spans="1:10" x14ac:dyDescent="0.2">
      <c r="A84" s="10" t="s">
        <v>81</v>
      </c>
      <c r="B84" s="12">
        <v>3670093.6939849933</v>
      </c>
      <c r="C84" s="19"/>
      <c r="D84" s="8">
        <f>D82+D83</f>
        <v>765455.2995616768</v>
      </c>
      <c r="F84" s="8">
        <f>F82+F83</f>
        <v>4435548.9935466573</v>
      </c>
      <c r="H84" s="8">
        <f>H82+H83</f>
        <v>-123445.69324922499</v>
      </c>
      <c r="J84" s="8">
        <f>J82+J83</f>
        <v>4312103.3002974316</v>
      </c>
    </row>
    <row r="85" spans="1:10" x14ac:dyDescent="0.2">
      <c r="A85" s="10"/>
      <c r="B85" s="8"/>
      <c r="D85" s="8"/>
      <c r="F85" s="8"/>
      <c r="H85" s="8"/>
      <c r="J85" s="8"/>
    </row>
    <row r="86" spans="1:10" x14ac:dyDescent="0.2">
      <c r="A86" s="10"/>
      <c r="B86" s="8"/>
      <c r="C86" s="19"/>
      <c r="D86" s="8"/>
      <c r="F86" s="8"/>
      <c r="H86" s="8"/>
      <c r="J86" s="8"/>
    </row>
    <row r="87" spans="1:10" x14ac:dyDescent="0.2">
      <c r="A87" s="10"/>
      <c r="B87" s="8"/>
      <c r="C87" s="19"/>
      <c r="D87" s="8"/>
      <c r="F87" s="8"/>
      <c r="H87" s="8"/>
      <c r="J87" s="8"/>
    </row>
    <row r="88" spans="1:10" x14ac:dyDescent="0.2">
      <c r="A88" s="10"/>
      <c r="B88" s="8"/>
      <c r="C88" s="19"/>
      <c r="D88" s="8"/>
      <c r="F88" s="8"/>
      <c r="H88" s="8"/>
      <c r="J88" s="8"/>
    </row>
    <row r="89" spans="1:10" x14ac:dyDescent="0.2">
      <c r="A89" s="10"/>
      <c r="B89" s="8"/>
      <c r="C89" s="19"/>
      <c r="D89" s="8"/>
      <c r="F89" s="8"/>
      <c r="H89" s="8"/>
      <c r="J89" s="8"/>
    </row>
    <row r="90" spans="1:10" x14ac:dyDescent="0.2">
      <c r="A90" s="21"/>
      <c r="B90" s="8"/>
      <c r="C90" s="19"/>
      <c r="D90" s="8"/>
      <c r="F90" s="8"/>
      <c r="H90" s="8"/>
      <c r="J90" s="8"/>
    </row>
    <row r="91" spans="1:10" x14ac:dyDescent="0.2">
      <c r="A91" s="19"/>
      <c r="B91" s="5"/>
      <c r="D91" s="5"/>
      <c r="F91" s="5"/>
      <c r="H91" s="5"/>
      <c r="J91" s="5"/>
    </row>
    <row r="92" spans="1:10" x14ac:dyDescent="0.2">
      <c r="A92" s="19"/>
    </row>
    <row r="93" spans="1:10" x14ac:dyDescent="0.2">
      <c r="A93" s="19"/>
    </row>
    <row r="94" spans="1:10" x14ac:dyDescent="0.2">
      <c r="A94" s="19"/>
    </row>
    <row r="95" spans="1:10" x14ac:dyDescent="0.2">
      <c r="A95" s="19"/>
    </row>
    <row r="96" spans="1:10" x14ac:dyDescent="0.2">
      <c r="A96" s="19"/>
    </row>
    <row r="97" spans="1:1" x14ac:dyDescent="0.2">
      <c r="A97" s="19"/>
    </row>
    <row r="98" spans="1:1" x14ac:dyDescent="0.2">
      <c r="A98" s="19"/>
    </row>
    <row r="99" spans="1:1" x14ac:dyDescent="0.2">
      <c r="A99" s="19"/>
    </row>
    <row r="100" spans="1:1" x14ac:dyDescent="0.2">
      <c r="A100" s="19"/>
    </row>
    <row r="101" spans="1:1" x14ac:dyDescent="0.2">
      <c r="A101" s="19"/>
    </row>
    <row r="102" spans="1:1" x14ac:dyDescent="0.2">
      <c r="A102" s="19"/>
    </row>
    <row r="103" spans="1:1" x14ac:dyDescent="0.2">
      <c r="A103" s="19"/>
    </row>
    <row r="104" spans="1:1" x14ac:dyDescent="0.2">
      <c r="A104" s="19"/>
    </row>
    <row r="105" spans="1: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x14ac:dyDescent="0.2">
      <c r="A111" s="19"/>
    </row>
    <row r="112" spans="1:1" x14ac:dyDescent="0.2">
      <c r="A112" s="19"/>
    </row>
    <row r="113" spans="1: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x14ac:dyDescent="0.2">
      <c r="A119" s="19"/>
    </row>
    <row r="120" spans="1:1" x14ac:dyDescent="0.2">
      <c r="A120" s="19"/>
    </row>
    <row r="121" spans="1:1" x14ac:dyDescent="0.2">
      <c r="A121" s="19"/>
    </row>
    <row r="122" spans="1:1" x14ac:dyDescent="0.2">
      <c r="A122" s="19"/>
    </row>
    <row r="123" spans="1:1" x14ac:dyDescent="0.2">
      <c r="A123" s="19"/>
    </row>
    <row r="124" spans="1:1" x14ac:dyDescent="0.2">
      <c r="A124" s="19"/>
    </row>
    <row r="125" spans="1:1" x14ac:dyDescent="0.2">
      <c r="A125" s="19"/>
    </row>
    <row r="126" spans="1:1" x14ac:dyDescent="0.2">
      <c r="A126" s="19"/>
    </row>
    <row r="127" spans="1:1" x14ac:dyDescent="0.2">
      <c r="A127" s="19"/>
    </row>
    <row r="128" spans="1:1" x14ac:dyDescent="0.2">
      <c r="A128" s="19"/>
    </row>
    <row r="129" spans="1:1" x14ac:dyDescent="0.2">
      <c r="A129" s="19"/>
    </row>
    <row r="130" spans="1:1" x14ac:dyDescent="0.2">
      <c r="A130" s="19"/>
    </row>
    <row r="131" spans="1:1" x14ac:dyDescent="0.2">
      <c r="A131" s="19"/>
    </row>
    <row r="132" spans="1:1" x14ac:dyDescent="0.2">
      <c r="A132" s="19"/>
    </row>
    <row r="133" spans="1:1" x14ac:dyDescent="0.2">
      <c r="A133" s="19"/>
    </row>
    <row r="134" spans="1:1" x14ac:dyDescent="0.2">
      <c r="A134" s="19"/>
    </row>
    <row r="135" spans="1:1" x14ac:dyDescent="0.2">
      <c r="A135" s="19"/>
    </row>
    <row r="136" spans="1:1" x14ac:dyDescent="0.2">
      <c r="A136" s="19"/>
    </row>
    <row r="137" spans="1:1" x14ac:dyDescent="0.2">
      <c r="A137" s="19"/>
    </row>
    <row r="138" spans="1:1" x14ac:dyDescent="0.2">
      <c r="A138" s="19"/>
    </row>
    <row r="139" spans="1:1" x14ac:dyDescent="0.2">
      <c r="A139" s="19"/>
    </row>
    <row r="140" spans="1:1" x14ac:dyDescent="0.2">
      <c r="A140" s="19"/>
    </row>
    <row r="141" spans="1:1" x14ac:dyDescent="0.2">
      <c r="A141" s="19"/>
    </row>
    <row r="142" spans="1:1" x14ac:dyDescent="0.2">
      <c r="A142" s="19"/>
    </row>
    <row r="143" spans="1:1" x14ac:dyDescent="0.2">
      <c r="A143" s="19"/>
    </row>
    <row r="144" spans="1:1" x14ac:dyDescent="0.2">
      <c r="A144" s="19"/>
    </row>
    <row r="145" spans="1:1" x14ac:dyDescent="0.2">
      <c r="A145" s="19"/>
    </row>
    <row r="146" spans="1:1" x14ac:dyDescent="0.2">
      <c r="A146" s="19"/>
    </row>
    <row r="147" spans="1:1" x14ac:dyDescent="0.2">
      <c r="A147" s="19"/>
    </row>
  </sheetData>
  <phoneticPr fontId="4" type="noConversion"/>
  <pageMargins left="0.5" right="0.5" top="0.5" bottom="0.5" header="0.5" footer="0.5"/>
  <pageSetup scale="64" orientation="portrait" r:id="rId1"/>
  <headerFooter alignWithMargins="0">
    <oddHeader>&amp;RPage 1.1</oddHeader>
  </headerFooter>
  <customProperties>
    <customPr name="_pios_id" r:id="rId2"/>
  </customProperties>
  <ignoredErrors>
    <ignoredError sqref="B5:J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5724-FE17-4C02-A46A-D73788134896}">
  <dimension ref="A1:M62"/>
  <sheetViews>
    <sheetView view="pageBreakPreview" zoomScale="85" zoomScaleNormal="80" zoomScaleSheetLayoutView="85" workbookViewId="0">
      <selection activeCell="I67" sqref="I67"/>
    </sheetView>
  </sheetViews>
  <sheetFormatPr defaultColWidth="9.140625" defaultRowHeight="12" customHeight="1" x14ac:dyDescent="0.2"/>
  <cols>
    <col min="1" max="1" width="2.5703125" style="165" customWidth="1"/>
    <col min="2" max="2" width="7.140625" style="165" customWidth="1"/>
    <col min="3" max="3" width="37.7109375" style="165" customWidth="1"/>
    <col min="4" max="4" width="9.7109375" style="165" customWidth="1"/>
    <col min="5" max="5" width="5" style="165" bestFit="1" customWidth="1"/>
    <col min="6" max="6" width="14.42578125" style="165" customWidth="1"/>
    <col min="7" max="7" width="12" style="165" customWidth="1"/>
    <col min="8" max="8" width="10.42578125" style="165" customWidth="1"/>
    <col min="9" max="9" width="13.7109375" style="165" bestFit="1" customWidth="1"/>
    <col min="10" max="10" width="8.28515625" style="165" customWidth="1"/>
    <col min="11" max="11" width="9.140625" style="165"/>
    <col min="12" max="12" width="11.42578125" style="165" bestFit="1" customWidth="1"/>
    <col min="13" max="13" width="10.5703125" style="165" bestFit="1" customWidth="1"/>
    <col min="14" max="16384" width="9.140625" style="165"/>
  </cols>
  <sheetData>
    <row r="1" spans="2:13" ht="12" customHeight="1" x14ac:dyDescent="0.2">
      <c r="B1" s="192" t="s">
        <v>6</v>
      </c>
      <c r="I1" s="194" t="s">
        <v>170</v>
      </c>
      <c r="J1" s="194" t="s">
        <v>245</v>
      </c>
    </row>
    <row r="2" spans="2:13" ht="12" customHeight="1" x14ac:dyDescent="0.2">
      <c r="B2" s="192" t="s">
        <v>127</v>
      </c>
    </row>
    <row r="3" spans="2:13" ht="12" customHeight="1" x14ac:dyDescent="0.2">
      <c r="B3" s="192" t="s">
        <v>244</v>
      </c>
    </row>
    <row r="6" spans="2:13" ht="12" customHeight="1" x14ac:dyDescent="0.2">
      <c r="B6" s="188"/>
      <c r="C6" s="188"/>
      <c r="D6" s="177"/>
      <c r="E6" s="177"/>
      <c r="F6" s="177" t="s">
        <v>168</v>
      </c>
      <c r="G6" s="177"/>
      <c r="H6" s="177"/>
      <c r="I6" s="177" t="s">
        <v>167</v>
      </c>
      <c r="J6" s="177"/>
    </row>
    <row r="7" spans="2:13" ht="12" customHeight="1" x14ac:dyDescent="0.2">
      <c r="B7" s="188"/>
      <c r="C7" s="188"/>
      <c r="D7" s="191" t="s">
        <v>166</v>
      </c>
      <c r="E7" s="191" t="s">
        <v>165</v>
      </c>
      <c r="F7" s="191" t="s">
        <v>164</v>
      </c>
      <c r="G7" s="191" t="s">
        <v>163</v>
      </c>
      <c r="H7" s="191" t="s">
        <v>162</v>
      </c>
      <c r="I7" s="191" t="s">
        <v>161</v>
      </c>
      <c r="J7" s="191" t="s">
        <v>160</v>
      </c>
      <c r="L7" s="265"/>
      <c r="M7" s="265"/>
    </row>
    <row r="8" spans="2:13" ht="12" customHeight="1" x14ac:dyDescent="0.2">
      <c r="B8" s="176"/>
      <c r="C8" s="188"/>
      <c r="D8" s="191"/>
      <c r="E8" s="191"/>
      <c r="F8" s="191"/>
      <c r="G8" s="191"/>
      <c r="H8" s="191"/>
      <c r="I8" s="191"/>
      <c r="J8" s="191"/>
      <c r="L8" s="265"/>
      <c r="M8" s="265"/>
    </row>
    <row r="9" spans="2:13" ht="12" customHeight="1" x14ac:dyDescent="0.2">
      <c r="B9" s="189" t="s">
        <v>159</v>
      </c>
      <c r="C9" s="188"/>
      <c r="D9" s="177"/>
      <c r="E9" s="177"/>
      <c r="F9" s="177"/>
      <c r="G9" s="177"/>
      <c r="H9" s="177"/>
      <c r="I9" s="190"/>
      <c r="J9" s="177"/>
      <c r="L9" s="265"/>
      <c r="M9" s="265"/>
    </row>
    <row r="10" spans="2:13" ht="12" customHeight="1" x14ac:dyDescent="0.2">
      <c r="B10" s="165" t="s">
        <v>242</v>
      </c>
      <c r="D10" s="181">
        <v>353</v>
      </c>
      <c r="E10" s="180" t="s">
        <v>134</v>
      </c>
      <c r="F10" s="178">
        <f>-'Page ADJ_2.1'!B21</f>
        <v>-184492524.55999997</v>
      </c>
      <c r="G10" s="180" t="s">
        <v>133</v>
      </c>
      <c r="H10" s="182">
        <v>7.8111041399714837E-2</v>
      </c>
      <c r="I10" s="178">
        <f>F10*H10</f>
        <v>-14410903.223844064</v>
      </c>
      <c r="J10" s="177" t="s">
        <v>243</v>
      </c>
      <c r="L10" s="265"/>
      <c r="M10" s="264"/>
    </row>
    <row r="11" spans="2:13" ht="12" customHeight="1" x14ac:dyDescent="0.2">
      <c r="B11" s="165" t="s">
        <v>241</v>
      </c>
      <c r="D11" s="181">
        <v>353</v>
      </c>
      <c r="E11" s="180" t="s">
        <v>134</v>
      </c>
      <c r="F11" s="178">
        <f>'Page ADJ_2.1'!B7</f>
        <v>17801179.050000001</v>
      </c>
      <c r="G11" s="180" t="s">
        <v>236</v>
      </c>
      <c r="H11" s="182">
        <v>0.21577192756641544</v>
      </c>
      <c r="I11" s="178">
        <f>F11*H11</f>
        <v>3840994.716573392</v>
      </c>
      <c r="J11" s="177" t="s">
        <v>243</v>
      </c>
      <c r="L11" s="265"/>
      <c r="M11" s="264"/>
    </row>
    <row r="12" spans="2:13" ht="12" customHeight="1" x14ac:dyDescent="0.2">
      <c r="B12" s="165" t="s">
        <v>240</v>
      </c>
      <c r="D12" s="181">
        <v>353</v>
      </c>
      <c r="E12" s="180" t="s">
        <v>134</v>
      </c>
      <c r="F12" s="263">
        <f>'Page ADJ_2.1'!B14</f>
        <v>166691345.50999996</v>
      </c>
      <c r="G12" s="180" t="s">
        <v>237</v>
      </c>
      <c r="H12" s="182">
        <v>0</v>
      </c>
      <c r="I12" s="263">
        <f>F12*H12</f>
        <v>0</v>
      </c>
      <c r="J12" s="177" t="s">
        <v>243</v>
      </c>
      <c r="L12" s="265"/>
      <c r="M12" s="264"/>
    </row>
    <row r="13" spans="2:13" ht="12" customHeight="1" x14ac:dyDescent="0.2">
      <c r="D13" s="181"/>
      <c r="E13" s="180"/>
      <c r="F13" s="178">
        <f>SUM(F10:F12)</f>
        <v>0</v>
      </c>
      <c r="G13" s="180"/>
      <c r="H13" s="182"/>
      <c r="I13" s="178">
        <f>SUM(I10:I12)</f>
        <v>-10569908.507270671</v>
      </c>
      <c r="J13" s="177"/>
      <c r="L13" s="265"/>
      <c r="M13" s="264"/>
    </row>
    <row r="14" spans="2:13" ht="12" customHeight="1" x14ac:dyDescent="0.2">
      <c r="B14" s="189" t="s">
        <v>149</v>
      </c>
      <c r="H14" s="259"/>
      <c r="L14" s="265"/>
      <c r="M14" s="265"/>
    </row>
    <row r="15" spans="2:13" ht="12" customHeight="1" x14ac:dyDescent="0.2">
      <c r="B15" s="165" t="s">
        <v>242</v>
      </c>
      <c r="D15" s="181" t="s">
        <v>144</v>
      </c>
      <c r="E15" s="180" t="s">
        <v>134</v>
      </c>
      <c r="F15" s="178">
        <f>-'Page ADJ_2.1'!B22</f>
        <v>47134230.81000001</v>
      </c>
      <c r="G15" s="180" t="s">
        <v>133</v>
      </c>
      <c r="H15" s="182">
        <f>$H$10</f>
        <v>7.8111041399714837E-2</v>
      </c>
      <c r="I15" s="178">
        <f>F15*H15</f>
        <v>3681703.8541436251</v>
      </c>
      <c r="J15" s="177" t="s">
        <v>243</v>
      </c>
      <c r="L15" s="265"/>
      <c r="M15" s="264"/>
    </row>
    <row r="16" spans="2:13" ht="12" customHeight="1" x14ac:dyDescent="0.2">
      <c r="B16" s="165" t="s">
        <v>241</v>
      </c>
      <c r="D16" s="181" t="s">
        <v>144</v>
      </c>
      <c r="E16" s="180" t="s">
        <v>134</v>
      </c>
      <c r="F16" s="178">
        <f>'Page ADJ_2.1'!B8</f>
        <v>-3308338.51</v>
      </c>
      <c r="G16" s="180" t="s">
        <v>236</v>
      </c>
      <c r="H16" s="182">
        <v>0.21577192756641544</v>
      </c>
      <c r="I16" s="178">
        <f>F16*H16</f>
        <v>-713846.57734490279</v>
      </c>
      <c r="J16" s="177" t="s">
        <v>243</v>
      </c>
      <c r="L16" s="265"/>
      <c r="M16" s="264"/>
    </row>
    <row r="17" spans="2:13" ht="12" customHeight="1" x14ac:dyDescent="0.2">
      <c r="B17" s="165" t="s">
        <v>240</v>
      </c>
      <c r="D17" s="181" t="s">
        <v>144</v>
      </c>
      <c r="E17" s="180" t="s">
        <v>134</v>
      </c>
      <c r="F17" s="267">
        <f>'Page ADJ_2.1'!B15</f>
        <v>-43825892.300000012</v>
      </c>
      <c r="G17" s="180" t="s">
        <v>237</v>
      </c>
      <c r="H17" s="182">
        <v>0</v>
      </c>
      <c r="I17" s="263">
        <f>F17*H17</f>
        <v>0</v>
      </c>
      <c r="J17" s="177" t="s">
        <v>243</v>
      </c>
      <c r="L17" s="265"/>
      <c r="M17" s="265"/>
    </row>
    <row r="18" spans="2:13" ht="12" customHeight="1" x14ac:dyDescent="0.2">
      <c r="D18" s="181"/>
      <c r="E18" s="180"/>
      <c r="F18" s="236">
        <f>SUM(F15:F17)</f>
        <v>0</v>
      </c>
      <c r="G18" s="180"/>
      <c r="H18" s="182"/>
      <c r="I18" s="236">
        <f>SUM(I15:I17)</f>
        <v>2967857.2767987223</v>
      </c>
      <c r="J18" s="177"/>
      <c r="L18" s="265"/>
      <c r="M18" s="265"/>
    </row>
    <row r="19" spans="2:13" ht="12" customHeight="1" x14ac:dyDescent="0.2">
      <c r="B19" s="189" t="s">
        <v>155</v>
      </c>
      <c r="H19" s="259"/>
      <c r="L19" s="265"/>
      <c r="M19" s="265"/>
    </row>
    <row r="20" spans="2:13" ht="12" customHeight="1" x14ac:dyDescent="0.2">
      <c r="B20" s="165" t="s">
        <v>242</v>
      </c>
      <c r="D20" s="181" t="s">
        <v>150</v>
      </c>
      <c r="E20" s="180" t="s">
        <v>134</v>
      </c>
      <c r="F20" s="178">
        <f>-'Page ADJ_2.2'!D18</f>
        <v>-3160739.6217700024</v>
      </c>
      <c r="G20" s="180" t="s">
        <v>133</v>
      </c>
      <c r="H20" s="182">
        <f>$H$10</f>
        <v>7.8111041399714837E-2</v>
      </c>
      <c r="I20" s="178">
        <f>F20*H20</f>
        <v>-246888.66344979568</v>
      </c>
      <c r="J20" s="177" t="s">
        <v>239</v>
      </c>
      <c r="L20" s="265"/>
      <c r="M20" s="264"/>
    </row>
    <row r="21" spans="2:13" ht="12" customHeight="1" x14ac:dyDescent="0.2">
      <c r="B21" s="165" t="s">
        <v>241</v>
      </c>
      <c r="D21" s="181" t="s">
        <v>150</v>
      </c>
      <c r="E21" s="180" t="s">
        <v>134</v>
      </c>
      <c r="F21" s="178">
        <f>'Page ADJ_2.2'!D49</f>
        <v>315417.58923533669</v>
      </c>
      <c r="G21" s="180" t="s">
        <v>236</v>
      </c>
      <c r="H21" s="182">
        <v>0.21577192756641544</v>
      </c>
      <c r="I21" s="178">
        <f>F21*H21</f>
        <v>68058.261217660445</v>
      </c>
      <c r="J21" s="177" t="s">
        <v>239</v>
      </c>
      <c r="L21" s="265"/>
      <c r="M21" s="264"/>
    </row>
    <row r="22" spans="2:13" ht="12" customHeight="1" x14ac:dyDescent="0.2">
      <c r="B22" s="165" t="s">
        <v>240</v>
      </c>
      <c r="D22" s="181" t="s">
        <v>150</v>
      </c>
      <c r="E22" s="180" t="s">
        <v>134</v>
      </c>
      <c r="F22" s="263">
        <f>'Page ADJ_2.2'!D50</f>
        <v>2824635.9738795967</v>
      </c>
      <c r="G22" s="180" t="s">
        <v>237</v>
      </c>
      <c r="H22" s="182">
        <v>0</v>
      </c>
      <c r="I22" s="263">
        <f>F22*H22</f>
        <v>0</v>
      </c>
      <c r="J22" s="177" t="s">
        <v>239</v>
      </c>
      <c r="L22" s="265"/>
      <c r="M22" s="264"/>
    </row>
    <row r="23" spans="2:13" ht="12" customHeight="1" x14ac:dyDescent="0.2">
      <c r="F23" s="185">
        <f>SUM(F20:F22)</f>
        <v>-20686.05865506921</v>
      </c>
      <c r="H23" s="259"/>
      <c r="I23" s="185">
        <f>SUM(I20:I22)</f>
        <v>-178830.40223213524</v>
      </c>
      <c r="L23" s="265"/>
      <c r="M23" s="265"/>
    </row>
    <row r="24" spans="2:13" ht="12" customHeight="1" x14ac:dyDescent="0.2">
      <c r="H24" s="259"/>
      <c r="J24" s="177"/>
      <c r="L24" s="265"/>
      <c r="M24" s="265"/>
    </row>
    <row r="25" spans="2:13" ht="12" customHeight="1" x14ac:dyDescent="0.2">
      <c r="B25" s="165" t="s">
        <v>242</v>
      </c>
      <c r="D25" s="181" t="s">
        <v>144</v>
      </c>
      <c r="E25" s="180" t="s">
        <v>134</v>
      </c>
      <c r="F25" s="236">
        <f>-'Page ADJ_2.2'!K29</f>
        <v>-22210.653898011427</v>
      </c>
      <c r="G25" s="180" t="s">
        <v>133</v>
      </c>
      <c r="H25" s="182">
        <f>$H$10</f>
        <v>7.8111041399714837E-2</v>
      </c>
      <c r="I25" s="178">
        <f>F25*H25</f>
        <v>-1734.8973061423083</v>
      </c>
      <c r="J25" s="177" t="s">
        <v>239</v>
      </c>
      <c r="L25" s="265"/>
      <c r="M25" s="264"/>
    </row>
    <row r="26" spans="2:13" ht="12" customHeight="1" x14ac:dyDescent="0.2">
      <c r="B26" s="165" t="s">
        <v>241</v>
      </c>
      <c r="D26" s="181" t="s">
        <v>144</v>
      </c>
      <c r="E26" s="180" t="s">
        <v>134</v>
      </c>
      <c r="F26" s="236">
        <f>'Page ADJ_2.2'!K61</f>
        <v>2425.1506815610046</v>
      </c>
      <c r="G26" s="180" t="s">
        <v>236</v>
      </c>
      <c r="H26" s="182">
        <v>0.21577192756641544</v>
      </c>
      <c r="I26" s="178">
        <f>F26*H26</f>
        <v>523.27943719942414</v>
      </c>
      <c r="J26" s="177" t="s">
        <v>239</v>
      </c>
      <c r="L26" s="265"/>
      <c r="M26" s="264"/>
    </row>
    <row r="27" spans="2:13" ht="12" customHeight="1" x14ac:dyDescent="0.2">
      <c r="B27" s="165" t="s">
        <v>240</v>
      </c>
      <c r="D27" s="181" t="s">
        <v>144</v>
      </c>
      <c r="E27" s="180" t="s">
        <v>134</v>
      </c>
      <c r="F27" s="267">
        <f>'Page ADJ_2.2'!K62</f>
        <v>30128.53254398494</v>
      </c>
      <c r="G27" s="180" t="s">
        <v>237</v>
      </c>
      <c r="H27" s="182">
        <v>0</v>
      </c>
      <c r="I27" s="263">
        <f>F27*H27</f>
        <v>0</v>
      </c>
      <c r="J27" s="177" t="s">
        <v>239</v>
      </c>
      <c r="L27" s="265"/>
      <c r="M27" s="264"/>
    </row>
    <row r="28" spans="2:13" ht="12" customHeight="1" x14ac:dyDescent="0.2">
      <c r="F28" s="266">
        <f>SUM(F25:F27)</f>
        <v>10343.029327534518</v>
      </c>
      <c r="I28" s="266">
        <f>SUM(I25:I27)</f>
        <v>-1211.6178689428841</v>
      </c>
      <c r="J28" s="177"/>
      <c r="L28" s="265"/>
      <c r="M28" s="264"/>
    </row>
    <row r="29" spans="2:13" ht="12" customHeight="1" x14ac:dyDescent="0.2">
      <c r="J29" s="177"/>
      <c r="M29" s="264"/>
    </row>
    <row r="30" spans="2:13" ht="12" customHeight="1" x14ac:dyDescent="0.2">
      <c r="B30" s="189" t="s">
        <v>143</v>
      </c>
      <c r="C30" s="188"/>
      <c r="D30" s="177"/>
      <c r="E30" s="177"/>
      <c r="F30" s="177"/>
      <c r="G30" s="177"/>
      <c r="H30" s="177"/>
      <c r="I30" s="187"/>
      <c r="J30" s="177"/>
    </row>
    <row r="31" spans="2:13" ht="12" customHeight="1" x14ac:dyDescent="0.2">
      <c r="D31" s="259"/>
      <c r="F31" s="178"/>
      <c r="G31" s="259"/>
      <c r="H31" s="179"/>
      <c r="I31" s="178"/>
    </row>
    <row r="32" spans="2:13" ht="12" customHeight="1" x14ac:dyDescent="0.2">
      <c r="B32" s="184" t="s">
        <v>238</v>
      </c>
      <c r="D32" s="259">
        <v>282</v>
      </c>
      <c r="E32" s="180" t="s">
        <v>134</v>
      </c>
      <c r="F32" s="178">
        <v>-22720291.357410196</v>
      </c>
      <c r="G32" s="259" t="s">
        <v>237</v>
      </c>
      <c r="H32" s="261">
        <v>0</v>
      </c>
      <c r="I32" s="260">
        <f>H32*F32</f>
        <v>0</v>
      </c>
      <c r="J32" s="177"/>
    </row>
    <row r="33" spans="2:10" ht="12" customHeight="1" x14ac:dyDescent="0.2">
      <c r="B33" s="184" t="s">
        <v>238</v>
      </c>
      <c r="D33" s="259">
        <v>282</v>
      </c>
      <c r="E33" s="180" t="s">
        <v>134</v>
      </c>
      <c r="F33" s="178">
        <v>-2428448.8439923394</v>
      </c>
      <c r="G33" s="259" t="s">
        <v>236</v>
      </c>
      <c r="H33" s="261">
        <v>0.21577192756641544</v>
      </c>
      <c r="I33" s="260">
        <f>H33*F33</f>
        <v>-523991.08806466038</v>
      </c>
      <c r="J33" s="177"/>
    </row>
    <row r="34" spans="2:10" ht="12" customHeight="1" x14ac:dyDescent="0.2">
      <c r="B34" s="165" t="s">
        <v>238</v>
      </c>
      <c r="D34" s="259">
        <v>282</v>
      </c>
      <c r="E34" s="180" t="s">
        <v>134</v>
      </c>
      <c r="F34" s="263">
        <f>-F32-F33</f>
        <v>25148740.201402538</v>
      </c>
      <c r="G34" s="259" t="s">
        <v>133</v>
      </c>
      <c r="H34" s="261">
        <v>7.8111041399714837E-2</v>
      </c>
      <c r="I34" s="262">
        <f>H34*F34</f>
        <v>1964394.2870224265</v>
      </c>
      <c r="J34" s="177"/>
    </row>
    <row r="35" spans="2:10" ht="12" customHeight="1" x14ac:dyDescent="0.2">
      <c r="D35" s="259"/>
      <c r="F35" s="178">
        <f>SUM(F32:F34)</f>
        <v>0</v>
      </c>
      <c r="G35" s="259"/>
      <c r="H35" s="179"/>
      <c r="I35" s="178">
        <f>SUM(I32:I34)</f>
        <v>1440403.1989577662</v>
      </c>
    </row>
    <row r="36" spans="2:10" ht="12" customHeight="1" x14ac:dyDescent="0.2">
      <c r="D36" s="259"/>
      <c r="F36" s="178"/>
      <c r="G36" s="259"/>
      <c r="H36" s="179"/>
      <c r="I36" s="178"/>
    </row>
    <row r="37" spans="2:10" ht="12" customHeight="1" x14ac:dyDescent="0.2">
      <c r="B37" s="165" t="s">
        <v>235</v>
      </c>
      <c r="D37" s="259" t="s">
        <v>137</v>
      </c>
      <c r="E37" s="180" t="s">
        <v>134</v>
      </c>
      <c r="F37" s="178">
        <f>+F22</f>
        <v>2824635.9738795967</v>
      </c>
      <c r="G37" s="259" t="s">
        <v>237</v>
      </c>
      <c r="H37" s="261">
        <v>0</v>
      </c>
      <c r="I37" s="260">
        <f>H37*F37</f>
        <v>0</v>
      </c>
    </row>
    <row r="38" spans="2:10" ht="12" customHeight="1" x14ac:dyDescent="0.2">
      <c r="B38" s="165" t="s">
        <v>234</v>
      </c>
      <c r="D38" s="259">
        <v>41110</v>
      </c>
      <c r="E38" s="180" t="s">
        <v>134</v>
      </c>
      <c r="F38" s="178">
        <f>ROUND(-F37*0.245866,0)</f>
        <v>-694482</v>
      </c>
      <c r="G38" s="259" t="s">
        <v>237</v>
      </c>
      <c r="H38" s="261">
        <v>0</v>
      </c>
      <c r="I38" s="260">
        <f>H38*F38</f>
        <v>0</v>
      </c>
    </row>
    <row r="39" spans="2:10" ht="12" customHeight="1" x14ac:dyDescent="0.2">
      <c r="B39" s="165" t="s">
        <v>233</v>
      </c>
      <c r="D39" s="259">
        <v>282</v>
      </c>
      <c r="E39" s="180" t="s">
        <v>134</v>
      </c>
      <c r="F39" s="178">
        <f>-F38</f>
        <v>694482</v>
      </c>
      <c r="G39" s="259" t="s">
        <v>237</v>
      </c>
      <c r="H39" s="261">
        <v>0</v>
      </c>
      <c r="I39" s="260">
        <f>H39*F39</f>
        <v>0</v>
      </c>
    </row>
    <row r="40" spans="2:10" ht="12" customHeight="1" x14ac:dyDescent="0.2">
      <c r="D40" s="259"/>
      <c r="F40" s="178"/>
      <c r="G40" s="259"/>
      <c r="H40" s="179"/>
      <c r="I40" s="178"/>
    </row>
    <row r="41" spans="2:10" ht="12" customHeight="1" x14ac:dyDescent="0.2">
      <c r="B41" s="165" t="s">
        <v>235</v>
      </c>
      <c r="D41" s="259" t="s">
        <v>137</v>
      </c>
      <c r="E41" s="180" t="s">
        <v>134</v>
      </c>
      <c r="F41" s="178">
        <f>+F21</f>
        <v>315417.58923533669</v>
      </c>
      <c r="G41" s="259" t="s">
        <v>236</v>
      </c>
      <c r="H41" s="182">
        <v>0.21577192756641544</v>
      </c>
      <c r="I41" s="260">
        <f>H41*F41</f>
        <v>68058.261217660445</v>
      </c>
    </row>
    <row r="42" spans="2:10" ht="12" customHeight="1" x14ac:dyDescent="0.2">
      <c r="B42" s="165" t="s">
        <v>234</v>
      </c>
      <c r="D42" s="259">
        <v>41110</v>
      </c>
      <c r="E42" s="180" t="s">
        <v>134</v>
      </c>
      <c r="F42" s="178">
        <f>ROUND(-F41*0.245866,0)</f>
        <v>-77550</v>
      </c>
      <c r="G42" s="259" t="s">
        <v>236</v>
      </c>
      <c r="H42" s="182">
        <v>0.21577192756641544</v>
      </c>
      <c r="I42" s="260">
        <f>H42*F42</f>
        <v>-16733.112982775518</v>
      </c>
    </row>
    <row r="43" spans="2:10" ht="12" customHeight="1" x14ac:dyDescent="0.2">
      <c r="B43" s="165" t="s">
        <v>233</v>
      </c>
      <c r="D43" s="259">
        <v>282</v>
      </c>
      <c r="E43" s="180" t="s">
        <v>134</v>
      </c>
      <c r="F43" s="178">
        <f>-F42</f>
        <v>77550</v>
      </c>
      <c r="G43" s="259" t="s">
        <v>236</v>
      </c>
      <c r="H43" s="182">
        <v>0.21577192756641544</v>
      </c>
      <c r="I43" s="260">
        <f>H43*F43</f>
        <v>16733.112982775518</v>
      </c>
    </row>
    <row r="44" spans="2:10" ht="12" customHeight="1" x14ac:dyDescent="0.2">
      <c r="D44" s="259"/>
      <c r="F44" s="178"/>
      <c r="G44" s="259"/>
      <c r="H44" s="179"/>
      <c r="I44" s="178"/>
    </row>
    <row r="45" spans="2:10" ht="12" customHeight="1" x14ac:dyDescent="0.2">
      <c r="B45" s="165" t="s">
        <v>235</v>
      </c>
      <c r="D45" s="259" t="s">
        <v>137</v>
      </c>
      <c r="E45" s="180" t="s">
        <v>134</v>
      </c>
      <c r="F45" s="178">
        <f>+F20</f>
        <v>-3160739.6217700024</v>
      </c>
      <c r="G45" s="259" t="s">
        <v>133</v>
      </c>
      <c r="H45" s="182">
        <f>$H$10</f>
        <v>7.8111041399714837E-2</v>
      </c>
      <c r="I45" s="260">
        <f>H45*F45</f>
        <v>-246888.66344979568</v>
      </c>
    </row>
    <row r="46" spans="2:10" ht="12" customHeight="1" x14ac:dyDescent="0.2">
      <c r="B46" s="165" t="s">
        <v>234</v>
      </c>
      <c r="D46" s="259">
        <v>41110</v>
      </c>
      <c r="E46" s="180" t="s">
        <v>134</v>
      </c>
      <c r="F46" s="178">
        <f>ROUND(-F45*0.245866,0)</f>
        <v>777118</v>
      </c>
      <c r="G46" s="259" t="s">
        <v>133</v>
      </c>
      <c r="H46" s="182">
        <f>$H$10</f>
        <v>7.8111041399714837E-2</v>
      </c>
      <c r="I46" s="260">
        <f>H46*F46</f>
        <v>60701.496270463591</v>
      </c>
    </row>
    <row r="47" spans="2:10" ht="12" customHeight="1" x14ac:dyDescent="0.2">
      <c r="B47" s="165" t="s">
        <v>233</v>
      </c>
      <c r="D47" s="259">
        <v>282</v>
      </c>
      <c r="E47" s="180" t="s">
        <v>134</v>
      </c>
      <c r="F47" s="178">
        <f>-F46</f>
        <v>-777118</v>
      </c>
      <c r="G47" s="259" t="s">
        <v>133</v>
      </c>
      <c r="H47" s="182">
        <f>$H$10</f>
        <v>7.8111041399714837E-2</v>
      </c>
      <c r="I47" s="260">
        <f>H47*F47</f>
        <v>-60701.496270463591</v>
      </c>
    </row>
    <row r="48" spans="2:10" ht="12" customHeight="1" x14ac:dyDescent="0.2">
      <c r="D48" s="259"/>
      <c r="F48" s="178"/>
      <c r="G48" s="259"/>
      <c r="H48" s="179"/>
      <c r="I48" s="178"/>
    </row>
    <row r="49" spans="1:12" ht="12" customHeight="1" x14ac:dyDescent="0.2">
      <c r="D49" s="259"/>
      <c r="F49" s="178"/>
      <c r="G49" s="259"/>
      <c r="H49" s="179"/>
      <c r="I49" s="178"/>
    </row>
    <row r="51" spans="1:12" ht="13.5" customHeight="1" thickBot="1" x14ac:dyDescent="0.25">
      <c r="B51" s="176" t="s">
        <v>132</v>
      </c>
    </row>
    <row r="52" spans="1:12" ht="12" customHeight="1" x14ac:dyDescent="0.2">
      <c r="A52" s="175"/>
      <c r="B52" s="174" t="s">
        <v>232</v>
      </c>
      <c r="C52" s="174"/>
      <c r="D52" s="174"/>
      <c r="E52" s="174"/>
      <c r="F52" s="174"/>
      <c r="G52" s="174"/>
      <c r="H52" s="174"/>
      <c r="I52" s="174"/>
      <c r="J52" s="173"/>
      <c r="L52" s="172"/>
    </row>
    <row r="53" spans="1:12" ht="12" customHeight="1" x14ac:dyDescent="0.2">
      <c r="A53" s="171"/>
      <c r="B53" s="170"/>
      <c r="C53" s="170"/>
      <c r="D53" s="170"/>
      <c r="E53" s="170"/>
      <c r="F53" s="170"/>
      <c r="G53" s="170"/>
      <c r="H53" s="170"/>
      <c r="I53" s="170"/>
      <c r="J53" s="169"/>
    </row>
    <row r="54" spans="1:12" ht="12" customHeight="1" x14ac:dyDescent="0.2">
      <c r="A54" s="171"/>
      <c r="B54" s="170"/>
      <c r="C54" s="170"/>
      <c r="D54" s="170"/>
      <c r="E54" s="170"/>
      <c r="F54" s="170"/>
      <c r="G54" s="170"/>
      <c r="H54" s="170"/>
      <c r="I54" s="170"/>
      <c r="J54" s="169"/>
    </row>
    <row r="55" spans="1:12" ht="12" customHeight="1" x14ac:dyDescent="0.2">
      <c r="A55" s="171"/>
      <c r="B55" s="170"/>
      <c r="C55" s="170"/>
      <c r="D55" s="170"/>
      <c r="E55" s="170"/>
      <c r="F55" s="170"/>
      <c r="G55" s="170"/>
      <c r="H55" s="170"/>
      <c r="I55" s="170"/>
      <c r="J55" s="169"/>
    </row>
    <row r="56" spans="1:12" ht="12" customHeight="1" x14ac:dyDescent="0.2">
      <c r="A56" s="171"/>
      <c r="B56" s="170"/>
      <c r="C56" s="170"/>
      <c r="D56" s="170"/>
      <c r="E56" s="170"/>
      <c r="F56" s="170"/>
      <c r="G56" s="170"/>
      <c r="H56" s="170"/>
      <c r="I56" s="170"/>
      <c r="J56" s="169"/>
    </row>
    <row r="57" spans="1:12" ht="12" customHeight="1" x14ac:dyDescent="0.2">
      <c r="A57" s="171"/>
      <c r="B57" s="170"/>
      <c r="C57" s="170"/>
      <c r="D57" s="170"/>
      <c r="E57" s="170"/>
      <c r="F57" s="170"/>
      <c r="G57" s="170"/>
      <c r="H57" s="170"/>
      <c r="I57" s="170"/>
      <c r="J57" s="169"/>
    </row>
    <row r="58" spans="1:12" ht="12" customHeight="1" x14ac:dyDescent="0.2">
      <c r="A58" s="171"/>
      <c r="B58" s="170"/>
      <c r="C58" s="170"/>
      <c r="D58" s="170"/>
      <c r="E58" s="170"/>
      <c r="F58" s="170"/>
      <c r="G58" s="170"/>
      <c r="H58" s="170"/>
      <c r="I58" s="170"/>
      <c r="J58" s="169"/>
    </row>
    <row r="59" spans="1:12" ht="12" customHeight="1" x14ac:dyDescent="0.2">
      <c r="A59" s="171"/>
      <c r="B59" s="170"/>
      <c r="C59" s="170"/>
      <c r="D59" s="170"/>
      <c r="E59" s="170"/>
      <c r="F59" s="170"/>
      <c r="G59" s="170"/>
      <c r="H59" s="170"/>
      <c r="I59" s="170"/>
      <c r="J59" s="169"/>
    </row>
    <row r="60" spans="1:12" ht="12" customHeight="1" x14ac:dyDescent="0.2">
      <c r="A60" s="171"/>
      <c r="B60" s="170"/>
      <c r="C60" s="170"/>
      <c r="D60" s="170"/>
      <c r="E60" s="170"/>
      <c r="F60" s="170"/>
      <c r="G60" s="170"/>
      <c r="H60" s="170"/>
      <c r="I60" s="170"/>
      <c r="J60" s="169"/>
    </row>
    <row r="61" spans="1:12" ht="12" customHeight="1" x14ac:dyDescent="0.2">
      <c r="A61" s="171"/>
      <c r="B61" s="170"/>
      <c r="C61" s="170"/>
      <c r="D61" s="170"/>
      <c r="E61" s="170"/>
      <c r="F61" s="170"/>
      <c r="G61" s="170"/>
      <c r="H61" s="170"/>
      <c r="I61" s="170"/>
      <c r="J61" s="169"/>
    </row>
    <row r="62" spans="1:12" ht="12" customHeight="1" thickBot="1" x14ac:dyDescent="0.25">
      <c r="A62" s="168"/>
      <c r="B62" s="167"/>
      <c r="C62" s="167"/>
      <c r="D62" s="167"/>
      <c r="E62" s="167"/>
      <c r="F62" s="167"/>
      <c r="G62" s="167"/>
      <c r="H62" s="167"/>
      <c r="I62" s="167"/>
      <c r="J62" s="166"/>
    </row>
  </sheetData>
  <mergeCells count="1">
    <mergeCell ref="B52:J62"/>
  </mergeCells>
  <conditionalFormatting sqref="B9">
    <cfRule type="cellIs" dxfId="7" priority="4" stopIfTrue="1" operator="equal">
      <formula>"Adjustment to Income/Expense/Rate Base:"</formula>
    </cfRule>
  </conditionalFormatting>
  <conditionalFormatting sqref="B19">
    <cfRule type="cellIs" dxfId="6" priority="3" stopIfTrue="1" operator="equal">
      <formula>"Adjustment to Income/Expense/Rate Base:"</formula>
    </cfRule>
  </conditionalFormatting>
  <conditionalFormatting sqref="B14">
    <cfRule type="cellIs" dxfId="5" priority="2" stopIfTrue="1" operator="equal">
      <formula>"Adjustment to Income/Expense/Rate Base:"</formula>
    </cfRule>
  </conditionalFormatting>
  <conditionalFormatting sqref="B30">
    <cfRule type="cellIs" dxfId="4" priority="1" stopIfTrue="1" operator="equal">
      <formula>"Adjustment to Income/Expense/Rate Base:"</formula>
    </cfRule>
  </conditionalFormatting>
  <pageMargins left="0.7" right="0.7" top="0.75" bottom="0.75" header="0.3" footer="0.3"/>
  <pageSetup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1BBA-318F-46D6-AF70-91718894A2CC}">
  <dimension ref="A1:D23"/>
  <sheetViews>
    <sheetView view="pageBreakPreview" zoomScale="85" zoomScaleNormal="100" zoomScaleSheetLayoutView="85" workbookViewId="0">
      <selection activeCell="I67" sqref="I67"/>
    </sheetView>
  </sheetViews>
  <sheetFormatPr defaultColWidth="9.140625" defaultRowHeight="12.75" x14ac:dyDescent="0.2"/>
  <cols>
    <col min="1" max="1" width="19.140625" style="195" customWidth="1"/>
    <col min="2" max="2" width="15" style="195" bestFit="1" customWidth="1"/>
    <col min="3" max="3" width="15.28515625" style="195" bestFit="1" customWidth="1"/>
    <col min="4" max="4" width="18.42578125" style="195" customWidth="1"/>
    <col min="5" max="5" width="16.85546875" style="195" bestFit="1" customWidth="1"/>
    <col min="6" max="6" width="6.140625" style="195" bestFit="1" customWidth="1"/>
    <col min="7" max="16384" width="9.140625" style="195"/>
  </cols>
  <sheetData>
    <row r="1" spans="1:4" x14ac:dyDescent="0.2">
      <c r="A1" s="217" t="str">
        <f>'Lead Sheet ADJ_2'!B1</f>
        <v>PacifiCorp</v>
      </c>
      <c r="D1" s="219" t="s">
        <v>253</v>
      </c>
    </row>
    <row r="2" spans="1:4" x14ac:dyDescent="0.2">
      <c r="A2" s="217" t="str">
        <f>'Lead Sheet ADJ_2'!B2</f>
        <v>Washington Limited-Issue Rate Filing</v>
      </c>
    </row>
    <row r="3" spans="1:4" x14ac:dyDescent="0.2">
      <c r="A3" s="217" t="str">
        <f>'Lead Sheet ADJ_2'!B3</f>
        <v>WIJAM Transmission Transition Adjustment</v>
      </c>
    </row>
    <row r="4" spans="1:4" x14ac:dyDescent="0.2">
      <c r="A4" s="217" t="s">
        <v>252</v>
      </c>
    </row>
    <row r="5" spans="1:4" x14ac:dyDescent="0.2">
      <c r="A5" s="217"/>
    </row>
    <row r="6" spans="1:4" x14ac:dyDescent="0.2">
      <c r="A6" s="217" t="s">
        <v>251</v>
      </c>
    </row>
    <row r="7" spans="1:4" x14ac:dyDescent="0.2">
      <c r="A7" s="195" t="s">
        <v>248</v>
      </c>
      <c r="B7" s="236">
        <v>17801179.050000001</v>
      </c>
      <c r="C7" s="221" t="s">
        <v>247</v>
      </c>
    </row>
    <row r="8" spans="1:4" x14ac:dyDescent="0.2">
      <c r="A8" s="195" t="s">
        <v>188</v>
      </c>
      <c r="B8" s="267">
        <v>-3308338.51</v>
      </c>
      <c r="C8" s="221" t="s">
        <v>247</v>
      </c>
    </row>
    <row r="9" spans="1:4" x14ac:dyDescent="0.2">
      <c r="A9" s="195" t="s">
        <v>246</v>
      </c>
      <c r="B9" s="236">
        <f>SUM(B7:B8)</f>
        <v>14492840.540000001</v>
      </c>
    </row>
    <row r="13" spans="1:4" x14ac:dyDescent="0.2">
      <c r="A13" s="217" t="s">
        <v>250</v>
      </c>
    </row>
    <row r="14" spans="1:4" x14ac:dyDescent="0.2">
      <c r="A14" s="195" t="s">
        <v>248</v>
      </c>
      <c r="B14" s="236">
        <v>166691345.50999996</v>
      </c>
      <c r="C14" s="221" t="s">
        <v>247</v>
      </c>
    </row>
    <row r="15" spans="1:4" x14ac:dyDescent="0.2">
      <c r="A15" s="195" t="s">
        <v>188</v>
      </c>
      <c r="B15" s="267">
        <v>-43825892.300000012</v>
      </c>
      <c r="C15" s="221" t="s">
        <v>247</v>
      </c>
    </row>
    <row r="16" spans="1:4" x14ac:dyDescent="0.2">
      <c r="A16" s="195" t="s">
        <v>246</v>
      </c>
      <c r="B16" s="236">
        <f>SUM(B14:B15)</f>
        <v>122865453.20999995</v>
      </c>
    </row>
    <row r="20" spans="1:3" x14ac:dyDescent="0.2">
      <c r="A20" s="217" t="s">
        <v>249</v>
      </c>
    </row>
    <row r="21" spans="1:3" x14ac:dyDescent="0.2">
      <c r="A21" s="195" t="s">
        <v>248</v>
      </c>
      <c r="B21" s="202">
        <f>B7+B14</f>
        <v>184492524.55999997</v>
      </c>
      <c r="C21" s="221" t="s">
        <v>247</v>
      </c>
    </row>
    <row r="22" spans="1:3" x14ac:dyDescent="0.2">
      <c r="A22" s="195" t="s">
        <v>188</v>
      </c>
      <c r="B22" s="268">
        <f>B8+B15</f>
        <v>-47134230.81000001</v>
      </c>
      <c r="C22" s="221" t="s">
        <v>247</v>
      </c>
    </row>
    <row r="23" spans="1:3" x14ac:dyDescent="0.2">
      <c r="A23" s="195" t="s">
        <v>246</v>
      </c>
      <c r="B23" s="202">
        <f>SUM(B21:B22)</f>
        <v>137358293.74999997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A1A11-08C8-400D-B542-7A260CE65097}">
  <sheetPr>
    <pageSetUpPr fitToPage="1"/>
  </sheetPr>
  <dimension ref="A1:Z67"/>
  <sheetViews>
    <sheetView view="pageBreakPreview" topLeftCell="A16" zoomScale="70" zoomScaleNormal="80" zoomScaleSheetLayoutView="70" workbookViewId="0">
      <selection activeCell="I67" sqref="I67"/>
    </sheetView>
  </sheetViews>
  <sheetFormatPr defaultColWidth="9.140625" defaultRowHeight="12" customHeight="1" x14ac:dyDescent="0.2"/>
  <cols>
    <col min="1" max="1" width="26.140625" style="195" customWidth="1"/>
    <col min="2" max="3" width="11.7109375" style="195" customWidth="1"/>
    <col min="4" max="4" width="16.42578125" style="195" bestFit="1" customWidth="1"/>
    <col min="5" max="9" width="14.5703125" style="195" bestFit="1" customWidth="1"/>
    <col min="10" max="10" width="17" style="195" bestFit="1" customWidth="1"/>
    <col min="11" max="16" width="14.5703125" style="195" bestFit="1" customWidth="1"/>
    <col min="17" max="17" width="6" style="195" customWidth="1"/>
    <col min="18" max="18" width="7.7109375" style="195" bestFit="1" customWidth="1"/>
    <col min="19" max="19" width="12.28515625" style="195" bestFit="1" customWidth="1"/>
    <col min="20" max="20" width="8.140625" style="195" bestFit="1" customWidth="1"/>
    <col min="21" max="16384" width="9.140625" style="195"/>
  </cols>
  <sheetData>
    <row r="1" spans="1:26" ht="15" customHeight="1" x14ac:dyDescent="0.2">
      <c r="A1" s="217" t="str">
        <f>'Lead Sheet ADJ_2'!B1</f>
        <v>PacifiCorp</v>
      </c>
    </row>
    <row r="2" spans="1:26" ht="12" customHeight="1" x14ac:dyDescent="0.2">
      <c r="A2" s="217" t="str">
        <f>'Lead Sheet ADJ_2'!B2</f>
        <v>Washington Limited-Issue Rate Filing</v>
      </c>
    </row>
    <row r="3" spans="1:26" ht="12" customHeight="1" x14ac:dyDescent="0.2">
      <c r="A3" s="217" t="str">
        <f>'Lead Sheet ADJ_2'!B3</f>
        <v>WIJAM Transmission Transition Adjustment</v>
      </c>
    </row>
    <row r="4" spans="1:26" ht="12" customHeight="1" x14ac:dyDescent="0.2">
      <c r="A4" s="217" t="s">
        <v>270</v>
      </c>
    </row>
    <row r="5" spans="1:26" ht="12" customHeight="1" x14ac:dyDescent="0.2">
      <c r="A5" s="217"/>
    </row>
    <row r="6" spans="1:26" ht="12" customHeight="1" x14ac:dyDescent="0.2">
      <c r="A6" s="283" t="s">
        <v>269</v>
      </c>
      <c r="B6" s="282"/>
      <c r="C6" s="282"/>
      <c r="D6" s="282"/>
    </row>
    <row r="7" spans="1:26" ht="13.5" customHeight="1" x14ac:dyDescent="0.2"/>
    <row r="8" spans="1:26" ht="13.5" customHeight="1" x14ac:dyDescent="0.2">
      <c r="A8" s="235" t="s">
        <v>190</v>
      </c>
      <c r="D8" s="217"/>
      <c r="E8" s="217"/>
      <c r="F8" s="217"/>
      <c r="G8" s="217"/>
      <c r="H8" s="217"/>
      <c r="I8" s="217"/>
      <c r="J8" s="217"/>
      <c r="K8" s="217"/>
      <c r="L8" s="217"/>
      <c r="M8" s="217"/>
      <c r="N8" s="217"/>
      <c r="O8" s="217"/>
      <c r="P8" s="217"/>
      <c r="Q8" s="217"/>
    </row>
    <row r="9" spans="1:26" ht="13.5" customHeight="1" x14ac:dyDescent="0.2">
      <c r="D9" s="217"/>
      <c r="E9" s="217"/>
      <c r="F9" s="217"/>
      <c r="G9" s="217"/>
      <c r="H9" s="217"/>
      <c r="I9" s="217"/>
      <c r="J9" s="217"/>
      <c r="K9" s="217"/>
      <c r="L9" s="217"/>
      <c r="M9" s="217"/>
      <c r="N9" s="217"/>
      <c r="O9" s="217"/>
      <c r="P9" s="217"/>
      <c r="Q9" s="217"/>
      <c r="S9" s="228"/>
    </row>
    <row r="10" spans="1:26" ht="13.5" customHeight="1" x14ac:dyDescent="0.2">
      <c r="B10" s="217" t="s">
        <v>187</v>
      </c>
      <c r="C10" s="228" t="s">
        <v>186</v>
      </c>
      <c r="D10" s="234">
        <v>44166</v>
      </c>
      <c r="E10" s="226"/>
      <c r="F10" s="226"/>
      <c r="G10" s="226"/>
      <c r="H10" s="226"/>
      <c r="I10" s="226"/>
      <c r="J10" s="226"/>
      <c r="K10" s="226"/>
      <c r="L10" s="226"/>
      <c r="M10" s="226"/>
      <c r="N10" s="226"/>
      <c r="O10" s="226"/>
      <c r="P10" s="226"/>
      <c r="Q10" s="226"/>
      <c r="S10" s="228"/>
    </row>
    <row r="11" spans="1:26" ht="13.5" customHeight="1" x14ac:dyDescent="0.2">
      <c r="A11" s="276" t="s">
        <v>193</v>
      </c>
      <c r="B11" s="279">
        <v>353</v>
      </c>
      <c r="C11" s="233" t="s">
        <v>236</v>
      </c>
      <c r="D11" s="286">
        <f>'Page ADJ_2.1'!B7</f>
        <v>17801179.050000001</v>
      </c>
      <c r="E11" s="226"/>
      <c r="F11" s="226"/>
      <c r="G11" s="226"/>
      <c r="H11" s="226"/>
      <c r="I11" s="226"/>
      <c r="J11" s="226"/>
      <c r="K11" s="226"/>
      <c r="L11" s="226"/>
      <c r="M11" s="226"/>
      <c r="N11" s="226"/>
      <c r="O11" s="226"/>
      <c r="P11" s="226"/>
      <c r="Q11" s="226"/>
      <c r="S11" s="228"/>
    </row>
    <row r="12" spans="1:26" ht="13.5" customHeight="1" x14ac:dyDescent="0.2">
      <c r="A12" s="276" t="s">
        <v>193</v>
      </c>
      <c r="B12" s="279">
        <v>353</v>
      </c>
      <c r="C12" s="233" t="s">
        <v>237</v>
      </c>
      <c r="D12" s="285">
        <f>'Page ADJ_2.1'!B14</f>
        <v>166691345.50999996</v>
      </c>
      <c r="E12" s="226"/>
      <c r="F12" s="226"/>
      <c r="G12" s="226"/>
      <c r="H12" s="226"/>
      <c r="I12" s="226"/>
      <c r="J12" s="226"/>
      <c r="K12" s="226"/>
      <c r="L12" s="226"/>
      <c r="M12" s="226"/>
      <c r="N12" s="226"/>
      <c r="O12" s="226"/>
      <c r="P12" s="226"/>
      <c r="Q12" s="226"/>
      <c r="S12" s="228"/>
    </row>
    <row r="13" spans="1:26" ht="13.5" customHeight="1" x14ac:dyDescent="0.2">
      <c r="A13" s="276" t="s">
        <v>193</v>
      </c>
      <c r="B13" s="279">
        <v>353</v>
      </c>
      <c r="C13" s="279" t="s">
        <v>133</v>
      </c>
      <c r="D13" s="221">
        <f>'Page ADJ_2.1'!B21</f>
        <v>184492524.55999997</v>
      </c>
      <c r="E13" s="221" t="s">
        <v>266</v>
      </c>
      <c r="F13" s="202"/>
      <c r="G13" s="202"/>
      <c r="H13" s="202"/>
      <c r="I13" s="202"/>
      <c r="J13" s="202"/>
      <c r="K13" s="202"/>
      <c r="L13" s="202"/>
      <c r="M13" s="202"/>
      <c r="N13" s="202"/>
      <c r="O13" s="202"/>
      <c r="P13" s="202"/>
      <c r="Q13" s="202"/>
      <c r="S13" s="228"/>
    </row>
    <row r="14" spans="1:26" ht="13.5" customHeight="1" x14ac:dyDescent="0.2">
      <c r="D14" s="202"/>
      <c r="E14" s="202"/>
      <c r="F14" s="202"/>
      <c r="G14" s="202"/>
      <c r="H14" s="202"/>
      <c r="I14" s="202"/>
      <c r="J14" s="202"/>
      <c r="K14" s="202"/>
      <c r="Q14" s="202"/>
      <c r="R14" s="228"/>
      <c r="S14" s="221"/>
      <c r="T14" s="217"/>
      <c r="U14" s="217"/>
    </row>
    <row r="15" spans="1:26" ht="13.5" customHeight="1" x14ac:dyDescent="0.2">
      <c r="Q15" s="226"/>
      <c r="S15" s="228"/>
      <c r="Z15" s="284"/>
    </row>
    <row r="16" spans="1:26" ht="13.5" customHeight="1" x14ac:dyDescent="0.2">
      <c r="A16" s="235" t="s">
        <v>189</v>
      </c>
      <c r="Q16" s="202"/>
      <c r="R16" s="228"/>
      <c r="S16" s="221"/>
      <c r="T16" s="217"/>
      <c r="Z16" s="284"/>
    </row>
    <row r="17" spans="1:26" ht="13.5" customHeight="1" x14ac:dyDescent="0.2">
      <c r="B17" s="217" t="s">
        <v>187</v>
      </c>
      <c r="C17" s="228" t="s">
        <v>186</v>
      </c>
      <c r="D17" s="234" t="s">
        <v>265</v>
      </c>
      <c r="E17" s="234" t="s">
        <v>264</v>
      </c>
      <c r="F17" s="234" t="s">
        <v>171</v>
      </c>
      <c r="G17" s="226"/>
      <c r="H17" s="226"/>
      <c r="I17" s="226"/>
      <c r="J17" s="226"/>
      <c r="K17" s="226"/>
      <c r="L17" s="226"/>
      <c r="M17" s="226"/>
      <c r="N17" s="226"/>
      <c r="O17" s="226"/>
      <c r="P17" s="226"/>
      <c r="Q17" s="202"/>
      <c r="R17" s="228"/>
      <c r="S17" s="221"/>
      <c r="T17" s="217"/>
      <c r="Z17" s="284"/>
    </row>
    <row r="18" spans="1:26" ht="13.5" customHeight="1" x14ac:dyDescent="0.2">
      <c r="A18" s="276" t="s">
        <v>193</v>
      </c>
      <c r="B18" s="181" t="s">
        <v>150</v>
      </c>
      <c r="C18" s="233" t="s">
        <v>133</v>
      </c>
      <c r="D18" s="221">
        <f>D13*E27</f>
        <v>3160739.6217700024</v>
      </c>
      <c r="E18" s="202">
        <f>(D11*E31)+(D12*E32)</f>
        <v>3205160.9295660253</v>
      </c>
      <c r="F18" s="202">
        <f>D18-E18</f>
        <v>-44421.307796022855</v>
      </c>
      <c r="G18" s="202"/>
      <c r="H18" s="202"/>
      <c r="I18" s="202"/>
      <c r="J18" s="202"/>
      <c r="K18" s="278"/>
      <c r="L18" s="278"/>
      <c r="M18" s="278"/>
      <c r="N18" s="278"/>
      <c r="O18" s="278"/>
      <c r="P18" s="278"/>
      <c r="Q18" s="202"/>
      <c r="R18" s="228"/>
      <c r="S18" s="221"/>
      <c r="T18" s="217"/>
    </row>
    <row r="19" spans="1:26" ht="13.5" customHeight="1" x14ac:dyDescent="0.2">
      <c r="A19" s="232"/>
      <c r="D19" s="277" t="s">
        <v>247</v>
      </c>
      <c r="E19" s="221"/>
      <c r="Q19" s="202"/>
    </row>
    <row r="20" spans="1:26" ht="13.5" customHeight="1" x14ac:dyDescent="0.2">
      <c r="A20" s="217"/>
      <c r="Q20" s="202"/>
    </row>
    <row r="21" spans="1:26" ht="13.5" customHeight="1" x14ac:dyDescent="0.2">
      <c r="A21" s="235" t="s">
        <v>263</v>
      </c>
      <c r="Q21" s="202"/>
    </row>
    <row r="22" spans="1:26" ht="13.5" customHeight="1" x14ac:dyDescent="0.2">
      <c r="B22" s="217" t="s">
        <v>187</v>
      </c>
      <c r="C22" s="228" t="s">
        <v>186</v>
      </c>
      <c r="D22" s="234">
        <v>44166</v>
      </c>
      <c r="E22" s="234">
        <v>44197</v>
      </c>
      <c r="F22" s="234">
        <v>44228</v>
      </c>
      <c r="G22" s="234">
        <v>44256</v>
      </c>
      <c r="H22" s="234">
        <v>44287</v>
      </c>
      <c r="I22" s="234">
        <v>44317</v>
      </c>
      <c r="J22" s="234">
        <v>44348</v>
      </c>
      <c r="K22" s="234">
        <v>44378</v>
      </c>
      <c r="L22" s="234">
        <v>44409</v>
      </c>
      <c r="M22" s="234">
        <v>44440</v>
      </c>
      <c r="N22" s="234">
        <v>44470</v>
      </c>
      <c r="O22" s="234">
        <v>44501</v>
      </c>
      <c r="P22" s="234">
        <v>44531</v>
      </c>
      <c r="Q22" s="202"/>
    </row>
    <row r="23" spans="1:26" ht="13.5" customHeight="1" x14ac:dyDescent="0.2">
      <c r="A23" s="276" t="s">
        <v>193</v>
      </c>
      <c r="B23" s="181" t="s">
        <v>144</v>
      </c>
      <c r="C23" s="233" t="s">
        <v>133</v>
      </c>
      <c r="D23" s="202">
        <v>0</v>
      </c>
      <c r="E23" s="202">
        <f>-$F$18/12</f>
        <v>3701.7756496685711</v>
      </c>
      <c r="F23" s="202">
        <f>E23+(-$F$18/12)</f>
        <v>7403.5512993371422</v>
      </c>
      <c r="G23" s="202">
        <f>F23+(-$F$18/12)</f>
        <v>11105.326949005714</v>
      </c>
      <c r="H23" s="202">
        <f>G23+(-$F$18/12)</f>
        <v>14807.102598674284</v>
      </c>
      <c r="I23" s="202">
        <f>H23+(-$F$18/12)</f>
        <v>18508.878248342855</v>
      </c>
      <c r="J23" s="202">
        <f>I23+(-$F$18/12)</f>
        <v>22210.653898011427</v>
      </c>
      <c r="K23" s="202">
        <f>J23+(-$F$18/12)</f>
        <v>25912.42954768</v>
      </c>
      <c r="L23" s="202">
        <f>K23+(-$F$18/12)</f>
        <v>29614.205197348572</v>
      </c>
      <c r="M23" s="202">
        <f>L23+(-$F$18/12)</f>
        <v>33315.980847017141</v>
      </c>
      <c r="N23" s="202">
        <f>M23+(-$F$18/12)</f>
        <v>37017.75649668571</v>
      </c>
      <c r="O23" s="202">
        <f>N23+(-$F$18/12)</f>
        <v>40719.532146354279</v>
      </c>
      <c r="P23" s="202">
        <f>O23+(-$F$18/12)</f>
        <v>44421.307796022847</v>
      </c>
      <c r="S23" s="228"/>
    </row>
    <row r="24" spans="1:26" ht="13.5" customHeight="1" x14ac:dyDescent="0.2">
      <c r="Q24" s="202"/>
      <c r="R24" s="239"/>
      <c r="S24" s="221"/>
      <c r="T24" s="217"/>
    </row>
    <row r="25" spans="1:26" ht="13.5" customHeight="1" x14ac:dyDescent="0.2"/>
    <row r="26" spans="1:26" ht="13.5" customHeight="1" thickBot="1" x14ac:dyDescent="0.25">
      <c r="A26" s="215"/>
      <c r="C26" s="275"/>
      <c r="D26" s="274"/>
    </row>
    <row r="27" spans="1:26" ht="13.5" customHeight="1" x14ac:dyDescent="0.2">
      <c r="A27" s="215" t="s">
        <v>261</v>
      </c>
      <c r="C27" s="224"/>
      <c r="E27" s="272">
        <v>1.7132074209012617E-2</v>
      </c>
      <c r="H27" s="213"/>
      <c r="I27" s="273" t="s">
        <v>171</v>
      </c>
      <c r="J27" s="273" t="s">
        <v>262</v>
      </c>
      <c r="K27" s="218"/>
    </row>
    <row r="28" spans="1:26" ht="13.5" customHeight="1" x14ac:dyDescent="0.2">
      <c r="A28" s="215" t="s">
        <v>258</v>
      </c>
      <c r="E28" s="269">
        <v>1.7718915603814271E-2</v>
      </c>
      <c r="H28" s="209"/>
      <c r="I28" s="271" t="s">
        <v>260</v>
      </c>
      <c r="J28" s="271" t="s">
        <v>259</v>
      </c>
      <c r="K28" s="206" t="s">
        <v>171</v>
      </c>
    </row>
    <row r="29" spans="1:26" ht="13.5" customHeight="1" thickBot="1" x14ac:dyDescent="0.25">
      <c r="A29" s="215" t="s">
        <v>257</v>
      </c>
      <c r="E29" s="269">
        <v>1.6945306699861898E-2</v>
      </c>
      <c r="H29" s="200" t="s">
        <v>144</v>
      </c>
      <c r="I29" s="199"/>
      <c r="J29" s="199">
        <f>(((D23+P23)+(SUM(E23:O23)*2))/24)</f>
        <v>22210.653898011427</v>
      </c>
      <c r="K29" s="197">
        <f>J29-I29</f>
        <v>22210.653898011427</v>
      </c>
      <c r="L29" s="221" t="s">
        <v>247</v>
      </c>
      <c r="N29" s="202"/>
    </row>
    <row r="30" spans="1:26" ht="12" customHeight="1" x14ac:dyDescent="0.2">
      <c r="J30" s="270"/>
    </row>
    <row r="31" spans="1:26" ht="14.25" customHeight="1" x14ac:dyDescent="0.2">
      <c r="A31" s="215" t="s">
        <v>256</v>
      </c>
      <c r="E31" s="269">
        <v>1.7991386396310569E-2</v>
      </c>
      <c r="J31" s="270"/>
    </row>
    <row r="32" spans="1:26" ht="12" customHeight="1" x14ac:dyDescent="0.2">
      <c r="A32" s="215" t="s">
        <v>255</v>
      </c>
      <c r="C32" s="224"/>
      <c r="E32" s="269">
        <v>1.7306795563627502E-2</v>
      </c>
    </row>
    <row r="34" spans="1:17" ht="12" customHeight="1" x14ac:dyDescent="0.2">
      <c r="A34" s="195" t="s">
        <v>268</v>
      </c>
    </row>
    <row r="37" spans="1:17" ht="12" customHeight="1" x14ac:dyDescent="0.2">
      <c r="A37" s="283" t="s">
        <v>267</v>
      </c>
      <c r="B37" s="282"/>
      <c r="C37" s="282"/>
    </row>
    <row r="39" spans="1:17" ht="12" customHeight="1" x14ac:dyDescent="0.2">
      <c r="A39" s="235" t="s">
        <v>190</v>
      </c>
      <c r="D39" s="217"/>
      <c r="E39" s="217"/>
      <c r="F39" s="217"/>
      <c r="G39" s="217"/>
      <c r="H39" s="217"/>
      <c r="I39" s="217"/>
      <c r="J39" s="217"/>
      <c r="K39" s="217"/>
      <c r="L39" s="217"/>
      <c r="M39" s="217"/>
      <c r="N39" s="217"/>
      <c r="O39" s="217"/>
      <c r="P39" s="217"/>
      <c r="Q39" s="217"/>
    </row>
    <row r="40" spans="1:17" ht="12" customHeight="1" x14ac:dyDescent="0.2">
      <c r="D40" s="217"/>
      <c r="E40" s="217"/>
      <c r="F40" s="217"/>
      <c r="G40" s="217"/>
      <c r="H40" s="217"/>
      <c r="I40" s="217"/>
      <c r="J40" s="217"/>
      <c r="K40" s="217"/>
      <c r="L40" s="217"/>
      <c r="M40" s="217"/>
      <c r="N40" s="217"/>
      <c r="O40" s="217"/>
      <c r="P40" s="217"/>
      <c r="Q40" s="217"/>
    </row>
    <row r="41" spans="1:17" ht="12" customHeight="1" x14ac:dyDescent="0.2">
      <c r="B41" s="217" t="s">
        <v>187</v>
      </c>
      <c r="C41" s="228" t="s">
        <v>186</v>
      </c>
      <c r="D41" s="234">
        <v>44166</v>
      </c>
      <c r="E41" s="226"/>
      <c r="F41" s="226"/>
      <c r="G41" s="226"/>
      <c r="H41" s="226"/>
      <c r="I41" s="226"/>
      <c r="J41" s="226"/>
      <c r="K41" s="226"/>
      <c r="L41" s="226"/>
      <c r="M41" s="226"/>
      <c r="N41" s="226"/>
      <c r="O41" s="226"/>
      <c r="P41" s="226"/>
      <c r="Q41" s="226"/>
    </row>
    <row r="42" spans="1:17" ht="12" customHeight="1" x14ac:dyDescent="0.2">
      <c r="A42" s="276" t="s">
        <v>193</v>
      </c>
      <c r="B42" s="279">
        <v>353</v>
      </c>
      <c r="C42" s="233" t="s">
        <v>236</v>
      </c>
      <c r="D42" s="281">
        <f>'Page ADJ_2.1'!B7</f>
        <v>17801179.050000001</v>
      </c>
      <c r="E42" s="221" t="s">
        <v>266</v>
      </c>
      <c r="F42" s="226"/>
      <c r="G42" s="226"/>
      <c r="H42" s="226"/>
      <c r="I42" s="226"/>
      <c r="J42" s="226"/>
      <c r="K42" s="226"/>
      <c r="L42" s="226"/>
      <c r="M42" s="226"/>
      <c r="N42" s="226"/>
      <c r="O42" s="226"/>
      <c r="P42" s="226"/>
      <c r="Q42" s="226"/>
    </row>
    <row r="43" spans="1:17" ht="12" customHeight="1" x14ac:dyDescent="0.2">
      <c r="A43" s="276" t="s">
        <v>193</v>
      </c>
      <c r="B43" s="279">
        <v>353</v>
      </c>
      <c r="C43" s="233" t="s">
        <v>237</v>
      </c>
      <c r="D43" s="280">
        <f>'Page ADJ_2.1'!B14</f>
        <v>166691345.50999996</v>
      </c>
      <c r="E43" s="221" t="s">
        <v>266</v>
      </c>
      <c r="F43" s="226"/>
      <c r="G43" s="226"/>
      <c r="H43" s="226"/>
      <c r="I43" s="226"/>
      <c r="J43" s="226"/>
      <c r="K43" s="226"/>
      <c r="L43" s="226"/>
      <c r="M43" s="226"/>
      <c r="N43" s="226"/>
      <c r="O43" s="226"/>
      <c r="P43" s="226"/>
      <c r="Q43" s="226"/>
    </row>
    <row r="44" spans="1:17" ht="12" customHeight="1" x14ac:dyDescent="0.2">
      <c r="A44" s="276" t="s">
        <v>193</v>
      </c>
      <c r="B44" s="279">
        <v>353</v>
      </c>
      <c r="C44" s="279" t="s">
        <v>133</v>
      </c>
      <c r="D44" s="202">
        <f>'Page ADJ_2.1'!B21</f>
        <v>184492524.55999997</v>
      </c>
      <c r="F44" s="202"/>
      <c r="G44" s="202"/>
      <c r="H44" s="202"/>
      <c r="I44" s="202"/>
      <c r="J44" s="202"/>
      <c r="K44" s="202"/>
      <c r="L44" s="202"/>
      <c r="M44" s="202"/>
      <c r="N44" s="202"/>
      <c r="O44" s="202"/>
      <c r="P44" s="202"/>
      <c r="Q44" s="202"/>
    </row>
    <row r="45" spans="1:17" ht="12" customHeight="1" x14ac:dyDescent="0.2">
      <c r="D45" s="202"/>
      <c r="E45" s="202"/>
      <c r="F45" s="202"/>
      <c r="G45" s="202"/>
      <c r="H45" s="202"/>
      <c r="I45" s="202"/>
      <c r="J45" s="202"/>
      <c r="K45" s="202"/>
      <c r="Q45" s="202"/>
    </row>
    <row r="46" spans="1:17" ht="12" customHeight="1" x14ac:dyDescent="0.2">
      <c r="Q46" s="226"/>
    </row>
    <row r="47" spans="1:17" ht="12" customHeight="1" x14ac:dyDescent="0.2">
      <c r="A47" s="235" t="s">
        <v>189</v>
      </c>
      <c r="Q47" s="202"/>
    </row>
    <row r="48" spans="1:17" ht="12" customHeight="1" x14ac:dyDescent="0.2">
      <c r="B48" s="217" t="s">
        <v>187</v>
      </c>
      <c r="C48" s="228" t="s">
        <v>186</v>
      </c>
      <c r="D48" s="234" t="s">
        <v>265</v>
      </c>
      <c r="E48" s="234" t="s">
        <v>264</v>
      </c>
      <c r="F48" s="234" t="s">
        <v>171</v>
      </c>
      <c r="G48" s="226"/>
      <c r="H48" s="226"/>
      <c r="I48" s="226"/>
      <c r="J48" s="226"/>
      <c r="K48" s="226"/>
      <c r="L48" s="226"/>
      <c r="M48" s="226"/>
      <c r="N48" s="226"/>
      <c r="O48" s="226"/>
      <c r="P48" s="226"/>
      <c r="Q48" s="202"/>
    </row>
    <row r="49" spans="1:17" ht="12" customHeight="1" x14ac:dyDescent="0.2">
      <c r="A49" s="276" t="s">
        <v>193</v>
      </c>
      <c r="B49" s="181" t="s">
        <v>150</v>
      </c>
      <c r="C49" s="233" t="s">
        <v>236</v>
      </c>
      <c r="D49" s="221">
        <f>D42*E61</f>
        <v>315417.58923533669</v>
      </c>
      <c r="E49" s="202">
        <f>D42*E64</f>
        <v>320267.8905984587</v>
      </c>
      <c r="F49" s="202">
        <f>D49-E49</f>
        <v>-4850.3013631220092</v>
      </c>
      <c r="G49" s="202"/>
      <c r="H49" s="202"/>
      <c r="I49" s="202"/>
      <c r="J49" s="202"/>
      <c r="K49" s="278"/>
      <c r="L49" s="278"/>
      <c r="M49" s="278"/>
      <c r="N49" s="278"/>
      <c r="O49" s="278"/>
      <c r="P49" s="278"/>
      <c r="Q49" s="202"/>
    </row>
    <row r="50" spans="1:17" ht="12" customHeight="1" x14ac:dyDescent="0.2">
      <c r="A50" s="276" t="s">
        <v>193</v>
      </c>
      <c r="B50" s="181" t="s">
        <v>150</v>
      </c>
      <c r="C50" s="233" t="s">
        <v>237</v>
      </c>
      <c r="D50" s="221">
        <f>D43*E62</f>
        <v>2824635.9738795967</v>
      </c>
      <c r="E50" s="202">
        <f>D43*E65</f>
        <v>2884893.0389675666</v>
      </c>
      <c r="F50" s="202">
        <f>D50-E50</f>
        <v>-60257.065087969881</v>
      </c>
      <c r="G50" s="202"/>
      <c r="H50" s="202"/>
      <c r="I50" s="202"/>
      <c r="J50" s="202"/>
      <c r="K50" s="278"/>
      <c r="L50" s="278"/>
      <c r="M50" s="278"/>
      <c r="N50" s="278"/>
      <c r="O50" s="278"/>
      <c r="P50" s="278"/>
      <c r="Q50" s="202"/>
    </row>
    <row r="51" spans="1:17" ht="12" customHeight="1" x14ac:dyDescent="0.2">
      <c r="A51" s="232"/>
      <c r="D51" s="277" t="s">
        <v>247</v>
      </c>
      <c r="E51" s="221"/>
      <c r="Q51" s="202"/>
    </row>
    <row r="52" spans="1:17" ht="12" customHeight="1" x14ac:dyDescent="0.2">
      <c r="A52" s="217"/>
      <c r="Q52" s="202"/>
    </row>
    <row r="53" spans="1:17" ht="12" customHeight="1" x14ac:dyDescent="0.2">
      <c r="A53" s="235" t="s">
        <v>263</v>
      </c>
      <c r="Q53" s="202"/>
    </row>
    <row r="54" spans="1:17" ht="12" customHeight="1" x14ac:dyDescent="0.2">
      <c r="B54" s="217" t="s">
        <v>187</v>
      </c>
      <c r="C54" s="228" t="s">
        <v>186</v>
      </c>
      <c r="D54" s="234">
        <v>44166</v>
      </c>
      <c r="E54" s="234">
        <v>44197</v>
      </c>
      <c r="F54" s="234">
        <v>44228</v>
      </c>
      <c r="G54" s="234">
        <v>44256</v>
      </c>
      <c r="H54" s="234">
        <v>44287</v>
      </c>
      <c r="I54" s="234">
        <v>44317</v>
      </c>
      <c r="J54" s="234">
        <v>44348</v>
      </c>
      <c r="K54" s="234">
        <v>44378</v>
      </c>
      <c r="L54" s="234">
        <v>44409</v>
      </c>
      <c r="M54" s="234">
        <v>44440</v>
      </c>
      <c r="N54" s="234">
        <v>44470</v>
      </c>
      <c r="O54" s="234">
        <v>44501</v>
      </c>
      <c r="P54" s="234">
        <v>44531</v>
      </c>
      <c r="Q54" s="202"/>
    </row>
    <row r="55" spans="1:17" ht="12" customHeight="1" x14ac:dyDescent="0.2">
      <c r="A55" s="276" t="s">
        <v>193</v>
      </c>
      <c r="B55" s="181" t="s">
        <v>144</v>
      </c>
      <c r="C55" s="233" t="s">
        <v>236</v>
      </c>
      <c r="D55" s="202">
        <v>0</v>
      </c>
      <c r="E55" s="202">
        <f>-$F$49/12</f>
        <v>404.19178026016743</v>
      </c>
      <c r="F55" s="202">
        <f>E55+(-$F$49/12)</f>
        <v>808.38356052033487</v>
      </c>
      <c r="G55" s="202">
        <f>F55+(-$F$49/12)</f>
        <v>1212.5753407805023</v>
      </c>
      <c r="H55" s="202">
        <f>G55+(-$F$49/12)</f>
        <v>1616.7671210406697</v>
      </c>
      <c r="I55" s="202">
        <f>H55+(-$F$49/12)</f>
        <v>2020.9589013008372</v>
      </c>
      <c r="J55" s="202">
        <f>I55+(-$F$49/12)</f>
        <v>2425.1506815610046</v>
      </c>
      <c r="K55" s="202">
        <f>J55+(-$F$49/12)</f>
        <v>2829.342461821172</v>
      </c>
      <c r="L55" s="202">
        <f>K55+(-$F$49/12)</f>
        <v>3233.5342420813395</v>
      </c>
      <c r="M55" s="202">
        <f>L55+(-$F$49/12)</f>
        <v>3637.7260223415069</v>
      </c>
      <c r="N55" s="202">
        <f>M55+(-$F$49/12)</f>
        <v>4041.9178026016743</v>
      </c>
      <c r="O55" s="202">
        <f>N55+(-$F$49/12)</f>
        <v>4446.1095828618418</v>
      </c>
      <c r="P55" s="202">
        <f>O55+(-$F$49/12)</f>
        <v>4850.3013631220092</v>
      </c>
    </row>
    <row r="56" spans="1:17" ht="12" customHeight="1" x14ac:dyDescent="0.2">
      <c r="A56" s="276" t="s">
        <v>193</v>
      </c>
      <c r="B56" s="181" t="s">
        <v>144</v>
      </c>
      <c r="C56" s="233" t="s">
        <v>237</v>
      </c>
      <c r="D56" s="202">
        <v>0</v>
      </c>
      <c r="E56" s="202">
        <f>-$F$50/12</f>
        <v>5021.4220906641567</v>
      </c>
      <c r="F56" s="202">
        <f>E56+(-$F$50/12)</f>
        <v>10042.844181328313</v>
      </c>
      <c r="G56" s="202">
        <f>F56+(-$F$50/12)</f>
        <v>15064.26627199247</v>
      </c>
      <c r="H56" s="202">
        <f>G56+(-$F$50/12)</f>
        <v>20085.688362656627</v>
      </c>
      <c r="I56" s="202">
        <f>H56+(-$F$50/12)</f>
        <v>25107.110453320784</v>
      </c>
      <c r="J56" s="202">
        <f>I56+(-$F$50/12)</f>
        <v>30128.53254398494</v>
      </c>
      <c r="K56" s="202">
        <f>J56+(-$F$50/12)</f>
        <v>35149.954634649097</v>
      </c>
      <c r="L56" s="202">
        <f>K56+(-$F$50/12)</f>
        <v>40171.376725313254</v>
      </c>
      <c r="M56" s="202">
        <f>L56+(-$F$50/12)</f>
        <v>45192.79881597741</v>
      </c>
      <c r="N56" s="202">
        <f>M56+(-$F$50/12)</f>
        <v>50214.220906641567</v>
      </c>
      <c r="O56" s="202">
        <f>N56+(-$F$50/12)</f>
        <v>55235.642997305724</v>
      </c>
      <c r="P56" s="202">
        <f>O56+(-$F$50/12)</f>
        <v>60257.065087969881</v>
      </c>
    </row>
    <row r="57" spans="1:17" ht="12" customHeight="1" x14ac:dyDescent="0.2">
      <c r="Q57" s="202"/>
    </row>
    <row r="58" spans="1:17" ht="12" customHeight="1" thickBot="1" x14ac:dyDescent="0.25"/>
    <row r="59" spans="1:17" ht="12" customHeight="1" x14ac:dyDescent="0.2">
      <c r="A59" s="215"/>
      <c r="C59" s="275"/>
      <c r="D59" s="274"/>
      <c r="H59" s="213"/>
      <c r="I59" s="273" t="s">
        <v>171</v>
      </c>
      <c r="J59" s="273" t="s">
        <v>262</v>
      </c>
      <c r="K59" s="218"/>
    </row>
    <row r="60" spans="1:17" ht="12" customHeight="1" x14ac:dyDescent="0.2">
      <c r="A60" s="215" t="s">
        <v>261</v>
      </c>
      <c r="C60" s="224"/>
      <c r="E60" s="272">
        <v>1.7132074209012617E-2</v>
      </c>
      <c r="H60" s="209"/>
      <c r="I60" s="271" t="s">
        <v>260</v>
      </c>
      <c r="J60" s="271" t="s">
        <v>259</v>
      </c>
      <c r="K60" s="206" t="s">
        <v>171</v>
      </c>
    </row>
    <row r="61" spans="1:17" ht="12" customHeight="1" x14ac:dyDescent="0.2">
      <c r="A61" s="215" t="s">
        <v>258</v>
      </c>
      <c r="E61" s="269">
        <v>1.7718915603814271E-2</v>
      </c>
      <c r="H61" s="205" t="s">
        <v>144</v>
      </c>
      <c r="I61" s="202"/>
      <c r="J61" s="202">
        <f>(((D55+P55)+(SUM(E55:O55)*2))/24)</f>
        <v>2425.1506815610046</v>
      </c>
      <c r="K61" s="201">
        <f>J61-I61</f>
        <v>2425.1506815610046</v>
      </c>
      <c r="L61" s="221" t="s">
        <v>247</v>
      </c>
      <c r="N61" s="226"/>
    </row>
    <row r="62" spans="1:17" ht="12" customHeight="1" thickBot="1" x14ac:dyDescent="0.25">
      <c r="A62" s="215" t="s">
        <v>257</v>
      </c>
      <c r="E62" s="269">
        <v>1.6945306699861898E-2</v>
      </c>
      <c r="H62" s="200" t="s">
        <v>144</v>
      </c>
      <c r="I62" s="199"/>
      <c r="J62" s="199">
        <f>(((D56+P56)+(SUM(E56:O56)*2))/24)</f>
        <v>30128.53254398494</v>
      </c>
      <c r="K62" s="197">
        <f>J62-I62</f>
        <v>30128.53254398494</v>
      </c>
      <c r="L62" s="221" t="s">
        <v>247</v>
      </c>
      <c r="N62" s="202"/>
    </row>
    <row r="63" spans="1:17" ht="12" customHeight="1" x14ac:dyDescent="0.2">
      <c r="J63" s="270"/>
    </row>
    <row r="64" spans="1:17" ht="16.5" customHeight="1" x14ac:dyDescent="0.2">
      <c r="A64" s="215" t="s">
        <v>256</v>
      </c>
      <c r="E64" s="269">
        <v>1.7991386396310569E-2</v>
      </c>
      <c r="J64" s="270"/>
    </row>
    <row r="65" spans="1:5" ht="12" customHeight="1" x14ac:dyDescent="0.2">
      <c r="A65" s="215" t="s">
        <v>255</v>
      </c>
      <c r="C65" s="224"/>
      <c r="E65" s="269">
        <v>1.7306795563627502E-2</v>
      </c>
    </row>
    <row r="67" spans="1:5" ht="12" customHeight="1" x14ac:dyDescent="0.2">
      <c r="A67" s="195" t="s">
        <v>254</v>
      </c>
    </row>
  </sheetData>
  <pageMargins left="0.7" right="0.7" top="0.75" bottom="0.75" header="0.3" footer="0.3"/>
  <pageSetup scale="50" orientation="landscape" r:id="rId1"/>
  <headerFooter>
    <oddFooter>&amp;C&amp;"Arial,Regular"&amp;10Page ADJ_2.2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BFB01-BE4C-433B-9072-9EC50B17FF89}">
  <dimension ref="A1:J58"/>
  <sheetViews>
    <sheetView view="pageBreakPreview" topLeftCell="A7" zoomScale="85" zoomScaleNormal="100" zoomScaleSheetLayoutView="85" workbookViewId="0">
      <selection activeCell="N37" sqref="N37"/>
    </sheetView>
  </sheetViews>
  <sheetFormatPr defaultColWidth="9.7109375" defaultRowHeight="12" customHeight="1" x14ac:dyDescent="0.2"/>
  <cols>
    <col min="1" max="1" width="2.28515625" style="287" customWidth="1"/>
    <col min="2" max="2" width="7.28515625" style="287" customWidth="1"/>
    <col min="3" max="3" width="24.7109375" style="287" customWidth="1"/>
    <col min="4" max="4" width="10.28515625" style="288" bestFit="1" customWidth="1"/>
    <col min="5" max="5" width="5.140625" style="288" bestFit="1" customWidth="1"/>
    <col min="6" max="6" width="11.42578125" style="287" customWidth="1"/>
    <col min="7" max="7" width="8.85546875" style="288" bestFit="1" customWidth="1"/>
    <col min="8" max="8" width="10.5703125" style="288" bestFit="1" customWidth="1"/>
    <col min="9" max="9" width="14" style="287" bestFit="1" customWidth="1"/>
    <col min="10" max="10" width="10.85546875" style="288" bestFit="1" customWidth="1"/>
    <col min="11" max="16384" width="9.7109375" style="287"/>
  </cols>
  <sheetData>
    <row r="1" spans="2:10" ht="12" customHeight="1" x14ac:dyDescent="0.2">
      <c r="B1" s="327" t="s">
        <v>6</v>
      </c>
      <c r="I1" s="194" t="s">
        <v>170</v>
      </c>
      <c r="J1" s="194" t="s">
        <v>286</v>
      </c>
    </row>
    <row r="2" spans="2:10" ht="12" customHeight="1" x14ac:dyDescent="0.2">
      <c r="B2" s="299" t="s">
        <v>127</v>
      </c>
      <c r="J2" s="326"/>
    </row>
    <row r="3" spans="2:10" ht="12" customHeight="1" x14ac:dyDescent="0.2">
      <c r="B3" s="299" t="s">
        <v>112</v>
      </c>
      <c r="J3" s="326"/>
    </row>
    <row r="4" spans="2:10" ht="12" customHeight="1" x14ac:dyDescent="0.2">
      <c r="B4" s="299"/>
      <c r="J4" s="298"/>
    </row>
    <row r="5" spans="2:10" ht="12" customHeight="1" x14ac:dyDescent="0.2">
      <c r="J5" s="298"/>
    </row>
    <row r="6" spans="2:10" ht="12" customHeight="1" x14ac:dyDescent="0.2">
      <c r="F6" s="288" t="s">
        <v>168</v>
      </c>
      <c r="I6" s="288" t="s">
        <v>167</v>
      </c>
    </row>
    <row r="7" spans="2:10" ht="12" customHeight="1" x14ac:dyDescent="0.2">
      <c r="D7" s="325" t="s">
        <v>166</v>
      </c>
      <c r="E7" s="325" t="s">
        <v>165</v>
      </c>
      <c r="F7" s="325" t="s">
        <v>164</v>
      </c>
      <c r="G7" s="325" t="s">
        <v>163</v>
      </c>
      <c r="H7" s="325" t="s">
        <v>162</v>
      </c>
      <c r="I7" s="325" t="s">
        <v>161</v>
      </c>
      <c r="J7" s="325" t="s">
        <v>160</v>
      </c>
    </row>
    <row r="8" spans="2:10" ht="12" customHeight="1" x14ac:dyDescent="0.2">
      <c r="B8" s="299" t="s">
        <v>285</v>
      </c>
      <c r="G8" s="287"/>
      <c r="H8" s="287"/>
      <c r="I8" s="314"/>
    </row>
    <row r="9" spans="2:10" ht="12" customHeight="1" x14ac:dyDescent="0.2">
      <c r="B9" s="324"/>
      <c r="C9" s="313"/>
      <c r="D9" s="319"/>
      <c r="E9" s="319"/>
      <c r="F9" s="323"/>
      <c r="G9" s="322"/>
      <c r="H9" s="321"/>
      <c r="I9" s="320"/>
      <c r="J9" s="319"/>
    </row>
    <row r="10" spans="2:10" s="317" customFormat="1" ht="12" customHeight="1" x14ac:dyDescent="0.2">
      <c r="B10" s="303" t="s">
        <v>284</v>
      </c>
      <c r="C10" s="287"/>
      <c r="D10" s="288">
        <v>427</v>
      </c>
      <c r="E10" s="288" t="s">
        <v>134</v>
      </c>
      <c r="F10" s="314">
        <f>+I21</f>
        <v>-86673.662954948843</v>
      </c>
      <c r="G10" s="181" t="s">
        <v>283</v>
      </c>
      <c r="H10" s="318" t="s">
        <v>282</v>
      </c>
      <c r="I10" s="301">
        <f>F10</f>
        <v>-86673.662954948843</v>
      </c>
      <c r="J10" s="288" t="s">
        <v>281</v>
      </c>
    </row>
    <row r="11" spans="2:10" ht="12.75" x14ac:dyDescent="0.2">
      <c r="F11" s="316"/>
      <c r="G11" s="287"/>
      <c r="H11" s="287"/>
      <c r="I11" s="315"/>
      <c r="J11" s="309"/>
    </row>
    <row r="12" spans="2:10" ht="12" customHeight="1" x14ac:dyDescent="0.2">
      <c r="B12" s="299"/>
      <c r="G12" s="287"/>
      <c r="H12" s="287"/>
      <c r="I12" s="314"/>
      <c r="J12" s="309"/>
    </row>
    <row r="13" spans="2:10" ht="12" customHeight="1" x14ac:dyDescent="0.2">
      <c r="B13" s="299" t="s">
        <v>280</v>
      </c>
      <c r="G13" s="287"/>
      <c r="H13" s="287"/>
      <c r="I13" s="314"/>
      <c r="J13" s="309"/>
    </row>
    <row r="14" spans="2:10" ht="12" customHeight="1" x14ac:dyDescent="0.2">
      <c r="B14" s="313"/>
      <c r="C14" s="313"/>
      <c r="D14" s="313"/>
      <c r="E14" s="313"/>
      <c r="G14" s="287"/>
      <c r="H14" s="287"/>
      <c r="I14" s="302"/>
      <c r="J14" s="309"/>
    </row>
    <row r="15" spans="2:10" ht="12" customHeight="1" x14ac:dyDescent="0.2">
      <c r="B15" s="287" t="s">
        <v>279</v>
      </c>
      <c r="G15" s="287"/>
      <c r="H15" s="287"/>
      <c r="I15" s="301"/>
      <c r="J15" s="312"/>
    </row>
    <row r="16" spans="2:10" ht="12" customHeight="1" x14ac:dyDescent="0.2">
      <c r="B16" s="310" t="s">
        <v>278</v>
      </c>
      <c r="G16" s="287"/>
      <c r="H16" s="287"/>
      <c r="I16" s="301">
        <f>'Page ADJ_3.1'!C11</f>
        <v>1083348856.7114465</v>
      </c>
      <c r="J16" s="307" t="s">
        <v>273</v>
      </c>
    </row>
    <row r="17" spans="2:10" ht="12" customHeight="1" x14ac:dyDescent="0.2">
      <c r="B17" s="303" t="s">
        <v>277</v>
      </c>
      <c r="G17" s="287"/>
      <c r="H17" s="287"/>
      <c r="I17" s="311">
        <v>2.5032960000000003E-2</v>
      </c>
      <c r="J17" s="307" t="s">
        <v>273</v>
      </c>
    </row>
    <row r="18" spans="2:10" ht="12" customHeight="1" x14ac:dyDescent="0.2">
      <c r="B18" s="310" t="s">
        <v>276</v>
      </c>
      <c r="G18" s="287"/>
      <c r="H18" s="287"/>
      <c r="I18" s="301">
        <f>I17*I16</f>
        <v>27119428.596103378</v>
      </c>
      <c r="J18" s="307" t="s">
        <v>273</v>
      </c>
    </row>
    <row r="19" spans="2:10" ht="12" customHeight="1" x14ac:dyDescent="0.2">
      <c r="B19" s="310"/>
      <c r="G19" s="287"/>
      <c r="H19" s="287"/>
      <c r="I19" s="302"/>
      <c r="J19" s="309"/>
    </row>
    <row r="20" spans="2:10" ht="12" customHeight="1" x14ac:dyDescent="0.2">
      <c r="B20" s="303" t="s">
        <v>275</v>
      </c>
      <c r="G20" s="287"/>
      <c r="H20" s="287"/>
      <c r="I20" s="301">
        <f>'Page ADJ_3.1'!C7</f>
        <v>27206102.259058326</v>
      </c>
      <c r="J20" s="307" t="s">
        <v>273</v>
      </c>
    </row>
    <row r="21" spans="2:10" ht="13.5" thickBot="1" x14ac:dyDescent="0.25">
      <c r="B21" s="287" t="s">
        <v>274</v>
      </c>
      <c r="F21" s="302"/>
      <c r="G21" s="287"/>
      <c r="H21" s="287"/>
      <c r="I21" s="308">
        <f>I18-I20</f>
        <v>-86673.662954948843</v>
      </c>
      <c r="J21" s="307" t="s">
        <v>273</v>
      </c>
    </row>
    <row r="22" spans="2:10" ht="13.5" thickTop="1" x14ac:dyDescent="0.2">
      <c r="F22" s="302"/>
      <c r="G22" s="287"/>
      <c r="H22" s="287"/>
      <c r="I22" s="301"/>
      <c r="J22" s="307"/>
    </row>
    <row r="23" spans="2:10" ht="12.75" x14ac:dyDescent="0.2">
      <c r="F23" s="302"/>
      <c r="G23" s="287"/>
      <c r="H23" s="287"/>
      <c r="I23" s="301"/>
      <c r="J23" s="307"/>
    </row>
    <row r="24" spans="2:10" ht="12.75" x14ac:dyDescent="0.2">
      <c r="F24" s="302"/>
      <c r="G24" s="287"/>
      <c r="H24" s="287"/>
      <c r="I24" s="301"/>
      <c r="J24" s="307"/>
    </row>
    <row r="25" spans="2:10" ht="12.75" x14ac:dyDescent="0.2">
      <c r="F25" s="302"/>
      <c r="G25" s="287"/>
      <c r="H25" s="287"/>
      <c r="I25" s="301"/>
      <c r="J25" s="307"/>
    </row>
    <row r="26" spans="2:10" ht="12.75" x14ac:dyDescent="0.2">
      <c r="F26" s="302"/>
      <c r="G26" s="287"/>
      <c r="H26" s="287"/>
      <c r="I26" s="301"/>
      <c r="J26" s="307"/>
    </row>
    <row r="27" spans="2:10" ht="12.75" x14ac:dyDescent="0.2">
      <c r="F27" s="302"/>
      <c r="G27" s="287"/>
      <c r="H27" s="287"/>
      <c r="I27" s="301"/>
      <c r="J27" s="307"/>
    </row>
    <row r="28" spans="2:10" ht="12.75" x14ac:dyDescent="0.2">
      <c r="F28" s="302"/>
      <c r="G28" s="287"/>
      <c r="H28" s="287"/>
      <c r="I28" s="301"/>
      <c r="J28" s="307"/>
    </row>
    <row r="29" spans="2:10" ht="12.75" x14ac:dyDescent="0.2">
      <c r="F29" s="302"/>
      <c r="G29" s="287"/>
      <c r="H29" s="287"/>
      <c r="I29" s="301"/>
      <c r="J29" s="307"/>
    </row>
    <row r="30" spans="2:10" ht="12.75" x14ac:dyDescent="0.2">
      <c r="F30" s="302"/>
      <c r="G30" s="287"/>
      <c r="H30" s="287"/>
      <c r="I30" s="301"/>
      <c r="J30" s="307"/>
    </row>
    <row r="31" spans="2:10" ht="12.75" x14ac:dyDescent="0.2">
      <c r="F31" s="302"/>
      <c r="G31" s="287"/>
      <c r="H31" s="287"/>
      <c r="I31" s="301"/>
      <c r="J31" s="307"/>
    </row>
    <row r="32" spans="2:10" ht="12.75" x14ac:dyDescent="0.2">
      <c r="F32" s="302"/>
      <c r="G32" s="287"/>
      <c r="H32" s="287"/>
      <c r="I32" s="301"/>
      <c r="J32" s="307"/>
    </row>
    <row r="33" spans="2:10" ht="12.75" x14ac:dyDescent="0.2">
      <c r="F33" s="302"/>
      <c r="G33" s="287"/>
      <c r="H33" s="287"/>
      <c r="I33" s="301"/>
      <c r="J33" s="307"/>
    </row>
    <row r="34" spans="2:10" ht="12.75" x14ac:dyDescent="0.2">
      <c r="F34" s="302"/>
      <c r="G34" s="287"/>
      <c r="H34" s="287"/>
      <c r="I34" s="301"/>
      <c r="J34" s="307"/>
    </row>
    <row r="35" spans="2:10" ht="12.75" x14ac:dyDescent="0.2">
      <c r="F35" s="302"/>
      <c r="G35" s="287"/>
      <c r="H35" s="287"/>
      <c r="I35" s="301"/>
      <c r="J35" s="307"/>
    </row>
    <row r="36" spans="2:10" ht="12.75" x14ac:dyDescent="0.2">
      <c r="F36" s="302"/>
      <c r="G36" s="287"/>
      <c r="H36" s="287"/>
      <c r="I36" s="301"/>
      <c r="J36" s="307"/>
    </row>
    <row r="37" spans="2:10" ht="12" customHeight="1" x14ac:dyDescent="0.2">
      <c r="F37" s="302"/>
      <c r="G37" s="287"/>
      <c r="H37" s="287"/>
      <c r="I37" s="306"/>
    </row>
    <row r="38" spans="2:10" ht="12" customHeight="1" x14ac:dyDescent="0.2">
      <c r="F38" s="302"/>
      <c r="I38" s="301"/>
    </row>
    <row r="39" spans="2:10" ht="12" customHeight="1" x14ac:dyDescent="0.2">
      <c r="D39" s="305"/>
      <c r="F39" s="302"/>
      <c r="G39" s="305"/>
      <c r="H39" s="304"/>
      <c r="I39" s="302"/>
    </row>
    <row r="40" spans="2:10" ht="12" customHeight="1" x14ac:dyDescent="0.2">
      <c r="B40" s="303"/>
      <c r="F40" s="302"/>
      <c r="I40" s="301"/>
    </row>
    <row r="41" spans="2:10" ht="12" customHeight="1" x14ac:dyDescent="0.2">
      <c r="F41" s="302"/>
      <c r="I41" s="301"/>
    </row>
    <row r="45" spans="2:10" ht="12" customHeight="1" x14ac:dyDescent="0.2">
      <c r="B45" s="300"/>
    </row>
    <row r="49" spans="1:10" ht="12" customHeight="1" thickBot="1" x14ac:dyDescent="0.25">
      <c r="B49" s="299" t="s">
        <v>272</v>
      </c>
      <c r="I49" s="288"/>
      <c r="J49" s="298"/>
    </row>
    <row r="50" spans="1:10" ht="12" customHeight="1" x14ac:dyDescent="0.2">
      <c r="A50" s="297"/>
      <c r="B50" s="296" t="s">
        <v>271</v>
      </c>
      <c r="C50" s="296"/>
      <c r="D50" s="296"/>
      <c r="E50" s="296"/>
      <c r="F50" s="296"/>
      <c r="G50" s="296"/>
      <c r="H50" s="296"/>
      <c r="I50" s="296"/>
      <c r="J50" s="295"/>
    </row>
    <row r="51" spans="1:10" ht="12" customHeight="1" x14ac:dyDescent="0.2">
      <c r="A51" s="294"/>
      <c r="B51" s="293"/>
      <c r="C51" s="293"/>
      <c r="D51" s="293"/>
      <c r="E51" s="293"/>
      <c r="F51" s="293"/>
      <c r="G51" s="293"/>
      <c r="H51" s="293"/>
      <c r="I51" s="293"/>
      <c r="J51" s="292"/>
    </row>
    <row r="52" spans="1:10" ht="12" customHeight="1" x14ac:dyDescent="0.2">
      <c r="A52" s="294"/>
      <c r="B52" s="293"/>
      <c r="C52" s="293"/>
      <c r="D52" s="293"/>
      <c r="E52" s="293"/>
      <c r="F52" s="293"/>
      <c r="G52" s="293"/>
      <c r="H52" s="293"/>
      <c r="I52" s="293"/>
      <c r="J52" s="292"/>
    </row>
    <row r="53" spans="1:10" ht="12" customHeight="1" x14ac:dyDescent="0.2">
      <c r="A53" s="294"/>
      <c r="B53" s="293"/>
      <c r="C53" s="293"/>
      <c r="D53" s="293"/>
      <c r="E53" s="293"/>
      <c r="F53" s="293"/>
      <c r="G53" s="293"/>
      <c r="H53" s="293"/>
      <c r="I53" s="293"/>
      <c r="J53" s="292"/>
    </row>
    <row r="54" spans="1:10" ht="12" customHeight="1" x14ac:dyDescent="0.2">
      <c r="A54" s="294"/>
      <c r="B54" s="293"/>
      <c r="C54" s="293"/>
      <c r="D54" s="293"/>
      <c r="E54" s="293"/>
      <c r="F54" s="293"/>
      <c r="G54" s="293"/>
      <c r="H54" s="293"/>
      <c r="I54" s="293"/>
      <c r="J54" s="292"/>
    </row>
    <row r="55" spans="1:10" ht="12" customHeight="1" x14ac:dyDescent="0.2">
      <c r="A55" s="294"/>
      <c r="B55" s="293"/>
      <c r="C55" s="293"/>
      <c r="D55" s="293"/>
      <c r="E55" s="293"/>
      <c r="F55" s="293"/>
      <c r="G55" s="293"/>
      <c r="H55" s="293"/>
      <c r="I55" s="293"/>
      <c r="J55" s="292"/>
    </row>
    <row r="56" spans="1:10" ht="12" customHeight="1" x14ac:dyDescent="0.2">
      <c r="A56" s="294"/>
      <c r="B56" s="293"/>
      <c r="C56" s="293"/>
      <c r="D56" s="293"/>
      <c r="E56" s="293"/>
      <c r="F56" s="293"/>
      <c r="G56" s="293"/>
      <c r="H56" s="293"/>
      <c r="I56" s="293"/>
      <c r="J56" s="292"/>
    </row>
    <row r="57" spans="1:10" ht="12" customHeight="1" x14ac:dyDescent="0.2">
      <c r="A57" s="294"/>
      <c r="B57" s="293"/>
      <c r="C57" s="293"/>
      <c r="D57" s="293"/>
      <c r="E57" s="293"/>
      <c r="F57" s="293"/>
      <c r="G57" s="293"/>
      <c r="H57" s="293"/>
      <c r="I57" s="293"/>
      <c r="J57" s="292"/>
    </row>
    <row r="58" spans="1:10" ht="12" customHeight="1" thickBot="1" x14ac:dyDescent="0.25">
      <c r="A58" s="291"/>
      <c r="B58" s="290"/>
      <c r="C58" s="290"/>
      <c r="D58" s="290"/>
      <c r="E58" s="290"/>
      <c r="F58" s="290"/>
      <c r="G58" s="290"/>
      <c r="H58" s="290"/>
      <c r="I58" s="290"/>
      <c r="J58" s="289"/>
    </row>
  </sheetData>
  <sheetProtection formatCells="0" formatColumns="0" formatRows="0"/>
  <mergeCells count="1">
    <mergeCell ref="B50:J58"/>
  </mergeCells>
  <dataValidations count="2">
    <dataValidation type="list" allowBlank="1" showInputMessage="1" showErrorMessage="1" errorTitle="Account Input Error" error="The account number entered is not valid." sqref="D8:D49" xr:uid="{00000000-0002-0000-0000-000001000000}">
      <formula1>ValidAccount</formula1>
    </dataValidation>
    <dataValidation type="list" allowBlank="1" showInputMessage="1" showErrorMessage="1" errorTitle="Adjustment Type Entry Error" error="An invalid adjustment type was entered._x000a__x000a_Valid values are 1, 2, or 3." sqref="E8:E49" xr:uid="{00000000-0002-0000-0000-000000000000}">
      <formula1>"1,2,3"</formula1>
    </dataValidation>
  </dataValidations>
  <pageMargins left="0.7" right="0.7" top="0.75" bottom="0.75" header="0.3" footer="0.3"/>
  <pageSetup scale="85" fitToHeight="15" orientation="portrait" r:id="rId1"/>
  <headerFooter alignWithMargins="0"/>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F8B44-9644-457D-98D4-B319F77C4D7F}">
  <sheetPr>
    <pageSetUpPr fitToPage="1"/>
  </sheetPr>
  <dimension ref="B1:F18"/>
  <sheetViews>
    <sheetView view="pageBreakPreview" zoomScale="85" zoomScaleNormal="85" zoomScaleSheetLayoutView="85" workbookViewId="0">
      <selection activeCell="D32" sqref="D32"/>
    </sheetView>
  </sheetViews>
  <sheetFormatPr defaultRowHeight="12.75" x14ac:dyDescent="0.2"/>
  <cols>
    <col min="1" max="1" width="3.140625" style="18" customWidth="1"/>
    <col min="2" max="2" width="42" style="18" bestFit="1" customWidth="1"/>
    <col min="3" max="3" width="14.28515625" style="18" bestFit="1" customWidth="1"/>
    <col min="4" max="4" width="26.28515625" style="18" customWidth="1"/>
    <col min="5" max="5" width="14.5703125" style="18" customWidth="1"/>
    <col min="6" max="6" width="8" style="18" bestFit="1" customWidth="1"/>
    <col min="7" max="16384" width="9.140625" style="18"/>
  </cols>
  <sheetData>
    <row r="1" spans="2:6" x14ac:dyDescent="0.2">
      <c r="B1" s="23" t="s">
        <v>6</v>
      </c>
      <c r="E1" s="194" t="s">
        <v>300</v>
      </c>
      <c r="F1" s="194"/>
    </row>
    <row r="2" spans="2:6" x14ac:dyDescent="0.2">
      <c r="B2" s="23" t="str">
        <f>'Lead Sheet ADJ_3'!B2</f>
        <v>Washington Limited-Issue Rate Filing</v>
      </c>
      <c r="F2" s="326"/>
    </row>
    <row r="3" spans="2:6" x14ac:dyDescent="0.2">
      <c r="B3" s="23" t="s">
        <v>299</v>
      </c>
      <c r="F3" s="326"/>
    </row>
    <row r="4" spans="2:6" x14ac:dyDescent="0.2">
      <c r="B4" s="23"/>
      <c r="E4" s="334"/>
    </row>
    <row r="6" spans="2:6" x14ac:dyDescent="0.2">
      <c r="B6" s="24" t="s">
        <v>298</v>
      </c>
      <c r="C6" s="333"/>
      <c r="D6" s="332" t="s">
        <v>295</v>
      </c>
      <c r="E6" s="48"/>
    </row>
    <row r="7" spans="2:6" s="23" customFormat="1" x14ac:dyDescent="0.2">
      <c r="B7" s="18" t="s">
        <v>275</v>
      </c>
      <c r="C7" s="331">
        <f>Results!$B$74</f>
        <v>27206102.259058326</v>
      </c>
      <c r="D7" s="329" t="s">
        <v>297</v>
      </c>
      <c r="E7" s="18"/>
    </row>
    <row r="8" spans="2:6" x14ac:dyDescent="0.2">
      <c r="C8" s="333"/>
    </row>
    <row r="9" spans="2:6" x14ac:dyDescent="0.2">
      <c r="C9" s="333"/>
    </row>
    <row r="10" spans="2:6" x14ac:dyDescent="0.2">
      <c r="B10" s="24" t="s">
        <v>296</v>
      </c>
      <c r="C10" s="333"/>
      <c r="D10" s="332" t="s">
        <v>295</v>
      </c>
      <c r="E10" s="48"/>
    </row>
    <row r="11" spans="2:6" s="23" customFormat="1" x14ac:dyDescent="0.2">
      <c r="B11" s="18" t="s">
        <v>294</v>
      </c>
      <c r="C11" s="331">
        <f>Results!$F$64</f>
        <v>1083348856.7114465</v>
      </c>
      <c r="D11" s="329" t="s">
        <v>293</v>
      </c>
      <c r="E11" s="18"/>
    </row>
    <row r="12" spans="2:6" x14ac:dyDescent="0.2">
      <c r="C12" s="127"/>
    </row>
    <row r="13" spans="2:6" x14ac:dyDescent="0.2">
      <c r="B13" s="18" t="s">
        <v>292</v>
      </c>
      <c r="C13" s="330">
        <v>2.5032960000000003E-2</v>
      </c>
      <c r="D13" s="329" t="s">
        <v>291</v>
      </c>
    </row>
    <row r="14" spans="2:6" s="23" customFormat="1" x14ac:dyDescent="0.2">
      <c r="B14" s="18" t="s">
        <v>290</v>
      </c>
      <c r="C14" s="328">
        <f>C11*C13</f>
        <v>27119428.596103378</v>
      </c>
      <c r="D14" s="329"/>
    </row>
    <row r="16" spans="2:6" s="23" customFormat="1" x14ac:dyDescent="0.2">
      <c r="B16" s="18" t="s">
        <v>275</v>
      </c>
      <c r="C16" s="328">
        <f>C7</f>
        <v>27206102.259058326</v>
      </c>
      <c r="D16" s="329" t="s">
        <v>289</v>
      </c>
    </row>
    <row r="17" spans="2:4" x14ac:dyDescent="0.2">
      <c r="C17" s="23"/>
    </row>
    <row r="18" spans="2:4" x14ac:dyDescent="0.2">
      <c r="B18" s="18" t="s">
        <v>288</v>
      </c>
      <c r="C18" s="328">
        <f>C14-C16</f>
        <v>-86673.662954948843</v>
      </c>
      <c r="D18" s="23" t="s">
        <v>287</v>
      </c>
    </row>
  </sheetData>
  <pageMargins left="0.7" right="0.7" top="0.75" bottom="0.75" header="0.3" footer="0.3"/>
  <pageSetup scale="91" fitToHeight="0"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CCFA-33FF-44C2-8EAE-39C0D381A77E}">
  <sheetPr>
    <pageSetUpPr fitToPage="1"/>
  </sheetPr>
  <dimension ref="A1:J59"/>
  <sheetViews>
    <sheetView view="pageBreakPreview" topLeftCell="A4" zoomScale="85" zoomScaleNormal="100" zoomScaleSheetLayoutView="85" workbookViewId="0">
      <selection activeCell="N45" sqref="N45"/>
    </sheetView>
  </sheetViews>
  <sheetFormatPr defaultColWidth="9.140625" defaultRowHeight="12.75" x14ac:dyDescent="0.2"/>
  <cols>
    <col min="1" max="1" width="2.42578125" style="184" customWidth="1"/>
    <col min="2" max="2" width="7.28515625" style="184" customWidth="1"/>
    <col min="3" max="3" width="24.7109375" style="184" customWidth="1"/>
    <col min="4" max="4" width="10.28515625" style="184" customWidth="1"/>
    <col min="5" max="5" width="5.28515625" style="184" customWidth="1"/>
    <col min="6" max="6" width="11.42578125" style="184" customWidth="1"/>
    <col min="7" max="7" width="9" style="184" customWidth="1"/>
    <col min="8" max="8" width="10.5703125" style="184" customWidth="1"/>
    <col min="9" max="9" width="14" style="184" customWidth="1"/>
    <col min="10" max="10" width="10.85546875" style="184" customWidth="1"/>
    <col min="11" max="16384" width="9.140625" style="184"/>
  </cols>
  <sheetData>
    <row r="1" spans="2:10" x14ac:dyDescent="0.2">
      <c r="B1" s="232" t="s">
        <v>6</v>
      </c>
      <c r="D1" s="344"/>
      <c r="E1" s="344"/>
      <c r="F1" s="344"/>
      <c r="G1" s="344"/>
      <c r="H1" s="344"/>
      <c r="I1" s="194" t="s">
        <v>170</v>
      </c>
      <c r="J1" s="194" t="s">
        <v>305</v>
      </c>
    </row>
    <row r="2" spans="2:10" x14ac:dyDescent="0.2">
      <c r="B2" s="232" t="s">
        <v>127</v>
      </c>
      <c r="D2" s="344"/>
      <c r="E2" s="344"/>
      <c r="F2" s="344"/>
      <c r="G2" s="344"/>
      <c r="H2" s="344"/>
      <c r="I2" s="344"/>
      <c r="J2" s="361"/>
    </row>
    <row r="3" spans="2:10" x14ac:dyDescent="0.2">
      <c r="B3" s="232" t="s">
        <v>113</v>
      </c>
      <c r="D3" s="344"/>
      <c r="E3" s="344"/>
      <c r="F3" s="360"/>
      <c r="G3" s="344"/>
      <c r="H3" s="344"/>
      <c r="I3" s="344"/>
      <c r="J3" s="344"/>
    </row>
    <row r="4" spans="2:10" x14ac:dyDescent="0.2">
      <c r="B4" s="359"/>
      <c r="D4" s="344"/>
      <c r="E4" s="344"/>
      <c r="F4" s="357"/>
      <c r="G4" s="344"/>
      <c r="H4" s="344"/>
      <c r="I4" s="344"/>
      <c r="J4" s="344"/>
    </row>
    <row r="5" spans="2:10" x14ac:dyDescent="0.2">
      <c r="D5" s="344"/>
      <c r="E5" s="344"/>
      <c r="F5" s="357"/>
      <c r="G5" s="344"/>
      <c r="H5" s="344"/>
      <c r="I5" s="344"/>
      <c r="J5" s="344"/>
    </row>
    <row r="6" spans="2:10" x14ac:dyDescent="0.2">
      <c r="D6" s="344"/>
      <c r="E6" s="344"/>
      <c r="F6" s="344" t="s">
        <v>168</v>
      </c>
      <c r="G6" s="344"/>
      <c r="H6" s="344"/>
      <c r="I6" s="344" t="s">
        <v>167</v>
      </c>
      <c r="J6" s="344"/>
    </row>
    <row r="7" spans="2:10" x14ac:dyDescent="0.2">
      <c r="D7" s="358" t="s">
        <v>166</v>
      </c>
      <c r="E7" s="358" t="s">
        <v>165</v>
      </c>
      <c r="F7" s="358" t="s">
        <v>164</v>
      </c>
      <c r="G7" s="358" t="s">
        <v>163</v>
      </c>
      <c r="H7" s="358" t="s">
        <v>162</v>
      </c>
      <c r="I7" s="358" t="s">
        <v>161</v>
      </c>
      <c r="J7" s="358" t="s">
        <v>160</v>
      </c>
    </row>
    <row r="8" spans="2:10" x14ac:dyDescent="0.2">
      <c r="B8" s="350" t="s">
        <v>143</v>
      </c>
      <c r="D8" s="344"/>
      <c r="E8" s="344"/>
      <c r="F8" s="357"/>
      <c r="G8" s="344"/>
      <c r="H8" s="344"/>
      <c r="I8" s="356"/>
      <c r="J8" s="344"/>
    </row>
    <row r="9" spans="2:10" x14ac:dyDescent="0.2">
      <c r="D9" s="352"/>
      <c r="E9" s="344"/>
      <c r="F9" s="355"/>
      <c r="G9" s="344"/>
      <c r="H9" s="346"/>
      <c r="I9" s="345"/>
      <c r="J9" s="344"/>
    </row>
    <row r="10" spans="2:10" x14ac:dyDescent="0.2">
      <c r="B10" s="184" t="s">
        <v>304</v>
      </c>
      <c r="D10" s="352">
        <v>41110</v>
      </c>
      <c r="E10" s="344" t="s">
        <v>134</v>
      </c>
      <c r="F10" s="353">
        <f>+'Page ADJ_4.1'!C19</f>
        <v>118322</v>
      </c>
      <c r="G10" s="344" t="s">
        <v>283</v>
      </c>
      <c r="H10" s="346" t="s">
        <v>282</v>
      </c>
      <c r="I10" s="301">
        <f>F10</f>
        <v>118322</v>
      </c>
      <c r="J10" s="344" t="s">
        <v>302</v>
      </c>
    </row>
    <row r="11" spans="2:10" x14ac:dyDescent="0.2">
      <c r="D11" s="352"/>
      <c r="E11" s="344"/>
      <c r="F11" s="354"/>
      <c r="G11" s="344"/>
      <c r="H11" s="351"/>
      <c r="I11" s="347"/>
      <c r="J11" s="344"/>
    </row>
    <row r="12" spans="2:10" x14ac:dyDescent="0.2">
      <c r="B12" s="184" t="s">
        <v>303</v>
      </c>
      <c r="D12" s="352">
        <v>282</v>
      </c>
      <c r="E12" s="344" t="s">
        <v>134</v>
      </c>
      <c r="F12" s="353">
        <f>+'Page ADJ_4.1'!D19</f>
        <v>-1259697</v>
      </c>
      <c r="G12" s="344" t="s">
        <v>283</v>
      </c>
      <c r="H12" s="351" t="s">
        <v>282</v>
      </c>
      <c r="I12" s="301">
        <f>F12</f>
        <v>-1259697</v>
      </c>
      <c r="J12" s="344" t="s">
        <v>302</v>
      </c>
    </row>
    <row r="13" spans="2:10" x14ac:dyDescent="0.2">
      <c r="D13" s="352"/>
      <c r="E13" s="344"/>
      <c r="F13" s="347"/>
      <c r="G13" s="344"/>
      <c r="H13" s="351"/>
      <c r="I13" s="347"/>
      <c r="J13" s="344"/>
    </row>
    <row r="14" spans="2:10" x14ac:dyDescent="0.2">
      <c r="D14" s="352"/>
      <c r="E14" s="344"/>
      <c r="F14" s="347"/>
      <c r="G14" s="344"/>
      <c r="H14" s="351"/>
      <c r="I14" s="347"/>
      <c r="J14" s="344"/>
    </row>
    <row r="15" spans="2:10" x14ac:dyDescent="0.2">
      <c r="D15" s="352"/>
      <c r="E15" s="344"/>
      <c r="F15" s="347"/>
      <c r="G15" s="344"/>
      <c r="H15" s="351"/>
      <c r="I15" s="347"/>
      <c r="J15" s="344"/>
    </row>
    <row r="16" spans="2:10" x14ac:dyDescent="0.2">
      <c r="D16" s="352"/>
      <c r="E16" s="344"/>
      <c r="F16" s="347"/>
      <c r="G16" s="344"/>
      <c r="H16" s="351"/>
      <c r="I16" s="347"/>
      <c r="J16" s="344"/>
    </row>
    <row r="17" spans="2:10" x14ac:dyDescent="0.2">
      <c r="B17" s="349"/>
      <c r="D17" s="344"/>
      <c r="E17" s="344"/>
      <c r="F17" s="347"/>
      <c r="G17" s="344"/>
      <c r="H17" s="351"/>
      <c r="I17" s="347"/>
      <c r="J17" s="344"/>
    </row>
    <row r="18" spans="2:10" x14ac:dyDescent="0.2">
      <c r="B18" s="349"/>
      <c r="D18" s="344"/>
      <c r="E18" s="344"/>
      <c r="F18" s="347"/>
      <c r="G18" s="344"/>
      <c r="H18" s="351"/>
      <c r="I18" s="347"/>
      <c r="J18" s="344"/>
    </row>
    <row r="19" spans="2:10" x14ac:dyDescent="0.2">
      <c r="D19" s="344"/>
      <c r="E19" s="344"/>
      <c r="F19" s="347"/>
      <c r="G19" s="344"/>
      <c r="H19" s="346"/>
      <c r="I19" s="345"/>
      <c r="J19" s="344"/>
    </row>
    <row r="20" spans="2:10" x14ac:dyDescent="0.2">
      <c r="D20" s="344"/>
      <c r="E20" s="344"/>
      <c r="F20" s="347"/>
      <c r="G20" s="344"/>
      <c r="H20" s="346"/>
      <c r="I20" s="345"/>
      <c r="J20" s="344"/>
    </row>
    <row r="21" spans="2:10" x14ac:dyDescent="0.2">
      <c r="D21" s="344"/>
      <c r="E21" s="344"/>
      <c r="F21" s="347"/>
      <c r="G21" s="344"/>
      <c r="H21" s="346"/>
      <c r="I21" s="345"/>
      <c r="J21" s="344"/>
    </row>
    <row r="22" spans="2:10" x14ac:dyDescent="0.2">
      <c r="B22" s="348"/>
      <c r="D22" s="344"/>
      <c r="E22" s="344"/>
      <c r="F22" s="347"/>
      <c r="G22" s="344"/>
      <c r="H22" s="346"/>
      <c r="I22" s="345"/>
      <c r="J22" s="344"/>
    </row>
    <row r="23" spans="2:10" x14ac:dyDescent="0.2">
      <c r="B23" s="349"/>
      <c r="D23" s="344"/>
      <c r="E23" s="344"/>
      <c r="F23" s="347"/>
      <c r="G23" s="344"/>
      <c r="H23" s="346"/>
      <c r="I23" s="345"/>
      <c r="J23" s="344"/>
    </row>
    <row r="24" spans="2:10" x14ac:dyDescent="0.2">
      <c r="D24" s="344"/>
      <c r="E24" s="344"/>
      <c r="F24" s="347"/>
      <c r="G24" s="344"/>
      <c r="H24" s="346"/>
      <c r="I24" s="345"/>
      <c r="J24" s="344"/>
    </row>
    <row r="25" spans="2:10" x14ac:dyDescent="0.2">
      <c r="B25" s="232"/>
      <c r="D25" s="344"/>
      <c r="E25" s="344"/>
      <c r="F25" s="347"/>
      <c r="G25" s="344"/>
      <c r="H25" s="346"/>
      <c r="I25" s="345"/>
      <c r="J25" s="344"/>
    </row>
    <row r="26" spans="2:10" x14ac:dyDescent="0.2">
      <c r="D26" s="344"/>
      <c r="E26" s="344"/>
      <c r="F26" s="347"/>
      <c r="G26" s="344"/>
      <c r="H26" s="346"/>
      <c r="I26" s="345"/>
      <c r="J26" s="344"/>
    </row>
    <row r="27" spans="2:10" x14ac:dyDescent="0.2">
      <c r="B27" s="349"/>
      <c r="D27" s="344"/>
      <c r="E27" s="344"/>
      <c r="F27" s="347"/>
      <c r="G27" s="344"/>
      <c r="H27" s="346"/>
      <c r="I27" s="345"/>
      <c r="J27" s="344"/>
    </row>
    <row r="28" spans="2:10" x14ac:dyDescent="0.2">
      <c r="B28" s="349"/>
      <c r="D28" s="344"/>
      <c r="E28" s="344"/>
      <c r="F28" s="347"/>
      <c r="G28" s="344"/>
      <c r="H28" s="346"/>
      <c r="I28" s="345"/>
      <c r="J28" s="344"/>
    </row>
    <row r="29" spans="2:10" x14ac:dyDescent="0.2">
      <c r="D29" s="344"/>
      <c r="E29" s="344"/>
      <c r="F29" s="347"/>
      <c r="G29" s="344"/>
      <c r="H29" s="346"/>
      <c r="I29" s="345"/>
      <c r="J29" s="344"/>
    </row>
    <row r="30" spans="2:10" x14ac:dyDescent="0.2">
      <c r="B30" s="348"/>
      <c r="D30" s="344"/>
      <c r="E30" s="344"/>
      <c r="F30" s="347"/>
      <c r="G30" s="344"/>
      <c r="H30" s="346"/>
      <c r="I30" s="345"/>
      <c r="J30" s="344"/>
    </row>
    <row r="31" spans="2:10" x14ac:dyDescent="0.2">
      <c r="B31" s="350"/>
      <c r="D31" s="344"/>
      <c r="E31" s="344"/>
      <c r="F31" s="347"/>
      <c r="G31" s="344"/>
      <c r="H31" s="346"/>
      <c r="I31" s="345"/>
      <c r="J31" s="344"/>
    </row>
    <row r="32" spans="2:10" x14ac:dyDescent="0.2">
      <c r="B32" s="349"/>
      <c r="D32" s="344"/>
      <c r="E32" s="344"/>
      <c r="F32" s="347"/>
      <c r="G32" s="344"/>
      <c r="H32" s="346"/>
      <c r="I32" s="345"/>
      <c r="J32" s="344"/>
    </row>
    <row r="33" spans="2:10" x14ac:dyDescent="0.2">
      <c r="B33" s="349"/>
      <c r="D33" s="344"/>
      <c r="E33" s="344"/>
      <c r="F33" s="347"/>
      <c r="G33" s="344"/>
      <c r="H33" s="346"/>
      <c r="I33" s="345"/>
      <c r="J33" s="344"/>
    </row>
    <row r="34" spans="2:10" x14ac:dyDescent="0.2">
      <c r="B34" s="348"/>
      <c r="D34" s="344"/>
      <c r="E34" s="344"/>
      <c r="F34" s="347"/>
      <c r="G34" s="344"/>
      <c r="H34" s="346"/>
      <c r="I34" s="345"/>
      <c r="J34" s="344"/>
    </row>
    <row r="35" spans="2:10" x14ac:dyDescent="0.2">
      <c r="B35" s="348"/>
      <c r="D35" s="344"/>
      <c r="E35" s="344"/>
      <c r="F35" s="347"/>
      <c r="G35" s="344"/>
      <c r="H35" s="346"/>
      <c r="I35" s="345"/>
      <c r="J35" s="344"/>
    </row>
    <row r="36" spans="2:10" x14ac:dyDescent="0.2">
      <c r="B36" s="348"/>
      <c r="D36" s="344"/>
      <c r="E36" s="344"/>
      <c r="F36" s="347"/>
      <c r="G36" s="344"/>
      <c r="H36" s="346"/>
      <c r="I36" s="345"/>
      <c r="J36" s="344"/>
    </row>
    <row r="37" spans="2:10" x14ac:dyDescent="0.2">
      <c r="B37" s="348"/>
      <c r="D37" s="344"/>
      <c r="E37" s="344"/>
      <c r="F37" s="347"/>
      <c r="G37" s="344"/>
      <c r="H37" s="346"/>
      <c r="I37" s="345"/>
      <c r="J37" s="344"/>
    </row>
    <row r="38" spans="2:10" x14ac:dyDescent="0.2">
      <c r="B38" s="348"/>
      <c r="D38" s="344"/>
      <c r="E38" s="344"/>
      <c r="F38" s="347"/>
      <c r="G38" s="344"/>
      <c r="H38" s="346"/>
      <c r="I38" s="345"/>
      <c r="J38" s="344"/>
    </row>
    <row r="39" spans="2:10" x14ac:dyDescent="0.2">
      <c r="B39" s="348"/>
      <c r="D39" s="344"/>
      <c r="E39" s="344"/>
      <c r="F39" s="347"/>
      <c r="G39" s="344"/>
      <c r="H39" s="346"/>
      <c r="I39" s="345"/>
      <c r="J39" s="344"/>
    </row>
    <row r="40" spans="2:10" x14ac:dyDescent="0.2">
      <c r="B40" s="348"/>
      <c r="D40" s="344"/>
      <c r="E40" s="344"/>
      <c r="F40" s="347"/>
      <c r="G40" s="344"/>
      <c r="H40" s="346"/>
      <c r="I40" s="345"/>
      <c r="J40" s="344"/>
    </row>
    <row r="41" spans="2:10" x14ac:dyDescent="0.2">
      <c r="B41" s="348"/>
      <c r="D41" s="344"/>
      <c r="E41" s="344"/>
      <c r="F41" s="347"/>
      <c r="G41" s="344"/>
      <c r="H41" s="346"/>
      <c r="I41" s="345"/>
      <c r="J41" s="344"/>
    </row>
    <row r="42" spans="2:10" x14ac:dyDescent="0.2">
      <c r="B42" s="348"/>
      <c r="D42" s="344"/>
      <c r="E42" s="344"/>
      <c r="F42" s="347"/>
      <c r="G42" s="344"/>
      <c r="H42" s="346"/>
      <c r="I42" s="345"/>
      <c r="J42" s="344"/>
    </row>
    <row r="43" spans="2:10" x14ac:dyDescent="0.2">
      <c r="B43" s="349"/>
      <c r="D43" s="344"/>
      <c r="E43" s="344"/>
      <c r="F43" s="347"/>
      <c r="G43" s="344"/>
      <c r="H43" s="346"/>
      <c r="I43" s="345"/>
      <c r="J43" s="344"/>
    </row>
    <row r="44" spans="2:10" x14ac:dyDescent="0.2">
      <c r="B44" s="348"/>
      <c r="D44" s="344"/>
      <c r="E44" s="344"/>
      <c r="F44" s="347"/>
      <c r="G44" s="344"/>
      <c r="H44" s="346"/>
      <c r="I44" s="345"/>
      <c r="J44" s="344"/>
    </row>
    <row r="45" spans="2:10" x14ac:dyDescent="0.2">
      <c r="B45" s="348"/>
      <c r="D45" s="344"/>
      <c r="E45" s="344"/>
      <c r="F45" s="347"/>
      <c r="G45" s="344"/>
      <c r="H45" s="346"/>
      <c r="I45" s="345"/>
      <c r="J45" s="344"/>
    </row>
    <row r="46" spans="2:10" x14ac:dyDescent="0.2">
      <c r="B46" s="348"/>
      <c r="D46" s="344"/>
      <c r="E46" s="344"/>
      <c r="F46" s="347"/>
      <c r="G46" s="344"/>
      <c r="H46" s="346"/>
      <c r="I46" s="345"/>
      <c r="J46" s="344"/>
    </row>
    <row r="47" spans="2:10" x14ac:dyDescent="0.2">
      <c r="B47" s="348"/>
      <c r="D47" s="344"/>
      <c r="E47" s="344"/>
      <c r="F47" s="347"/>
      <c r="G47" s="344"/>
      <c r="H47" s="346"/>
      <c r="I47" s="345"/>
      <c r="J47" s="344"/>
    </row>
    <row r="48" spans="2:10" x14ac:dyDescent="0.2">
      <c r="B48" s="348"/>
      <c r="D48" s="344"/>
      <c r="E48" s="344"/>
      <c r="F48" s="347"/>
      <c r="G48" s="344"/>
      <c r="H48" s="346"/>
      <c r="I48" s="345"/>
      <c r="J48" s="344"/>
    </row>
    <row r="49" spans="1:10" x14ac:dyDescent="0.2">
      <c r="B49" s="348"/>
      <c r="D49" s="344"/>
      <c r="E49" s="344"/>
      <c r="F49" s="347"/>
      <c r="G49" s="344"/>
      <c r="H49" s="346"/>
      <c r="I49" s="345"/>
      <c r="J49" s="344"/>
    </row>
    <row r="50" spans="1:10" ht="13.5" thickBot="1" x14ac:dyDescent="0.25">
      <c r="B50" s="232" t="s">
        <v>132</v>
      </c>
      <c r="D50" s="344"/>
      <c r="E50" s="344"/>
      <c r="F50" s="344"/>
      <c r="G50" s="344"/>
      <c r="H50" s="344"/>
      <c r="I50" s="344"/>
      <c r="J50" s="344"/>
    </row>
    <row r="51" spans="1:10" ht="12.75" customHeight="1" x14ac:dyDescent="0.2">
      <c r="A51" s="343"/>
      <c r="B51" s="342" t="s">
        <v>301</v>
      </c>
      <c r="C51" s="342"/>
      <c r="D51" s="342"/>
      <c r="E51" s="342"/>
      <c r="F51" s="342"/>
      <c r="G51" s="342"/>
      <c r="H51" s="342"/>
      <c r="I51" s="342"/>
      <c r="J51" s="341"/>
    </row>
    <row r="52" spans="1:10" ht="15" customHeight="1" x14ac:dyDescent="0.2">
      <c r="A52" s="340"/>
      <c r="B52" s="339"/>
      <c r="C52" s="339"/>
      <c r="D52" s="339"/>
      <c r="E52" s="339"/>
      <c r="F52" s="339"/>
      <c r="G52" s="339"/>
      <c r="H52" s="339"/>
      <c r="I52" s="339"/>
      <c r="J52" s="338"/>
    </row>
    <row r="53" spans="1:10" ht="15" customHeight="1" x14ac:dyDescent="0.2">
      <c r="A53" s="340"/>
      <c r="B53" s="339"/>
      <c r="C53" s="339"/>
      <c r="D53" s="339"/>
      <c r="E53" s="339"/>
      <c r="F53" s="339"/>
      <c r="G53" s="339"/>
      <c r="H53" s="339"/>
      <c r="I53" s="339"/>
      <c r="J53" s="338"/>
    </row>
    <row r="54" spans="1:10" ht="15" customHeight="1" x14ac:dyDescent="0.2">
      <c r="A54" s="340"/>
      <c r="B54" s="339"/>
      <c r="C54" s="339"/>
      <c r="D54" s="339"/>
      <c r="E54" s="339"/>
      <c r="F54" s="339"/>
      <c r="G54" s="339"/>
      <c r="H54" s="339"/>
      <c r="I54" s="339"/>
      <c r="J54" s="338"/>
    </row>
    <row r="55" spans="1:10" ht="15" customHeight="1" x14ac:dyDescent="0.2">
      <c r="A55" s="340"/>
      <c r="B55" s="339"/>
      <c r="C55" s="339"/>
      <c r="D55" s="339"/>
      <c r="E55" s="339"/>
      <c r="F55" s="339"/>
      <c r="G55" s="339"/>
      <c r="H55" s="339"/>
      <c r="I55" s="339"/>
      <c r="J55" s="338"/>
    </row>
    <row r="56" spans="1:10" ht="15" customHeight="1" x14ac:dyDescent="0.2">
      <c r="A56" s="340"/>
      <c r="B56" s="339"/>
      <c r="C56" s="339"/>
      <c r="D56" s="339"/>
      <c r="E56" s="339"/>
      <c r="F56" s="339"/>
      <c r="G56" s="339"/>
      <c r="H56" s="339"/>
      <c r="I56" s="339"/>
      <c r="J56" s="338"/>
    </row>
    <row r="57" spans="1:10" ht="15" customHeight="1" x14ac:dyDescent="0.2">
      <c r="A57" s="340"/>
      <c r="B57" s="339"/>
      <c r="C57" s="339"/>
      <c r="D57" s="339"/>
      <c r="E57" s="339"/>
      <c r="F57" s="339"/>
      <c r="G57" s="339"/>
      <c r="H57" s="339"/>
      <c r="I57" s="339"/>
      <c r="J57" s="338"/>
    </row>
    <row r="58" spans="1:10" ht="15" customHeight="1" x14ac:dyDescent="0.2">
      <c r="A58" s="340"/>
      <c r="B58" s="339"/>
      <c r="C58" s="339"/>
      <c r="D58" s="339"/>
      <c r="E58" s="339"/>
      <c r="F58" s="339"/>
      <c r="G58" s="339"/>
      <c r="H58" s="339"/>
      <c r="I58" s="339"/>
      <c r="J58" s="338"/>
    </row>
    <row r="59" spans="1:10" ht="15.75" customHeight="1" thickBot="1" x14ac:dyDescent="0.25">
      <c r="A59" s="337"/>
      <c r="B59" s="336"/>
      <c r="C59" s="336"/>
      <c r="D59" s="336"/>
      <c r="E59" s="336"/>
      <c r="F59" s="336"/>
      <c r="G59" s="336"/>
      <c r="H59" s="336"/>
      <c r="I59" s="336"/>
      <c r="J59" s="335"/>
    </row>
  </sheetData>
  <mergeCells count="1">
    <mergeCell ref="B51:J59"/>
  </mergeCells>
  <conditionalFormatting sqref="J2">
    <cfRule type="cellIs" dxfId="3" priority="4" stopIfTrue="1" operator="equal">
      <formula>"x.x"</formula>
    </cfRule>
  </conditionalFormatting>
  <conditionalFormatting sqref="B9 B11:B16">
    <cfRule type="cellIs" dxfId="2" priority="3" stopIfTrue="1" operator="equal">
      <formula>"Title"</formula>
    </cfRule>
  </conditionalFormatting>
  <conditionalFormatting sqref="B8">
    <cfRule type="cellIs" dxfId="1" priority="2" stopIfTrue="1" operator="equal">
      <formula>"Adjustment to Income/Expense/Rate Base:"</formula>
    </cfRule>
  </conditionalFormatting>
  <conditionalFormatting sqref="B10">
    <cfRule type="cellIs" dxfId="0" priority="1" stopIfTrue="1" operator="equal">
      <formula>"Title"</formula>
    </cfRule>
  </conditionalFormatting>
  <dataValidations count="3">
    <dataValidation type="list" errorStyle="warning" allowBlank="1" showInputMessage="1" showErrorMessage="1" errorTitle="Factor" error="This factor is not included in the drop-down list. Is this the factor you want to use?" sqref="G9:G49" xr:uid="{B412B49A-C162-4544-8C04-2007F6143EEA}">
      <formula1>#REF!</formula1>
    </dataValidation>
    <dataValidation type="list" errorStyle="warning" allowBlank="1" showInputMessage="1" showErrorMessage="1" errorTitle="FERC ACCOUNT" error="This FERC Account is not included in the drop-down list. Is this the account you want to use?" sqref="D9:D49" xr:uid="{974C2721-1344-492F-9181-E90D56D8DB95}">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49" xr:uid="{06FBE818-F414-4880-8A05-4283C23A5A7C}">
      <formula1>"1, 2, 3"</formula1>
    </dataValidation>
  </dataValidations>
  <pageMargins left="0.7" right="0.7" top="0.75" bottom="0.75" header="0.3" footer="0.3"/>
  <pageSetup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2A1CF-E1D8-48EB-A8C6-EAEE255305E6}">
  <sheetPr>
    <pageSetUpPr fitToPage="1"/>
  </sheetPr>
  <dimension ref="A1:D20"/>
  <sheetViews>
    <sheetView view="pageBreakPreview" zoomScale="85" zoomScaleNormal="100" zoomScaleSheetLayoutView="85" workbookViewId="0">
      <selection activeCell="D39" sqref="D39"/>
    </sheetView>
  </sheetViews>
  <sheetFormatPr defaultColWidth="9.140625" defaultRowHeight="12.75" x14ac:dyDescent="0.2"/>
  <cols>
    <col min="1" max="1" width="60.42578125" style="195" customWidth="1"/>
    <col min="2" max="2" width="9.42578125" style="195" bestFit="1" customWidth="1"/>
    <col min="3" max="3" width="19.5703125" style="362" bestFit="1" customWidth="1"/>
    <col min="4" max="4" width="17.5703125" style="195" bestFit="1" customWidth="1"/>
    <col min="5" max="16384" width="9.140625" style="195"/>
  </cols>
  <sheetData>
    <row r="1" spans="1:4" x14ac:dyDescent="0.2">
      <c r="A1" s="217" t="s">
        <v>6</v>
      </c>
      <c r="C1" s="389"/>
      <c r="D1" s="219" t="s">
        <v>318</v>
      </c>
    </row>
    <row r="2" spans="1:4" x14ac:dyDescent="0.2">
      <c r="A2" s="217" t="str">
        <f>'Lead Sheet ADJ_4'!B2</f>
        <v>Washington Limited-Issue Rate Filing</v>
      </c>
      <c r="C2" s="388"/>
      <c r="D2" s="219"/>
    </row>
    <row r="3" spans="1:4" x14ac:dyDescent="0.2">
      <c r="A3" s="217" t="str">
        <f>'Lead Sheet ADJ_4'!B3</f>
        <v>Remove Deferred State Tax Expense &amp; Balance</v>
      </c>
      <c r="C3" s="388"/>
    </row>
    <row r="4" spans="1:4" x14ac:dyDescent="0.2">
      <c r="A4" s="217"/>
      <c r="C4" s="388"/>
    </row>
    <row r="5" spans="1:4" x14ac:dyDescent="0.2">
      <c r="C5" s="388"/>
    </row>
    <row r="6" spans="1:4" x14ac:dyDescent="0.2">
      <c r="A6" s="387" t="s">
        <v>317</v>
      </c>
      <c r="B6" s="387" t="s">
        <v>316</v>
      </c>
      <c r="C6" s="386" t="s">
        <v>304</v>
      </c>
      <c r="D6" s="385" t="s">
        <v>315</v>
      </c>
    </row>
    <row r="7" spans="1:4" x14ac:dyDescent="0.2">
      <c r="A7" s="371"/>
      <c r="B7" s="382"/>
      <c r="C7" s="384"/>
      <c r="D7" s="368"/>
    </row>
    <row r="8" spans="1:4" x14ac:dyDescent="0.2">
      <c r="A8" s="377" t="s">
        <v>314</v>
      </c>
      <c r="B8" s="370"/>
      <c r="C8" s="369"/>
      <c r="D8" s="368"/>
    </row>
    <row r="9" spans="1:4" x14ac:dyDescent="0.2">
      <c r="A9" s="367" t="s">
        <v>313</v>
      </c>
      <c r="B9" s="366"/>
      <c r="C9" s="373">
        <f>ROUND(SUM(Adjustments!$C$33:$D$33),0)</f>
        <v>-811109</v>
      </c>
      <c r="D9" s="368"/>
    </row>
    <row r="10" spans="1:4" ht="24" customHeight="1" x14ac:dyDescent="0.2">
      <c r="A10" s="383" t="s">
        <v>312</v>
      </c>
      <c r="B10" s="382"/>
      <c r="C10" s="369"/>
      <c r="D10" s="381">
        <f>ROUND(SUM(Adjustments!$C$57:$D$57),0)</f>
        <v>8635383</v>
      </c>
    </row>
    <row r="11" spans="1:4" x14ac:dyDescent="0.2">
      <c r="A11" s="380" t="s">
        <v>311</v>
      </c>
      <c r="B11" s="379">
        <v>3.5866000000000002E-2</v>
      </c>
      <c r="C11" s="369"/>
      <c r="D11" s="378"/>
    </row>
    <row r="12" spans="1:4" x14ac:dyDescent="0.2">
      <c r="A12" s="377"/>
      <c r="B12" s="369"/>
      <c r="C12" s="369"/>
      <c r="D12" s="368"/>
    </row>
    <row r="13" spans="1:4" x14ac:dyDescent="0.2">
      <c r="A13" s="367" t="s">
        <v>310</v>
      </c>
      <c r="B13" s="375">
        <v>0.245866</v>
      </c>
      <c r="C13" s="369"/>
      <c r="D13" s="368"/>
    </row>
    <row r="14" spans="1:4" x14ac:dyDescent="0.2">
      <c r="A14" s="371"/>
      <c r="B14" s="370"/>
      <c r="C14" s="369"/>
      <c r="D14" s="368"/>
    </row>
    <row r="15" spans="1:4" x14ac:dyDescent="0.2">
      <c r="A15" s="376" t="s">
        <v>309</v>
      </c>
      <c r="B15" s="366"/>
      <c r="C15" s="375">
        <f>ROUND(B11/B13,8)</f>
        <v>0.14587621000000001</v>
      </c>
      <c r="D15" s="374">
        <f>+C15</f>
        <v>0.14587621000000001</v>
      </c>
    </row>
    <row r="16" spans="1:4" x14ac:dyDescent="0.2">
      <c r="A16" s="371"/>
      <c r="B16" s="370"/>
      <c r="C16" s="369"/>
      <c r="D16" s="368"/>
    </row>
    <row r="17" spans="1:4" x14ac:dyDescent="0.2">
      <c r="A17" s="367" t="s">
        <v>308</v>
      </c>
      <c r="B17" s="366"/>
      <c r="C17" s="373">
        <f>ROUND(C15*C9,0)</f>
        <v>-118322</v>
      </c>
      <c r="D17" s="372"/>
    </row>
    <row r="18" spans="1:4" x14ac:dyDescent="0.2">
      <c r="A18" s="371"/>
      <c r="B18" s="370"/>
      <c r="C18" s="369"/>
      <c r="D18" s="368"/>
    </row>
    <row r="19" spans="1:4" x14ac:dyDescent="0.2">
      <c r="A19" s="367" t="s">
        <v>307</v>
      </c>
      <c r="B19" s="366"/>
      <c r="C19" s="365">
        <f>-C17</f>
        <v>118322</v>
      </c>
      <c r="D19" s="364">
        <f>ROUND(-D10*D15,0)</f>
        <v>-1259697</v>
      </c>
    </row>
    <row r="20" spans="1:4" x14ac:dyDescent="0.2">
      <c r="C20" s="363" t="s">
        <v>306</v>
      </c>
      <c r="D20" s="363" t="s">
        <v>306</v>
      </c>
    </row>
  </sheetData>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I28"/>
  <sheetViews>
    <sheetView view="pageBreakPreview" zoomScale="80" zoomScaleNormal="100" zoomScaleSheetLayoutView="80" workbookViewId="0">
      <selection activeCell="C13" sqref="C13"/>
    </sheetView>
  </sheetViews>
  <sheetFormatPr defaultRowHeight="12.75" x14ac:dyDescent="0.2"/>
  <cols>
    <col min="1" max="1" width="5.7109375" style="107" customWidth="1"/>
    <col min="2" max="2" width="7.140625" style="92" customWidth="1"/>
    <col min="3" max="3" width="49.85546875" style="107" customWidth="1"/>
    <col min="4" max="6" width="16.140625" style="107" customWidth="1"/>
    <col min="7" max="7" width="1.85546875" style="107" customWidth="1"/>
    <col min="8" max="8" width="20.5703125" style="132" customWidth="1"/>
    <col min="9" max="9" width="9.5703125" style="107" bestFit="1" customWidth="1"/>
    <col min="10" max="16384" width="9.140625" style="107"/>
  </cols>
  <sheetData>
    <row r="1" spans="1:9" x14ac:dyDescent="0.2">
      <c r="A1" s="162" t="s">
        <v>6</v>
      </c>
    </row>
    <row r="2" spans="1:9" x14ac:dyDescent="0.2">
      <c r="A2" s="162" t="str">
        <f>Results!A2</f>
        <v>Washington Limited-Issue Rate Filing</v>
      </c>
    </row>
    <row r="3" spans="1:9" x14ac:dyDescent="0.2">
      <c r="A3" s="128" t="s">
        <v>118</v>
      </c>
      <c r="C3" s="129"/>
      <c r="D3" s="129"/>
      <c r="E3" s="129"/>
      <c r="F3" s="129"/>
      <c r="G3" s="129"/>
      <c r="H3" s="130"/>
    </row>
    <row r="4" spans="1:9" ht="6" customHeight="1" x14ac:dyDescent="0.2">
      <c r="A4" s="131"/>
    </row>
    <row r="5" spans="1:9" ht="12.75" customHeight="1" x14ac:dyDescent="0.2">
      <c r="A5" s="164" t="s">
        <v>128</v>
      </c>
      <c r="B5" s="164"/>
      <c r="C5" s="164"/>
      <c r="D5" s="164"/>
      <c r="E5" s="164"/>
      <c r="F5" s="164"/>
      <c r="G5" s="152"/>
      <c r="H5" s="152"/>
    </row>
    <row r="6" spans="1:9" ht="12.75" customHeight="1" x14ac:dyDescent="0.2">
      <c r="A6" s="164"/>
      <c r="B6" s="164"/>
      <c r="C6" s="164"/>
      <c r="D6" s="164"/>
      <c r="E6" s="164"/>
      <c r="F6" s="164"/>
      <c r="G6" s="152"/>
      <c r="H6" s="152"/>
    </row>
    <row r="7" spans="1:9" x14ac:dyDescent="0.2">
      <c r="B7" s="133" t="s">
        <v>102</v>
      </c>
      <c r="C7" s="133" t="s">
        <v>103</v>
      </c>
      <c r="D7" s="133" t="s">
        <v>119</v>
      </c>
      <c r="E7" s="133" t="s">
        <v>120</v>
      </c>
      <c r="F7" s="133" t="s">
        <v>121</v>
      </c>
      <c r="G7" s="157"/>
      <c r="H7" s="157"/>
    </row>
    <row r="8" spans="1:9" x14ac:dyDescent="0.2">
      <c r="D8" s="134" t="s">
        <v>95</v>
      </c>
      <c r="E8" s="135" t="s">
        <v>96</v>
      </c>
      <c r="F8" s="134" t="s">
        <v>97</v>
      </c>
      <c r="G8" s="158"/>
      <c r="H8" s="157"/>
    </row>
    <row r="9" spans="1:9" x14ac:dyDescent="0.2">
      <c r="C9" s="136" t="s">
        <v>129</v>
      </c>
      <c r="D9" s="74">
        <v>78075703.28017056</v>
      </c>
      <c r="E9" s="74">
        <v>1086811238.4255927</v>
      </c>
      <c r="F9" s="74">
        <f>-(D9-(E9*Overall_ROR))/gross_up_factor</f>
        <v>-213262.76708720002</v>
      </c>
      <c r="G9" s="3"/>
      <c r="H9" s="2"/>
    </row>
    <row r="10" spans="1:9" x14ac:dyDescent="0.2">
      <c r="C10" s="136"/>
      <c r="D10" s="74"/>
      <c r="E10" s="74"/>
      <c r="F10" s="74"/>
      <c r="G10" s="3"/>
      <c r="H10" s="159"/>
    </row>
    <row r="11" spans="1:9" s="140" customFormat="1" ht="24.75" customHeight="1" x14ac:dyDescent="0.2">
      <c r="A11" s="138" t="s">
        <v>101</v>
      </c>
      <c r="B11" s="138" t="s">
        <v>100</v>
      </c>
      <c r="C11" s="138"/>
      <c r="D11" s="138"/>
      <c r="E11" s="138"/>
      <c r="F11" s="139"/>
      <c r="G11" s="160"/>
      <c r="H11" s="161"/>
    </row>
    <row r="12" spans="1:9" x14ac:dyDescent="0.2">
      <c r="A12" s="92">
        <v>1</v>
      </c>
      <c r="B12" s="141">
        <v>1</v>
      </c>
      <c r="C12" s="107" t="s">
        <v>123</v>
      </c>
      <c r="D12" s="14">
        <f>Adjustments!C38</f>
        <v>217828.55851126742</v>
      </c>
      <c r="E12" s="14">
        <f>Adjustments!C65</f>
        <v>4004143.3185246559</v>
      </c>
      <c r="F12" s="14">
        <f>-(D12-(E12*Overall_ROR))/gross_up_factor</f>
        <v>91926.338767855283</v>
      </c>
      <c r="G12" s="2"/>
      <c r="H12" s="2"/>
      <c r="I12" s="142"/>
    </row>
    <row r="13" spans="1:9" x14ac:dyDescent="0.2">
      <c r="A13" s="92">
        <f>A12+1</f>
        <v>2</v>
      </c>
      <c r="B13" s="141">
        <v>2</v>
      </c>
      <c r="C13" s="107" t="s">
        <v>111</v>
      </c>
      <c r="D13" s="14">
        <f>Adjustments!D38</f>
        <v>134862.01894444716</v>
      </c>
      <c r="E13" s="14">
        <f>Adjustments!D65</f>
        <v>-6206828.0326708136</v>
      </c>
      <c r="F13" s="14">
        <f>-(D13-(E13*Overall_ROR))/gross_up_factor</f>
        <v>-769884.59480255644</v>
      </c>
      <c r="G13" s="2"/>
      <c r="H13" s="2"/>
    </row>
    <row r="14" spans="1:9" x14ac:dyDescent="0.2">
      <c r="A14" s="92">
        <f t="shared" ref="A14:A21" si="0">A13+1</f>
        <v>3</v>
      </c>
      <c r="B14" s="141">
        <v>3</v>
      </c>
      <c r="C14" s="107" t="s">
        <v>112</v>
      </c>
      <c r="D14" s="14">
        <f>Adjustments!E38</f>
        <v>-18201.469220539257</v>
      </c>
      <c r="E14" s="14">
        <f>Adjustments!E65</f>
        <v>0</v>
      </c>
      <c r="F14" s="14">
        <f>-(D14-(E14*Overall_ROR))/gross_up_factor</f>
        <v>24167.123707812862</v>
      </c>
      <c r="G14" s="2"/>
      <c r="H14" s="2"/>
    </row>
    <row r="15" spans="1:9" x14ac:dyDescent="0.2">
      <c r="A15" s="92">
        <f t="shared" si="0"/>
        <v>4</v>
      </c>
      <c r="B15" s="141">
        <v>4</v>
      </c>
      <c r="C15" s="107" t="s">
        <v>113</v>
      </c>
      <c r="D15" s="14">
        <f>Adjustments!F38</f>
        <v>-118322</v>
      </c>
      <c r="E15" s="14">
        <f>Adjustments!F65</f>
        <v>-1259697</v>
      </c>
      <c r="F15" s="14">
        <f>-(D15-(E15*Overall_ROR))/gross_up_factor</f>
        <v>37193.763410183899</v>
      </c>
      <c r="G15" s="2"/>
      <c r="H15" s="2"/>
    </row>
    <row r="16" spans="1:9" s="18" customFormat="1" x14ac:dyDescent="0.2">
      <c r="A16" s="92">
        <f t="shared" si="0"/>
        <v>5</v>
      </c>
      <c r="C16" s="143" t="s">
        <v>99</v>
      </c>
      <c r="D16" s="144">
        <f>SUM(D12:D15)</f>
        <v>216167.10823517531</v>
      </c>
      <c r="E16" s="144">
        <f t="shared" ref="E16" si="1">SUM(E12:E15)</f>
        <v>-3462381.7141461577</v>
      </c>
      <c r="F16" s="144">
        <f>ROUNDDOWN(SUM(F12:F15),0)</f>
        <v>-616597</v>
      </c>
      <c r="G16" s="145"/>
      <c r="H16" s="127"/>
    </row>
    <row r="17" spans="1:8" x14ac:dyDescent="0.2">
      <c r="A17" s="92">
        <f t="shared" si="0"/>
        <v>6</v>
      </c>
      <c r="C17" s="146"/>
      <c r="D17" s="3"/>
      <c r="E17" s="3"/>
      <c r="F17" s="3"/>
      <c r="G17" s="3"/>
      <c r="H17" s="159"/>
    </row>
    <row r="18" spans="1:8" x14ac:dyDescent="0.2">
      <c r="A18" s="92">
        <f t="shared" si="0"/>
        <v>7</v>
      </c>
      <c r="C18" s="146"/>
      <c r="D18" s="3"/>
      <c r="E18" s="3"/>
      <c r="F18" s="3"/>
      <c r="G18" s="3"/>
      <c r="H18" s="137"/>
    </row>
    <row r="19" spans="1:8" x14ac:dyDescent="0.2">
      <c r="A19" s="92">
        <f t="shared" si="0"/>
        <v>8</v>
      </c>
      <c r="B19" s="151" t="s">
        <v>98</v>
      </c>
    </row>
    <row r="20" spans="1:8" x14ac:dyDescent="0.2">
      <c r="A20" s="92">
        <f t="shared" si="0"/>
        <v>9</v>
      </c>
      <c r="B20" s="151" t="s">
        <v>122</v>
      </c>
    </row>
    <row r="21" spans="1:8" x14ac:dyDescent="0.2">
      <c r="A21" s="92">
        <f t="shared" si="0"/>
        <v>10</v>
      </c>
      <c r="B21" s="151" t="s">
        <v>130</v>
      </c>
      <c r="G21" s="147"/>
      <c r="H21" s="148"/>
    </row>
    <row r="22" spans="1:8" x14ac:dyDescent="0.2">
      <c r="A22" s="92"/>
      <c r="B22" s="153"/>
    </row>
    <row r="23" spans="1:8" x14ac:dyDescent="0.2">
      <c r="E23" s="149"/>
      <c r="F23" s="150"/>
    </row>
    <row r="24" spans="1:8" x14ac:dyDescent="0.2">
      <c r="E24" s="149"/>
      <c r="F24" s="150"/>
    </row>
    <row r="26" spans="1:8" x14ac:dyDescent="0.2">
      <c r="F26" s="14"/>
    </row>
    <row r="27" spans="1:8" x14ac:dyDescent="0.2">
      <c r="F27" s="14"/>
    </row>
    <row r="28" spans="1:8" x14ac:dyDescent="0.2">
      <c r="F28" s="150"/>
    </row>
  </sheetData>
  <mergeCells count="1">
    <mergeCell ref="A5:F6"/>
  </mergeCells>
  <pageMargins left="1" right="0.5" top="0.75" bottom="0.75" header="0.3" footer="0.3"/>
  <pageSetup orientation="landscape" r:id="rId1"/>
  <headerFooter>
    <oddFooter>&amp;CPage 1.2</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F91"/>
  <sheetViews>
    <sheetView view="pageBreakPreview" zoomScale="85" zoomScaleNormal="80" zoomScaleSheetLayoutView="85" workbookViewId="0">
      <pane xSplit="2" ySplit="7" topLeftCell="C47" activePane="bottomRight" state="frozen"/>
      <selection pane="topRight" activeCell="C1" sqref="C1"/>
      <selection pane="bottomLeft" activeCell="A10" sqref="A10"/>
      <selection pane="bottomRight" activeCell="C55" sqref="C55"/>
    </sheetView>
  </sheetViews>
  <sheetFormatPr defaultRowHeight="12.75" outlineLevelRow="1" x14ac:dyDescent="0.2"/>
  <cols>
    <col min="1" max="1" width="36.28515625" style="2" customWidth="1"/>
    <col min="2" max="2" width="20" style="14" customWidth="1"/>
    <col min="3" max="3" width="17.28515625" style="14" bestFit="1" customWidth="1"/>
    <col min="4" max="4" width="17.28515625" style="2" bestFit="1" customWidth="1"/>
    <col min="5" max="6" width="17.42578125" style="14" customWidth="1"/>
    <col min="7" max="7" width="9.140625" style="14"/>
    <col min="8" max="8" width="10.28515625" style="14" customWidth="1"/>
    <col min="9" max="16384" width="9.140625" style="14"/>
  </cols>
  <sheetData>
    <row r="1" spans="1:6" x14ac:dyDescent="0.2">
      <c r="A1" s="3" t="s">
        <v>6</v>
      </c>
    </row>
    <row r="2" spans="1:6" s="2" customFormat="1" x14ac:dyDescent="0.2">
      <c r="A2" s="71" t="str">
        <f>Results!A2</f>
        <v>Washington Limited-Issue Rate Filing</v>
      </c>
    </row>
    <row r="3" spans="1:6" s="2" customFormat="1" x14ac:dyDescent="0.2">
      <c r="A3" s="72" t="s">
        <v>117</v>
      </c>
    </row>
    <row r="4" spans="1:6" s="3" customFormat="1" ht="13.5" thickBot="1" x14ac:dyDescent="0.25">
      <c r="A4" s="73"/>
    </row>
    <row r="5" spans="1:6" s="74" customFormat="1" ht="13.5" thickBot="1" x14ac:dyDescent="0.25">
      <c r="A5" s="3"/>
      <c r="B5" s="105"/>
      <c r="C5" s="106"/>
      <c r="D5" s="116"/>
      <c r="E5" s="124"/>
      <c r="F5" s="125"/>
    </row>
    <row r="6" spans="1:6" x14ac:dyDescent="0.2">
      <c r="B6" s="55"/>
      <c r="C6" s="56" t="s">
        <v>109</v>
      </c>
      <c r="D6" s="110" t="s">
        <v>110</v>
      </c>
      <c r="E6" s="110" t="s">
        <v>114</v>
      </c>
      <c r="F6" s="54" t="s">
        <v>115</v>
      </c>
    </row>
    <row r="7" spans="1:6" s="75" customFormat="1" ht="51" x14ac:dyDescent="0.2">
      <c r="A7" s="13"/>
      <c r="B7" s="57" t="s">
        <v>106</v>
      </c>
      <c r="C7" s="108" t="s">
        <v>123</v>
      </c>
      <c r="D7" s="111" t="s">
        <v>111</v>
      </c>
      <c r="E7" s="111" t="s">
        <v>124</v>
      </c>
      <c r="F7" s="109" t="s">
        <v>116</v>
      </c>
    </row>
    <row r="8" spans="1:6" x14ac:dyDescent="0.2">
      <c r="B8" s="76"/>
      <c r="C8" s="34"/>
      <c r="E8" s="2"/>
      <c r="F8" s="63"/>
    </row>
    <row r="9" spans="1:6" outlineLevel="1" x14ac:dyDescent="0.2">
      <c r="A9" s="13" t="s">
        <v>9</v>
      </c>
      <c r="B9" s="59"/>
      <c r="C9" s="25"/>
      <c r="D9" s="11"/>
      <c r="E9" s="11"/>
      <c r="F9" s="58"/>
    </row>
    <row r="10" spans="1:6" outlineLevel="1" x14ac:dyDescent="0.2">
      <c r="A10" s="13" t="s">
        <v>10</v>
      </c>
      <c r="B10" s="65">
        <f>SUM(C10:F10)</f>
        <v>0</v>
      </c>
      <c r="C10" s="27"/>
      <c r="D10" s="112"/>
      <c r="E10" s="112"/>
      <c r="F10" s="61"/>
    </row>
    <row r="11" spans="1:6" outlineLevel="1" x14ac:dyDescent="0.2">
      <c r="A11" s="13" t="s">
        <v>11</v>
      </c>
      <c r="B11" s="65">
        <f t="shared" ref="B11:B14" si="0">SUM(C11:F11)</f>
        <v>0</v>
      </c>
      <c r="C11" s="27"/>
      <c r="D11" s="112"/>
      <c r="E11" s="112"/>
      <c r="F11" s="61"/>
    </row>
    <row r="12" spans="1:6" outlineLevel="1" x14ac:dyDescent="0.2">
      <c r="A12" s="13" t="s">
        <v>12</v>
      </c>
      <c r="B12" s="65">
        <f t="shared" si="0"/>
        <v>0</v>
      </c>
      <c r="C12" s="27"/>
      <c r="D12" s="112"/>
      <c r="E12" s="112"/>
      <c r="F12" s="61"/>
    </row>
    <row r="13" spans="1:6" outlineLevel="1" x14ac:dyDescent="0.2">
      <c r="A13" s="13" t="s">
        <v>13</v>
      </c>
      <c r="B13" s="65">
        <f t="shared" si="0"/>
        <v>0</v>
      </c>
      <c r="C13" s="27"/>
      <c r="D13" s="112"/>
      <c r="E13" s="112"/>
      <c r="F13" s="61"/>
    </row>
    <row r="14" spans="1:6" outlineLevel="1" x14ac:dyDescent="0.2">
      <c r="A14" s="13" t="s">
        <v>14</v>
      </c>
      <c r="B14" s="77">
        <f t="shared" si="0"/>
        <v>0</v>
      </c>
      <c r="C14" s="28">
        <f>SUM(C10:C13)</f>
        <v>0</v>
      </c>
      <c r="D14" s="117">
        <f t="shared" ref="D14:F14" si="1">SUM(D10:D13)</f>
        <v>0</v>
      </c>
      <c r="E14" s="117">
        <f t="shared" si="1"/>
        <v>0</v>
      </c>
      <c r="F14" s="62">
        <f t="shared" si="1"/>
        <v>0</v>
      </c>
    </row>
    <row r="15" spans="1:6" outlineLevel="1" x14ac:dyDescent="0.2">
      <c r="A15" s="13"/>
      <c r="B15" s="59"/>
      <c r="C15" s="25"/>
      <c r="D15" s="11"/>
      <c r="E15" s="11"/>
      <c r="F15" s="58"/>
    </row>
    <row r="16" spans="1:6" outlineLevel="1" x14ac:dyDescent="0.2">
      <c r="A16" s="13" t="s">
        <v>15</v>
      </c>
      <c r="B16" s="59"/>
      <c r="C16" s="25"/>
      <c r="D16" s="11"/>
      <c r="E16" s="11"/>
      <c r="F16" s="58"/>
    </row>
    <row r="17" spans="1:6" outlineLevel="1" x14ac:dyDescent="0.2">
      <c r="A17" s="13" t="s">
        <v>16</v>
      </c>
      <c r="B17" s="65">
        <f t="shared" ref="B17:B36" si="2">SUM(C17:F17)</f>
        <v>0</v>
      </c>
      <c r="C17" s="27"/>
      <c r="D17" s="112"/>
      <c r="E17" s="112"/>
      <c r="F17" s="61"/>
    </row>
    <row r="18" spans="1:6" outlineLevel="1" x14ac:dyDescent="0.2">
      <c r="A18" s="13" t="s">
        <v>17</v>
      </c>
      <c r="B18" s="65">
        <f t="shared" si="2"/>
        <v>0</v>
      </c>
      <c r="C18" s="27"/>
      <c r="D18" s="112"/>
      <c r="E18" s="112"/>
      <c r="F18" s="61"/>
    </row>
    <row r="19" spans="1:6" outlineLevel="1" x14ac:dyDescent="0.2">
      <c r="A19" s="13" t="s">
        <v>18</v>
      </c>
      <c r="B19" s="65">
        <f t="shared" si="2"/>
        <v>0</v>
      </c>
      <c r="C19" s="27"/>
      <c r="D19" s="112"/>
      <c r="E19" s="112"/>
      <c r="F19" s="61"/>
    </row>
    <row r="20" spans="1:6" outlineLevel="1" x14ac:dyDescent="0.2">
      <c r="A20" s="13" t="s">
        <v>19</v>
      </c>
      <c r="B20" s="65">
        <f t="shared" si="2"/>
        <v>0</v>
      </c>
      <c r="C20" s="27"/>
      <c r="D20" s="112"/>
      <c r="E20" s="112"/>
      <c r="F20" s="61"/>
    </row>
    <row r="21" spans="1:6" outlineLevel="1" x14ac:dyDescent="0.2">
      <c r="A21" s="13" t="s">
        <v>20</v>
      </c>
      <c r="B21" s="65">
        <f t="shared" si="2"/>
        <v>0</v>
      </c>
      <c r="C21" s="27"/>
      <c r="D21" s="112"/>
      <c r="E21" s="112"/>
      <c r="F21" s="61"/>
    </row>
    <row r="22" spans="1:6" outlineLevel="1" x14ac:dyDescent="0.2">
      <c r="A22" s="13" t="s">
        <v>21</v>
      </c>
      <c r="B22" s="65">
        <f t="shared" si="2"/>
        <v>0</v>
      </c>
      <c r="C22" s="27"/>
      <c r="D22" s="112"/>
      <c r="E22" s="112"/>
      <c r="F22" s="61"/>
    </row>
    <row r="23" spans="1:6" outlineLevel="1" x14ac:dyDescent="0.2">
      <c r="A23" s="13" t="s">
        <v>22</v>
      </c>
      <c r="B23" s="65">
        <f t="shared" si="2"/>
        <v>0</v>
      </c>
      <c r="C23" s="27"/>
      <c r="D23" s="112"/>
      <c r="E23" s="112"/>
      <c r="F23" s="61"/>
    </row>
    <row r="24" spans="1:6" outlineLevel="1" x14ac:dyDescent="0.2">
      <c r="A24" s="13" t="s">
        <v>23</v>
      </c>
      <c r="B24" s="65">
        <f t="shared" si="2"/>
        <v>0</v>
      </c>
      <c r="C24" s="27"/>
      <c r="D24" s="112"/>
      <c r="E24" s="112"/>
      <c r="F24" s="61"/>
    </row>
    <row r="25" spans="1:6" outlineLevel="1" x14ac:dyDescent="0.2">
      <c r="A25" s="13" t="s">
        <v>24</v>
      </c>
      <c r="B25" s="65">
        <f t="shared" si="2"/>
        <v>0</v>
      </c>
      <c r="C25" s="27"/>
      <c r="D25" s="112"/>
      <c r="E25" s="112"/>
      <c r="F25" s="61"/>
    </row>
    <row r="26" spans="1:6" outlineLevel="1" x14ac:dyDescent="0.2">
      <c r="A26" s="13" t="s">
        <v>25</v>
      </c>
      <c r="B26" s="65">
        <f t="shared" si="2"/>
        <v>0</v>
      </c>
      <c r="C26" s="29"/>
      <c r="D26" s="118"/>
      <c r="E26" s="118"/>
      <c r="F26" s="64"/>
    </row>
    <row r="27" spans="1:6" outlineLevel="1" x14ac:dyDescent="0.2">
      <c r="A27" s="13" t="s">
        <v>26</v>
      </c>
      <c r="B27" s="78">
        <f t="shared" si="2"/>
        <v>0</v>
      </c>
      <c r="C27" s="25">
        <f>SUM(C17:C26)</f>
        <v>0</v>
      </c>
      <c r="D27" s="11">
        <f t="shared" ref="D27:F27" si="3">SUM(D17:D26)</f>
        <v>0</v>
      </c>
      <c r="E27" s="11">
        <f t="shared" si="3"/>
        <v>0</v>
      </c>
      <c r="F27" s="58">
        <f t="shared" si="3"/>
        <v>0</v>
      </c>
    </row>
    <row r="28" spans="1:6" x14ac:dyDescent="0.2">
      <c r="A28" s="13" t="s">
        <v>27</v>
      </c>
      <c r="B28" s="65">
        <f t="shared" si="2"/>
        <v>-288835.64086887613</v>
      </c>
      <c r="C28" s="27">
        <f>SUM('Lead Sheet ADJ_1'!$I$14:$I$16)</f>
        <v>-110005.23863674092</v>
      </c>
      <c r="D28" s="112">
        <f>'Lead Sheet ADJ_2'!$I$23</f>
        <v>-178830.40223213524</v>
      </c>
      <c r="E28" s="112"/>
      <c r="F28" s="61"/>
    </row>
    <row r="29" spans="1:6" x14ac:dyDescent="0.2">
      <c r="A29" s="13" t="s">
        <v>28</v>
      </c>
      <c r="B29" s="65">
        <f t="shared" si="2"/>
        <v>0</v>
      </c>
      <c r="C29" s="27"/>
      <c r="D29" s="112"/>
      <c r="E29" s="112"/>
      <c r="F29" s="61"/>
    </row>
    <row r="30" spans="1:6" x14ac:dyDescent="0.2">
      <c r="A30" s="13" t="s">
        <v>29</v>
      </c>
      <c r="B30" s="65">
        <f t="shared" si="2"/>
        <v>0</v>
      </c>
      <c r="C30" s="27"/>
      <c r="D30" s="112"/>
      <c r="E30" s="112"/>
      <c r="F30" s="61"/>
    </row>
    <row r="31" spans="1:6" x14ac:dyDescent="0.2">
      <c r="A31" s="13" t="s">
        <v>30</v>
      </c>
      <c r="B31" s="65">
        <f t="shared" si="2"/>
        <v>765455.2995616768</v>
      </c>
      <c r="C31" s="27">
        <f t="shared" ref="C31:D31" si="4">C85</f>
        <v>747253.8303411376</v>
      </c>
      <c r="D31" s="112">
        <f t="shared" si="4"/>
        <v>0</v>
      </c>
      <c r="E31" s="112">
        <f t="shared" ref="E31:F31" si="5">E85</f>
        <v>18201.469220539257</v>
      </c>
      <c r="F31" s="61">
        <f t="shared" si="5"/>
        <v>0</v>
      </c>
    </row>
    <row r="32" spans="1:6" x14ac:dyDescent="0.2">
      <c r="A32" s="13" t="s">
        <v>31</v>
      </c>
      <c r="B32" s="65">
        <f t="shared" si="2"/>
        <v>0</v>
      </c>
      <c r="C32" s="26">
        <v>0</v>
      </c>
      <c r="D32" s="113">
        <v>0</v>
      </c>
      <c r="E32" s="113">
        <v>0</v>
      </c>
      <c r="F32" s="60">
        <v>0</v>
      </c>
    </row>
    <row r="33" spans="1:6" x14ac:dyDescent="0.2">
      <c r="A33" s="13" t="s">
        <v>32</v>
      </c>
      <c r="B33" s="65">
        <f t="shared" si="2"/>
        <v>-692786.76692797593</v>
      </c>
      <c r="C33" s="156">
        <f>SUM('Lead Sheet ADJ_1'!$I$27:$I$28,'Lead Sheet ADJ_1'!$I$32)</f>
        <v>-855077.15021566406</v>
      </c>
      <c r="D33" s="112">
        <f>'Lead Sheet ADJ_2'!$I$38+'Lead Sheet ADJ_2'!$I$42+'Lead Sheet ADJ_2'!$I$46</f>
        <v>43968.383287688077</v>
      </c>
      <c r="E33" s="112"/>
      <c r="F33" s="61">
        <f>'Lead Sheet ADJ_4'!$I$10</f>
        <v>118322</v>
      </c>
    </row>
    <row r="34" spans="1:6" x14ac:dyDescent="0.2">
      <c r="A34" s="13" t="s">
        <v>33</v>
      </c>
      <c r="B34" s="65">
        <f t="shared" si="2"/>
        <v>0</v>
      </c>
      <c r="C34" s="27"/>
      <c r="D34" s="112"/>
      <c r="E34" s="112"/>
      <c r="F34" s="61"/>
    </row>
    <row r="35" spans="1:6" x14ac:dyDescent="0.2">
      <c r="A35" s="13" t="s">
        <v>34</v>
      </c>
      <c r="B35" s="65">
        <f t="shared" si="2"/>
        <v>0</v>
      </c>
      <c r="C35" s="27"/>
      <c r="D35" s="112"/>
      <c r="E35" s="112"/>
      <c r="F35" s="61"/>
    </row>
    <row r="36" spans="1:6" x14ac:dyDescent="0.2">
      <c r="A36" s="13" t="s">
        <v>35</v>
      </c>
      <c r="B36" s="77">
        <f t="shared" si="2"/>
        <v>-216167.10823517531</v>
      </c>
      <c r="C36" s="28">
        <f>SUM(C27:C35)</f>
        <v>-217828.55851126742</v>
      </c>
      <c r="D36" s="117">
        <f t="shared" ref="D36:F36" si="6">SUM(D27:D35)</f>
        <v>-134862.01894444716</v>
      </c>
      <c r="E36" s="117">
        <f t="shared" si="6"/>
        <v>18201.469220539257</v>
      </c>
      <c r="F36" s="62">
        <f t="shared" si="6"/>
        <v>118322</v>
      </c>
    </row>
    <row r="37" spans="1:6" x14ac:dyDescent="0.2">
      <c r="A37" s="13"/>
      <c r="B37" s="59"/>
      <c r="C37" s="25"/>
      <c r="D37" s="11"/>
      <c r="E37" s="11"/>
      <c r="F37" s="58"/>
    </row>
    <row r="38" spans="1:6" ht="13.5" thickBot="1" x14ac:dyDescent="0.25">
      <c r="A38" s="13" t="s">
        <v>36</v>
      </c>
      <c r="B38" s="79">
        <f t="shared" ref="B38" si="7">SUM(C38:F38)</f>
        <v>216167.10823517531</v>
      </c>
      <c r="C38" s="30">
        <f t="shared" ref="C38:D38" si="8">C14-C36</f>
        <v>217828.55851126742</v>
      </c>
      <c r="D38" s="119">
        <f t="shared" si="8"/>
        <v>134862.01894444716</v>
      </c>
      <c r="E38" s="119">
        <f t="shared" ref="E38:F38" si="9">E14-E36</f>
        <v>-18201.469220539257</v>
      </c>
      <c r="F38" s="66">
        <f t="shared" si="9"/>
        <v>-118322</v>
      </c>
    </row>
    <row r="39" spans="1:6" ht="13.5" thickTop="1" x14ac:dyDescent="0.2">
      <c r="A39" s="13"/>
      <c r="B39" s="59"/>
      <c r="C39" s="25"/>
      <c r="D39" s="11"/>
      <c r="E39" s="11"/>
      <c r="F39" s="58"/>
    </row>
    <row r="40" spans="1:6" x14ac:dyDescent="0.2">
      <c r="A40" s="13" t="s">
        <v>37</v>
      </c>
      <c r="B40" s="59"/>
      <c r="C40" s="25"/>
      <c r="D40" s="11"/>
      <c r="E40" s="11"/>
      <c r="F40" s="58"/>
    </row>
    <row r="41" spans="1:6" x14ac:dyDescent="0.2">
      <c r="A41" s="13" t="s">
        <v>38</v>
      </c>
      <c r="B41" s="65">
        <f t="shared" ref="B41:B52" si="10">SUM(C41:F41)</f>
        <v>-14570276.832111917</v>
      </c>
      <c r="C41" s="27">
        <f>SUM('Lead Sheet ADJ_1'!$I$9:$I$11)</f>
        <v>-4000368.3248412451</v>
      </c>
      <c r="D41" s="112">
        <f>'Lead Sheet ADJ_2'!$I$13</f>
        <v>-10569908.507270671</v>
      </c>
      <c r="E41" s="112"/>
      <c r="F41" s="61"/>
    </row>
    <row r="42" spans="1:6" outlineLevel="1" x14ac:dyDescent="0.2">
      <c r="A42" s="13" t="s">
        <v>39</v>
      </c>
      <c r="B42" s="65">
        <f t="shared" si="10"/>
        <v>0</v>
      </c>
      <c r="C42" s="27"/>
      <c r="D42" s="112"/>
      <c r="E42" s="112"/>
      <c r="F42" s="61"/>
    </row>
    <row r="43" spans="1:6" outlineLevel="1" x14ac:dyDescent="0.2">
      <c r="A43" s="13" t="s">
        <v>40</v>
      </c>
      <c r="B43" s="65">
        <f t="shared" si="10"/>
        <v>0</v>
      </c>
      <c r="C43" s="27"/>
      <c r="D43" s="112"/>
      <c r="E43" s="112"/>
      <c r="F43" s="61"/>
    </row>
    <row r="44" spans="1:6" outlineLevel="1" x14ac:dyDescent="0.2">
      <c r="A44" s="13" t="s">
        <v>41</v>
      </c>
      <c r="B44" s="65">
        <f t="shared" si="10"/>
        <v>0</v>
      </c>
      <c r="C44" s="27"/>
      <c r="D44" s="112"/>
      <c r="E44" s="112"/>
      <c r="F44" s="61"/>
    </row>
    <row r="45" spans="1:6" outlineLevel="1" x14ac:dyDescent="0.2">
      <c r="A45" s="13" t="s">
        <v>42</v>
      </c>
      <c r="B45" s="65">
        <f t="shared" si="10"/>
        <v>0</v>
      </c>
      <c r="C45" s="27"/>
      <c r="D45" s="112"/>
      <c r="E45" s="112"/>
      <c r="F45" s="61"/>
    </row>
    <row r="46" spans="1:6" outlineLevel="1" x14ac:dyDescent="0.2">
      <c r="A46" s="13" t="s">
        <v>43</v>
      </c>
      <c r="B46" s="65">
        <f t="shared" si="10"/>
        <v>0</v>
      </c>
      <c r="C46" s="27"/>
      <c r="D46" s="112"/>
      <c r="E46" s="112"/>
      <c r="F46" s="61"/>
    </row>
    <row r="47" spans="1:6" outlineLevel="1" x14ac:dyDescent="0.2">
      <c r="A47" s="13" t="s">
        <v>44</v>
      </c>
      <c r="B47" s="65">
        <f t="shared" si="10"/>
        <v>0</v>
      </c>
      <c r="C47" s="27"/>
      <c r="D47" s="112"/>
      <c r="E47" s="112"/>
      <c r="F47" s="61"/>
    </row>
    <row r="48" spans="1:6" outlineLevel="1" x14ac:dyDescent="0.2">
      <c r="A48" s="13" t="s">
        <v>45</v>
      </c>
      <c r="B48" s="65">
        <f t="shared" si="10"/>
        <v>0</v>
      </c>
      <c r="C48" s="27"/>
      <c r="D48" s="112"/>
      <c r="E48" s="112"/>
      <c r="F48" s="61"/>
    </row>
    <row r="49" spans="1:6" outlineLevel="1" x14ac:dyDescent="0.2">
      <c r="A49" s="13" t="s">
        <v>46</v>
      </c>
      <c r="B49" s="65">
        <f t="shared" si="10"/>
        <v>0</v>
      </c>
      <c r="C49" s="27"/>
      <c r="D49" s="112"/>
      <c r="E49" s="112"/>
      <c r="F49" s="61"/>
    </row>
    <row r="50" spans="1:6" outlineLevel="1" x14ac:dyDescent="0.2">
      <c r="A50" s="13" t="s">
        <v>47</v>
      </c>
      <c r="B50" s="65">
        <f t="shared" si="10"/>
        <v>0</v>
      </c>
      <c r="C50" s="27"/>
      <c r="D50" s="112"/>
      <c r="E50" s="112"/>
      <c r="F50" s="61"/>
    </row>
    <row r="51" spans="1:6" outlineLevel="1" x14ac:dyDescent="0.2">
      <c r="A51" s="13" t="s">
        <v>48</v>
      </c>
      <c r="B51" s="65">
        <f t="shared" si="10"/>
        <v>0</v>
      </c>
      <c r="C51" s="27"/>
      <c r="D51" s="112"/>
      <c r="E51" s="112"/>
      <c r="F51" s="61"/>
    </row>
    <row r="52" spans="1:6" x14ac:dyDescent="0.2">
      <c r="A52" s="13" t="s">
        <v>49</v>
      </c>
      <c r="B52" s="80">
        <f t="shared" si="10"/>
        <v>-14570276.832111917</v>
      </c>
      <c r="C52" s="31">
        <f>SUM(C41:C51)</f>
        <v>-4000368.3248412451</v>
      </c>
      <c r="D52" s="120">
        <f t="shared" ref="D52:F52" si="11">SUM(D41:D51)</f>
        <v>-10569908.507270671</v>
      </c>
      <c r="E52" s="120">
        <f t="shared" si="11"/>
        <v>0</v>
      </c>
      <c r="F52" s="67">
        <f t="shared" si="11"/>
        <v>0</v>
      </c>
    </row>
    <row r="53" spans="1:6" x14ac:dyDescent="0.2">
      <c r="A53" s="13"/>
      <c r="B53" s="59"/>
      <c r="C53" s="25"/>
      <c r="D53" s="11"/>
      <c r="E53" s="11"/>
      <c r="F53" s="58"/>
    </row>
    <row r="54" spans="1:6" x14ac:dyDescent="0.2">
      <c r="A54" s="13" t="s">
        <v>50</v>
      </c>
      <c r="B54" s="59"/>
      <c r="C54" s="25"/>
      <c r="D54" s="11"/>
      <c r="E54" s="11"/>
      <c r="F54" s="58"/>
    </row>
    <row r="55" spans="1:6" x14ac:dyDescent="0.2">
      <c r="A55" s="13" t="s">
        <v>51</v>
      </c>
      <c r="B55" s="65">
        <f t="shared" ref="B55:B63" si="12">SUM(C55:F55)</f>
        <v>3732209.0419171331</v>
      </c>
      <c r="C55" s="27">
        <f>SUM('Lead Sheet ADJ_1'!$I$19:$I$21)</f>
        <v>765563.38298735372</v>
      </c>
      <c r="D55" s="112">
        <f>'Lead Sheet ADJ_2'!$I$18+'Lead Sheet ADJ_2'!$I$28</f>
        <v>2966645.6589297797</v>
      </c>
      <c r="E55" s="112"/>
      <c r="F55" s="61"/>
    </row>
    <row r="56" spans="1:6" x14ac:dyDescent="0.2">
      <c r="A56" s="13" t="s">
        <v>52</v>
      </c>
      <c r="B56" s="65">
        <f t="shared" si="12"/>
        <v>0</v>
      </c>
      <c r="C56" s="27"/>
      <c r="D56" s="112"/>
      <c r="E56" s="112"/>
      <c r="F56" s="61"/>
    </row>
    <row r="57" spans="1:6" x14ac:dyDescent="0.2">
      <c r="A57" s="13" t="s">
        <v>53</v>
      </c>
      <c r="B57" s="65">
        <f t="shared" si="12"/>
        <v>7375686.0760486256</v>
      </c>
      <c r="C57" s="156">
        <f>SUM('Lead Sheet ADJ_1'!$I$29,'Lead Sheet ADJ_1'!$I$33)</f>
        <v>7238948.260378547</v>
      </c>
      <c r="D57" s="112">
        <f>'Lead Sheet ADJ_2'!$I$35+'Lead Sheet ADJ_2'!$I$39+'Lead Sheet ADJ_2'!$I$43+'Lead Sheet ADJ_2'!$I$47</f>
        <v>1396434.8156700782</v>
      </c>
      <c r="E57" s="112"/>
      <c r="F57" s="61">
        <f>'Lead Sheet ADJ_4'!$I$12</f>
        <v>-1259697</v>
      </c>
    </row>
    <row r="58" spans="1:6" outlineLevel="1" x14ac:dyDescent="0.2">
      <c r="A58" s="13" t="s">
        <v>54</v>
      </c>
      <c r="B58" s="65">
        <f t="shared" si="12"/>
        <v>0</v>
      </c>
      <c r="C58" s="27"/>
      <c r="D58" s="112"/>
      <c r="E58" s="112"/>
      <c r="F58" s="61"/>
    </row>
    <row r="59" spans="1:6" outlineLevel="1" x14ac:dyDescent="0.2">
      <c r="A59" s="13" t="s">
        <v>55</v>
      </c>
      <c r="B59" s="65">
        <f t="shared" si="12"/>
        <v>0</v>
      </c>
      <c r="C59" s="27"/>
      <c r="D59" s="112"/>
      <c r="E59" s="112"/>
      <c r="F59" s="61"/>
    </row>
    <row r="60" spans="1:6" outlineLevel="1" x14ac:dyDescent="0.2">
      <c r="A60" s="13" t="s">
        <v>56</v>
      </c>
      <c r="B60" s="65">
        <f t="shared" si="12"/>
        <v>0</v>
      </c>
      <c r="C60" s="27"/>
      <c r="D60" s="112"/>
      <c r="E60" s="112"/>
      <c r="F60" s="61"/>
    </row>
    <row r="61" spans="1:6" outlineLevel="1" x14ac:dyDescent="0.2">
      <c r="A61" s="13" t="s">
        <v>57</v>
      </c>
      <c r="B61" s="65">
        <f t="shared" si="12"/>
        <v>0</v>
      </c>
      <c r="C61" s="27"/>
      <c r="D61" s="112"/>
      <c r="E61" s="112"/>
      <c r="F61" s="61"/>
    </row>
    <row r="62" spans="1:6" outlineLevel="1" x14ac:dyDescent="0.2">
      <c r="A62" s="13"/>
      <c r="B62" s="59">
        <f t="shared" si="12"/>
        <v>0</v>
      </c>
      <c r="C62" s="25"/>
      <c r="D62" s="11"/>
      <c r="E62" s="11"/>
      <c r="F62" s="58"/>
    </row>
    <row r="63" spans="1:6" x14ac:dyDescent="0.2">
      <c r="A63" s="13" t="s">
        <v>58</v>
      </c>
      <c r="B63" s="77">
        <f t="shared" si="12"/>
        <v>11107895.117965758</v>
      </c>
      <c r="C63" s="28">
        <f t="shared" ref="C63:D63" si="13">SUM(C55:C62)</f>
        <v>8004511.643365901</v>
      </c>
      <c r="D63" s="117">
        <f t="shared" si="13"/>
        <v>4363080.4745998578</v>
      </c>
      <c r="E63" s="117">
        <f t="shared" ref="E63:F63" si="14">SUM(E55:E62)</f>
        <v>0</v>
      </c>
      <c r="F63" s="62">
        <f t="shared" si="14"/>
        <v>-1259697</v>
      </c>
    </row>
    <row r="64" spans="1:6" x14ac:dyDescent="0.2">
      <c r="A64" s="13"/>
      <c r="B64" s="59"/>
      <c r="C64" s="25"/>
      <c r="D64" s="11"/>
      <c r="E64" s="11"/>
      <c r="F64" s="58"/>
    </row>
    <row r="65" spans="1:6" ht="13.5" thickBot="1" x14ac:dyDescent="0.25">
      <c r="A65" s="13" t="s">
        <v>59</v>
      </c>
      <c r="B65" s="81">
        <f t="shared" ref="B65" si="15">SUM(C65:F65)</f>
        <v>-3462381.7141461577</v>
      </c>
      <c r="C65" s="32">
        <f t="shared" ref="C65:D65" si="16">C52+C63</f>
        <v>4004143.3185246559</v>
      </c>
      <c r="D65" s="121">
        <f t="shared" si="16"/>
        <v>-6206828.0326708136</v>
      </c>
      <c r="E65" s="121">
        <f t="shared" ref="E65:F65" si="17">E52+E63</f>
        <v>0</v>
      </c>
      <c r="F65" s="82">
        <f t="shared" si="17"/>
        <v>-1259697</v>
      </c>
    </row>
    <row r="66" spans="1:6" ht="13.5" thickTop="1" x14ac:dyDescent="0.2">
      <c r="A66" s="13"/>
      <c r="B66" s="59"/>
      <c r="C66" s="25"/>
      <c r="D66" s="11"/>
      <c r="E66" s="11"/>
      <c r="F66" s="58"/>
    </row>
    <row r="67" spans="1:6" x14ac:dyDescent="0.2">
      <c r="A67" s="13"/>
      <c r="B67" s="59"/>
      <c r="C67" s="25"/>
      <c r="D67" s="11"/>
      <c r="E67" s="11"/>
      <c r="F67" s="58"/>
    </row>
    <row r="68" spans="1:6" s="97" customFormat="1" x14ac:dyDescent="0.2">
      <c r="A68" s="101" t="s">
        <v>94</v>
      </c>
      <c r="B68" s="17">
        <f t="shared" ref="B68:D68" si="18">(((B38+Unadj_Op_revenue)/(B65+Unadj_rate_base))-Weighted_cost_debt-Weighted_cost_pref)/Percent_common-Unadj_ROE</f>
        <v>8.7303835761332049E-4</v>
      </c>
      <c r="C68" s="15">
        <f t="shared" si="18"/>
        <v>-1.2926730381750129E-4</v>
      </c>
      <c r="D68" s="114">
        <f t="shared" si="18"/>
        <v>1.0928457828620342E-3</v>
      </c>
      <c r="E68" s="114">
        <f t="shared" ref="E68:F68" si="19">(((E38+Unadj_Op_revenue)/(E65+Unadj_rate_base))-Weighted_cost_debt-Weighted_cost_pref)/Percent_common-Unadj_ROE</f>
        <v>-3.4109144962629623E-5</v>
      </c>
      <c r="F68" s="16">
        <f t="shared" si="19"/>
        <v>-5.2555681271687638E-5</v>
      </c>
    </row>
    <row r="69" spans="1:6" x14ac:dyDescent="0.2">
      <c r="A69" s="13" t="s">
        <v>7</v>
      </c>
      <c r="B69" s="83">
        <f t="shared" ref="B69" si="20">SUM(C69:F69)</f>
        <v>-616597.36891670432</v>
      </c>
      <c r="C69" s="33">
        <f t="shared" ref="C69:D69" si="21">-(C38-(C65*Overall_ROR))/gross_up_factor</f>
        <v>91926.338767855283</v>
      </c>
      <c r="D69" s="115">
        <f t="shared" si="21"/>
        <v>-769884.59480255644</v>
      </c>
      <c r="E69" s="115">
        <f t="shared" ref="E69:F69" si="22">-(E38-(E65*Overall_ROR))/gross_up_factor</f>
        <v>24167.123707812862</v>
      </c>
      <c r="F69" s="163">
        <f t="shared" si="22"/>
        <v>37193.763410183899</v>
      </c>
    </row>
    <row r="70" spans="1:6" x14ac:dyDescent="0.2">
      <c r="A70" s="13"/>
      <c r="B70" s="17"/>
      <c r="C70" s="90"/>
      <c r="D70" s="114"/>
      <c r="E70" s="114"/>
      <c r="F70" s="16"/>
    </row>
    <row r="71" spans="1:6" x14ac:dyDescent="0.2">
      <c r="A71" s="13" t="s">
        <v>61</v>
      </c>
      <c r="B71" s="59"/>
      <c r="C71" s="25"/>
      <c r="D71" s="11"/>
      <c r="E71" s="11"/>
      <c r="F71" s="58"/>
    </row>
    <row r="72" spans="1:6" x14ac:dyDescent="0.2">
      <c r="A72" s="13" t="s">
        <v>62</v>
      </c>
      <c r="B72" s="83">
        <f t="shared" ref="B72:B78" si="23">SUM(C72:F72)</f>
        <v>288835.64086887613</v>
      </c>
      <c r="C72" s="33">
        <f t="shared" ref="C72:D72" si="24">C14-C27-C28-C29-C30-C35</f>
        <v>110005.23863674092</v>
      </c>
      <c r="D72" s="115">
        <f t="shared" si="24"/>
        <v>178830.40223213524</v>
      </c>
      <c r="E72" s="115">
        <f t="shared" ref="E72:F72" si="25">E14-E27-E28-E29-E30-E35</f>
        <v>0</v>
      </c>
      <c r="F72" s="84">
        <f t="shared" si="25"/>
        <v>0</v>
      </c>
    </row>
    <row r="73" spans="1:6" x14ac:dyDescent="0.2">
      <c r="A73" s="13" t="s">
        <v>63</v>
      </c>
      <c r="B73" s="83">
        <f t="shared" si="23"/>
        <v>0</v>
      </c>
      <c r="C73" s="25"/>
      <c r="D73" s="11"/>
      <c r="E73" s="11"/>
      <c r="F73" s="58"/>
    </row>
    <row r="74" spans="1:6" x14ac:dyDescent="0.2">
      <c r="A74" s="13" t="s">
        <v>64</v>
      </c>
      <c r="B74" s="83">
        <f t="shared" si="23"/>
        <v>0</v>
      </c>
      <c r="C74" s="26"/>
      <c r="D74" s="113"/>
      <c r="E74" s="113"/>
      <c r="F74" s="60"/>
    </row>
    <row r="75" spans="1:6" x14ac:dyDescent="0.2">
      <c r="A75" s="13" t="s">
        <v>65</v>
      </c>
      <c r="B75" s="83">
        <f t="shared" si="23"/>
        <v>-86673.662954948843</v>
      </c>
      <c r="C75" s="26"/>
      <c r="D75" s="113"/>
      <c r="E75" s="113">
        <f>'Lead Sheet ADJ_3'!$I$10</f>
        <v>-86673.662954948843</v>
      </c>
      <c r="F75" s="60"/>
    </row>
    <row r="76" spans="1:6" x14ac:dyDescent="0.2">
      <c r="A76" s="13" t="s">
        <v>66</v>
      </c>
      <c r="B76" s="83">
        <f t="shared" si="23"/>
        <v>-671524.24912967277</v>
      </c>
      <c r="C76" s="154">
        <f>'Lead Sheet ADJ_1'!$I$25+'Lead Sheet ADJ_1'!$I$31</f>
        <v>-492693.84689753747</v>
      </c>
      <c r="D76" s="113">
        <f>'Lead Sheet ADJ_2'!$I$37+'Lead Sheet ADJ_2'!$I$41+'Lead Sheet ADJ_2'!$I$45</f>
        <v>-178830.40223213524</v>
      </c>
      <c r="E76" s="113"/>
      <c r="F76" s="60"/>
    </row>
    <row r="77" spans="1:6" x14ac:dyDescent="0.2">
      <c r="A77" s="13" t="s">
        <v>67</v>
      </c>
      <c r="B77" s="83">
        <f t="shared" si="23"/>
        <v>-3941040.1813138328</v>
      </c>
      <c r="C77" s="155">
        <f>'Lead Sheet ADJ_1'!$I$26</f>
        <v>-3941040.1813138328</v>
      </c>
      <c r="D77" s="122"/>
      <c r="E77" s="122"/>
      <c r="F77" s="68"/>
    </row>
    <row r="78" spans="1:6" x14ac:dyDescent="0.2">
      <c r="A78" s="13" t="s">
        <v>68</v>
      </c>
      <c r="B78" s="85">
        <f t="shared" si="23"/>
        <v>3645025.2360079852</v>
      </c>
      <c r="C78" s="90">
        <f t="shared" ref="C78:D78" si="26">C72-C74-C75+C76-C77</f>
        <v>3558351.5730530364</v>
      </c>
      <c r="D78" s="12">
        <f t="shared" si="26"/>
        <v>0</v>
      </c>
      <c r="E78" s="12">
        <f t="shared" ref="E78:F78" si="27">E72-E74-E75+E76-E77</f>
        <v>86673.662954948843</v>
      </c>
      <c r="F78" s="91">
        <f t="shared" si="27"/>
        <v>0</v>
      </c>
    </row>
    <row r="79" spans="1:6" x14ac:dyDescent="0.2">
      <c r="A79" s="13"/>
      <c r="B79" s="59"/>
      <c r="C79" s="25"/>
      <c r="D79" s="11"/>
      <c r="E79" s="11"/>
      <c r="F79" s="58"/>
    </row>
    <row r="80" spans="1:6" x14ac:dyDescent="0.2">
      <c r="A80" s="13" t="s">
        <v>69</v>
      </c>
      <c r="B80" s="86">
        <f t="shared" ref="B80:B81" si="28">SUM(C80:F80)</f>
        <v>0</v>
      </c>
      <c r="C80" s="25">
        <v>0</v>
      </c>
      <c r="D80" s="11">
        <v>0</v>
      </c>
      <c r="E80" s="11">
        <v>0</v>
      </c>
      <c r="F80" s="58">
        <v>0</v>
      </c>
    </row>
    <row r="81" spans="1:6" x14ac:dyDescent="0.2">
      <c r="A81" s="13" t="s">
        <v>70</v>
      </c>
      <c r="B81" s="86">
        <f t="shared" si="28"/>
        <v>3645025.2360079852</v>
      </c>
      <c r="C81" s="25">
        <f>C78-C80</f>
        <v>3558351.5730530364</v>
      </c>
      <c r="D81" s="11">
        <f t="shared" ref="D81:F81" si="29">D78-D80</f>
        <v>0</v>
      </c>
      <c r="E81" s="11">
        <f t="shared" si="29"/>
        <v>86673.662954948843</v>
      </c>
      <c r="F81" s="58">
        <f t="shared" si="29"/>
        <v>0</v>
      </c>
    </row>
    <row r="82" spans="1:6" x14ac:dyDescent="0.2">
      <c r="A82" s="13"/>
      <c r="B82" s="86"/>
      <c r="C82" s="25"/>
      <c r="D82" s="11"/>
      <c r="E82" s="11"/>
      <c r="F82" s="58"/>
    </row>
    <row r="83" spans="1:6" x14ac:dyDescent="0.2">
      <c r="A83" s="13" t="s">
        <v>79</v>
      </c>
      <c r="B83" s="86">
        <f t="shared" ref="B83:B85" si="30">SUM(C83:F83)</f>
        <v>765455.2995616768</v>
      </c>
      <c r="C83" s="25">
        <f>C81*0.21</f>
        <v>747253.8303411376</v>
      </c>
      <c r="D83" s="11">
        <f>D81*0.21</f>
        <v>0</v>
      </c>
      <c r="E83" s="11">
        <f t="shared" ref="E83:F83" si="31">E81*0.21</f>
        <v>18201.469220539257</v>
      </c>
      <c r="F83" s="58">
        <f t="shared" si="31"/>
        <v>0</v>
      </c>
    </row>
    <row r="84" spans="1:6" x14ac:dyDescent="0.2">
      <c r="A84" s="13" t="s">
        <v>80</v>
      </c>
      <c r="B84" s="86">
        <f t="shared" si="30"/>
        <v>0</v>
      </c>
      <c r="C84" s="25"/>
      <c r="D84" s="11"/>
      <c r="E84" s="11"/>
      <c r="F84" s="58"/>
    </row>
    <row r="85" spans="1:6" s="2" customFormat="1" ht="13.5" thickBot="1" x14ac:dyDescent="0.25">
      <c r="A85" s="13" t="s">
        <v>81</v>
      </c>
      <c r="B85" s="87">
        <f t="shared" si="30"/>
        <v>765455.2995616768</v>
      </c>
      <c r="C85" s="70">
        <f>C83+C84</f>
        <v>747253.8303411376</v>
      </c>
      <c r="D85" s="123">
        <f t="shared" ref="D85:F85" si="32">D83+D84</f>
        <v>0</v>
      </c>
      <c r="E85" s="123">
        <f t="shared" si="32"/>
        <v>18201.469220539257</v>
      </c>
      <c r="F85" s="69">
        <f t="shared" si="32"/>
        <v>0</v>
      </c>
    </row>
    <row r="86" spans="1:6" s="2" customFormat="1" x14ac:dyDescent="0.2">
      <c r="A86" s="13"/>
      <c r="B86" s="12"/>
      <c r="C86" s="12"/>
      <c r="D86" s="12"/>
    </row>
    <row r="87" spans="1:6" s="2" customFormat="1" x14ac:dyDescent="0.2">
      <c r="A87" s="13"/>
      <c r="B87" s="13"/>
      <c r="C87" s="13"/>
      <c r="D87" s="13"/>
    </row>
    <row r="88" spans="1:6" s="2" customFormat="1" x14ac:dyDescent="0.2">
      <c r="A88" s="88"/>
      <c r="B88" s="11"/>
      <c r="C88" s="11"/>
      <c r="D88" s="11"/>
    </row>
    <row r="89" spans="1:6" s="2" customFormat="1" x14ac:dyDescent="0.2">
      <c r="A89" s="13"/>
      <c r="B89" s="11"/>
      <c r="C89" s="11"/>
      <c r="D89" s="11"/>
    </row>
    <row r="90" spans="1:6" s="2" customFormat="1" x14ac:dyDescent="0.2">
      <c r="A90" s="13"/>
    </row>
    <row r="91" spans="1:6" s="2" customFormat="1" x14ac:dyDescent="0.2">
      <c r="A91" s="89"/>
    </row>
  </sheetData>
  <pageMargins left="1" right="0.5" top="0.75" bottom="0.5" header="0.3" footer="0.5"/>
  <pageSetup scale="61" firstPageNumber="25" fitToWidth="0" orientation="portrait" useFirstPageNumber="1" r:id="rId1"/>
  <headerFooter alignWithMargins="0">
    <oddHeader>&amp;RPage 1.3</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B1:F35"/>
  <sheetViews>
    <sheetView tabSelected="1" view="pageBreakPreview" zoomScaleNormal="100" zoomScaleSheetLayoutView="100" workbookViewId="0">
      <selection activeCell="N21" sqref="N21"/>
    </sheetView>
  </sheetViews>
  <sheetFormatPr defaultRowHeight="12.75" x14ac:dyDescent="0.2"/>
  <cols>
    <col min="1" max="1" width="3.85546875" style="18" customWidth="1"/>
    <col min="2" max="4" width="15.7109375" style="18" customWidth="1"/>
    <col min="5" max="5" width="13.42578125" style="18" bestFit="1" customWidth="1"/>
    <col min="6" max="16384" width="9.140625" style="18"/>
  </cols>
  <sheetData>
    <row r="1" spans="2:5" x14ac:dyDescent="0.2">
      <c r="B1" s="23" t="s">
        <v>6</v>
      </c>
    </row>
    <row r="2" spans="2:5" x14ac:dyDescent="0.2">
      <c r="B2" s="23" t="str">
        <f>Results!A2</f>
        <v>Washington Limited-Issue Rate Filing</v>
      </c>
    </row>
    <row r="3" spans="2:5" x14ac:dyDescent="0.2">
      <c r="B3" s="23" t="s">
        <v>125</v>
      </c>
    </row>
    <row r="6" spans="2:5" x14ac:dyDescent="0.2">
      <c r="B6" s="40" t="s">
        <v>93</v>
      </c>
      <c r="C6" s="45"/>
      <c r="D6" s="45"/>
      <c r="E6" s="45"/>
    </row>
    <row r="7" spans="2:5" s="47" customFormat="1" x14ac:dyDescent="0.2">
      <c r="B7" s="41"/>
      <c r="C7" s="41" t="s">
        <v>0</v>
      </c>
      <c r="D7" s="42" t="s">
        <v>1</v>
      </c>
      <c r="E7" s="41" t="s">
        <v>2</v>
      </c>
    </row>
    <row r="8" spans="2:5" x14ac:dyDescent="0.2">
      <c r="B8" s="43" t="s">
        <v>3</v>
      </c>
      <c r="C8" s="93">
        <v>0.50880000000000003</v>
      </c>
      <c r="D8" s="94">
        <v>4.9200000000000001E-2</v>
      </c>
      <c r="E8" s="102">
        <f>C8*D8</f>
        <v>2.5032960000000003E-2</v>
      </c>
    </row>
    <row r="9" spans="2:5" x14ac:dyDescent="0.2">
      <c r="B9" s="43" t="s">
        <v>4</v>
      </c>
      <c r="C9" s="93">
        <v>2.0000000000000001E-4</v>
      </c>
      <c r="D9" s="94">
        <v>6.7500000000000004E-2</v>
      </c>
      <c r="E9" s="102">
        <f>C9*D9</f>
        <v>1.3500000000000001E-5</v>
      </c>
    </row>
    <row r="10" spans="2:5" x14ac:dyDescent="0.2">
      <c r="B10" s="44" t="s">
        <v>5</v>
      </c>
      <c r="C10" s="95">
        <v>0.49099999999999999</v>
      </c>
      <c r="D10" s="96">
        <v>9.5000000000000001E-2</v>
      </c>
      <c r="E10" s="103">
        <f>C10*D10</f>
        <v>4.6644999999999999E-2</v>
      </c>
    </row>
    <row r="11" spans="2:5" x14ac:dyDescent="0.2">
      <c r="E11" s="104">
        <f>SUM(E8:E10)</f>
        <v>7.1691459999999999E-2</v>
      </c>
    </row>
    <row r="16" spans="2:5" x14ac:dyDescent="0.2">
      <c r="B16" s="24" t="s">
        <v>91</v>
      </c>
      <c r="C16" s="48"/>
    </row>
    <row r="17" spans="2:6" x14ac:dyDescent="0.2">
      <c r="B17" s="18" t="s">
        <v>62</v>
      </c>
      <c r="D17" s="35">
        <v>1</v>
      </c>
    </row>
    <row r="18" spans="2:6" x14ac:dyDescent="0.2">
      <c r="D18" s="35"/>
    </row>
    <row r="19" spans="2:6" x14ac:dyDescent="0.2">
      <c r="B19" s="18" t="s">
        <v>85</v>
      </c>
      <c r="D19" s="35"/>
    </row>
    <row r="20" spans="2:6" x14ac:dyDescent="0.2">
      <c r="B20" s="18" t="s">
        <v>86</v>
      </c>
      <c r="D20" s="97">
        <v>5.1435834186224598E-3</v>
      </c>
      <c r="F20" s="53"/>
    </row>
    <row r="21" spans="2:6" x14ac:dyDescent="0.2">
      <c r="B21" s="18" t="s">
        <v>84</v>
      </c>
      <c r="D21" s="97">
        <v>2E-3</v>
      </c>
    </row>
    <row r="22" spans="2:6" x14ac:dyDescent="0.2">
      <c r="B22" s="18" t="s">
        <v>105</v>
      </c>
      <c r="D22" s="97">
        <v>3.95E-2</v>
      </c>
    </row>
    <row r="23" spans="2:6" x14ac:dyDescent="0.2">
      <c r="B23" s="18" t="s">
        <v>87</v>
      </c>
      <c r="D23" s="97">
        <v>0</v>
      </c>
    </row>
    <row r="24" spans="2:6" x14ac:dyDescent="0.2">
      <c r="B24" s="18" t="s">
        <v>88</v>
      </c>
      <c r="D24" s="96">
        <v>0</v>
      </c>
    </row>
    <row r="25" spans="2:6" x14ac:dyDescent="0.2">
      <c r="D25" s="35"/>
    </row>
    <row r="26" spans="2:6" x14ac:dyDescent="0.2">
      <c r="B26" s="18" t="s">
        <v>89</v>
      </c>
      <c r="D26" s="49">
        <f>D17-SUM(D19:D24)</f>
        <v>0.95335641658137749</v>
      </c>
    </row>
    <row r="27" spans="2:6" x14ac:dyDescent="0.2">
      <c r="D27" s="35"/>
    </row>
    <row r="28" spans="2:6" x14ac:dyDescent="0.2">
      <c r="B28" s="18" t="s">
        <v>92</v>
      </c>
      <c r="D28" s="36">
        <v>0</v>
      </c>
    </row>
    <row r="29" spans="2:6" x14ac:dyDescent="0.2">
      <c r="D29" s="35"/>
    </row>
    <row r="30" spans="2:6" x14ac:dyDescent="0.2">
      <c r="B30" s="18" t="s">
        <v>89</v>
      </c>
      <c r="D30" s="49">
        <f>D26-D28</f>
        <v>0.95335641658137749</v>
      </c>
    </row>
    <row r="31" spans="2:6" x14ac:dyDescent="0.2">
      <c r="D31" s="35"/>
    </row>
    <row r="32" spans="2:6" x14ac:dyDescent="0.2">
      <c r="B32" s="18" t="s">
        <v>107</v>
      </c>
      <c r="D32" s="36">
        <f>D30*0.21</f>
        <v>0.20020484748208928</v>
      </c>
    </row>
    <row r="33" spans="2:4" x14ac:dyDescent="0.2">
      <c r="D33" s="50"/>
    </row>
    <row r="34" spans="2:4" ht="13.5" thickBot="1" x14ac:dyDescent="0.25">
      <c r="B34" s="18" t="s">
        <v>90</v>
      </c>
      <c r="D34" s="51">
        <f>ROUND(D30-D32,5)</f>
        <v>0.75314999999999999</v>
      </c>
    </row>
    <row r="35" spans="2:4" ht="13.5" thickTop="1" x14ac:dyDescent="0.2">
      <c r="D35" s="52"/>
    </row>
  </sheetData>
  <phoneticPr fontId="4" type="noConversion"/>
  <pageMargins left="0.75" right="0.75" top="1" bottom="1" header="0.5" footer="0.5"/>
  <pageSetup orientation="portrait" r:id="rId1"/>
  <headerFooter alignWithMargins="0">
    <oddHeader>&amp;RPage 1.4</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96F90-BEFC-4A5D-9685-49E6A0C1D5A6}">
  <dimension ref="A1:L60"/>
  <sheetViews>
    <sheetView view="pageBreakPreview" zoomScale="85" zoomScaleNormal="100" zoomScaleSheetLayoutView="85" workbookViewId="0"/>
  </sheetViews>
  <sheetFormatPr defaultColWidth="9.140625" defaultRowHeight="12" customHeight="1" x14ac:dyDescent="0.2"/>
  <cols>
    <col min="1" max="1" width="2.5703125" style="165" customWidth="1"/>
    <col min="2" max="2" width="7.140625" style="165" customWidth="1"/>
    <col min="3" max="3" width="39" style="165" customWidth="1"/>
    <col min="4" max="4" width="9.7109375" style="165" customWidth="1"/>
    <col min="5" max="5" width="5" style="165" bestFit="1" customWidth="1"/>
    <col min="6" max="6" width="14.42578125" style="165" customWidth="1"/>
    <col min="7" max="7" width="12" style="165" customWidth="1"/>
    <col min="8" max="8" width="10.42578125" style="165" customWidth="1"/>
    <col min="9" max="9" width="13.7109375" style="165" bestFit="1" customWidth="1"/>
    <col min="10" max="10" width="8.28515625" style="165" customWidth="1"/>
    <col min="11" max="16384" width="9.140625" style="165"/>
  </cols>
  <sheetData>
    <row r="1" spans="2:10" ht="12" customHeight="1" x14ac:dyDescent="0.2">
      <c r="B1" s="192" t="s">
        <v>6</v>
      </c>
      <c r="I1" s="194" t="s">
        <v>170</v>
      </c>
      <c r="J1" s="193" t="s">
        <v>169</v>
      </c>
    </row>
    <row r="2" spans="2:10" ht="12" customHeight="1" x14ac:dyDescent="0.2">
      <c r="B2" s="192" t="s">
        <v>127</v>
      </c>
    </row>
    <row r="3" spans="2:10" ht="12" customHeight="1" x14ac:dyDescent="0.2">
      <c r="B3" s="192" t="s">
        <v>123</v>
      </c>
    </row>
    <row r="6" spans="2:10" ht="12" customHeight="1" x14ac:dyDescent="0.2">
      <c r="B6" s="188"/>
      <c r="C6" s="188"/>
      <c r="D6" s="177"/>
      <c r="E6" s="177"/>
      <c r="F6" s="177" t="s">
        <v>168</v>
      </c>
      <c r="G6" s="177"/>
      <c r="H6" s="177"/>
      <c r="I6" s="177" t="s">
        <v>167</v>
      </c>
      <c r="J6" s="177"/>
    </row>
    <row r="7" spans="2:10" ht="12" customHeight="1" x14ac:dyDescent="0.2">
      <c r="B7" s="188"/>
      <c r="C7" s="188"/>
      <c r="D7" s="191" t="s">
        <v>166</v>
      </c>
      <c r="E7" s="191" t="s">
        <v>165</v>
      </c>
      <c r="F7" s="191" t="s">
        <v>164</v>
      </c>
      <c r="G7" s="191" t="s">
        <v>163</v>
      </c>
      <c r="H7" s="191" t="s">
        <v>162</v>
      </c>
      <c r="I7" s="191" t="s">
        <v>161</v>
      </c>
      <c r="J7" s="191" t="s">
        <v>160</v>
      </c>
    </row>
    <row r="8" spans="2:10" ht="12" customHeight="1" x14ac:dyDescent="0.2">
      <c r="B8" s="189" t="s">
        <v>159</v>
      </c>
      <c r="C8" s="188"/>
      <c r="D8" s="177"/>
      <c r="E8" s="177"/>
      <c r="F8" s="177"/>
      <c r="G8" s="177"/>
      <c r="H8" s="177"/>
      <c r="I8" s="190"/>
      <c r="J8" s="177"/>
    </row>
    <row r="9" spans="2:10" ht="12" customHeight="1" x14ac:dyDescent="0.2">
      <c r="B9" s="165" t="s">
        <v>158</v>
      </c>
      <c r="D9" s="181">
        <v>343</v>
      </c>
      <c r="E9" s="180" t="s">
        <v>134</v>
      </c>
      <c r="F9" s="178">
        <f>'Page ADJ_1.1'!E8</f>
        <v>-16800098.103501558</v>
      </c>
      <c r="G9" s="180" t="s">
        <v>133</v>
      </c>
      <c r="H9" s="182">
        <v>7.8111041399714837E-2</v>
      </c>
      <c r="I9" s="178">
        <f>F9*H9</f>
        <v>-1312273.158481881</v>
      </c>
      <c r="J9" s="177" t="str">
        <f>$J$1&amp;".1"</f>
        <v>ADJ_1.1</v>
      </c>
    </row>
    <row r="10" spans="2:10" ht="12" customHeight="1" x14ac:dyDescent="0.2">
      <c r="B10" s="165" t="s">
        <v>157</v>
      </c>
      <c r="D10" s="181">
        <v>343</v>
      </c>
      <c r="E10" s="180" t="s">
        <v>134</v>
      </c>
      <c r="F10" s="178">
        <f>'Page ADJ_1.1'!E21</f>
        <v>-200890.47999998927</v>
      </c>
      <c r="G10" s="180" t="s">
        <v>133</v>
      </c>
      <c r="H10" s="182">
        <v>7.8111041399714837E-2</v>
      </c>
      <c r="I10" s="178">
        <f>F10*H10</f>
        <v>-15691.764600087747</v>
      </c>
      <c r="J10" s="177" t="str">
        <f>$J$1&amp;".1"</f>
        <v>ADJ_1.1</v>
      </c>
    </row>
    <row r="11" spans="2:10" ht="12" customHeight="1" x14ac:dyDescent="0.2">
      <c r="B11" s="165" t="s">
        <v>156</v>
      </c>
      <c r="D11" s="181">
        <v>355</v>
      </c>
      <c r="E11" s="180" t="s">
        <v>134</v>
      </c>
      <c r="F11" s="178">
        <f>'Page ADJ_1.1'!E9</f>
        <v>-34212876.359999895</v>
      </c>
      <c r="G11" s="180" t="s">
        <v>133</v>
      </c>
      <c r="H11" s="182">
        <f>$H$9</f>
        <v>7.8111041399714837E-2</v>
      </c>
      <c r="I11" s="178">
        <f>F11*H11</f>
        <v>-2672403.4017592766</v>
      </c>
      <c r="J11" s="177" t="str">
        <f>$J$1&amp;".1"</f>
        <v>ADJ_1.1</v>
      </c>
    </row>
    <row r="13" spans="2:10" ht="12" customHeight="1" x14ac:dyDescent="0.2">
      <c r="B13" s="189" t="s">
        <v>155</v>
      </c>
    </row>
    <row r="14" spans="2:10" ht="12" customHeight="1" x14ac:dyDescent="0.2">
      <c r="B14" s="165" t="s">
        <v>154</v>
      </c>
      <c r="D14" s="181" t="s">
        <v>152</v>
      </c>
      <c r="E14" s="180" t="s">
        <v>134</v>
      </c>
      <c r="F14" s="178">
        <f>'Page ADJ_1.1'!E11</f>
        <v>-812465.92108617723</v>
      </c>
      <c r="G14" s="180" t="s">
        <v>133</v>
      </c>
      <c r="H14" s="182">
        <v>7.8111041399714837E-2</v>
      </c>
      <c r="I14" s="178">
        <f>F14*H14</f>
        <v>-63462.559197819835</v>
      </c>
      <c r="J14" s="177" t="str">
        <f>$J$1&amp;".1"</f>
        <v>ADJ_1.1</v>
      </c>
    </row>
    <row r="15" spans="2:10" ht="12" customHeight="1" x14ac:dyDescent="0.2">
      <c r="B15" s="165" t="s">
        <v>153</v>
      </c>
      <c r="D15" s="181" t="s">
        <v>152</v>
      </c>
      <c r="E15" s="180" t="s">
        <v>134</v>
      </c>
      <c r="F15" s="178">
        <f>'Page ADJ_1.1'!E22</f>
        <v>-9715.2211769893765</v>
      </c>
      <c r="G15" s="180" t="s">
        <v>133</v>
      </c>
      <c r="H15" s="182">
        <v>7.8111041399714837E-2</v>
      </c>
      <c r="I15" s="178">
        <f>F15*H15</f>
        <v>-758.86604356320345</v>
      </c>
      <c r="J15" s="177" t="str">
        <f>$J$1&amp;".1"</f>
        <v>ADJ_1.1</v>
      </c>
    </row>
    <row r="16" spans="2:10" ht="12" customHeight="1" x14ac:dyDescent="0.2">
      <c r="B16" s="165" t="s">
        <v>151</v>
      </c>
      <c r="D16" s="181" t="s">
        <v>150</v>
      </c>
      <c r="E16" s="180" t="s">
        <v>134</v>
      </c>
      <c r="F16" s="178">
        <f>'Page ADJ_1.1'!E12</f>
        <v>-586137.53670329414</v>
      </c>
      <c r="G16" s="180" t="s">
        <v>133</v>
      </c>
      <c r="H16" s="182">
        <v>7.8111041399714837E-2</v>
      </c>
      <c r="I16" s="178">
        <f>F16*H16</f>
        <v>-45783.81339535788</v>
      </c>
      <c r="J16" s="177" t="str">
        <f>$J$1&amp;".1"</f>
        <v>ADJ_1.1</v>
      </c>
    </row>
    <row r="18" spans="2:10" ht="12" customHeight="1" x14ac:dyDescent="0.2">
      <c r="B18" s="189" t="s">
        <v>149</v>
      </c>
    </row>
    <row r="19" spans="2:10" ht="12" customHeight="1" x14ac:dyDescent="0.2">
      <c r="B19" s="165" t="s">
        <v>148</v>
      </c>
      <c r="D19" s="181" t="s">
        <v>146</v>
      </c>
      <c r="E19" s="180" t="s">
        <v>134</v>
      </c>
      <c r="F19" s="178">
        <f>'Page ADJ_1.1'!E14</f>
        <v>10280997.33225058</v>
      </c>
      <c r="G19" s="180" t="s">
        <v>133</v>
      </c>
      <c r="H19" s="182">
        <v>7.8111041399714837E-2</v>
      </c>
      <c r="I19" s="178">
        <f>F19*H19</f>
        <v>803059.40824978286</v>
      </c>
      <c r="J19" s="177" t="str">
        <f>$J$1&amp;".1"</f>
        <v>ADJ_1.1</v>
      </c>
    </row>
    <row r="20" spans="2:10" ht="12" customHeight="1" x14ac:dyDescent="0.2">
      <c r="B20" s="165" t="s">
        <v>147</v>
      </c>
      <c r="D20" s="181" t="s">
        <v>146</v>
      </c>
      <c r="E20" s="180" t="s">
        <v>134</v>
      </c>
      <c r="F20" s="178">
        <f>'Page ADJ_1.1'!E23</f>
        <v>200890.47999998927</v>
      </c>
      <c r="G20" s="180" t="s">
        <v>133</v>
      </c>
      <c r="H20" s="182">
        <v>7.8111041399714837E-2</v>
      </c>
      <c r="I20" s="178">
        <f>F20*H20</f>
        <v>15691.764600087747</v>
      </c>
      <c r="J20" s="177" t="str">
        <f>$J$1&amp;".1"</f>
        <v>ADJ_1.1</v>
      </c>
    </row>
    <row r="21" spans="2:10" ht="12" customHeight="1" x14ac:dyDescent="0.2">
      <c r="B21" s="165" t="s">
        <v>145</v>
      </c>
      <c r="D21" s="181" t="s">
        <v>144</v>
      </c>
      <c r="E21" s="180" t="s">
        <v>134</v>
      </c>
      <c r="F21" s="178">
        <f>'Page ADJ_1.1'!E15</f>
        <v>-680925.37123325467</v>
      </c>
      <c r="G21" s="180" t="s">
        <v>133</v>
      </c>
      <c r="H21" s="182">
        <v>7.8111041399714837E-2</v>
      </c>
      <c r="I21" s="178">
        <f>F21*H21</f>
        <v>-53187.789862516947</v>
      </c>
      <c r="J21" s="177" t="str">
        <f>$J$1&amp;".1"</f>
        <v>ADJ_1.1</v>
      </c>
    </row>
    <row r="24" spans="2:10" ht="12" customHeight="1" x14ac:dyDescent="0.2">
      <c r="B24" s="189" t="s">
        <v>143</v>
      </c>
      <c r="C24" s="188"/>
      <c r="D24" s="177"/>
      <c r="E24" s="177"/>
      <c r="F24" s="177"/>
      <c r="G24" s="177"/>
      <c r="H24" s="177"/>
      <c r="I24" s="187"/>
      <c r="J24" s="177"/>
    </row>
    <row r="25" spans="2:10" ht="12" customHeight="1" x14ac:dyDescent="0.2">
      <c r="B25" s="165" t="s">
        <v>142</v>
      </c>
      <c r="D25" s="181" t="s">
        <v>137</v>
      </c>
      <c r="E25" s="180" t="s">
        <v>134</v>
      </c>
      <c r="F25" s="178">
        <v>-6297893</v>
      </c>
      <c r="G25" s="180" t="s">
        <v>133</v>
      </c>
      <c r="H25" s="182">
        <f>$H$9</f>
        <v>7.8111041399714837E-2</v>
      </c>
      <c r="I25" s="178">
        <f>F25*H25</f>
        <v>-491934.9808539743</v>
      </c>
      <c r="J25" s="177"/>
    </row>
    <row r="26" spans="2:10" ht="12" customHeight="1" x14ac:dyDescent="0.2">
      <c r="B26" s="165" t="s">
        <v>142</v>
      </c>
      <c r="D26" s="181" t="s">
        <v>141</v>
      </c>
      <c r="E26" s="180" t="s">
        <v>134</v>
      </c>
      <c r="F26" s="185">
        <v>-50454329</v>
      </c>
      <c r="G26" s="180" t="s">
        <v>133</v>
      </c>
      <c r="H26" s="182">
        <f>$H$9</f>
        <v>7.8111041399714837E-2</v>
      </c>
      <c r="I26" s="178">
        <f>F26*H26</f>
        <v>-3941040.1813138328</v>
      </c>
    </row>
    <row r="27" spans="2:10" ht="12" customHeight="1" x14ac:dyDescent="0.2">
      <c r="B27" s="186" t="s">
        <v>140</v>
      </c>
      <c r="D27" s="181">
        <v>41110</v>
      </c>
      <c r="E27" s="180" t="s">
        <v>134</v>
      </c>
      <c r="F27" s="185">
        <v>-92765</v>
      </c>
      <c r="G27" s="180" t="s">
        <v>133</v>
      </c>
      <c r="H27" s="182">
        <f>$H$9</f>
        <v>7.8111041399714837E-2</v>
      </c>
      <c r="I27" s="178">
        <f>F27*H27</f>
        <v>-7245.9707554445467</v>
      </c>
    </row>
    <row r="28" spans="2:10" ht="12" customHeight="1" x14ac:dyDescent="0.2">
      <c r="B28" s="186" t="s">
        <v>140</v>
      </c>
      <c r="D28" s="181">
        <v>41010</v>
      </c>
      <c r="E28" s="180" t="s">
        <v>134</v>
      </c>
      <c r="F28" s="185">
        <v>-10856567.414056003</v>
      </c>
      <c r="G28" s="180" t="s">
        <v>133</v>
      </c>
      <c r="H28" s="182">
        <f>$H$9</f>
        <v>7.8111041399714837E-2</v>
      </c>
      <c r="I28" s="178">
        <f>F28*H28</f>
        <v>-848017.78673812351</v>
      </c>
      <c r="J28" s="177"/>
    </row>
    <row r="29" spans="2:10" ht="12" customHeight="1" x14ac:dyDescent="0.2">
      <c r="B29" s="165" t="s">
        <v>139</v>
      </c>
      <c r="D29" s="181">
        <v>282</v>
      </c>
      <c r="E29" s="180" t="s">
        <v>134</v>
      </c>
      <c r="F29" s="178">
        <v>92677485</v>
      </c>
      <c r="G29" s="180" t="s">
        <v>133</v>
      </c>
      <c r="H29" s="182">
        <f>$H$9</f>
        <v>7.8111041399714837E-2</v>
      </c>
      <c r="I29" s="178">
        <f>F29*H29</f>
        <v>7239134.8676564507</v>
      </c>
      <c r="J29" s="177"/>
    </row>
    <row r="30" spans="2:10" ht="12" customHeight="1" x14ac:dyDescent="0.2">
      <c r="D30" s="181"/>
      <c r="E30" s="180"/>
      <c r="F30" s="178"/>
      <c r="G30" s="180"/>
      <c r="H30" s="179"/>
      <c r="I30" s="178"/>
      <c r="J30" s="177"/>
    </row>
    <row r="31" spans="2:10" ht="12" customHeight="1" x14ac:dyDescent="0.2">
      <c r="B31" s="165" t="s">
        <v>138</v>
      </c>
      <c r="D31" s="181" t="s">
        <v>137</v>
      </c>
      <c r="E31" s="180" t="s">
        <v>134</v>
      </c>
      <c r="F31" s="178">
        <f>+F15</f>
        <v>-9715.2211769893765</v>
      </c>
      <c r="G31" s="180" t="s">
        <v>133</v>
      </c>
      <c r="H31" s="182">
        <f>$H$9</f>
        <v>7.8111041399714837E-2</v>
      </c>
      <c r="I31" s="178">
        <f>F31*H31</f>
        <v>-758.86604356320345</v>
      </c>
      <c r="J31" s="177"/>
    </row>
    <row r="32" spans="2:10" ht="12" customHeight="1" x14ac:dyDescent="0.2">
      <c r="B32" s="165" t="s">
        <v>136</v>
      </c>
      <c r="D32" s="181">
        <v>41110</v>
      </c>
      <c r="E32" s="180" t="s">
        <v>134</v>
      </c>
      <c r="F32" s="178">
        <f>ROUND(-F31*0.245866,0)</f>
        <v>2389</v>
      </c>
      <c r="G32" s="180" t="s">
        <v>133</v>
      </c>
      <c r="H32" s="182">
        <f>$H$9</f>
        <v>7.8111041399714837E-2</v>
      </c>
      <c r="I32" s="178">
        <f>F32*H32</f>
        <v>186.60727790391874</v>
      </c>
    </row>
    <row r="33" spans="2:10" ht="12" customHeight="1" x14ac:dyDescent="0.2">
      <c r="B33" s="184" t="s">
        <v>135</v>
      </c>
      <c r="D33" s="181">
        <v>282</v>
      </c>
      <c r="E33" s="180" t="s">
        <v>134</v>
      </c>
      <c r="F33" s="183">
        <f>-F32</f>
        <v>-2389</v>
      </c>
      <c r="G33" s="180" t="s">
        <v>133</v>
      </c>
      <c r="H33" s="182">
        <f>$H$9</f>
        <v>7.8111041399714837E-2</v>
      </c>
      <c r="I33" s="178">
        <f>F33*H33</f>
        <v>-186.60727790391874</v>
      </c>
    </row>
    <row r="34" spans="2:10" ht="12" customHeight="1" x14ac:dyDescent="0.2">
      <c r="D34" s="181"/>
      <c r="E34" s="180"/>
      <c r="F34" s="178"/>
      <c r="G34" s="180"/>
      <c r="H34" s="179"/>
      <c r="I34" s="178"/>
      <c r="J34" s="177"/>
    </row>
    <row r="49" spans="1:12" ht="13.5" customHeight="1" thickBot="1" x14ac:dyDescent="0.25">
      <c r="B49" s="176" t="s">
        <v>132</v>
      </c>
    </row>
    <row r="50" spans="1:12" ht="12" customHeight="1" x14ac:dyDescent="0.2">
      <c r="A50" s="175"/>
      <c r="B50" s="174" t="s">
        <v>131</v>
      </c>
      <c r="C50" s="174"/>
      <c r="D50" s="174"/>
      <c r="E50" s="174"/>
      <c r="F50" s="174"/>
      <c r="G50" s="174"/>
      <c r="H50" s="174"/>
      <c r="I50" s="174"/>
      <c r="J50" s="173"/>
    </row>
    <row r="51" spans="1:12" ht="12" customHeight="1" x14ac:dyDescent="0.2">
      <c r="A51" s="171"/>
      <c r="B51" s="170"/>
      <c r="C51" s="170"/>
      <c r="D51" s="170"/>
      <c r="E51" s="170"/>
      <c r="F51" s="170"/>
      <c r="G51" s="170"/>
      <c r="H51" s="170"/>
      <c r="I51" s="170"/>
      <c r="J51" s="169"/>
      <c r="L51" s="172"/>
    </row>
    <row r="52" spans="1:12" ht="12" customHeight="1" x14ac:dyDescent="0.2">
      <c r="A52" s="171"/>
      <c r="B52" s="170"/>
      <c r="C52" s="170"/>
      <c r="D52" s="170"/>
      <c r="E52" s="170"/>
      <c r="F52" s="170"/>
      <c r="G52" s="170"/>
      <c r="H52" s="170"/>
      <c r="I52" s="170"/>
      <c r="J52" s="169"/>
    </row>
    <row r="53" spans="1:12" ht="12" customHeight="1" x14ac:dyDescent="0.2">
      <c r="A53" s="171"/>
      <c r="B53" s="170"/>
      <c r="C53" s="170"/>
      <c r="D53" s="170"/>
      <c r="E53" s="170"/>
      <c r="F53" s="170"/>
      <c r="G53" s="170"/>
      <c r="H53" s="170"/>
      <c r="I53" s="170"/>
      <c r="J53" s="169"/>
    </row>
    <row r="54" spans="1:12" ht="12" customHeight="1" x14ac:dyDescent="0.2">
      <c r="A54" s="171"/>
      <c r="B54" s="170"/>
      <c r="C54" s="170"/>
      <c r="D54" s="170"/>
      <c r="E54" s="170"/>
      <c r="F54" s="170"/>
      <c r="G54" s="170"/>
      <c r="H54" s="170"/>
      <c r="I54" s="170"/>
      <c r="J54" s="169"/>
    </row>
    <row r="55" spans="1:12" ht="12" customHeight="1" x14ac:dyDescent="0.2">
      <c r="A55" s="171"/>
      <c r="B55" s="170"/>
      <c r="C55" s="170"/>
      <c r="D55" s="170"/>
      <c r="E55" s="170"/>
      <c r="F55" s="170"/>
      <c r="G55" s="170"/>
      <c r="H55" s="170"/>
      <c r="I55" s="170"/>
      <c r="J55" s="169"/>
    </row>
    <row r="56" spans="1:12" ht="12" customHeight="1" x14ac:dyDescent="0.2">
      <c r="A56" s="171"/>
      <c r="B56" s="170"/>
      <c r="C56" s="170"/>
      <c r="D56" s="170"/>
      <c r="E56" s="170"/>
      <c r="F56" s="170"/>
      <c r="G56" s="170"/>
      <c r="H56" s="170"/>
      <c r="I56" s="170"/>
      <c r="J56" s="169"/>
    </row>
    <row r="57" spans="1:12" ht="12" customHeight="1" x14ac:dyDescent="0.2">
      <c r="A57" s="171"/>
      <c r="B57" s="170"/>
      <c r="C57" s="170"/>
      <c r="D57" s="170"/>
      <c r="E57" s="170"/>
      <c r="F57" s="170"/>
      <c r="G57" s="170"/>
      <c r="H57" s="170"/>
      <c r="I57" s="170"/>
      <c r="J57" s="169"/>
    </row>
    <row r="58" spans="1:12" ht="12" customHeight="1" x14ac:dyDescent="0.2">
      <c r="A58" s="171"/>
      <c r="B58" s="170"/>
      <c r="C58" s="170"/>
      <c r="D58" s="170"/>
      <c r="E58" s="170"/>
      <c r="F58" s="170"/>
      <c r="G58" s="170"/>
      <c r="H58" s="170"/>
      <c r="I58" s="170"/>
      <c r="J58" s="169"/>
    </row>
    <row r="59" spans="1:12" ht="12" customHeight="1" x14ac:dyDescent="0.2">
      <c r="A59" s="171"/>
      <c r="B59" s="170"/>
      <c r="C59" s="170"/>
      <c r="D59" s="170"/>
      <c r="E59" s="170"/>
      <c r="F59" s="170"/>
      <c r="G59" s="170"/>
      <c r="H59" s="170"/>
      <c r="I59" s="170"/>
      <c r="J59" s="169"/>
    </row>
    <row r="60" spans="1:12" ht="12" customHeight="1" thickBot="1" x14ac:dyDescent="0.25">
      <c r="A60" s="168"/>
      <c r="B60" s="167"/>
      <c r="C60" s="167"/>
      <c r="D60" s="167"/>
      <c r="E60" s="167"/>
      <c r="F60" s="167"/>
      <c r="G60" s="167"/>
      <c r="H60" s="167"/>
      <c r="I60" s="167"/>
      <c r="J60" s="166"/>
    </row>
  </sheetData>
  <mergeCells count="1">
    <mergeCell ref="B50:J60"/>
  </mergeCells>
  <conditionalFormatting sqref="B8">
    <cfRule type="cellIs" dxfId="14" priority="7" stopIfTrue="1" operator="equal">
      <formula>"Adjustment to Income/Expense/Rate Base:"</formula>
    </cfRule>
  </conditionalFormatting>
  <conditionalFormatting sqref="B13">
    <cfRule type="cellIs" dxfId="13" priority="6" stopIfTrue="1" operator="equal">
      <formula>"Adjustment to Income/Expense/Rate Base:"</formula>
    </cfRule>
  </conditionalFormatting>
  <conditionalFormatting sqref="B18">
    <cfRule type="cellIs" dxfId="12" priority="5" stopIfTrue="1" operator="equal">
      <formula>"Adjustment to Income/Expense/Rate Base:"</formula>
    </cfRule>
  </conditionalFormatting>
  <conditionalFormatting sqref="B33">
    <cfRule type="cellIs" dxfId="11" priority="4" stopIfTrue="1" operator="equal">
      <formula>"Adjustment to Income/Expense/Rate Base:"</formula>
    </cfRule>
  </conditionalFormatting>
  <conditionalFormatting sqref="B24">
    <cfRule type="cellIs" dxfId="10" priority="3" stopIfTrue="1" operator="equal">
      <formula>"Adjustment to Income/Expense/Rate Base:"</formula>
    </cfRule>
  </conditionalFormatting>
  <conditionalFormatting sqref="B27">
    <cfRule type="cellIs" dxfId="9" priority="2" stopIfTrue="1" operator="equal">
      <formula>"Adjustment to Income/Expense/Rate Base:"</formula>
    </cfRule>
  </conditionalFormatting>
  <conditionalFormatting sqref="B28">
    <cfRule type="cellIs" dxfId="8"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5:D33" xr:uid="{A58DEE7D-B25B-4CB2-80D3-8042D27B608D}">
      <formula1>$D$93:$D$427</formula1>
    </dataValidation>
  </dataValidations>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A987-4D46-41FD-BE1E-3A4253C07EA6}">
  <dimension ref="A1:H23"/>
  <sheetViews>
    <sheetView view="pageBreakPreview" zoomScale="80" zoomScaleNormal="100" zoomScaleSheetLayoutView="80" workbookViewId="0"/>
  </sheetViews>
  <sheetFormatPr defaultRowHeight="12.75" x14ac:dyDescent="0.2"/>
  <cols>
    <col min="1" max="2" width="9.140625" style="195"/>
    <col min="3" max="3" width="17.140625" style="195" customWidth="1"/>
    <col min="4" max="4" width="15.42578125" style="195" customWidth="1"/>
    <col min="5" max="5" width="12.85546875" style="195" bestFit="1" customWidth="1"/>
    <col min="6" max="6" width="10.7109375" style="195" bestFit="1" customWidth="1"/>
    <col min="7" max="7" width="6.85546875" style="195" customWidth="1"/>
    <col min="8" max="16384" width="9.140625" style="195"/>
  </cols>
  <sheetData>
    <row r="1" spans="1:8" x14ac:dyDescent="0.2">
      <c r="A1" s="192" t="str">
        <f>'Lead Sheet ADJ_1'!B1</f>
        <v>PacifiCorp</v>
      </c>
      <c r="B1" s="165"/>
      <c r="C1" s="165"/>
      <c r="D1" s="165"/>
      <c r="E1" s="165"/>
      <c r="F1" s="165"/>
      <c r="G1" s="194" t="s">
        <v>181</v>
      </c>
      <c r="H1" s="193" t="s">
        <v>180</v>
      </c>
    </row>
    <row r="2" spans="1:8" x14ac:dyDescent="0.2">
      <c r="A2" s="192" t="str">
        <f>'Lead Sheet ADJ_1'!B2</f>
        <v>Washington Limited-Issue Rate Filing</v>
      </c>
      <c r="B2" s="165"/>
      <c r="C2" s="165"/>
      <c r="D2" s="165"/>
      <c r="E2" s="165"/>
      <c r="F2" s="165"/>
      <c r="G2" s="165"/>
      <c r="H2" s="165"/>
    </row>
    <row r="3" spans="1:8" x14ac:dyDescent="0.2">
      <c r="A3" s="192" t="str">
        <f>'Lead Sheet ADJ_1'!B3</f>
        <v>Wind &amp; Transmission Capital True-Up</v>
      </c>
      <c r="B3" s="165"/>
      <c r="C3" s="165"/>
      <c r="D3" s="165"/>
      <c r="E3" s="165"/>
      <c r="F3" s="165"/>
      <c r="G3" s="165"/>
      <c r="H3" s="165"/>
    </row>
    <row r="4" spans="1:8" x14ac:dyDescent="0.2">
      <c r="A4" s="192" t="s">
        <v>179</v>
      </c>
      <c r="B4" s="165"/>
      <c r="C4" s="165"/>
      <c r="D4" s="165"/>
      <c r="E4" s="165"/>
      <c r="F4" s="165"/>
      <c r="G4" s="165"/>
      <c r="H4" s="165"/>
    </row>
    <row r="5" spans="1:8" ht="13.5" thickBot="1" x14ac:dyDescent="0.25"/>
    <row r="6" spans="1:8" x14ac:dyDescent="0.2">
      <c r="B6" s="213"/>
      <c r="C6" s="212" t="s">
        <v>178</v>
      </c>
      <c r="D6" s="211" t="s">
        <v>177</v>
      </c>
      <c r="E6" s="218"/>
    </row>
    <row r="7" spans="1:8" x14ac:dyDescent="0.2">
      <c r="B7" s="209"/>
      <c r="C7" s="208"/>
      <c r="D7" s="207"/>
      <c r="E7" s="206" t="s">
        <v>171</v>
      </c>
    </row>
    <row r="8" spans="1:8" x14ac:dyDescent="0.2">
      <c r="B8" s="205">
        <v>343</v>
      </c>
      <c r="C8" s="202">
        <f>'Page ADJ_1.2'!AC12</f>
        <v>1851743150.9135015</v>
      </c>
      <c r="D8" s="202">
        <f>'Page ADJ_1.3'!AC12</f>
        <v>1834943052.8099999</v>
      </c>
      <c r="E8" s="201">
        <f>D8-C8</f>
        <v>-16800098.103501558</v>
      </c>
      <c r="F8" s="196" t="str">
        <f>"Ref. "&amp;'Lead Sheet ADJ_1'!$J$1</f>
        <v>Ref. ADJ_1</v>
      </c>
    </row>
    <row r="9" spans="1:8" x14ac:dyDescent="0.2">
      <c r="B9" s="205">
        <v>355</v>
      </c>
      <c r="C9" s="202">
        <f>'Page ADJ_1.2'!AC13</f>
        <v>781291383</v>
      </c>
      <c r="D9" s="202">
        <f>'Page ADJ_1.3'!AC13</f>
        <v>747078506.6400001</v>
      </c>
      <c r="E9" s="201">
        <f>D9-C9</f>
        <v>-34212876.359999895</v>
      </c>
      <c r="F9" s="196" t="str">
        <f>"Ref. "&amp;'Lead Sheet ADJ_1'!$J$1</f>
        <v>Ref. ADJ_1</v>
      </c>
    </row>
    <row r="10" spans="1:8" x14ac:dyDescent="0.2">
      <c r="B10" s="205"/>
      <c r="C10" s="202"/>
      <c r="D10" s="202">
        <f>'Page ADJ_1.3'!AC14</f>
        <v>0</v>
      </c>
      <c r="E10" s="201"/>
      <c r="F10" s="217"/>
    </row>
    <row r="11" spans="1:8" x14ac:dyDescent="0.2">
      <c r="B11" s="203" t="s">
        <v>152</v>
      </c>
      <c r="C11" s="202">
        <f>'Page ADJ_1.2'!AC17*12</f>
        <v>89551751.153666124</v>
      </c>
      <c r="D11" s="202">
        <f>'Page ADJ_1.3'!AC17*12</f>
        <v>88739285.232579947</v>
      </c>
      <c r="E11" s="201">
        <f>D11-C11</f>
        <v>-812465.92108617723</v>
      </c>
      <c r="F11" s="196" t="str">
        <f>"Ref. "&amp;'Lead Sheet ADJ_1'!$J$1</f>
        <v>Ref. ADJ_1</v>
      </c>
    </row>
    <row r="12" spans="1:8" x14ac:dyDescent="0.2">
      <c r="B12" s="203" t="s">
        <v>150</v>
      </c>
      <c r="C12" s="202">
        <f>'Page ADJ_1.2'!AC18*12</f>
        <v>13385141.952418098</v>
      </c>
      <c r="D12" s="202">
        <f>'Page ADJ_1.3'!AC18*12</f>
        <v>12799004.415714804</v>
      </c>
      <c r="E12" s="201">
        <f>D12-C12</f>
        <v>-586137.53670329414</v>
      </c>
      <c r="F12" s="196" t="str">
        <f>"Ref. "&amp;'Lead Sheet ADJ_1'!$J$1</f>
        <v>Ref. ADJ_1</v>
      </c>
    </row>
    <row r="13" spans="1:8" x14ac:dyDescent="0.2">
      <c r="B13" s="205"/>
      <c r="C13" s="202"/>
      <c r="D13" s="202"/>
      <c r="E13" s="201"/>
      <c r="F13" s="217"/>
    </row>
    <row r="14" spans="1:8" x14ac:dyDescent="0.2">
      <c r="B14" s="203" t="s">
        <v>176</v>
      </c>
      <c r="C14" s="202">
        <f>'Page ADJ_1.2'!AC22</f>
        <v>-93651986.236959845</v>
      </c>
      <c r="D14" s="202">
        <f>'Page ADJ_1.3'!AC22</f>
        <v>-83370988.904709265</v>
      </c>
      <c r="E14" s="201">
        <f>D14-C14</f>
        <v>10280997.33225058</v>
      </c>
      <c r="F14" s="196" t="str">
        <f>"Ref. "&amp;'Lead Sheet ADJ_1'!$J$1</f>
        <v>Ref. ADJ_1</v>
      </c>
    </row>
    <row r="15" spans="1:8" ht="13.5" thickBot="1" x14ac:dyDescent="0.25">
      <c r="B15" s="216" t="s">
        <v>175</v>
      </c>
      <c r="C15" s="199">
        <f>'Page ADJ_1.2'!AC23</f>
        <v>-14148337.461630549</v>
      </c>
      <c r="D15" s="199">
        <f>'Page ADJ_1.3'!AC23</f>
        <v>-14829262.832863804</v>
      </c>
      <c r="E15" s="197">
        <f>D15-C15</f>
        <v>-680925.37123325467</v>
      </c>
      <c r="F15" s="196" t="str">
        <f>"Ref. "&amp;'Lead Sheet ADJ_1'!$J$1</f>
        <v>Ref. ADJ_1</v>
      </c>
    </row>
    <row r="16" spans="1:8" x14ac:dyDescent="0.2">
      <c r="B16" s="215" t="s">
        <v>174</v>
      </c>
      <c r="C16" s="214"/>
    </row>
    <row r="17" spans="2:6" x14ac:dyDescent="0.2">
      <c r="C17" s="214"/>
    </row>
    <row r="18" spans="2:6" ht="13.5" thickBot="1" x14ac:dyDescent="0.25"/>
    <row r="19" spans="2:6" x14ac:dyDescent="0.2">
      <c r="B19" s="213"/>
      <c r="C19" s="212" t="s">
        <v>173</v>
      </c>
      <c r="D19" s="211" t="s">
        <v>172</v>
      </c>
      <c r="E19" s="210"/>
    </row>
    <row r="20" spans="2:6" x14ac:dyDescent="0.2">
      <c r="B20" s="209"/>
      <c r="C20" s="208"/>
      <c r="D20" s="207"/>
      <c r="E20" s="206" t="s">
        <v>171</v>
      </c>
    </row>
    <row r="21" spans="2:6" x14ac:dyDescent="0.2">
      <c r="B21" s="205">
        <v>343</v>
      </c>
      <c r="C21" s="202">
        <f>'Page ADJ_1.2'!AC42</f>
        <v>-193520952.31</v>
      </c>
      <c r="D21" s="204">
        <f>'Page ADJ_1.3'!AC42</f>
        <v>-193721842.78999999</v>
      </c>
      <c r="E21" s="201">
        <f>D21-C21</f>
        <v>-200890.47999998927</v>
      </c>
      <c r="F21" s="196" t="str">
        <f>"Ref. "&amp;'Lead Sheet ADJ_1'!$J$1</f>
        <v>Ref. ADJ_1</v>
      </c>
    </row>
    <row r="22" spans="2:6" x14ac:dyDescent="0.2">
      <c r="B22" s="203" t="s">
        <v>152</v>
      </c>
      <c r="C22" s="202">
        <f>'Page ADJ_1.2'!AC46*12</f>
        <v>-9358825.0377684981</v>
      </c>
      <c r="D22" s="202">
        <f>'Page ADJ_1.3'!AC46*12</f>
        <v>-9368540.2589454874</v>
      </c>
      <c r="E22" s="201">
        <f>D22-C22</f>
        <v>-9715.2211769893765</v>
      </c>
      <c r="F22" s="196" t="str">
        <f>"Ref. "&amp;'Lead Sheet ADJ_1'!$J$1</f>
        <v>Ref. ADJ_1</v>
      </c>
    </row>
    <row r="23" spans="2:6" ht="13.5" thickBot="1" x14ac:dyDescent="0.25">
      <c r="B23" s="200" t="s">
        <v>146</v>
      </c>
      <c r="C23" s="199">
        <f>'Page ADJ_1.2'!AC50</f>
        <v>193520952.31</v>
      </c>
      <c r="D23" s="198">
        <f>'Page ADJ_1.3'!AC50</f>
        <v>193721842.78999999</v>
      </c>
      <c r="E23" s="197">
        <f>D23-C23</f>
        <v>200890.47999998927</v>
      </c>
      <c r="F23" s="196" t="str">
        <f>"Ref. "&amp;'Lead Sheet ADJ_1'!$J$1</f>
        <v>Ref. ADJ_1</v>
      </c>
    </row>
  </sheetData>
  <mergeCells count="4">
    <mergeCell ref="C6:C7"/>
    <mergeCell ref="D6:D7"/>
    <mergeCell ref="C19:C20"/>
    <mergeCell ref="D19:D20"/>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08E7-9D7E-4988-BA65-EEC1D169C41D}">
  <sheetPr>
    <pageSetUpPr fitToPage="1"/>
  </sheetPr>
  <dimension ref="A1:AL64"/>
  <sheetViews>
    <sheetView view="pageBreakPreview" zoomScale="70" zoomScaleNormal="80" zoomScaleSheetLayoutView="70" workbookViewId="0"/>
  </sheetViews>
  <sheetFormatPr defaultColWidth="9.140625" defaultRowHeight="12" customHeight="1" outlineLevelCol="1" x14ac:dyDescent="0.2"/>
  <cols>
    <col min="1" max="1" width="18.42578125" style="195" customWidth="1"/>
    <col min="2" max="2" width="8.7109375" style="195" bestFit="1" customWidth="1"/>
    <col min="3" max="3" width="9.28515625" style="195" customWidth="1"/>
    <col min="4" max="13" width="12.7109375" style="195" hidden="1" customWidth="1" outlineLevel="1"/>
    <col min="14" max="14" width="14.140625" style="195" hidden="1" customWidth="1" outlineLevel="1"/>
    <col min="15" max="15" width="14.7109375" style="195" hidden="1" customWidth="1" outlineLevel="1"/>
    <col min="16" max="16" width="14.28515625" style="195" hidden="1" customWidth="1" outlineLevel="1"/>
    <col min="17" max="17" width="15.140625" style="195" bestFit="1" customWidth="1" collapsed="1"/>
    <col min="18" max="20" width="15.140625" style="195" bestFit="1" customWidth="1"/>
    <col min="21" max="21" width="16.42578125" style="195" customWidth="1"/>
    <col min="22" max="22" width="15.85546875" style="195" bestFit="1" customWidth="1"/>
    <col min="23" max="29" width="15.140625" style="195" bestFit="1" customWidth="1"/>
    <col min="30" max="30" width="7.7109375" style="195" bestFit="1" customWidth="1"/>
    <col min="31" max="31" width="14.28515625" style="195" bestFit="1" customWidth="1"/>
    <col min="32" max="32" width="8.140625" style="195" bestFit="1" customWidth="1"/>
    <col min="33" max="16384" width="9.140625" style="195"/>
  </cols>
  <sheetData>
    <row r="1" spans="1:38" ht="12" customHeight="1" x14ac:dyDescent="0.2">
      <c r="A1" s="217" t="s">
        <v>6</v>
      </c>
    </row>
    <row r="2" spans="1:38" ht="12" customHeight="1" x14ac:dyDescent="0.2">
      <c r="A2" s="217" t="str">
        <f>'Lead Sheet ADJ_1'!B2</f>
        <v>Washington Limited-Issue Rate Filing</v>
      </c>
    </row>
    <row r="3" spans="1:38" ht="12" customHeight="1" x14ac:dyDescent="0.2">
      <c r="A3" s="217" t="str">
        <f>'Lead Sheet ADJ_1'!B3</f>
        <v>Wind &amp; Transmission Capital True-Up</v>
      </c>
    </row>
    <row r="4" spans="1:38" ht="12" customHeight="1" x14ac:dyDescent="0.2">
      <c r="A4" s="217" t="s">
        <v>195</v>
      </c>
    </row>
    <row r="5" spans="1:38" ht="12" customHeight="1" x14ac:dyDescent="0.2">
      <c r="A5" s="217"/>
    </row>
    <row r="6" spans="1:38" ht="12" customHeight="1" x14ac:dyDescent="0.2">
      <c r="A6" s="217"/>
    </row>
    <row r="7" spans="1:38" ht="12" customHeight="1" x14ac:dyDescent="0.2">
      <c r="A7" s="217" t="s">
        <v>194</v>
      </c>
    </row>
    <row r="8" spans="1:38" ht="13.5" customHeight="1" x14ac:dyDescent="0.2"/>
    <row r="9" spans="1:38" ht="13.5" customHeight="1" x14ac:dyDescent="0.2">
      <c r="A9" s="235" t="s">
        <v>190</v>
      </c>
      <c r="P9" s="217"/>
      <c r="Q9" s="217"/>
      <c r="R9" s="217"/>
      <c r="S9" s="217"/>
      <c r="T9" s="217"/>
      <c r="U9" s="217"/>
      <c r="V9" s="217"/>
      <c r="W9" s="217"/>
      <c r="X9" s="217"/>
      <c r="Y9" s="217"/>
      <c r="Z9" s="217"/>
      <c r="AA9" s="217"/>
      <c r="AB9" s="217"/>
      <c r="AC9" s="217"/>
    </row>
    <row r="10" spans="1:38" ht="13.5" customHeight="1" x14ac:dyDescent="0.2">
      <c r="P10" s="217"/>
      <c r="Q10" s="217"/>
      <c r="R10" s="217"/>
      <c r="S10" s="217"/>
      <c r="T10" s="217"/>
      <c r="U10" s="217"/>
      <c r="V10" s="217"/>
      <c r="W10" s="217"/>
      <c r="X10" s="217"/>
      <c r="Y10" s="217"/>
      <c r="Z10" s="217"/>
      <c r="AA10" s="217"/>
      <c r="AB10" s="217"/>
      <c r="AC10" s="217"/>
      <c r="AE10" s="228"/>
    </row>
    <row r="11" spans="1:38" ht="13.5" customHeight="1" x14ac:dyDescent="0.2">
      <c r="B11" s="228" t="s">
        <v>187</v>
      </c>
      <c r="C11" s="228" t="s">
        <v>186</v>
      </c>
      <c r="D11" s="234">
        <v>43770</v>
      </c>
      <c r="E11" s="234">
        <v>43800</v>
      </c>
      <c r="F11" s="234">
        <v>43831</v>
      </c>
      <c r="G11" s="234">
        <v>43862</v>
      </c>
      <c r="H11" s="234">
        <v>43891</v>
      </c>
      <c r="I11" s="234">
        <v>43922</v>
      </c>
      <c r="J11" s="234">
        <v>43952</v>
      </c>
      <c r="K11" s="234">
        <v>43983</v>
      </c>
      <c r="L11" s="234">
        <v>44013</v>
      </c>
      <c r="M11" s="234">
        <v>44044</v>
      </c>
      <c r="N11" s="234">
        <v>44075</v>
      </c>
      <c r="O11" s="234">
        <v>44105</v>
      </c>
      <c r="P11" s="234">
        <v>44136</v>
      </c>
      <c r="Q11" s="234">
        <v>44166</v>
      </c>
      <c r="R11" s="234">
        <v>44197</v>
      </c>
      <c r="S11" s="234">
        <v>44228</v>
      </c>
      <c r="T11" s="234">
        <v>44256</v>
      </c>
      <c r="U11" s="234">
        <v>44287</v>
      </c>
      <c r="V11" s="234">
        <v>44317</v>
      </c>
      <c r="W11" s="234">
        <v>44348</v>
      </c>
      <c r="X11" s="234">
        <v>44378</v>
      </c>
      <c r="Y11" s="234">
        <v>44409</v>
      </c>
      <c r="Z11" s="234">
        <v>44440</v>
      </c>
      <c r="AA11" s="234">
        <v>44470</v>
      </c>
      <c r="AB11" s="234">
        <v>44501</v>
      </c>
      <c r="AC11" s="234">
        <v>44531</v>
      </c>
      <c r="AE11" s="228"/>
    </row>
    <row r="12" spans="1:38" ht="13.5" customHeight="1" x14ac:dyDescent="0.2">
      <c r="A12" s="195" t="s">
        <v>185</v>
      </c>
      <c r="B12" s="233">
        <v>343</v>
      </c>
      <c r="C12" s="233" t="s">
        <v>133</v>
      </c>
      <c r="D12" s="233"/>
      <c r="E12" s="202">
        <v>0</v>
      </c>
      <c r="F12" s="202">
        <v>38487.029152047122</v>
      </c>
      <c r="G12" s="202">
        <v>76974.058304094244</v>
      </c>
      <c r="H12" s="202">
        <v>115461.08745614137</v>
      </c>
      <c r="I12" s="202">
        <v>153948.11660818849</v>
      </c>
      <c r="J12" s="202">
        <v>192435.14576023561</v>
      </c>
      <c r="K12" s="202">
        <v>230922.17491227103</v>
      </c>
      <c r="L12" s="202">
        <v>269409.20406025631</v>
      </c>
      <c r="M12" s="202">
        <v>307896.23320014245</v>
      </c>
      <c r="N12" s="202">
        <v>135131656.72154135</v>
      </c>
      <c r="O12" s="202">
        <v>213244188.91535947</v>
      </c>
      <c r="P12" s="202">
        <v>213282675.94444674</v>
      </c>
      <c r="Q12" s="202">
        <v>1851743150.9135015</v>
      </c>
      <c r="R12" s="202">
        <f>Q12</f>
        <v>1851743150.9135015</v>
      </c>
      <c r="S12" s="202">
        <f>R12</f>
        <v>1851743150.9135015</v>
      </c>
      <c r="T12" s="202">
        <f>S12</f>
        <v>1851743150.9135015</v>
      </c>
      <c r="U12" s="202">
        <f>T12</f>
        <v>1851743150.9135015</v>
      </c>
      <c r="V12" s="202">
        <f>U12</f>
        <v>1851743150.9135015</v>
      </c>
      <c r="W12" s="202">
        <f>V12</f>
        <v>1851743150.9135015</v>
      </c>
      <c r="X12" s="202">
        <f>W12</f>
        <v>1851743150.9135015</v>
      </c>
      <c r="Y12" s="202">
        <f>X12</f>
        <v>1851743150.9135015</v>
      </c>
      <c r="Z12" s="202">
        <f>Y12</f>
        <v>1851743150.9135015</v>
      </c>
      <c r="AA12" s="202">
        <f>Z12</f>
        <v>1851743150.9135015</v>
      </c>
      <c r="AB12" s="202">
        <f>AA12</f>
        <v>1851743150.9135015</v>
      </c>
      <c r="AC12" s="202">
        <f>AB12</f>
        <v>1851743150.9135015</v>
      </c>
      <c r="AE12" s="228"/>
    </row>
    <row r="13" spans="1:38" ht="13.5" customHeight="1" x14ac:dyDescent="0.2">
      <c r="A13" s="195" t="s">
        <v>193</v>
      </c>
      <c r="B13" s="233">
        <v>355</v>
      </c>
      <c r="C13" s="233" t="s">
        <v>133</v>
      </c>
      <c r="D13" s="233"/>
      <c r="E13" s="202">
        <v>11129529</v>
      </c>
      <c r="F13" s="202">
        <v>11129529</v>
      </c>
      <c r="G13" s="202">
        <v>11129529</v>
      </c>
      <c r="H13" s="202">
        <v>11129529</v>
      </c>
      <c r="I13" s="202">
        <v>11129529</v>
      </c>
      <c r="J13" s="202">
        <v>11129529</v>
      </c>
      <c r="K13" s="202">
        <v>11129529</v>
      </c>
      <c r="L13" s="202">
        <v>11129529</v>
      </c>
      <c r="M13" s="202">
        <v>11129529</v>
      </c>
      <c r="N13" s="202">
        <v>11129529</v>
      </c>
      <c r="O13" s="202">
        <v>11129529</v>
      </c>
      <c r="P13" s="202">
        <v>11129529</v>
      </c>
      <c r="Q13" s="202">
        <v>781291383</v>
      </c>
      <c r="R13" s="236">
        <f>Q13</f>
        <v>781291383</v>
      </c>
      <c r="S13" s="236">
        <f>R13</f>
        <v>781291383</v>
      </c>
      <c r="T13" s="236">
        <f>S13</f>
        <v>781291383</v>
      </c>
      <c r="U13" s="236">
        <f>T13</f>
        <v>781291383</v>
      </c>
      <c r="V13" s="236">
        <f>U13</f>
        <v>781291383</v>
      </c>
      <c r="W13" s="236">
        <f>V13</f>
        <v>781291383</v>
      </c>
      <c r="X13" s="236">
        <f>W13</f>
        <v>781291383</v>
      </c>
      <c r="Y13" s="236">
        <f>X13</f>
        <v>781291383</v>
      </c>
      <c r="Z13" s="236">
        <f>Y13</f>
        <v>781291383</v>
      </c>
      <c r="AA13" s="236">
        <f>Z13</f>
        <v>781291383</v>
      </c>
      <c r="AB13" s="236">
        <f>AA13</f>
        <v>781291383</v>
      </c>
      <c r="AC13" s="236">
        <f>AB13</f>
        <v>781291383</v>
      </c>
      <c r="AD13" s="228"/>
      <c r="AE13" s="221"/>
      <c r="AF13" s="217"/>
      <c r="AG13" s="217"/>
    </row>
    <row r="14" spans="1:38" ht="13.5" customHeight="1" x14ac:dyDescent="0.2">
      <c r="AE14" s="241"/>
      <c r="AL14" s="240"/>
    </row>
    <row r="15" spans="1:38" ht="13.5" customHeight="1" x14ac:dyDescent="0.2">
      <c r="A15" s="235" t="s">
        <v>189</v>
      </c>
      <c r="AD15" s="228"/>
      <c r="AE15" s="221"/>
      <c r="AF15" s="217"/>
      <c r="AL15" s="240"/>
    </row>
    <row r="16" spans="1:38" ht="13.5" customHeight="1" x14ac:dyDescent="0.2">
      <c r="B16" s="228" t="s">
        <v>187</v>
      </c>
      <c r="C16" s="228" t="s">
        <v>186</v>
      </c>
      <c r="D16" s="228"/>
      <c r="E16" s="234">
        <f>E11</f>
        <v>43800</v>
      </c>
      <c r="F16" s="234">
        <f>F11</f>
        <v>43831</v>
      </c>
      <c r="G16" s="234">
        <f>G11</f>
        <v>43862</v>
      </c>
      <c r="H16" s="234">
        <f>H11</f>
        <v>43891</v>
      </c>
      <c r="I16" s="234">
        <f>I11</f>
        <v>43922</v>
      </c>
      <c r="J16" s="234">
        <f>J11</f>
        <v>43952</v>
      </c>
      <c r="K16" s="234">
        <f>K11</f>
        <v>43983</v>
      </c>
      <c r="L16" s="234">
        <f>L11</f>
        <v>44013</v>
      </c>
      <c r="M16" s="234">
        <f>M11</f>
        <v>44044</v>
      </c>
      <c r="N16" s="234">
        <f>N11</f>
        <v>44075</v>
      </c>
      <c r="O16" s="234">
        <f>O11</f>
        <v>44105</v>
      </c>
      <c r="P16" s="234">
        <f>P11</f>
        <v>44136</v>
      </c>
      <c r="Q16" s="234">
        <f>Q11</f>
        <v>44166</v>
      </c>
      <c r="R16" s="234">
        <f>R11</f>
        <v>44197</v>
      </c>
      <c r="S16" s="234">
        <f>S11</f>
        <v>44228</v>
      </c>
      <c r="T16" s="234">
        <f>T11</f>
        <v>44256</v>
      </c>
      <c r="U16" s="234">
        <f>U11</f>
        <v>44287</v>
      </c>
      <c r="V16" s="234">
        <f>V11</f>
        <v>44317</v>
      </c>
      <c r="W16" s="234">
        <f>W11</f>
        <v>44348</v>
      </c>
      <c r="X16" s="234">
        <f>X11</f>
        <v>44378</v>
      </c>
      <c r="Y16" s="234">
        <f>Y11</f>
        <v>44409</v>
      </c>
      <c r="Z16" s="234">
        <f>Z11</f>
        <v>44440</v>
      </c>
      <c r="AA16" s="234">
        <f>AA11</f>
        <v>44470</v>
      </c>
      <c r="AB16" s="234">
        <f>AB11</f>
        <v>44501</v>
      </c>
      <c r="AC16" s="234">
        <f>AC11</f>
        <v>44531</v>
      </c>
      <c r="AD16" s="228"/>
      <c r="AE16" s="221"/>
      <c r="AF16" s="217"/>
      <c r="AL16" s="240"/>
    </row>
    <row r="17" spans="1:32" ht="13.5" customHeight="1" x14ac:dyDescent="0.2">
      <c r="A17" s="195" t="s">
        <v>185</v>
      </c>
      <c r="B17" s="181" t="s">
        <v>152</v>
      </c>
      <c r="C17" s="233" t="s">
        <v>133</v>
      </c>
      <c r="D17" s="233"/>
      <c r="E17" s="202">
        <f>(((D12+E12)/2)*$C$27)/12</f>
        <v>0</v>
      </c>
      <c r="F17" s="202">
        <f>(((E12+F12)/2)*$C$27)/12</f>
        <v>52.993555844293205</v>
      </c>
      <c r="G17" s="202">
        <f>(((F12+G12)/2)*$C$27)/12</f>
        <v>158.98066753287961</v>
      </c>
      <c r="H17" s="202">
        <f>(((G12+H12)/2)*$C$27)/12</f>
        <v>264.96777922146606</v>
      </c>
      <c r="I17" s="202">
        <f>(((H12+I12)/2)*$C$27)/12</f>
        <v>370.95489091005243</v>
      </c>
      <c r="J17" s="202">
        <f>(((I12+J12)/2)*$C$27)/12</f>
        <v>476.94200259863891</v>
      </c>
      <c r="K17" s="202">
        <f>(((J12+K12)/2)*$C$27)/12</f>
        <v>582.92911428720913</v>
      </c>
      <c r="L17" s="202">
        <f>(((K12+L12)/2)*$C$27)/12</f>
        <v>688.91622597018659</v>
      </c>
      <c r="M17" s="202">
        <f>(((L12+M12)/2)*$C$27)/12</f>
        <v>794.90333763643548</v>
      </c>
      <c r="N17" s="202">
        <f>(((M12+N12)/2)*$C$27)/12</f>
        <v>186489.41399654467</v>
      </c>
      <c r="O17" s="202">
        <f>(((N12+O12)/2)*$C$27)/12</f>
        <v>479685.63012819597</v>
      </c>
      <c r="P17" s="202">
        <f>(((O12+P12)/2)*$C$27)/12</f>
        <v>587293.32271252165</v>
      </c>
      <c r="Q17" s="202">
        <f>(((P12+Q12)/2)*$C$27)/12</f>
        <v>2843375.1288824459</v>
      </c>
      <c r="R17" s="202">
        <f>(((Q12+R12)/2)*$C$28)/12</f>
        <v>7462645.9294721773</v>
      </c>
      <c r="S17" s="202">
        <f>(((R12+S12)/2)*$C$28)/12</f>
        <v>7462645.9294721773</v>
      </c>
      <c r="T17" s="202">
        <f>(((S12+T12)/2)*$C$28)/12</f>
        <v>7462645.9294721773</v>
      </c>
      <c r="U17" s="202">
        <f>(((T12+U12)/2)*$C$28)/12</f>
        <v>7462645.9294721773</v>
      </c>
      <c r="V17" s="202">
        <f>(((U12+V12)/2)*$C$28)/12</f>
        <v>7462645.9294721773</v>
      </c>
      <c r="W17" s="202">
        <f>(((V12+W12)/2)*$C$28)/12</f>
        <v>7462645.9294721773</v>
      </c>
      <c r="X17" s="202">
        <f>(((W12+X12)/2)*$C$28)/12</f>
        <v>7462645.9294721773</v>
      </c>
      <c r="Y17" s="202">
        <f>(((X12+Y12)/2)*$C$28)/12</f>
        <v>7462645.9294721773</v>
      </c>
      <c r="Z17" s="202">
        <f>(((Y12+Z12)/2)*$C$28)/12</f>
        <v>7462645.9294721773</v>
      </c>
      <c r="AA17" s="202">
        <f>(((Z12+AA12)/2)*$C$28)/12</f>
        <v>7462645.9294721773</v>
      </c>
      <c r="AB17" s="202">
        <f>(((AA12+AB12)/2)*$C$28)/12</f>
        <v>7462645.9294721773</v>
      </c>
      <c r="AC17" s="202">
        <f>(((AB12+AC12)/2)*$C$28)/12</f>
        <v>7462645.9294721773</v>
      </c>
      <c r="AD17" s="228"/>
      <c r="AE17" s="221"/>
      <c r="AF17" s="217"/>
    </row>
    <row r="18" spans="1:32" ht="13.5" customHeight="1" x14ac:dyDescent="0.2">
      <c r="A18" s="184" t="s">
        <v>193</v>
      </c>
      <c r="B18" s="233" t="s">
        <v>150</v>
      </c>
      <c r="C18" s="233" t="s">
        <v>133</v>
      </c>
      <c r="D18" s="233"/>
      <c r="E18" s="202">
        <f>(((D13+E13)/2)*$C$30)/12</f>
        <v>8101.8751549042054</v>
      </c>
      <c r="F18" s="202">
        <f>(((E13+F13)/2)*$C$30)/12</f>
        <v>16203.750309808411</v>
      </c>
      <c r="G18" s="202">
        <f>(((F13+G13)/2)*$C$30)/12</f>
        <v>16203.750309808411</v>
      </c>
      <c r="H18" s="202">
        <f>(((G13+H13)/2)*$C$30)/12</f>
        <v>16203.750309808411</v>
      </c>
      <c r="I18" s="202">
        <f>(((H13+I13)/2)*$C$30)/12</f>
        <v>16203.750309808411</v>
      </c>
      <c r="J18" s="202">
        <f>(((I13+J13)/2)*$C$30)/12</f>
        <v>16203.750309808411</v>
      </c>
      <c r="K18" s="202">
        <f>(((J13+K13)/2)*$C$30)/12</f>
        <v>16203.750309808411</v>
      </c>
      <c r="L18" s="202">
        <f>(((K13+L13)/2)*$C$30)/12</f>
        <v>16203.750309808411</v>
      </c>
      <c r="M18" s="202">
        <f>(((L13+M13)/2)*$C$30)/12</f>
        <v>16203.750309808411</v>
      </c>
      <c r="N18" s="202">
        <f>(((M13+N13)/2)*$C$30)/12</f>
        <v>16203.750309808411</v>
      </c>
      <c r="O18" s="202">
        <f>(((N13+O13)/2)*$C$30)/12</f>
        <v>16203.750309808411</v>
      </c>
      <c r="P18" s="202">
        <f>(((O13+P13)/2)*$C$30)/12</f>
        <v>16203.750309808411</v>
      </c>
      <c r="Q18" s="202">
        <f>(((P13+Q13)/2)*$C$30)/12</f>
        <v>576852.38064965117</v>
      </c>
      <c r="R18" s="202">
        <f>(((Q13+R13)/2)*$C$31)/12</f>
        <v>1115428.4960348415</v>
      </c>
      <c r="S18" s="202">
        <f>(((R13+S13)/2)*$C$31)/12</f>
        <v>1115428.4960348415</v>
      </c>
      <c r="T18" s="202">
        <f>(((S13+T13)/2)*$C$31)/12</f>
        <v>1115428.4960348415</v>
      </c>
      <c r="U18" s="202">
        <f>(((T13+U13)/2)*$C$31)/12</f>
        <v>1115428.4960348415</v>
      </c>
      <c r="V18" s="202">
        <f>(((U13+V13)/2)*$C$31)/12</f>
        <v>1115428.4960348415</v>
      </c>
      <c r="W18" s="202">
        <f>(((V13+W13)/2)*$C$31)/12</f>
        <v>1115428.4960348415</v>
      </c>
      <c r="X18" s="202">
        <f>(((W13+X13)/2)*$C$31)/12</f>
        <v>1115428.4960348415</v>
      </c>
      <c r="Y18" s="202">
        <f>(((X13+Y13)/2)*$C$31)/12</f>
        <v>1115428.4960348415</v>
      </c>
      <c r="Z18" s="202">
        <f>(((Y13+Z13)/2)*$C$31)/12</f>
        <v>1115428.4960348415</v>
      </c>
      <c r="AA18" s="202">
        <f>(((Z13+AA13)/2)*$C$31)/12</f>
        <v>1115428.4960348415</v>
      </c>
      <c r="AB18" s="202">
        <f>(((AA13+AB13)/2)*$C$31)/12</f>
        <v>1115428.4960348415</v>
      </c>
      <c r="AC18" s="202">
        <f>(((AB13+AC13)/2)*$C$31)/12</f>
        <v>1115428.4960348415</v>
      </c>
    </row>
    <row r="19" spans="1:32" ht="13.5" customHeight="1" x14ac:dyDescent="0.2">
      <c r="A19" s="217"/>
    </row>
    <row r="20" spans="1:32" ht="13.5" customHeight="1" x14ac:dyDescent="0.2">
      <c r="A20" s="235" t="s">
        <v>188</v>
      </c>
      <c r="B20" s="217"/>
      <c r="C20" s="228"/>
      <c r="D20" s="228"/>
      <c r="E20" s="228"/>
      <c r="F20" s="228"/>
      <c r="G20" s="228"/>
      <c r="H20" s="228"/>
      <c r="I20" s="228"/>
      <c r="J20" s="228"/>
      <c r="K20" s="228"/>
      <c r="L20" s="228"/>
      <c r="M20" s="228"/>
      <c r="N20" s="228"/>
      <c r="O20" s="228"/>
      <c r="P20" s="226"/>
      <c r="Q20" s="226"/>
      <c r="R20" s="226"/>
      <c r="S20" s="226"/>
      <c r="T20" s="226"/>
      <c r="U20" s="226"/>
      <c r="V20" s="226"/>
      <c r="W20" s="226"/>
      <c r="X20" s="226"/>
      <c r="Y20" s="226"/>
      <c r="Z20" s="226"/>
      <c r="AA20" s="226"/>
      <c r="AB20" s="226"/>
      <c r="AC20" s="226"/>
    </row>
    <row r="21" spans="1:32" ht="13.5" customHeight="1" x14ac:dyDescent="0.2">
      <c r="B21" s="228" t="s">
        <v>187</v>
      </c>
      <c r="C21" s="228" t="s">
        <v>186</v>
      </c>
      <c r="D21" s="228"/>
      <c r="E21" s="234">
        <f>E11</f>
        <v>43800</v>
      </c>
      <c r="F21" s="234">
        <f>F11</f>
        <v>43831</v>
      </c>
      <c r="G21" s="234">
        <f>G11</f>
        <v>43862</v>
      </c>
      <c r="H21" s="234">
        <f>H11</f>
        <v>43891</v>
      </c>
      <c r="I21" s="234">
        <f>I11</f>
        <v>43922</v>
      </c>
      <c r="J21" s="234">
        <f>J11</f>
        <v>43952</v>
      </c>
      <c r="K21" s="234">
        <f>K11</f>
        <v>43983</v>
      </c>
      <c r="L21" s="234">
        <f>L11</f>
        <v>44013</v>
      </c>
      <c r="M21" s="234">
        <f>M11</f>
        <v>44044</v>
      </c>
      <c r="N21" s="234">
        <f>N11</f>
        <v>44075</v>
      </c>
      <c r="O21" s="234">
        <f>O11</f>
        <v>44105</v>
      </c>
      <c r="P21" s="234">
        <f>P11</f>
        <v>44136</v>
      </c>
      <c r="Q21" s="234">
        <f>Q11</f>
        <v>44166</v>
      </c>
      <c r="R21" s="234">
        <f>R11</f>
        <v>44197</v>
      </c>
      <c r="S21" s="234">
        <f>S11</f>
        <v>44228</v>
      </c>
      <c r="T21" s="234">
        <f>T11</f>
        <v>44256</v>
      </c>
      <c r="U21" s="234">
        <f>U11</f>
        <v>44287</v>
      </c>
      <c r="V21" s="234">
        <f>V11</f>
        <v>44317</v>
      </c>
      <c r="W21" s="234">
        <f>W11</f>
        <v>44348</v>
      </c>
      <c r="X21" s="234">
        <f>X11</f>
        <v>44378</v>
      </c>
      <c r="Y21" s="234">
        <f>Y11</f>
        <v>44409</v>
      </c>
      <c r="Z21" s="234">
        <f>Z11</f>
        <v>44440</v>
      </c>
      <c r="AA21" s="234">
        <f>AA11</f>
        <v>44470</v>
      </c>
      <c r="AB21" s="234">
        <f>AB11</f>
        <v>44501</v>
      </c>
      <c r="AC21" s="234">
        <f>AC11</f>
        <v>44531</v>
      </c>
    </row>
    <row r="22" spans="1:32" ht="13.5" customHeight="1" x14ac:dyDescent="0.2">
      <c r="A22" s="195" t="s">
        <v>185</v>
      </c>
      <c r="B22" s="181" t="s">
        <v>146</v>
      </c>
      <c r="C22" s="233" t="s">
        <v>133</v>
      </c>
      <c r="D22" s="233"/>
      <c r="E22" s="202">
        <f>D22-E17</f>
        <v>0</v>
      </c>
      <c r="F22" s="202">
        <f>E22-F17</f>
        <v>-52.993555844293205</v>
      </c>
      <c r="G22" s="202">
        <f>F22-G17</f>
        <v>-211.97422337717282</v>
      </c>
      <c r="H22" s="202">
        <f>G22-H17</f>
        <v>-476.94200259863885</v>
      </c>
      <c r="I22" s="202">
        <f>H22-I17</f>
        <v>-847.89689350869128</v>
      </c>
      <c r="J22" s="202">
        <f>I22-J17</f>
        <v>-1324.8388961073301</v>
      </c>
      <c r="K22" s="202">
        <f>J22-K17</f>
        <v>-1907.7680103945393</v>
      </c>
      <c r="L22" s="202">
        <f>K22-L17</f>
        <v>-2596.6842363647256</v>
      </c>
      <c r="M22" s="202">
        <f>L22-M17</f>
        <v>-3391.5875740011611</v>
      </c>
      <c r="N22" s="202">
        <f>M22-N17</f>
        <v>-189881.00157054584</v>
      </c>
      <c r="O22" s="202">
        <f>N22-O17</f>
        <v>-669566.63169874181</v>
      </c>
      <c r="P22" s="202">
        <f>O22-P17</f>
        <v>-1256859.9544112636</v>
      </c>
      <c r="Q22" s="202">
        <f>P22-Q17</f>
        <v>-4100235.0832937094</v>
      </c>
      <c r="R22" s="202">
        <f>Q22-R17</f>
        <v>-11562881.012765886</v>
      </c>
      <c r="S22" s="202">
        <f>R22-S17</f>
        <v>-19025526.942238063</v>
      </c>
      <c r="T22" s="202">
        <f>S22-T17</f>
        <v>-26488172.871710241</v>
      </c>
      <c r="U22" s="202">
        <f>T22-U17</f>
        <v>-33950818.801182419</v>
      </c>
      <c r="V22" s="202">
        <f>U22-V17</f>
        <v>-41413464.730654597</v>
      </c>
      <c r="W22" s="202">
        <f>V22-W17</f>
        <v>-48876110.660126776</v>
      </c>
      <c r="X22" s="202">
        <f>W22-X17</f>
        <v>-56338756.589598954</v>
      </c>
      <c r="Y22" s="202">
        <f>X22-Y17</f>
        <v>-63801402.519071132</v>
      </c>
      <c r="Z22" s="202">
        <f>Y22-Z17</f>
        <v>-71264048.44854331</v>
      </c>
      <c r="AA22" s="202">
        <f>Z22-AA17</f>
        <v>-78726694.378015488</v>
      </c>
      <c r="AB22" s="202">
        <f>AA22-AB17</f>
        <v>-86189340.307487667</v>
      </c>
      <c r="AC22" s="202">
        <f>AB22-AC17</f>
        <v>-93651986.236959845</v>
      </c>
      <c r="AE22" s="228"/>
    </row>
    <row r="23" spans="1:32" ht="13.5" customHeight="1" x14ac:dyDescent="0.2">
      <c r="A23" s="184" t="s">
        <v>193</v>
      </c>
      <c r="B23" s="233" t="s">
        <v>144</v>
      </c>
      <c r="C23" s="233" t="s">
        <v>133</v>
      </c>
      <c r="D23" s="233"/>
      <c r="E23" s="202">
        <f>D23-E18</f>
        <v>-8101.8751549042054</v>
      </c>
      <c r="F23" s="202">
        <f>E23-F18</f>
        <v>-24305.625464712615</v>
      </c>
      <c r="G23" s="202">
        <f>F23-G18</f>
        <v>-40509.375774521024</v>
      </c>
      <c r="H23" s="202">
        <f>G23-H18</f>
        <v>-56713.126084329437</v>
      </c>
      <c r="I23" s="202">
        <f>H23-I18</f>
        <v>-72916.876394137842</v>
      </c>
      <c r="J23" s="202">
        <f>I23-J18</f>
        <v>-89120.626703946255</v>
      </c>
      <c r="K23" s="202">
        <f>J23-K18</f>
        <v>-105324.37701375467</v>
      </c>
      <c r="L23" s="202">
        <f>K23-L18</f>
        <v>-121528.12732356308</v>
      </c>
      <c r="M23" s="202">
        <f>L23-M18</f>
        <v>-137731.87763337148</v>
      </c>
      <c r="N23" s="202">
        <f>M23-N18</f>
        <v>-153935.62794317989</v>
      </c>
      <c r="O23" s="202">
        <f>N23-O18</f>
        <v>-170139.3782529883</v>
      </c>
      <c r="P23" s="202">
        <f>O23-P18</f>
        <v>-186343.12856279672</v>
      </c>
      <c r="Q23" s="202">
        <f>P23-Q18</f>
        <v>-763195.50921244791</v>
      </c>
      <c r="R23" s="202">
        <f>Q23-R18</f>
        <v>-1878624.0052472893</v>
      </c>
      <c r="S23" s="202">
        <f>R23-S18</f>
        <v>-2994052.5012821308</v>
      </c>
      <c r="T23" s="202">
        <f>S23-T18</f>
        <v>-4109480.9973169724</v>
      </c>
      <c r="U23" s="202">
        <f>T23-U18</f>
        <v>-5224909.4933518134</v>
      </c>
      <c r="V23" s="202">
        <f>U23-V18</f>
        <v>-6340337.9893866554</v>
      </c>
      <c r="W23" s="202">
        <f>V23-W18</f>
        <v>-7455766.4854214974</v>
      </c>
      <c r="X23" s="202">
        <f>W23-X18</f>
        <v>-8571194.9814563394</v>
      </c>
      <c r="Y23" s="202">
        <f>X23-Y18</f>
        <v>-9686623.4774911813</v>
      </c>
      <c r="Z23" s="202">
        <f>Y23-Z18</f>
        <v>-10802051.973526023</v>
      </c>
      <c r="AA23" s="202">
        <f>Z23-AA18</f>
        <v>-11917480.469560865</v>
      </c>
      <c r="AB23" s="202">
        <f>AA23-AB18</f>
        <v>-13032908.965595707</v>
      </c>
      <c r="AC23" s="202">
        <f>AB23-AC18</f>
        <v>-14148337.461630549</v>
      </c>
      <c r="AD23" s="239"/>
      <c r="AE23" s="221"/>
      <c r="AF23" s="217"/>
    </row>
    <row r="24" spans="1:32" ht="13.5" customHeight="1" x14ac:dyDescent="0.2">
      <c r="A24" s="232"/>
    </row>
    <row r="25" spans="1:32" ht="12.75" x14ac:dyDescent="0.2">
      <c r="D25" s="227"/>
      <c r="E25" s="227"/>
      <c r="F25" s="227"/>
      <c r="G25" s="227"/>
      <c r="H25" s="227"/>
      <c r="I25" s="227"/>
      <c r="J25" s="227"/>
      <c r="K25" s="227"/>
      <c r="L25" s="227"/>
      <c r="M25" s="227"/>
      <c r="N25" s="227"/>
      <c r="O25" s="227"/>
    </row>
    <row r="26" spans="1:32" ht="12.75" x14ac:dyDescent="0.2">
      <c r="C26" s="231" t="s">
        <v>184</v>
      </c>
      <c r="E26" s="227"/>
      <c r="F26" s="227"/>
      <c r="G26" s="227"/>
      <c r="H26" s="227"/>
      <c r="I26" s="227"/>
      <c r="J26" s="227"/>
      <c r="K26" s="227"/>
      <c r="L26" s="227"/>
      <c r="M26" s="227"/>
      <c r="N26" s="227"/>
      <c r="O26" s="227"/>
    </row>
    <row r="27" spans="1:32" ht="12.75" x14ac:dyDescent="0.2">
      <c r="A27" s="215" t="s">
        <v>183</v>
      </c>
      <c r="C27" s="227">
        <v>3.3046077296287953E-2</v>
      </c>
      <c r="E27" s="224"/>
      <c r="F27" s="224"/>
      <c r="G27" s="224"/>
      <c r="H27" s="224"/>
      <c r="I27" s="224"/>
      <c r="J27" s="224"/>
      <c r="K27" s="224"/>
      <c r="L27" s="224"/>
      <c r="M27" s="224"/>
      <c r="N27" s="224"/>
      <c r="O27" s="224"/>
    </row>
    <row r="28" spans="1:32" ht="13.5" customHeight="1" x14ac:dyDescent="0.2">
      <c r="A28" s="215" t="s">
        <v>182</v>
      </c>
      <c r="C28" s="227">
        <v>4.8360784328803093E-2</v>
      </c>
      <c r="E28" s="224"/>
      <c r="F28" s="224"/>
      <c r="G28" s="224"/>
      <c r="H28" s="224"/>
      <c r="I28" s="224"/>
      <c r="J28" s="224"/>
      <c r="K28" s="224"/>
      <c r="L28" s="224"/>
      <c r="M28" s="224"/>
      <c r="N28" s="224"/>
      <c r="O28" s="224"/>
    </row>
    <row r="29" spans="1:32" ht="13.5" customHeight="1" x14ac:dyDescent="0.2">
      <c r="C29" s="238" t="s">
        <v>192</v>
      </c>
      <c r="D29" s="224"/>
      <c r="F29" s="224"/>
      <c r="G29" s="224"/>
      <c r="H29" s="224"/>
      <c r="I29" s="224"/>
      <c r="J29" s="224"/>
      <c r="K29" s="224"/>
      <c r="L29" s="224"/>
      <c r="M29" s="224"/>
      <c r="N29" s="224"/>
      <c r="O29" s="224"/>
    </row>
    <row r="30" spans="1:32" ht="13.5" customHeight="1" x14ac:dyDescent="0.2">
      <c r="A30" s="215" t="s">
        <v>183</v>
      </c>
      <c r="C30" s="227">
        <v>1.7471090080963977E-2</v>
      </c>
      <c r="D30" s="224"/>
      <c r="F30" s="224"/>
      <c r="G30" s="224"/>
      <c r="H30" s="224"/>
      <c r="I30" s="224"/>
      <c r="J30" s="224"/>
      <c r="K30" s="224"/>
      <c r="L30" s="224"/>
      <c r="M30" s="224"/>
      <c r="N30" s="224"/>
      <c r="O30" s="224"/>
      <c r="AF30" s="228"/>
    </row>
    <row r="31" spans="1:32" ht="12" customHeight="1" x14ac:dyDescent="0.2">
      <c r="A31" s="215" t="s">
        <v>182</v>
      </c>
      <c r="C31" s="227">
        <v>1.7132074209012617E-2</v>
      </c>
      <c r="D31" s="224"/>
      <c r="E31" s="224"/>
      <c r="F31" s="224"/>
      <c r="G31" s="224"/>
      <c r="H31" s="224"/>
      <c r="I31" s="224"/>
      <c r="J31" s="224"/>
      <c r="K31" s="224"/>
      <c r="L31" s="224"/>
      <c r="M31" s="224"/>
      <c r="N31" s="224"/>
      <c r="O31" s="224"/>
    </row>
    <row r="32" spans="1:32" ht="13.5" customHeight="1" x14ac:dyDescent="0.2">
      <c r="A32" s="215"/>
      <c r="C32" s="224"/>
      <c r="D32" s="224"/>
      <c r="E32" s="224"/>
      <c r="F32" s="224"/>
      <c r="G32" s="224"/>
      <c r="H32" s="224"/>
      <c r="I32" s="224"/>
      <c r="J32" s="224"/>
      <c r="K32" s="224"/>
      <c r="L32" s="224"/>
      <c r="M32" s="224"/>
      <c r="N32" s="224"/>
      <c r="O32" s="224"/>
    </row>
    <row r="33" spans="1:32" ht="13.5" customHeight="1" x14ac:dyDescent="0.2">
      <c r="A33" s="215"/>
      <c r="C33" s="224"/>
      <c r="D33" s="224"/>
      <c r="E33" s="224"/>
      <c r="F33" s="224"/>
      <c r="G33" s="224"/>
      <c r="H33" s="224"/>
      <c r="I33" s="224"/>
      <c r="J33" s="224"/>
      <c r="K33" s="224"/>
      <c r="L33" s="224"/>
      <c r="M33" s="224"/>
      <c r="N33" s="224"/>
      <c r="O33" s="224"/>
    </row>
    <row r="34" spans="1:32" ht="13.5" customHeight="1" x14ac:dyDescent="0.2">
      <c r="A34" s="215"/>
      <c r="C34" s="224"/>
      <c r="D34" s="224"/>
      <c r="E34" s="224"/>
      <c r="F34" s="224"/>
      <c r="G34" s="224"/>
      <c r="H34" s="224"/>
      <c r="I34" s="224"/>
      <c r="J34" s="224"/>
      <c r="K34" s="224"/>
      <c r="L34" s="224"/>
      <c r="M34" s="224"/>
      <c r="N34" s="224"/>
      <c r="O34" s="224"/>
      <c r="AF34" s="228"/>
    </row>
    <row r="35" spans="1:32" ht="12.75" x14ac:dyDescent="0.2"/>
    <row r="37" spans="1:32" ht="12" customHeight="1" x14ac:dyDescent="0.2">
      <c r="A37" s="217" t="s">
        <v>191</v>
      </c>
    </row>
    <row r="39" spans="1:32" ht="12" customHeight="1" x14ac:dyDescent="0.2">
      <c r="A39" s="235" t="s">
        <v>190</v>
      </c>
      <c r="P39" s="217"/>
      <c r="Q39" s="217"/>
      <c r="R39" s="217"/>
      <c r="S39" s="217"/>
      <c r="T39" s="217"/>
      <c r="U39" s="217"/>
      <c r="V39" s="217"/>
      <c r="W39" s="217"/>
      <c r="X39" s="217"/>
      <c r="Y39" s="217"/>
      <c r="Z39" s="217"/>
      <c r="AA39" s="217"/>
      <c r="AB39" s="217"/>
      <c r="AC39" s="217"/>
      <c r="AD39" s="217"/>
    </row>
    <row r="40" spans="1:32" ht="12" customHeight="1" x14ac:dyDescent="0.2">
      <c r="P40" s="217"/>
      <c r="Q40" s="217"/>
      <c r="R40" s="217"/>
      <c r="S40" s="217"/>
      <c r="T40" s="217"/>
      <c r="U40" s="217"/>
      <c r="V40" s="217"/>
      <c r="W40" s="217"/>
      <c r="X40" s="217"/>
      <c r="Y40" s="217"/>
      <c r="Z40" s="217"/>
      <c r="AA40" s="217"/>
      <c r="AB40" s="217"/>
      <c r="AC40" s="217"/>
    </row>
    <row r="41" spans="1:32" ht="12" customHeight="1" x14ac:dyDescent="0.2">
      <c r="B41" s="217" t="s">
        <v>187</v>
      </c>
      <c r="C41" s="228" t="s">
        <v>186</v>
      </c>
      <c r="D41" s="228"/>
      <c r="E41" s="234">
        <v>43800</v>
      </c>
      <c r="F41" s="234">
        <v>43831</v>
      </c>
      <c r="G41" s="234">
        <v>43862</v>
      </c>
      <c r="H41" s="234">
        <v>43891</v>
      </c>
      <c r="I41" s="234">
        <v>43922</v>
      </c>
      <c r="J41" s="234">
        <v>43952</v>
      </c>
      <c r="K41" s="234">
        <v>43983</v>
      </c>
      <c r="L41" s="234">
        <v>44013</v>
      </c>
      <c r="M41" s="234">
        <v>44044</v>
      </c>
      <c r="N41" s="234">
        <v>44075</v>
      </c>
      <c r="O41" s="234">
        <v>44105</v>
      </c>
      <c r="P41" s="234">
        <v>44136</v>
      </c>
      <c r="Q41" s="234">
        <v>44166</v>
      </c>
      <c r="R41" s="234">
        <v>44197</v>
      </c>
      <c r="S41" s="234">
        <v>44228</v>
      </c>
      <c r="T41" s="234">
        <v>44256</v>
      </c>
      <c r="U41" s="234">
        <v>44287</v>
      </c>
      <c r="V41" s="234">
        <v>44317</v>
      </c>
      <c r="W41" s="234">
        <v>44348</v>
      </c>
      <c r="X41" s="234">
        <v>44378</v>
      </c>
      <c r="Y41" s="234">
        <v>44409</v>
      </c>
      <c r="Z41" s="234">
        <v>44440</v>
      </c>
      <c r="AA41" s="234">
        <v>44470</v>
      </c>
      <c r="AB41" s="234">
        <v>44501</v>
      </c>
      <c r="AC41" s="234">
        <v>44531</v>
      </c>
    </row>
    <row r="42" spans="1:32" ht="12" customHeight="1" x14ac:dyDescent="0.2">
      <c r="A42" s="195" t="s">
        <v>185</v>
      </c>
      <c r="B42" s="233">
        <v>343</v>
      </c>
      <c r="C42" s="233" t="s">
        <v>133</v>
      </c>
      <c r="D42" s="233"/>
      <c r="E42" s="233"/>
      <c r="F42" s="233"/>
      <c r="G42" s="233"/>
      <c r="H42" s="233"/>
      <c r="I42" s="233"/>
      <c r="J42" s="233"/>
      <c r="K42" s="233"/>
      <c r="L42" s="233"/>
      <c r="M42" s="233"/>
      <c r="N42" s="237">
        <v>-154734925.37</v>
      </c>
      <c r="O42" s="237">
        <v>-193520952.31</v>
      </c>
      <c r="P42" s="237">
        <v>-193520952.31</v>
      </c>
      <c r="Q42" s="237">
        <v>-193520952.31</v>
      </c>
      <c r="R42" s="237">
        <f>Q42</f>
        <v>-193520952.31</v>
      </c>
      <c r="S42" s="237">
        <f>R42</f>
        <v>-193520952.31</v>
      </c>
      <c r="T42" s="237">
        <f>S42</f>
        <v>-193520952.31</v>
      </c>
      <c r="U42" s="237">
        <f>T42</f>
        <v>-193520952.31</v>
      </c>
      <c r="V42" s="237">
        <f>U42</f>
        <v>-193520952.31</v>
      </c>
      <c r="W42" s="237">
        <f>V42</f>
        <v>-193520952.31</v>
      </c>
      <c r="X42" s="237">
        <f>W42</f>
        <v>-193520952.31</v>
      </c>
      <c r="Y42" s="237">
        <f>X42</f>
        <v>-193520952.31</v>
      </c>
      <c r="Z42" s="237">
        <f>Y42</f>
        <v>-193520952.31</v>
      </c>
      <c r="AA42" s="237">
        <f>Z42</f>
        <v>-193520952.31</v>
      </c>
      <c r="AB42" s="237">
        <f>AA42</f>
        <v>-193520952.31</v>
      </c>
      <c r="AC42" s="237">
        <f>AB42</f>
        <v>-193520952.31</v>
      </c>
    </row>
    <row r="43" spans="1:32" ht="12" customHeight="1" x14ac:dyDescent="0.2">
      <c r="P43" s="202"/>
      <c r="Q43" s="202"/>
      <c r="R43" s="202"/>
      <c r="S43" s="202"/>
      <c r="T43" s="202"/>
      <c r="U43" s="202"/>
      <c r="V43" s="202"/>
      <c r="W43" s="202"/>
    </row>
    <row r="44" spans="1:32" ht="12" customHeight="1" x14ac:dyDescent="0.2">
      <c r="A44" s="235" t="s">
        <v>189</v>
      </c>
    </row>
    <row r="45" spans="1:32" ht="12" customHeight="1" x14ac:dyDescent="0.2">
      <c r="B45" s="217" t="s">
        <v>187</v>
      </c>
      <c r="C45" s="228" t="s">
        <v>186</v>
      </c>
      <c r="D45" s="228"/>
      <c r="E45" s="234">
        <f>E41</f>
        <v>43800</v>
      </c>
      <c r="F45" s="234">
        <f>F41</f>
        <v>43831</v>
      </c>
      <c r="G45" s="234">
        <f>G41</f>
        <v>43862</v>
      </c>
      <c r="H45" s="234">
        <f>H41</f>
        <v>43891</v>
      </c>
      <c r="I45" s="234">
        <f>I41</f>
        <v>43922</v>
      </c>
      <c r="J45" s="234">
        <f>J41</f>
        <v>43952</v>
      </c>
      <c r="K45" s="234">
        <f>K41</f>
        <v>43983</v>
      </c>
      <c r="L45" s="234">
        <f>L41</f>
        <v>44013</v>
      </c>
      <c r="M45" s="234">
        <f>M41</f>
        <v>44044</v>
      </c>
      <c r="N45" s="234">
        <f>N41</f>
        <v>44075</v>
      </c>
      <c r="O45" s="234">
        <f>O41</f>
        <v>44105</v>
      </c>
      <c r="P45" s="234">
        <f>P41</f>
        <v>44136</v>
      </c>
      <c r="Q45" s="234">
        <f>Q41</f>
        <v>44166</v>
      </c>
      <c r="R45" s="234">
        <f>R41</f>
        <v>44197</v>
      </c>
      <c r="S45" s="234">
        <f>S41</f>
        <v>44228</v>
      </c>
      <c r="T45" s="234">
        <f>T41</f>
        <v>44256</v>
      </c>
      <c r="U45" s="234">
        <f>U41</f>
        <v>44287</v>
      </c>
      <c r="V45" s="234">
        <f>V41</f>
        <v>44317</v>
      </c>
      <c r="W45" s="234">
        <f>W41</f>
        <v>44348</v>
      </c>
      <c r="X45" s="234">
        <f>X41</f>
        <v>44378</v>
      </c>
      <c r="Y45" s="234">
        <f>Y41</f>
        <v>44409</v>
      </c>
      <c r="Z45" s="234">
        <f>Z41</f>
        <v>44440</v>
      </c>
      <c r="AA45" s="234">
        <f>AA41</f>
        <v>44470</v>
      </c>
      <c r="AB45" s="234">
        <f>AB41</f>
        <v>44501</v>
      </c>
      <c r="AC45" s="234">
        <f>AC41</f>
        <v>44531</v>
      </c>
    </row>
    <row r="46" spans="1:32" ht="12" customHeight="1" x14ac:dyDescent="0.2">
      <c r="A46" s="195" t="s">
        <v>185</v>
      </c>
      <c r="B46" s="181" t="s">
        <v>152</v>
      </c>
      <c r="C46" s="233" t="s">
        <v>133</v>
      </c>
      <c r="D46" s="233"/>
      <c r="E46" s="233"/>
      <c r="F46" s="233"/>
      <c r="G46" s="233"/>
      <c r="H46" s="233"/>
      <c r="I46" s="233"/>
      <c r="J46" s="233"/>
      <c r="K46" s="233"/>
      <c r="L46" s="233"/>
      <c r="M46" s="233"/>
      <c r="N46" s="202">
        <f>(((M42+N42)/2)*$C$54)/12</f>
        <v>-213057.59600884866</v>
      </c>
      <c r="O46" s="202">
        <f>(((N42+O42)/2)*$C$54)/12</f>
        <v>-479520.44386249507</v>
      </c>
      <c r="P46" s="202">
        <f>(((O42+P42)/2)*$C$54)/12</f>
        <v>-532925.69570729288</v>
      </c>
      <c r="Q46" s="202">
        <f>(((P42+Q42)/2)*$C$54)/12</f>
        <v>-532925.69570729288</v>
      </c>
      <c r="R46" s="202">
        <f>(((Q42+R42)/2)*$C$55)/12</f>
        <v>-779902.08648070821</v>
      </c>
      <c r="S46" s="202">
        <f>(((R42+S42)/2)*$C$55)/12</f>
        <v>-779902.08648070821</v>
      </c>
      <c r="T46" s="202">
        <f>(((S42+T42)/2)*$C$55)/12</f>
        <v>-779902.08648070821</v>
      </c>
      <c r="U46" s="202">
        <f>(((T42+U42)/2)*$C$55)/12</f>
        <v>-779902.08648070821</v>
      </c>
      <c r="V46" s="202">
        <f>(((U42+V42)/2)*$C$55)/12</f>
        <v>-779902.08648070821</v>
      </c>
      <c r="W46" s="236">
        <f>(((V42+W42)/2)*$C$55)/12</f>
        <v>-779902.08648070821</v>
      </c>
      <c r="X46" s="236">
        <f>(((W42+X42)/2)*$C$55)/12</f>
        <v>-779902.08648070821</v>
      </c>
      <c r="Y46" s="236">
        <f>(((X42+Y42)/2)*$C$55)/12</f>
        <v>-779902.08648070821</v>
      </c>
      <c r="Z46" s="236">
        <f>(((Y42+Z42)/2)*$C$55)/12</f>
        <v>-779902.08648070821</v>
      </c>
      <c r="AA46" s="236">
        <f>(((Z42+AA42)/2)*$C$55)/12</f>
        <v>-779902.08648070821</v>
      </c>
      <c r="AB46" s="236">
        <f>(((AA42+AB42)/2)*$C$55)/12</f>
        <v>-779902.08648070821</v>
      </c>
      <c r="AC46" s="236">
        <f>(((AB42+AC42)/2)*$C$55)/12</f>
        <v>-779902.08648070821</v>
      </c>
    </row>
    <row r="47" spans="1:32" ht="12" customHeight="1" x14ac:dyDescent="0.2">
      <c r="A47" s="232"/>
    </row>
    <row r="48" spans="1:32" ht="12" customHeight="1" x14ac:dyDescent="0.2">
      <c r="A48" s="235" t="s">
        <v>188</v>
      </c>
    </row>
    <row r="49" spans="1:29" ht="12" customHeight="1" x14ac:dyDescent="0.2">
      <c r="B49" s="217" t="s">
        <v>187</v>
      </c>
      <c r="C49" s="228" t="s">
        <v>186</v>
      </c>
      <c r="D49" s="228"/>
      <c r="E49" s="234">
        <f>E41</f>
        <v>43800</v>
      </c>
      <c r="F49" s="234">
        <f>F41</f>
        <v>43831</v>
      </c>
      <c r="G49" s="234">
        <f>G41</f>
        <v>43862</v>
      </c>
      <c r="H49" s="234">
        <f>H41</f>
        <v>43891</v>
      </c>
      <c r="I49" s="234">
        <f>I41</f>
        <v>43922</v>
      </c>
      <c r="J49" s="234">
        <f>J41</f>
        <v>43952</v>
      </c>
      <c r="K49" s="234">
        <f>K41</f>
        <v>43983</v>
      </c>
      <c r="L49" s="234">
        <f>L41</f>
        <v>44013</v>
      </c>
      <c r="M49" s="234">
        <f>M41</f>
        <v>44044</v>
      </c>
      <c r="N49" s="234">
        <f>N41</f>
        <v>44075</v>
      </c>
      <c r="O49" s="234">
        <f>O41</f>
        <v>44105</v>
      </c>
      <c r="P49" s="234">
        <f>P41</f>
        <v>44136</v>
      </c>
      <c r="Q49" s="234">
        <f>Q41</f>
        <v>44166</v>
      </c>
      <c r="R49" s="234">
        <f>R41</f>
        <v>44197</v>
      </c>
      <c r="S49" s="234">
        <f>S41</f>
        <v>44228</v>
      </c>
      <c r="T49" s="234">
        <f>T41</f>
        <v>44256</v>
      </c>
      <c r="U49" s="234">
        <f>U41</f>
        <v>44287</v>
      </c>
      <c r="V49" s="234">
        <f>V41</f>
        <v>44317</v>
      </c>
      <c r="W49" s="234">
        <f>W41</f>
        <v>44348</v>
      </c>
      <c r="X49" s="234">
        <f>X41</f>
        <v>44378</v>
      </c>
      <c r="Y49" s="234">
        <f>Y41</f>
        <v>44409</v>
      </c>
      <c r="Z49" s="234">
        <f>Z41</f>
        <v>44440</v>
      </c>
      <c r="AA49" s="234">
        <f>AA41</f>
        <v>44470</v>
      </c>
      <c r="AB49" s="234">
        <f>AB41</f>
        <v>44501</v>
      </c>
      <c r="AC49" s="234">
        <f>AC41</f>
        <v>44531</v>
      </c>
    </row>
    <row r="50" spans="1:29" ht="12" customHeight="1" x14ac:dyDescent="0.2">
      <c r="A50" s="195" t="s">
        <v>185</v>
      </c>
      <c r="B50" s="233" t="s">
        <v>146</v>
      </c>
      <c r="C50" s="233" t="s">
        <v>133</v>
      </c>
      <c r="D50" s="233"/>
      <c r="E50" s="233"/>
      <c r="F50" s="233"/>
      <c r="G50" s="233"/>
      <c r="H50" s="233"/>
      <c r="I50" s="233"/>
      <c r="J50" s="233"/>
      <c r="K50" s="233"/>
      <c r="L50" s="233"/>
      <c r="M50" s="233"/>
      <c r="N50" s="202">
        <f>-N42</f>
        <v>154734925.37</v>
      </c>
      <c r="O50" s="202">
        <f>-O42</f>
        <v>193520952.31</v>
      </c>
      <c r="P50" s="202">
        <f>-P42</f>
        <v>193520952.31</v>
      </c>
      <c r="Q50" s="202">
        <f>-Q42</f>
        <v>193520952.31</v>
      </c>
      <c r="R50" s="202">
        <f>-R42</f>
        <v>193520952.31</v>
      </c>
      <c r="S50" s="202">
        <f>-S42</f>
        <v>193520952.31</v>
      </c>
      <c r="T50" s="202">
        <f>-T42</f>
        <v>193520952.31</v>
      </c>
      <c r="U50" s="202">
        <f>-U42</f>
        <v>193520952.31</v>
      </c>
      <c r="V50" s="202">
        <f>-V42</f>
        <v>193520952.31</v>
      </c>
      <c r="W50" s="202">
        <f>-W42</f>
        <v>193520952.31</v>
      </c>
      <c r="X50" s="202">
        <f>-X42</f>
        <v>193520952.31</v>
      </c>
      <c r="Y50" s="202">
        <f>-Y42</f>
        <v>193520952.31</v>
      </c>
      <c r="Z50" s="202">
        <f>-Z42</f>
        <v>193520952.31</v>
      </c>
      <c r="AA50" s="202">
        <f>-AA42</f>
        <v>193520952.31</v>
      </c>
      <c r="AB50" s="202">
        <f>-AB42</f>
        <v>193520952.31</v>
      </c>
      <c r="AC50" s="202">
        <f>-AC42</f>
        <v>193520952.31</v>
      </c>
    </row>
    <row r="51" spans="1:29" ht="12" customHeight="1" x14ac:dyDescent="0.2">
      <c r="A51" s="232"/>
    </row>
    <row r="52" spans="1:29" ht="20.25" customHeight="1" x14ac:dyDescent="0.2">
      <c r="D52" s="225"/>
      <c r="E52" s="225"/>
      <c r="F52" s="225"/>
      <c r="G52" s="225"/>
      <c r="H52" s="225"/>
      <c r="I52" s="225"/>
      <c r="J52" s="225"/>
      <c r="K52" s="225"/>
      <c r="L52" s="225"/>
      <c r="M52" s="225"/>
      <c r="N52" s="225"/>
      <c r="O52" s="225"/>
      <c r="U52" s="230"/>
      <c r="V52" s="229"/>
    </row>
    <row r="53" spans="1:29" ht="12.75" x14ac:dyDescent="0.2">
      <c r="C53" s="231" t="s">
        <v>184</v>
      </c>
      <c r="D53" s="224"/>
      <c r="E53" s="224"/>
      <c r="F53" s="224"/>
      <c r="G53" s="224"/>
      <c r="H53" s="224"/>
      <c r="I53" s="224"/>
      <c r="J53" s="224"/>
      <c r="K53" s="224"/>
      <c r="L53" s="224"/>
      <c r="M53" s="224"/>
      <c r="N53" s="224"/>
      <c r="O53" s="224"/>
      <c r="U53" s="230"/>
      <c r="V53" s="229"/>
      <c r="W53" s="228"/>
    </row>
    <row r="54" spans="1:29" ht="12" customHeight="1" x14ac:dyDescent="0.2">
      <c r="A54" s="215" t="s">
        <v>183</v>
      </c>
      <c r="C54" s="227">
        <f>C27</f>
        <v>3.3046077296287953E-2</v>
      </c>
      <c r="D54" s="224"/>
      <c r="E54" s="224"/>
      <c r="F54" s="224"/>
      <c r="G54" s="224"/>
      <c r="H54" s="224"/>
      <c r="I54" s="224"/>
      <c r="J54" s="224"/>
      <c r="K54" s="224"/>
      <c r="L54" s="224"/>
      <c r="M54" s="224"/>
      <c r="N54" s="224"/>
      <c r="O54" s="224"/>
      <c r="T54" s="223"/>
      <c r="U54" s="202"/>
      <c r="V54" s="204"/>
      <c r="W54" s="221"/>
      <c r="X54" s="196"/>
      <c r="AA54" s="226"/>
    </row>
    <row r="55" spans="1:29" ht="12" customHeight="1" x14ac:dyDescent="0.2">
      <c r="A55" s="215" t="s">
        <v>182</v>
      </c>
      <c r="C55" s="225">
        <f>C28</f>
        <v>4.8360784328803093E-2</v>
      </c>
      <c r="D55" s="224"/>
      <c r="E55" s="224"/>
      <c r="F55" s="224"/>
      <c r="G55" s="224"/>
      <c r="H55" s="224"/>
      <c r="I55" s="224"/>
      <c r="J55" s="224"/>
      <c r="K55" s="224"/>
      <c r="L55" s="224"/>
      <c r="M55" s="224"/>
      <c r="N55" s="224"/>
      <c r="O55" s="224"/>
      <c r="U55" s="202"/>
      <c r="V55" s="202"/>
      <c r="W55" s="221"/>
      <c r="X55" s="196"/>
      <c r="AA55" s="202"/>
    </row>
    <row r="56" spans="1:29" ht="12" customHeight="1" x14ac:dyDescent="0.2">
      <c r="T56" s="223"/>
      <c r="U56" s="202"/>
      <c r="V56" s="222"/>
      <c r="W56" s="221"/>
      <c r="X56" s="196"/>
      <c r="AA56" s="202"/>
    </row>
    <row r="57" spans="1:29" ht="12" customHeight="1" x14ac:dyDescent="0.2">
      <c r="U57" s="214"/>
      <c r="V57" s="214"/>
    </row>
    <row r="58" spans="1:29" ht="12" customHeight="1" x14ac:dyDescent="0.2">
      <c r="U58" s="214"/>
      <c r="V58" s="214"/>
    </row>
    <row r="61" spans="1:29" ht="12" customHeight="1" x14ac:dyDescent="0.2">
      <c r="C61" s="220"/>
    </row>
    <row r="62" spans="1:29" ht="12" customHeight="1" x14ac:dyDescent="0.2">
      <c r="D62" s="219"/>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row>
    <row r="63" spans="1:29" ht="12" customHeight="1" x14ac:dyDescent="0.2">
      <c r="D63" s="219"/>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row>
    <row r="64" spans="1:29" ht="12" customHeight="1" x14ac:dyDescent="0.2">
      <c r="D64" s="219"/>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row>
  </sheetData>
  <mergeCells count="2">
    <mergeCell ref="U52:U53"/>
    <mergeCell ref="V52:V53"/>
  </mergeCells>
  <pageMargins left="0.7" right="0.7" top="0.75" bottom="0.75" header="0.3" footer="0.3"/>
  <pageSetup scale="53" orientation="landscape" r:id="rId1"/>
  <headerFooter>
    <oddFooter>&amp;C&amp;"Arial,Regular"&amp;10Page ADJ_1.2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091A4-3297-4DEC-BB0D-53F02B9CD826}">
  <sheetPr>
    <pageSetUpPr fitToPage="1"/>
  </sheetPr>
  <dimension ref="A1:AL64"/>
  <sheetViews>
    <sheetView view="pageBreakPreview" zoomScale="70" zoomScaleNormal="80" zoomScaleSheetLayoutView="70" workbookViewId="0"/>
  </sheetViews>
  <sheetFormatPr defaultColWidth="9.140625" defaultRowHeight="12" customHeight="1" outlineLevelCol="1" x14ac:dyDescent="0.2"/>
  <cols>
    <col min="1" max="1" width="18" style="195" customWidth="1"/>
    <col min="2" max="2" width="8.7109375" style="195" bestFit="1" customWidth="1"/>
    <col min="3" max="3" width="9.28515625" style="195" customWidth="1"/>
    <col min="4" max="13" width="12.7109375" style="195" hidden="1" customWidth="1" outlineLevel="1"/>
    <col min="14" max="16" width="13.42578125" style="195" hidden="1" customWidth="1" outlineLevel="1"/>
    <col min="17" max="17" width="15.140625" style="195" bestFit="1" customWidth="1" collapsed="1"/>
    <col min="18" max="20" width="15.140625" style="195" bestFit="1" customWidth="1"/>
    <col min="21" max="21" width="16.42578125" style="195" customWidth="1"/>
    <col min="22" max="22" width="15.85546875" style="195" bestFit="1" customWidth="1"/>
    <col min="23" max="29" width="15.140625" style="195" bestFit="1" customWidth="1"/>
    <col min="30" max="30" width="7.7109375" style="195" bestFit="1" customWidth="1"/>
    <col min="31" max="31" width="14.28515625" style="195" bestFit="1" customWidth="1"/>
    <col min="32" max="32" width="8.140625" style="195" bestFit="1" customWidth="1"/>
    <col min="33" max="16384" width="9.140625" style="195"/>
  </cols>
  <sheetData>
    <row r="1" spans="1:38" ht="12" customHeight="1" x14ac:dyDescent="0.2">
      <c r="A1" s="217" t="s">
        <v>6</v>
      </c>
    </row>
    <row r="2" spans="1:38" ht="12" customHeight="1" x14ac:dyDescent="0.2">
      <c r="A2" s="217" t="str">
        <f>'Lead Sheet ADJ_1'!B2</f>
        <v>Washington Limited-Issue Rate Filing</v>
      </c>
    </row>
    <row r="3" spans="1:38" ht="12" customHeight="1" x14ac:dyDescent="0.2">
      <c r="A3" s="217" t="str">
        <f>'Lead Sheet ADJ_1'!B3</f>
        <v>Wind &amp; Transmission Capital True-Up</v>
      </c>
    </row>
    <row r="4" spans="1:38" ht="12" customHeight="1" x14ac:dyDescent="0.2">
      <c r="A4" s="217" t="s">
        <v>196</v>
      </c>
    </row>
    <row r="5" spans="1:38" ht="12" customHeight="1" x14ac:dyDescent="0.2">
      <c r="A5" s="217"/>
    </row>
    <row r="6" spans="1:38" ht="12" customHeight="1" x14ac:dyDescent="0.2">
      <c r="A6" s="217"/>
    </row>
    <row r="7" spans="1:38" ht="12" customHeight="1" x14ac:dyDescent="0.2">
      <c r="A7" s="217" t="s">
        <v>194</v>
      </c>
    </row>
    <row r="8" spans="1:38" ht="13.5" customHeight="1" x14ac:dyDescent="0.2"/>
    <row r="9" spans="1:38" ht="13.5" customHeight="1" x14ac:dyDescent="0.2">
      <c r="A9" s="235" t="s">
        <v>190</v>
      </c>
      <c r="P9" s="217"/>
      <c r="Q9" s="217"/>
      <c r="R9" s="217"/>
      <c r="S9" s="217"/>
      <c r="T9" s="217"/>
      <c r="U9" s="217"/>
      <c r="V9" s="217"/>
      <c r="W9" s="217"/>
      <c r="X9" s="217"/>
      <c r="Y9" s="217"/>
      <c r="Z9" s="217"/>
      <c r="AA9" s="217"/>
      <c r="AB9" s="217"/>
      <c r="AC9" s="217"/>
    </row>
    <row r="10" spans="1:38" ht="13.5" customHeight="1" x14ac:dyDescent="0.2">
      <c r="P10" s="217"/>
      <c r="Q10" s="217"/>
      <c r="R10" s="217"/>
      <c r="S10" s="217"/>
      <c r="T10" s="217"/>
      <c r="U10" s="217"/>
      <c r="V10" s="217"/>
      <c r="W10" s="217"/>
      <c r="X10" s="217"/>
      <c r="Y10" s="217"/>
      <c r="Z10" s="217"/>
      <c r="AA10" s="217"/>
      <c r="AB10" s="217"/>
      <c r="AC10" s="217"/>
      <c r="AE10" s="228"/>
    </row>
    <row r="11" spans="1:38" ht="13.5" customHeight="1" x14ac:dyDescent="0.2">
      <c r="B11" s="228" t="s">
        <v>187</v>
      </c>
      <c r="C11" s="228" t="s">
        <v>186</v>
      </c>
      <c r="D11" s="234">
        <v>43770</v>
      </c>
      <c r="E11" s="234">
        <v>43800</v>
      </c>
      <c r="F11" s="234">
        <v>43831</v>
      </c>
      <c r="G11" s="234">
        <v>43862</v>
      </c>
      <c r="H11" s="234">
        <v>43891</v>
      </c>
      <c r="I11" s="234">
        <v>43922</v>
      </c>
      <c r="J11" s="234">
        <v>43952</v>
      </c>
      <c r="K11" s="234">
        <v>43983</v>
      </c>
      <c r="L11" s="234">
        <v>44013</v>
      </c>
      <c r="M11" s="234">
        <v>44044</v>
      </c>
      <c r="N11" s="234">
        <v>44075</v>
      </c>
      <c r="O11" s="234">
        <v>44105</v>
      </c>
      <c r="P11" s="234">
        <v>44136</v>
      </c>
      <c r="Q11" s="234">
        <v>44166</v>
      </c>
      <c r="R11" s="234">
        <v>44197</v>
      </c>
      <c r="S11" s="234">
        <v>44228</v>
      </c>
      <c r="T11" s="234">
        <v>44256</v>
      </c>
      <c r="U11" s="234">
        <v>44287</v>
      </c>
      <c r="V11" s="234">
        <v>44317</v>
      </c>
      <c r="W11" s="234">
        <v>44348</v>
      </c>
      <c r="X11" s="234">
        <v>44378</v>
      </c>
      <c r="Y11" s="234">
        <v>44409</v>
      </c>
      <c r="Z11" s="234">
        <v>44440</v>
      </c>
      <c r="AA11" s="234">
        <v>44470</v>
      </c>
      <c r="AB11" s="234">
        <v>44501</v>
      </c>
      <c r="AC11" s="234">
        <v>44531</v>
      </c>
      <c r="AE11" s="228"/>
    </row>
    <row r="12" spans="1:38" ht="13.5" customHeight="1" x14ac:dyDescent="0.2">
      <c r="A12" s="195" t="s">
        <v>185</v>
      </c>
      <c r="B12" s="233">
        <v>343</v>
      </c>
      <c r="C12" s="233" t="s">
        <v>133</v>
      </c>
      <c r="D12" s="233"/>
      <c r="E12" s="202">
        <v>0</v>
      </c>
      <c r="F12" s="202">
        <v>0</v>
      </c>
      <c r="G12" s="202">
        <v>0</v>
      </c>
      <c r="H12" s="202">
        <v>0</v>
      </c>
      <c r="I12" s="202">
        <v>0</v>
      </c>
      <c r="J12" s="202">
        <v>0</v>
      </c>
      <c r="K12" s="202">
        <v>0</v>
      </c>
      <c r="L12" s="202">
        <v>0</v>
      </c>
      <c r="M12" s="202">
        <v>0</v>
      </c>
      <c r="N12" s="202">
        <v>128705714.14000008</v>
      </c>
      <c r="O12" s="202">
        <v>131439543.37000008</v>
      </c>
      <c r="P12" s="202">
        <v>129507984.37000008</v>
      </c>
      <c r="Q12" s="202">
        <v>1086095770.1899998</v>
      </c>
      <c r="R12" s="202">
        <v>1267676098.0099998</v>
      </c>
      <c r="S12" s="202">
        <v>1390653815.4499998</v>
      </c>
      <c r="T12" s="202">
        <v>1628346029.4099998</v>
      </c>
      <c r="U12" s="202">
        <v>1687609133.53</v>
      </c>
      <c r="V12" s="202">
        <v>1690888052.8099999</v>
      </c>
      <c r="W12" s="202">
        <v>1749510052.8099999</v>
      </c>
      <c r="X12" s="202">
        <v>1834943052.8099999</v>
      </c>
      <c r="Y12" s="202">
        <v>1834943052.8099999</v>
      </c>
      <c r="Z12" s="202">
        <v>1834943052.8099999</v>
      </c>
      <c r="AA12" s="202">
        <v>1834943052.8099999</v>
      </c>
      <c r="AB12" s="202">
        <v>1834943052.8099999</v>
      </c>
      <c r="AC12" s="202">
        <v>1834943052.8099999</v>
      </c>
      <c r="AE12" s="228"/>
    </row>
    <row r="13" spans="1:38" ht="13.5" customHeight="1" x14ac:dyDescent="0.2">
      <c r="A13" s="195" t="s">
        <v>193</v>
      </c>
      <c r="B13" s="233">
        <v>355</v>
      </c>
      <c r="C13" s="233" t="s">
        <v>133</v>
      </c>
      <c r="D13" s="233"/>
      <c r="E13" s="202">
        <v>3342600.25</v>
      </c>
      <c r="F13" s="202">
        <v>16106470.979999999</v>
      </c>
      <c r="G13" s="202">
        <v>16228432.689999999</v>
      </c>
      <c r="H13" s="202">
        <v>16639264.540000001</v>
      </c>
      <c r="I13" s="202">
        <v>17355467.670000002</v>
      </c>
      <c r="J13" s="202">
        <v>17112622.670000002</v>
      </c>
      <c r="K13" s="202">
        <v>27792894.260000002</v>
      </c>
      <c r="L13" s="202">
        <v>28104944.220000003</v>
      </c>
      <c r="M13" s="202">
        <v>28705780.860000003</v>
      </c>
      <c r="N13" s="202">
        <v>55427685.390000001</v>
      </c>
      <c r="O13" s="202">
        <v>80728619.159999996</v>
      </c>
      <c r="P13" s="202">
        <v>726369835.52999997</v>
      </c>
      <c r="Q13" s="202">
        <v>743051685.38999999</v>
      </c>
      <c r="R13" s="236">
        <v>744202785.47000003</v>
      </c>
      <c r="S13" s="236">
        <v>744854063.5</v>
      </c>
      <c r="T13" s="236">
        <v>745342805.07000005</v>
      </c>
      <c r="U13" s="236">
        <v>744751326.17000008</v>
      </c>
      <c r="V13" s="236">
        <v>747078506.6400001</v>
      </c>
      <c r="W13" s="236">
        <v>747078506.6400001</v>
      </c>
      <c r="X13" s="236">
        <v>747078506.6400001</v>
      </c>
      <c r="Y13" s="236">
        <v>747078506.6400001</v>
      </c>
      <c r="Z13" s="236">
        <v>747078506.6400001</v>
      </c>
      <c r="AA13" s="236">
        <v>747078506.6400001</v>
      </c>
      <c r="AB13" s="236">
        <v>747078506.6400001</v>
      </c>
      <c r="AC13" s="236">
        <v>747078506.6400001</v>
      </c>
      <c r="AD13" s="228"/>
      <c r="AE13" s="221"/>
      <c r="AF13" s="217"/>
      <c r="AG13" s="217"/>
    </row>
    <row r="14" spans="1:38" ht="13.5" customHeight="1" x14ac:dyDescent="0.2">
      <c r="AE14" s="241"/>
      <c r="AL14" s="240"/>
    </row>
    <row r="15" spans="1:38" ht="13.5" customHeight="1" x14ac:dyDescent="0.2">
      <c r="A15" s="235" t="s">
        <v>189</v>
      </c>
      <c r="AD15" s="228"/>
      <c r="AE15" s="221"/>
      <c r="AF15" s="217"/>
      <c r="AL15" s="240"/>
    </row>
    <row r="16" spans="1:38" ht="13.5" customHeight="1" x14ac:dyDescent="0.2">
      <c r="B16" s="228" t="s">
        <v>187</v>
      </c>
      <c r="C16" s="228" t="s">
        <v>186</v>
      </c>
      <c r="D16" s="228"/>
      <c r="E16" s="234">
        <f>E11</f>
        <v>43800</v>
      </c>
      <c r="F16" s="234">
        <f>F11</f>
        <v>43831</v>
      </c>
      <c r="G16" s="234">
        <f>G11</f>
        <v>43862</v>
      </c>
      <c r="H16" s="234">
        <f>H11</f>
        <v>43891</v>
      </c>
      <c r="I16" s="234">
        <f>I11</f>
        <v>43922</v>
      </c>
      <c r="J16" s="234">
        <f>J11</f>
        <v>43952</v>
      </c>
      <c r="K16" s="234">
        <f>K11</f>
        <v>43983</v>
      </c>
      <c r="L16" s="234">
        <f>L11</f>
        <v>44013</v>
      </c>
      <c r="M16" s="234">
        <f>M11</f>
        <v>44044</v>
      </c>
      <c r="N16" s="234">
        <f>N11</f>
        <v>44075</v>
      </c>
      <c r="O16" s="234">
        <f>O11</f>
        <v>44105</v>
      </c>
      <c r="P16" s="234">
        <f>P11</f>
        <v>44136</v>
      </c>
      <c r="Q16" s="234">
        <f>Q11</f>
        <v>44166</v>
      </c>
      <c r="R16" s="234">
        <f>R11</f>
        <v>44197</v>
      </c>
      <c r="S16" s="234">
        <f>S11</f>
        <v>44228</v>
      </c>
      <c r="T16" s="234">
        <f>T11</f>
        <v>44256</v>
      </c>
      <c r="U16" s="234">
        <f>U11</f>
        <v>44287</v>
      </c>
      <c r="V16" s="234">
        <f>V11</f>
        <v>44317</v>
      </c>
      <c r="W16" s="234">
        <f>W11</f>
        <v>44348</v>
      </c>
      <c r="X16" s="234">
        <f>X11</f>
        <v>44378</v>
      </c>
      <c r="Y16" s="234">
        <f>Y11</f>
        <v>44409</v>
      </c>
      <c r="Z16" s="234">
        <f>Z11</f>
        <v>44440</v>
      </c>
      <c r="AA16" s="234">
        <f>AA11</f>
        <v>44470</v>
      </c>
      <c r="AB16" s="234">
        <f>AB11</f>
        <v>44501</v>
      </c>
      <c r="AC16" s="234">
        <f>AC11</f>
        <v>44531</v>
      </c>
      <c r="AD16" s="228"/>
      <c r="AE16" s="221"/>
      <c r="AF16" s="217"/>
      <c r="AL16" s="240"/>
    </row>
    <row r="17" spans="1:32" ht="13.5" customHeight="1" x14ac:dyDescent="0.2">
      <c r="A17" s="195" t="s">
        <v>185</v>
      </c>
      <c r="B17" s="181" t="s">
        <v>152</v>
      </c>
      <c r="C17" s="233" t="s">
        <v>133</v>
      </c>
      <c r="D17" s="233"/>
      <c r="E17" s="202">
        <f>(((D12+E12)/2)*$C$27)/12</f>
        <v>0</v>
      </c>
      <c r="F17" s="202">
        <f>(((E12+F12)/2)*$C$27)/12</f>
        <v>0</v>
      </c>
      <c r="G17" s="202">
        <f>(((F12+G12)/2)*$C$27)/12</f>
        <v>0</v>
      </c>
      <c r="H17" s="202">
        <f>(((G12+H12)/2)*$C$27)/12</f>
        <v>0</v>
      </c>
      <c r="I17" s="202">
        <f>(((H12+I12)/2)*$C$27)/12</f>
        <v>0</v>
      </c>
      <c r="J17" s="202">
        <f>(((I12+J12)/2)*$C$27)/12</f>
        <v>0</v>
      </c>
      <c r="K17" s="202">
        <f>(((J12+K12)/2)*$C$27)/12</f>
        <v>0</v>
      </c>
      <c r="L17" s="202">
        <f>(((K12+L12)/2)*$C$27)/12</f>
        <v>0</v>
      </c>
      <c r="M17" s="202">
        <f>(((L12+M12)/2)*$C$27)/12</f>
        <v>0</v>
      </c>
      <c r="N17" s="202">
        <f>(((M12+N12)/2)*$C$27)/12</f>
        <v>177217.45741434931</v>
      </c>
      <c r="O17" s="202">
        <f>(((N12+O12)/2)*$C$27)/12</f>
        <v>358199.17866409168</v>
      </c>
      <c r="P17" s="202">
        <f>(((O12+P12)/2)*$C$27)/12</f>
        <v>359303.84049880371</v>
      </c>
      <c r="Q17" s="202">
        <f>(((P12+Q12)/2)*$C$27)/12</f>
        <v>1673788.9847853167</v>
      </c>
      <c r="R17" s="202">
        <f>(((Q12+R12)/2)*$C$28)/12</f>
        <v>4742927.2365510054</v>
      </c>
      <c r="S17" s="202">
        <f>(((R12+S12)/2)*$C$28)/12</f>
        <v>5356621.6508185351</v>
      </c>
      <c r="T17" s="202">
        <f>(((S12+T12)/2)*$C$28)/12</f>
        <v>6083383.3494151859</v>
      </c>
      <c r="U17" s="202">
        <f>(((T12+U12)/2)*$C$28)/12</f>
        <v>6681758.0199551014</v>
      </c>
      <c r="V17" s="202">
        <f>(((U12+V12)/2)*$C$28)/12</f>
        <v>6807782.2410023669</v>
      </c>
      <c r="W17" s="202">
        <f>(((V12+W12)/2)*$C$28)/12</f>
        <v>6932514.6162963137</v>
      </c>
      <c r="X17" s="202">
        <f>(((W12+X12)/2)*$C$28)/12</f>
        <v>7222790.1490665525</v>
      </c>
      <c r="Y17" s="202">
        <f>(((X12+Y12)/2)*$C$28)/12</f>
        <v>7394940.4360483289</v>
      </c>
      <c r="Z17" s="202">
        <f>(((Y12+Z12)/2)*$C$28)/12</f>
        <v>7394940.4360483289</v>
      </c>
      <c r="AA17" s="202">
        <f>(((Z12+AA12)/2)*$C$28)/12</f>
        <v>7394940.4360483289</v>
      </c>
      <c r="AB17" s="202">
        <f>(((AA12+AB12)/2)*$C$28)/12</f>
        <v>7394940.4360483289</v>
      </c>
      <c r="AC17" s="202">
        <f>(((AB12+AC12)/2)*$C$28)/12</f>
        <v>7394940.4360483289</v>
      </c>
      <c r="AD17" s="228"/>
      <c r="AE17" s="221"/>
      <c r="AF17" s="217"/>
    </row>
    <row r="18" spans="1:32" ht="13.5" customHeight="1" x14ac:dyDescent="0.2">
      <c r="A18" s="184" t="s">
        <v>193</v>
      </c>
      <c r="B18" s="233" t="s">
        <v>150</v>
      </c>
      <c r="C18" s="233" t="s">
        <v>133</v>
      </c>
      <c r="D18" s="233"/>
      <c r="E18" s="202">
        <f>(((D13+E13)/2)*$C$31)/12</f>
        <v>2433.2862530167795</v>
      </c>
      <c r="F18" s="202">
        <f>(((E13+F13)/2)*$C$31)/12</f>
        <v>14158.186477100617</v>
      </c>
      <c r="G18" s="202">
        <f>(((F13+G13)/2)*$C$31)/12</f>
        <v>23538.583949077612</v>
      </c>
      <c r="H18" s="202">
        <f>(((G13+H13)/2)*$C$31)/12</f>
        <v>23926.437460799174</v>
      </c>
      <c r="I18" s="202">
        <f>(((H13+I13)/2)*$C$31)/12</f>
        <v>24746.876196631569</v>
      </c>
      <c r="J18" s="202">
        <f>(((I13+J13)/2)*$C$31)/12</f>
        <v>25091.462968706011</v>
      </c>
      <c r="K18" s="202">
        <f>(((J13+K13)/2)*$C$31)/12</f>
        <v>32689.513809011794</v>
      </c>
      <c r="L18" s="202">
        <f>(((K13+L13)/2)*$C$31)/12</f>
        <v>40691.507142302275</v>
      </c>
      <c r="M18" s="202">
        <f>(((L13+M13)/2)*$C$31)/12</f>
        <v>41356.053976564981</v>
      </c>
      <c r="N18" s="202">
        <f>(((M13+N13)/2)*$C$31)/12</f>
        <v>61245.973653228859</v>
      </c>
      <c r="O18" s="202">
        <f>(((N13+O13)/2)*$C$31)/12</f>
        <v>99116.627578508982</v>
      </c>
      <c r="P18" s="202">
        <f>(((O13+P13)/2)*$C$31)/12</f>
        <v>587537.07525399211</v>
      </c>
      <c r="Q18" s="202">
        <f>(((P13+Q13)/2)*$C$31)/12</f>
        <v>1069683.1566208506</v>
      </c>
      <c r="R18" s="202">
        <f>(((Q13+R13)/2)*$C$32)/12</f>
        <v>1061656.4151024714</v>
      </c>
      <c r="S18" s="202">
        <f>(((R13+S13)/2)*$C$32)/12</f>
        <v>1062943.0182496889</v>
      </c>
      <c r="T18" s="202">
        <f>(((S13+T13)/2)*$C$32)/12</f>
        <v>1063756.8057658111</v>
      </c>
      <c r="U18" s="202">
        <f>(((T13+U13)/2)*$C$32)/12</f>
        <v>1063683.4681174112</v>
      </c>
      <c r="V18" s="202">
        <f>(((U13+V13)/2)*$C$32)/12</f>
        <v>1064922.4751216585</v>
      </c>
      <c r="W18" s="202">
        <f>(((V13+W13)/2)*$C$32)/12</f>
        <v>1066583.7013095671</v>
      </c>
      <c r="X18" s="202">
        <f>(((W13+X13)/2)*$C$32)/12</f>
        <v>1066583.7013095671</v>
      </c>
      <c r="Y18" s="202">
        <f>(((X13+Y13)/2)*$C$32)/12</f>
        <v>1066583.7013095671</v>
      </c>
      <c r="Z18" s="202">
        <f>(((Y13+Z13)/2)*$C$32)/12</f>
        <v>1066583.7013095671</v>
      </c>
      <c r="AA18" s="202">
        <f>(((Z13+AA13)/2)*$C$32)/12</f>
        <v>1066583.7013095671</v>
      </c>
      <c r="AB18" s="202">
        <f>(((AA13+AB13)/2)*$C$32)/12</f>
        <v>1066583.7013095671</v>
      </c>
      <c r="AC18" s="202">
        <f>(((AB13+AC13)/2)*$C$32)/12</f>
        <v>1066583.7013095671</v>
      </c>
    </row>
    <row r="19" spans="1:32" ht="13.5" customHeight="1" x14ac:dyDescent="0.2">
      <c r="A19" s="217"/>
    </row>
    <row r="20" spans="1:32" ht="13.5" customHeight="1" x14ac:dyDescent="0.2">
      <c r="A20" s="235" t="s">
        <v>188</v>
      </c>
      <c r="B20" s="217"/>
      <c r="C20" s="228"/>
      <c r="D20" s="228"/>
      <c r="E20" s="228"/>
      <c r="F20" s="228"/>
      <c r="G20" s="228"/>
      <c r="H20" s="228"/>
      <c r="I20" s="228"/>
      <c r="J20" s="228"/>
      <c r="K20" s="228"/>
      <c r="L20" s="228"/>
      <c r="M20" s="228"/>
      <c r="N20" s="228"/>
      <c r="O20" s="228"/>
      <c r="P20" s="226"/>
      <c r="Q20" s="226"/>
      <c r="R20" s="226"/>
      <c r="S20" s="226"/>
      <c r="T20" s="226"/>
      <c r="U20" s="226"/>
      <c r="V20" s="226"/>
      <c r="W20" s="226"/>
      <c r="X20" s="226"/>
      <c r="Y20" s="226"/>
      <c r="Z20" s="226"/>
      <c r="AA20" s="226"/>
      <c r="AB20" s="226"/>
      <c r="AC20" s="226"/>
    </row>
    <row r="21" spans="1:32" ht="13.5" customHeight="1" x14ac:dyDescent="0.2">
      <c r="B21" s="228" t="s">
        <v>187</v>
      </c>
      <c r="C21" s="228" t="s">
        <v>186</v>
      </c>
      <c r="D21" s="228"/>
      <c r="E21" s="234">
        <f>E11</f>
        <v>43800</v>
      </c>
      <c r="F21" s="234">
        <f>F11</f>
        <v>43831</v>
      </c>
      <c r="G21" s="234">
        <f>G11</f>
        <v>43862</v>
      </c>
      <c r="H21" s="234">
        <f>H11</f>
        <v>43891</v>
      </c>
      <c r="I21" s="234">
        <f>I11</f>
        <v>43922</v>
      </c>
      <c r="J21" s="234">
        <f>J11</f>
        <v>43952</v>
      </c>
      <c r="K21" s="234">
        <f>K11</f>
        <v>43983</v>
      </c>
      <c r="L21" s="234">
        <f>L11</f>
        <v>44013</v>
      </c>
      <c r="M21" s="234">
        <f>M11</f>
        <v>44044</v>
      </c>
      <c r="N21" s="234">
        <f>N11</f>
        <v>44075</v>
      </c>
      <c r="O21" s="234">
        <f>O11</f>
        <v>44105</v>
      </c>
      <c r="P21" s="234">
        <f>P11</f>
        <v>44136</v>
      </c>
      <c r="Q21" s="234">
        <f>Q11</f>
        <v>44166</v>
      </c>
      <c r="R21" s="234">
        <f>R11</f>
        <v>44197</v>
      </c>
      <c r="S21" s="234">
        <f>S11</f>
        <v>44228</v>
      </c>
      <c r="T21" s="234">
        <f>T11</f>
        <v>44256</v>
      </c>
      <c r="U21" s="234">
        <f>U11</f>
        <v>44287</v>
      </c>
      <c r="V21" s="234">
        <f>V11</f>
        <v>44317</v>
      </c>
      <c r="W21" s="234">
        <f>W11</f>
        <v>44348</v>
      </c>
      <c r="X21" s="234">
        <f>X11</f>
        <v>44378</v>
      </c>
      <c r="Y21" s="234">
        <f>Y11</f>
        <v>44409</v>
      </c>
      <c r="Z21" s="234">
        <f>Z11</f>
        <v>44440</v>
      </c>
      <c r="AA21" s="234">
        <f>AA11</f>
        <v>44470</v>
      </c>
      <c r="AB21" s="234">
        <f>AB11</f>
        <v>44501</v>
      </c>
      <c r="AC21" s="234">
        <f>AC11</f>
        <v>44531</v>
      </c>
    </row>
    <row r="22" spans="1:32" ht="13.5" customHeight="1" x14ac:dyDescent="0.2">
      <c r="A22" s="195" t="s">
        <v>185</v>
      </c>
      <c r="B22" s="181" t="s">
        <v>146</v>
      </c>
      <c r="C22" s="233" t="s">
        <v>133</v>
      </c>
      <c r="D22" s="233"/>
      <c r="E22" s="202">
        <f>D22-E17</f>
        <v>0</v>
      </c>
      <c r="F22" s="202">
        <f>E22-F17</f>
        <v>0</v>
      </c>
      <c r="G22" s="202">
        <f>F22-G17</f>
        <v>0</v>
      </c>
      <c r="H22" s="202">
        <f>G22-H17</f>
        <v>0</v>
      </c>
      <c r="I22" s="202">
        <f>H22-I17</f>
        <v>0</v>
      </c>
      <c r="J22" s="202">
        <f>I22-J17</f>
        <v>0</v>
      </c>
      <c r="K22" s="202">
        <f>J22-K17</f>
        <v>0</v>
      </c>
      <c r="L22" s="202">
        <f>K22-L17</f>
        <v>0</v>
      </c>
      <c r="M22" s="202">
        <f>L22-M17</f>
        <v>0</v>
      </c>
      <c r="N22" s="202">
        <f>M22-N17</f>
        <v>-177217.45741434931</v>
      </c>
      <c r="O22" s="202">
        <f>N22-O17</f>
        <v>-535416.63607844105</v>
      </c>
      <c r="P22" s="202">
        <f>O22-P17</f>
        <v>-894720.4765772447</v>
      </c>
      <c r="Q22" s="202">
        <f>P22-Q17</f>
        <v>-2568509.4613625612</v>
      </c>
      <c r="R22" s="202">
        <f>Q22-R17</f>
        <v>-7311436.6979135666</v>
      </c>
      <c r="S22" s="202">
        <f>R22-S17</f>
        <v>-12668058.348732103</v>
      </c>
      <c r="T22" s="202">
        <f>S22-T17</f>
        <v>-18751441.698147289</v>
      </c>
      <c r="U22" s="202">
        <f>T22-U17</f>
        <v>-25433199.718102392</v>
      </c>
      <c r="V22" s="202">
        <f>U22-V17</f>
        <v>-32240981.959104758</v>
      </c>
      <c r="W22" s="202">
        <f>V22-W17</f>
        <v>-39173496.575401068</v>
      </c>
      <c r="X22" s="202">
        <f>W22-X17</f>
        <v>-46396286.72446762</v>
      </c>
      <c r="Y22" s="202">
        <f>X22-Y17</f>
        <v>-53791227.160515949</v>
      </c>
      <c r="Z22" s="202">
        <f>Y22-Z17</f>
        <v>-61186167.596564278</v>
      </c>
      <c r="AA22" s="202">
        <f>Z22-AA17</f>
        <v>-68581108.032612607</v>
      </c>
      <c r="AB22" s="202">
        <f>AA22-AB17</f>
        <v>-75976048.468660936</v>
      </c>
      <c r="AC22" s="202">
        <f>AB22-AC17</f>
        <v>-83370988.904709265</v>
      </c>
      <c r="AE22" s="228"/>
    </row>
    <row r="23" spans="1:32" ht="13.5" customHeight="1" x14ac:dyDescent="0.2">
      <c r="A23" s="184" t="s">
        <v>193</v>
      </c>
      <c r="B23" s="233" t="s">
        <v>144</v>
      </c>
      <c r="C23" s="233" t="s">
        <v>133</v>
      </c>
      <c r="D23" s="233"/>
      <c r="E23" s="202">
        <f>D23-E18</f>
        <v>-2433.2862530167795</v>
      </c>
      <c r="F23" s="202">
        <f>E23-F18</f>
        <v>-16591.472730117395</v>
      </c>
      <c r="G23" s="202">
        <f>F23-G18</f>
        <v>-40130.056679195011</v>
      </c>
      <c r="H23" s="202">
        <f>G23-H18</f>
        <v>-64056.494139994189</v>
      </c>
      <c r="I23" s="202">
        <f>H23-I18</f>
        <v>-88803.370336625754</v>
      </c>
      <c r="J23" s="202">
        <f>I23-J18</f>
        <v>-113894.83330533176</v>
      </c>
      <c r="K23" s="202">
        <f>J23-K18</f>
        <v>-146584.34711434355</v>
      </c>
      <c r="L23" s="202">
        <f>K23-L18</f>
        <v>-187275.85425664583</v>
      </c>
      <c r="M23" s="202">
        <f>L23-M18</f>
        <v>-228631.90823321082</v>
      </c>
      <c r="N23" s="202">
        <f>M23-N18</f>
        <v>-289877.88188643969</v>
      </c>
      <c r="O23" s="202">
        <f>N23-O18</f>
        <v>-388994.50946494867</v>
      </c>
      <c r="P23" s="202">
        <f>O23-P18</f>
        <v>-976531.58471894078</v>
      </c>
      <c r="Q23" s="202">
        <f>P23-Q18</f>
        <v>-2046214.7413397913</v>
      </c>
      <c r="R23" s="202">
        <f>Q23-R18</f>
        <v>-3107871.1564422627</v>
      </c>
      <c r="S23" s="202">
        <f>R23-S18</f>
        <v>-4170814.1746919518</v>
      </c>
      <c r="T23" s="202">
        <f>S23-T18</f>
        <v>-5234570.9804577632</v>
      </c>
      <c r="U23" s="202">
        <f>T23-U18</f>
        <v>-6298254.4485751744</v>
      </c>
      <c r="V23" s="202">
        <f>U23-V18</f>
        <v>-7363176.9236968327</v>
      </c>
      <c r="W23" s="202">
        <f>V23-W18</f>
        <v>-8429760.6250064</v>
      </c>
      <c r="X23" s="202">
        <f>W23-X18</f>
        <v>-9496344.3263159674</v>
      </c>
      <c r="Y23" s="202">
        <f>X23-Y18</f>
        <v>-10562928.027625535</v>
      </c>
      <c r="Z23" s="202">
        <f>Y23-Z18</f>
        <v>-11629511.728935102</v>
      </c>
      <c r="AA23" s="202">
        <f>Z23-AA18</f>
        <v>-12696095.430244669</v>
      </c>
      <c r="AB23" s="202">
        <f>AA23-AB18</f>
        <v>-13762679.131554237</v>
      </c>
      <c r="AC23" s="202">
        <f>AB23-AC18</f>
        <v>-14829262.832863804</v>
      </c>
      <c r="AD23" s="239"/>
      <c r="AE23" s="221"/>
      <c r="AF23" s="217"/>
    </row>
    <row r="24" spans="1:32" ht="13.5" customHeight="1" x14ac:dyDescent="0.2">
      <c r="A24" s="232"/>
    </row>
    <row r="25" spans="1:32" ht="15" x14ac:dyDescent="0.25">
      <c r="D25" s="227"/>
      <c r="E25" s="227"/>
      <c r="F25" s="227"/>
      <c r="G25" s="227"/>
      <c r="H25" s="227"/>
      <c r="I25" s="227"/>
      <c r="J25" s="227"/>
      <c r="K25" s="227"/>
      <c r="L25" s="227"/>
      <c r="M25" s="227"/>
      <c r="N25" s="227"/>
      <c r="O25" s="227"/>
      <c r="U25" s="243"/>
      <c r="V25" s="243"/>
      <c r="W25" s="242"/>
      <c r="AC25" s="244"/>
      <c r="AD25" s="244"/>
    </row>
    <row r="26" spans="1:32" ht="15" x14ac:dyDescent="0.25">
      <c r="C26" s="231" t="s">
        <v>184</v>
      </c>
      <c r="D26" s="238"/>
      <c r="E26" s="227"/>
      <c r="F26" s="227"/>
      <c r="G26" s="227"/>
      <c r="H26" s="227"/>
      <c r="I26" s="227"/>
      <c r="J26" s="227"/>
      <c r="K26" s="227"/>
      <c r="L26" s="227"/>
      <c r="M26" s="227"/>
      <c r="N26" s="227"/>
      <c r="O26" s="227"/>
      <c r="U26" s="243"/>
      <c r="V26" s="243"/>
      <c r="W26" s="242"/>
      <c r="X26" s="228"/>
      <c r="AC26" s="244"/>
      <c r="AD26" s="244"/>
    </row>
    <row r="27" spans="1:32" ht="13.5" customHeight="1" x14ac:dyDescent="0.25">
      <c r="A27" s="215" t="s">
        <v>183</v>
      </c>
      <c r="C27" s="227">
        <v>3.3046077296287953E-2</v>
      </c>
      <c r="D27" s="227"/>
      <c r="E27" s="224"/>
      <c r="F27" s="224"/>
      <c r="G27" s="224"/>
      <c r="H27" s="224"/>
      <c r="I27" s="224"/>
      <c r="J27" s="224"/>
      <c r="K27" s="224"/>
      <c r="L27" s="224"/>
      <c r="M27" s="224"/>
      <c r="N27" s="224"/>
      <c r="O27" s="224"/>
      <c r="T27" s="223"/>
      <c r="U27" s="202"/>
      <c r="V27" s="202"/>
      <c r="W27" s="202"/>
      <c r="X27" s="221"/>
      <c r="Y27" s="196"/>
      <c r="AC27" s="244"/>
      <c r="AD27" s="244"/>
    </row>
    <row r="28" spans="1:32" ht="13.5" customHeight="1" x14ac:dyDescent="0.25">
      <c r="A28" s="215" t="s">
        <v>182</v>
      </c>
      <c r="C28" s="227">
        <v>4.8360784328803093E-2</v>
      </c>
      <c r="D28" s="227"/>
      <c r="E28" s="224"/>
      <c r="F28" s="224"/>
      <c r="G28" s="224"/>
      <c r="H28" s="224"/>
      <c r="I28" s="224"/>
      <c r="J28" s="224"/>
      <c r="K28" s="224"/>
      <c r="L28" s="224"/>
      <c r="M28" s="224"/>
      <c r="N28" s="224"/>
      <c r="O28" s="224"/>
      <c r="T28" s="223"/>
      <c r="U28" s="202"/>
      <c r="V28" s="202"/>
      <c r="W28" s="202"/>
      <c r="X28" s="221"/>
      <c r="Y28" s="196"/>
      <c r="AC28" s="244"/>
      <c r="AD28" s="244"/>
    </row>
    <row r="29" spans="1:32" ht="13.5" customHeight="1" x14ac:dyDescent="0.25">
      <c r="D29" s="224"/>
      <c r="F29" s="224"/>
      <c r="G29" s="224"/>
      <c r="H29" s="224"/>
      <c r="I29" s="224"/>
      <c r="J29" s="224"/>
      <c r="K29" s="224"/>
      <c r="L29" s="224"/>
      <c r="M29" s="224"/>
      <c r="N29" s="224"/>
      <c r="O29" s="224"/>
      <c r="T29" s="223"/>
      <c r="U29" s="202"/>
      <c r="V29" s="202"/>
      <c r="W29" s="202"/>
      <c r="X29" s="221"/>
      <c r="Y29" s="217"/>
      <c r="AC29" s="244"/>
      <c r="AD29" s="244"/>
    </row>
    <row r="30" spans="1:32" ht="13.5" customHeight="1" x14ac:dyDescent="0.25">
      <c r="A30" s="215"/>
      <c r="C30" s="238" t="s">
        <v>192</v>
      </c>
      <c r="D30" s="224"/>
      <c r="F30" s="224"/>
      <c r="G30" s="224"/>
      <c r="H30" s="224"/>
      <c r="I30" s="224"/>
      <c r="J30" s="224"/>
      <c r="K30" s="224"/>
      <c r="L30" s="224"/>
      <c r="M30" s="224"/>
      <c r="N30" s="224"/>
      <c r="O30" s="224"/>
      <c r="U30" s="202"/>
      <c r="V30" s="202"/>
      <c r="W30" s="202"/>
      <c r="X30" s="221"/>
      <c r="Y30" s="196"/>
      <c r="AC30" s="244"/>
      <c r="AD30" s="244"/>
      <c r="AF30" s="228"/>
    </row>
    <row r="31" spans="1:32" ht="12" customHeight="1" x14ac:dyDescent="0.25">
      <c r="A31" s="215" t="s">
        <v>183</v>
      </c>
      <c r="C31" s="227">
        <v>1.7471090080963977E-2</v>
      </c>
      <c r="D31" s="224"/>
      <c r="E31" s="224"/>
      <c r="F31" s="224"/>
      <c r="G31" s="224"/>
      <c r="H31" s="224"/>
      <c r="I31" s="224"/>
      <c r="J31" s="224"/>
      <c r="K31" s="224"/>
      <c r="L31" s="224"/>
      <c r="M31" s="224"/>
      <c r="N31" s="224"/>
      <c r="O31" s="224"/>
      <c r="U31" s="202"/>
      <c r="V31" s="202"/>
      <c r="W31" s="202"/>
      <c r="X31" s="221"/>
      <c r="Y31" s="196"/>
      <c r="AC31" s="244"/>
      <c r="AD31" s="244"/>
    </row>
    <row r="32" spans="1:32" ht="13.5" customHeight="1" x14ac:dyDescent="0.25">
      <c r="A32" s="215" t="s">
        <v>182</v>
      </c>
      <c r="C32" s="227">
        <v>1.7132074209012617E-2</v>
      </c>
      <c r="D32" s="224"/>
      <c r="E32" s="224"/>
      <c r="F32" s="224"/>
      <c r="G32" s="224"/>
      <c r="H32" s="224"/>
      <c r="I32" s="224"/>
      <c r="J32" s="224"/>
      <c r="K32" s="224"/>
      <c r="L32" s="224"/>
      <c r="M32" s="224"/>
      <c r="N32" s="224"/>
      <c r="O32" s="224"/>
      <c r="T32" s="223"/>
      <c r="U32" s="202"/>
      <c r="V32" s="202"/>
      <c r="W32" s="202"/>
      <c r="X32" s="221"/>
      <c r="Y32" s="217"/>
      <c r="AC32" s="244"/>
      <c r="AD32" s="244"/>
    </row>
    <row r="33" spans="1:32" ht="13.5" customHeight="1" x14ac:dyDescent="0.25">
      <c r="A33" s="215"/>
      <c r="C33" s="224"/>
      <c r="D33" s="224"/>
      <c r="E33" s="224"/>
      <c r="F33" s="224"/>
      <c r="G33" s="224"/>
      <c r="H33" s="224"/>
      <c r="I33" s="224"/>
      <c r="J33" s="224"/>
      <c r="K33" s="224"/>
      <c r="L33" s="224"/>
      <c r="M33" s="224"/>
      <c r="N33" s="224"/>
      <c r="O33" s="224"/>
      <c r="U33" s="202"/>
      <c r="V33" s="202"/>
      <c r="W33" s="202"/>
      <c r="X33" s="221"/>
      <c r="Y33" s="196"/>
      <c r="AC33" s="244"/>
      <c r="AD33" s="244"/>
    </row>
    <row r="34" spans="1:32" ht="13.5" customHeight="1" x14ac:dyDescent="0.25">
      <c r="A34" s="215"/>
      <c r="C34" s="224"/>
      <c r="D34" s="224"/>
      <c r="E34" s="224"/>
      <c r="F34" s="224"/>
      <c r="G34" s="224"/>
      <c r="H34" s="224"/>
      <c r="I34" s="224"/>
      <c r="J34" s="224"/>
      <c r="K34" s="224"/>
      <c r="L34" s="224"/>
      <c r="M34" s="224"/>
      <c r="N34" s="224"/>
      <c r="O34" s="224"/>
      <c r="U34" s="202"/>
      <c r="V34" s="202"/>
      <c r="W34" s="202"/>
      <c r="X34" s="221"/>
      <c r="Y34" s="196"/>
      <c r="AC34" s="244"/>
      <c r="AD34" s="244"/>
      <c r="AF34" s="228"/>
    </row>
    <row r="35" spans="1:32" ht="12.75" x14ac:dyDescent="0.2">
      <c r="U35" s="214"/>
      <c r="V35" s="214"/>
    </row>
    <row r="36" spans="1:32" ht="12" customHeight="1" x14ac:dyDescent="0.2">
      <c r="U36" s="214"/>
      <c r="V36" s="214"/>
    </row>
    <row r="37" spans="1:32" ht="12" customHeight="1" x14ac:dyDescent="0.2">
      <c r="A37" s="217" t="s">
        <v>191</v>
      </c>
      <c r="T37" s="215"/>
    </row>
    <row r="39" spans="1:32" ht="12" customHeight="1" x14ac:dyDescent="0.2">
      <c r="A39" s="235" t="s">
        <v>190</v>
      </c>
      <c r="P39" s="217"/>
      <c r="Q39" s="217"/>
      <c r="R39" s="217"/>
      <c r="S39" s="217"/>
      <c r="T39" s="217"/>
      <c r="U39" s="217"/>
      <c r="V39" s="217"/>
      <c r="W39" s="217"/>
      <c r="X39" s="217"/>
      <c r="Y39" s="217"/>
      <c r="Z39" s="217"/>
      <c r="AA39" s="217"/>
      <c r="AB39" s="217"/>
      <c r="AC39" s="217"/>
      <c r="AD39" s="217"/>
    </row>
    <row r="40" spans="1:32" ht="12" customHeight="1" x14ac:dyDescent="0.2">
      <c r="P40" s="217"/>
      <c r="Q40" s="217"/>
      <c r="R40" s="217"/>
      <c r="S40" s="217"/>
      <c r="T40" s="217"/>
      <c r="U40" s="217"/>
      <c r="V40" s="217"/>
      <c r="W40" s="217"/>
      <c r="X40" s="217"/>
      <c r="Y40" s="217"/>
      <c r="Z40" s="217"/>
      <c r="AA40" s="217"/>
      <c r="AB40" s="217"/>
      <c r="AC40" s="217"/>
    </row>
    <row r="41" spans="1:32" ht="12" customHeight="1" x14ac:dyDescent="0.2">
      <c r="B41" s="217" t="s">
        <v>187</v>
      </c>
      <c r="C41" s="228" t="s">
        <v>186</v>
      </c>
      <c r="D41" s="228"/>
      <c r="E41" s="234">
        <v>43800</v>
      </c>
      <c r="F41" s="234">
        <v>43831</v>
      </c>
      <c r="G41" s="234">
        <v>43862</v>
      </c>
      <c r="H41" s="234">
        <v>43891</v>
      </c>
      <c r="I41" s="234">
        <v>43922</v>
      </c>
      <c r="J41" s="234">
        <v>43952</v>
      </c>
      <c r="K41" s="234">
        <v>43983</v>
      </c>
      <c r="L41" s="234">
        <v>44013</v>
      </c>
      <c r="M41" s="234">
        <v>44044</v>
      </c>
      <c r="N41" s="234">
        <v>44075</v>
      </c>
      <c r="O41" s="234">
        <v>44105</v>
      </c>
      <c r="P41" s="234">
        <v>44136</v>
      </c>
      <c r="Q41" s="234">
        <v>44166</v>
      </c>
      <c r="R41" s="234">
        <v>44197</v>
      </c>
      <c r="S41" s="234">
        <v>44228</v>
      </c>
      <c r="T41" s="234">
        <v>44256</v>
      </c>
      <c r="U41" s="234">
        <v>44287</v>
      </c>
      <c r="V41" s="234">
        <v>44317</v>
      </c>
      <c r="W41" s="234">
        <v>44348</v>
      </c>
      <c r="X41" s="234">
        <v>44378</v>
      </c>
      <c r="Y41" s="234">
        <v>44409</v>
      </c>
      <c r="Z41" s="234">
        <v>44440</v>
      </c>
      <c r="AA41" s="234">
        <v>44470</v>
      </c>
      <c r="AB41" s="234">
        <v>44501</v>
      </c>
      <c r="AC41" s="234">
        <v>44531</v>
      </c>
    </row>
    <row r="42" spans="1:32" ht="12" customHeight="1" x14ac:dyDescent="0.2">
      <c r="A42" s="195" t="s">
        <v>185</v>
      </c>
      <c r="B42" s="233">
        <v>343</v>
      </c>
      <c r="C42" s="233" t="s">
        <v>133</v>
      </c>
      <c r="D42" s="233"/>
      <c r="E42" s="233"/>
      <c r="F42" s="233"/>
      <c r="G42" s="233"/>
      <c r="H42" s="233"/>
      <c r="I42" s="233"/>
      <c r="J42" s="233"/>
      <c r="K42" s="233"/>
      <c r="L42" s="233"/>
      <c r="M42" s="233"/>
      <c r="N42" s="233"/>
      <c r="O42" s="233"/>
      <c r="P42" s="202">
        <v>0</v>
      </c>
      <c r="Q42" s="202">
        <v>-154865406.31999999</v>
      </c>
      <c r="R42" s="202">
        <f>Q42</f>
        <v>-154865406.31999999</v>
      </c>
      <c r="S42" s="202">
        <f>R42</f>
        <v>-154865406.31999999</v>
      </c>
      <c r="T42" s="202">
        <v>-193721842.78999999</v>
      </c>
      <c r="U42" s="202">
        <f>T42</f>
        <v>-193721842.78999999</v>
      </c>
      <c r="V42" s="202">
        <f>U42</f>
        <v>-193721842.78999999</v>
      </c>
      <c r="W42" s="202">
        <f>V42</f>
        <v>-193721842.78999999</v>
      </c>
      <c r="X42" s="202">
        <f>W42</f>
        <v>-193721842.78999999</v>
      </c>
      <c r="Y42" s="202">
        <f>X42</f>
        <v>-193721842.78999999</v>
      </c>
      <c r="Z42" s="202">
        <f>Y42</f>
        <v>-193721842.78999999</v>
      </c>
      <c r="AA42" s="202">
        <f>Z42</f>
        <v>-193721842.78999999</v>
      </c>
      <c r="AB42" s="202">
        <f>AA42</f>
        <v>-193721842.78999999</v>
      </c>
      <c r="AC42" s="202">
        <f>AB42</f>
        <v>-193721842.78999999</v>
      </c>
    </row>
    <row r="43" spans="1:32" ht="12" customHeight="1" x14ac:dyDescent="0.2">
      <c r="P43" s="202"/>
      <c r="Q43" s="202"/>
      <c r="R43" s="202"/>
      <c r="S43" s="202"/>
      <c r="T43" s="202"/>
      <c r="U43" s="202"/>
      <c r="V43" s="202"/>
      <c r="W43" s="202"/>
    </row>
    <row r="44" spans="1:32" ht="12" customHeight="1" x14ac:dyDescent="0.2">
      <c r="A44" s="235" t="s">
        <v>189</v>
      </c>
    </row>
    <row r="45" spans="1:32" ht="12" customHeight="1" x14ac:dyDescent="0.2">
      <c r="B45" s="217" t="s">
        <v>187</v>
      </c>
      <c r="C45" s="228" t="s">
        <v>186</v>
      </c>
      <c r="D45" s="228"/>
      <c r="E45" s="234">
        <f>E41</f>
        <v>43800</v>
      </c>
      <c r="F45" s="234">
        <f>F41</f>
        <v>43831</v>
      </c>
      <c r="G45" s="234">
        <f>G41</f>
        <v>43862</v>
      </c>
      <c r="H45" s="234">
        <f>H41</f>
        <v>43891</v>
      </c>
      <c r="I45" s="234">
        <f>I41</f>
        <v>43922</v>
      </c>
      <c r="J45" s="234">
        <f>J41</f>
        <v>43952</v>
      </c>
      <c r="K45" s="234">
        <f>K41</f>
        <v>43983</v>
      </c>
      <c r="L45" s="234">
        <f>L41</f>
        <v>44013</v>
      </c>
      <c r="M45" s="234">
        <f>M41</f>
        <v>44044</v>
      </c>
      <c r="N45" s="234">
        <f>N41</f>
        <v>44075</v>
      </c>
      <c r="O45" s="234">
        <f>O41</f>
        <v>44105</v>
      </c>
      <c r="P45" s="234">
        <f>P41</f>
        <v>44136</v>
      </c>
      <c r="Q45" s="234">
        <f>Q41</f>
        <v>44166</v>
      </c>
      <c r="R45" s="234">
        <f>R41</f>
        <v>44197</v>
      </c>
      <c r="S45" s="234">
        <f>S41</f>
        <v>44228</v>
      </c>
      <c r="T45" s="234">
        <f>T41</f>
        <v>44256</v>
      </c>
      <c r="U45" s="234">
        <f>U41</f>
        <v>44287</v>
      </c>
      <c r="V45" s="234">
        <f>V41</f>
        <v>44317</v>
      </c>
      <c r="W45" s="234">
        <f>W41</f>
        <v>44348</v>
      </c>
      <c r="X45" s="234">
        <f>X41</f>
        <v>44378</v>
      </c>
      <c r="Y45" s="234">
        <f>Y41</f>
        <v>44409</v>
      </c>
      <c r="Z45" s="234">
        <f>Z41</f>
        <v>44440</v>
      </c>
      <c r="AA45" s="234">
        <f>AA41</f>
        <v>44470</v>
      </c>
      <c r="AB45" s="234">
        <f>AB41</f>
        <v>44501</v>
      </c>
      <c r="AC45" s="234">
        <f>AC41</f>
        <v>44531</v>
      </c>
    </row>
    <row r="46" spans="1:32" ht="12" customHeight="1" x14ac:dyDescent="0.2">
      <c r="A46" s="195" t="s">
        <v>185</v>
      </c>
      <c r="B46" s="181" t="s">
        <v>152</v>
      </c>
      <c r="C46" s="233" t="s">
        <v>133</v>
      </c>
      <c r="D46" s="233"/>
      <c r="E46" s="233"/>
      <c r="F46" s="233"/>
      <c r="G46" s="233"/>
      <c r="H46" s="233"/>
      <c r="I46" s="233"/>
      <c r="J46" s="233"/>
      <c r="K46" s="233"/>
      <c r="L46" s="233"/>
      <c r="M46" s="233"/>
      <c r="N46" s="233"/>
      <c r="O46" s="233"/>
      <c r="P46" s="202">
        <v>0</v>
      </c>
      <c r="Q46" s="202">
        <f>(((P42+Q42)/2)*$C$54)/12</f>
        <v>-213237.25782382337</v>
      </c>
      <c r="R46" s="202">
        <f>(((Q42+R42)/2)*$C$55)/12</f>
        <v>-624117.70958616491</v>
      </c>
      <c r="S46" s="202">
        <f>(((R42+S42)/2)*$C$55)/12</f>
        <v>-624117.70958616491</v>
      </c>
      <c r="T46" s="202">
        <f>(((S42+T42)/2)*$C$55)/12</f>
        <v>-702414.69891581126</v>
      </c>
      <c r="U46" s="202">
        <f>(((T42+U42)/2)*$C$55)/12</f>
        <v>-780711.68824545725</v>
      </c>
      <c r="V46" s="202">
        <f>(((U42+V42)/2)*$C$55)/12</f>
        <v>-780711.68824545725</v>
      </c>
      <c r="W46" s="236">
        <f>(((V42+W42)/2)*$C$55)/12</f>
        <v>-780711.68824545725</v>
      </c>
      <c r="X46" s="236">
        <f>(((W42+X42)/2)*$C$55)/12</f>
        <v>-780711.68824545725</v>
      </c>
      <c r="Y46" s="236">
        <f>(((X42+Y42)/2)*$C$55)/12</f>
        <v>-780711.68824545725</v>
      </c>
      <c r="Z46" s="236">
        <f>(((Y42+Z42)/2)*$C$55)/12</f>
        <v>-780711.68824545725</v>
      </c>
      <c r="AA46" s="236">
        <f>(((Z42+AA42)/2)*$C$55)/12</f>
        <v>-780711.68824545725</v>
      </c>
      <c r="AB46" s="236">
        <f>(((AA42+AB42)/2)*$C$55)/12</f>
        <v>-780711.68824545725</v>
      </c>
      <c r="AC46" s="236">
        <f>(((AB42+AC42)/2)*$C$55)/12</f>
        <v>-780711.68824545725</v>
      </c>
    </row>
    <row r="47" spans="1:32" ht="12" customHeight="1" x14ac:dyDescent="0.2">
      <c r="A47" s="232"/>
    </row>
    <row r="48" spans="1:32" ht="12" customHeight="1" x14ac:dyDescent="0.2">
      <c r="A48" s="235" t="s">
        <v>188</v>
      </c>
    </row>
    <row r="49" spans="1:29" ht="12" customHeight="1" x14ac:dyDescent="0.2">
      <c r="B49" s="217" t="s">
        <v>187</v>
      </c>
      <c r="C49" s="228" t="s">
        <v>186</v>
      </c>
      <c r="D49" s="228"/>
      <c r="E49" s="234">
        <f>E41</f>
        <v>43800</v>
      </c>
      <c r="F49" s="234">
        <f>F41</f>
        <v>43831</v>
      </c>
      <c r="G49" s="234">
        <f>G41</f>
        <v>43862</v>
      </c>
      <c r="H49" s="234">
        <f>H41</f>
        <v>43891</v>
      </c>
      <c r="I49" s="234">
        <f>I41</f>
        <v>43922</v>
      </c>
      <c r="J49" s="234">
        <f>J41</f>
        <v>43952</v>
      </c>
      <c r="K49" s="234">
        <f>K41</f>
        <v>43983</v>
      </c>
      <c r="L49" s="234">
        <f>L41</f>
        <v>44013</v>
      </c>
      <c r="M49" s="234">
        <f>M41</f>
        <v>44044</v>
      </c>
      <c r="N49" s="234">
        <f>N41</f>
        <v>44075</v>
      </c>
      <c r="O49" s="234">
        <f>O41</f>
        <v>44105</v>
      </c>
      <c r="P49" s="234">
        <f>P41</f>
        <v>44136</v>
      </c>
      <c r="Q49" s="234">
        <f>Q41</f>
        <v>44166</v>
      </c>
      <c r="R49" s="234">
        <f>R41</f>
        <v>44197</v>
      </c>
      <c r="S49" s="234">
        <f>S41</f>
        <v>44228</v>
      </c>
      <c r="T49" s="234">
        <f>T41</f>
        <v>44256</v>
      </c>
      <c r="U49" s="234">
        <f>U41</f>
        <v>44287</v>
      </c>
      <c r="V49" s="234">
        <f>V41</f>
        <v>44317</v>
      </c>
      <c r="W49" s="234">
        <f>W41</f>
        <v>44348</v>
      </c>
      <c r="X49" s="234">
        <f>X41</f>
        <v>44378</v>
      </c>
      <c r="Y49" s="234">
        <f>Y41</f>
        <v>44409</v>
      </c>
      <c r="Z49" s="234">
        <f>Z41</f>
        <v>44440</v>
      </c>
      <c r="AA49" s="234">
        <f>AA41</f>
        <v>44470</v>
      </c>
      <c r="AB49" s="234">
        <f>AB41</f>
        <v>44501</v>
      </c>
      <c r="AC49" s="234">
        <f>AC41</f>
        <v>44531</v>
      </c>
    </row>
    <row r="50" spans="1:29" ht="12" customHeight="1" x14ac:dyDescent="0.2">
      <c r="A50" s="195" t="s">
        <v>185</v>
      </c>
      <c r="B50" s="233" t="s">
        <v>146</v>
      </c>
      <c r="C50" s="233" t="s">
        <v>133</v>
      </c>
      <c r="D50" s="233"/>
      <c r="E50" s="233"/>
      <c r="F50" s="233"/>
      <c r="G50" s="233"/>
      <c r="H50" s="233"/>
      <c r="I50" s="233"/>
      <c r="J50" s="233"/>
      <c r="K50" s="233"/>
      <c r="L50" s="233"/>
      <c r="M50" s="233"/>
      <c r="N50" s="233"/>
      <c r="O50" s="233"/>
      <c r="P50" s="202">
        <v>0</v>
      </c>
      <c r="Q50" s="202">
        <f>-Q42</f>
        <v>154865406.31999999</v>
      </c>
      <c r="R50" s="202">
        <f>-R42</f>
        <v>154865406.31999999</v>
      </c>
      <c r="S50" s="202">
        <f>-S42</f>
        <v>154865406.31999999</v>
      </c>
      <c r="T50" s="202">
        <f>-T42</f>
        <v>193721842.78999999</v>
      </c>
      <c r="U50" s="202">
        <f>-U42</f>
        <v>193721842.78999999</v>
      </c>
      <c r="V50" s="202">
        <f>-V42</f>
        <v>193721842.78999999</v>
      </c>
      <c r="W50" s="202">
        <f>-W42</f>
        <v>193721842.78999999</v>
      </c>
      <c r="X50" s="202">
        <f>-X42</f>
        <v>193721842.78999999</v>
      </c>
      <c r="Y50" s="202">
        <f>-Y42</f>
        <v>193721842.78999999</v>
      </c>
      <c r="Z50" s="202">
        <f>-Z42</f>
        <v>193721842.78999999</v>
      </c>
      <c r="AA50" s="202">
        <f>-AA42</f>
        <v>193721842.78999999</v>
      </c>
      <c r="AB50" s="202">
        <f>-AB42</f>
        <v>193721842.78999999</v>
      </c>
      <c r="AC50" s="202">
        <f>-AC42</f>
        <v>193721842.78999999</v>
      </c>
    </row>
    <row r="51" spans="1:29" ht="12" customHeight="1" x14ac:dyDescent="0.2">
      <c r="A51" s="232"/>
    </row>
    <row r="52" spans="1:29" ht="12.75" x14ac:dyDescent="0.2">
      <c r="D52" s="225"/>
      <c r="E52" s="225"/>
      <c r="F52" s="225"/>
      <c r="G52" s="225"/>
      <c r="H52" s="225"/>
      <c r="I52" s="225"/>
      <c r="J52" s="225"/>
      <c r="K52" s="225"/>
      <c r="L52" s="225"/>
      <c r="M52" s="225"/>
      <c r="N52" s="225"/>
      <c r="O52" s="225"/>
      <c r="U52" s="243"/>
      <c r="V52" s="242"/>
    </row>
    <row r="53" spans="1:29" ht="12.75" x14ac:dyDescent="0.2">
      <c r="C53" s="231" t="s">
        <v>184</v>
      </c>
      <c r="D53" s="224"/>
      <c r="E53" s="224"/>
      <c r="F53" s="224"/>
      <c r="G53" s="224"/>
      <c r="H53" s="224"/>
      <c r="I53" s="224"/>
      <c r="J53" s="224"/>
      <c r="K53" s="224"/>
      <c r="L53" s="224"/>
      <c r="M53" s="224"/>
      <c r="N53" s="224"/>
      <c r="O53" s="224"/>
      <c r="U53" s="243"/>
      <c r="V53" s="242"/>
      <c r="W53" s="228"/>
    </row>
    <row r="54" spans="1:29" ht="12" customHeight="1" x14ac:dyDescent="0.2">
      <c r="A54" s="215" t="s">
        <v>183</v>
      </c>
      <c r="C54" s="227">
        <f>C27</f>
        <v>3.3046077296287953E-2</v>
      </c>
      <c r="D54" s="224"/>
      <c r="E54" s="224"/>
      <c r="F54" s="224"/>
      <c r="G54" s="224"/>
      <c r="H54" s="224"/>
      <c r="I54" s="224"/>
      <c r="J54" s="224"/>
      <c r="K54" s="224"/>
      <c r="L54" s="224"/>
      <c r="M54" s="224"/>
      <c r="N54" s="224"/>
      <c r="O54" s="224"/>
      <c r="T54" s="223"/>
      <c r="U54" s="202"/>
      <c r="V54" s="204"/>
      <c r="W54" s="221"/>
      <c r="X54" s="196"/>
      <c r="AA54" s="226"/>
    </row>
    <row r="55" spans="1:29" ht="12" customHeight="1" x14ac:dyDescent="0.2">
      <c r="A55" s="215" t="s">
        <v>182</v>
      </c>
      <c r="C55" s="225">
        <f>C28</f>
        <v>4.8360784328803093E-2</v>
      </c>
      <c r="D55" s="224"/>
      <c r="E55" s="224"/>
      <c r="F55" s="224"/>
      <c r="G55" s="224"/>
      <c r="H55" s="224"/>
      <c r="I55" s="224"/>
      <c r="J55" s="224"/>
      <c r="K55" s="224"/>
      <c r="L55" s="224"/>
      <c r="M55" s="224"/>
      <c r="N55" s="224"/>
      <c r="O55" s="224"/>
      <c r="U55" s="202"/>
      <c r="V55" s="202"/>
      <c r="W55" s="221"/>
      <c r="X55" s="196"/>
      <c r="AA55" s="202"/>
    </row>
    <row r="56" spans="1:29" ht="12" customHeight="1" x14ac:dyDescent="0.2">
      <c r="T56" s="223"/>
      <c r="U56" s="202"/>
      <c r="V56" s="222"/>
      <c r="W56" s="221"/>
      <c r="X56" s="196"/>
      <c r="AA56" s="202"/>
    </row>
    <row r="57" spans="1:29" ht="12" customHeight="1" x14ac:dyDescent="0.2">
      <c r="U57" s="214"/>
      <c r="V57" s="214"/>
    </row>
    <row r="58" spans="1:29" ht="12" customHeight="1" x14ac:dyDescent="0.2">
      <c r="U58" s="214"/>
      <c r="V58" s="214"/>
    </row>
    <row r="61" spans="1:29" ht="12" customHeight="1" x14ac:dyDescent="0.2">
      <c r="C61" s="220"/>
    </row>
    <row r="62" spans="1:29" ht="12" customHeight="1" x14ac:dyDescent="0.2">
      <c r="D62" s="219"/>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row>
    <row r="63" spans="1:29" ht="12" customHeight="1" x14ac:dyDescent="0.2">
      <c r="D63" s="219"/>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row>
    <row r="64" spans="1:29" ht="12" customHeight="1" x14ac:dyDescent="0.2">
      <c r="D64" s="219"/>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row>
  </sheetData>
  <pageMargins left="0.7" right="0.7" top="0.75" bottom="0.75" header="0.3" footer="0.3"/>
  <pageSetup scale="53" orientation="landscape" r:id="rId1"/>
  <headerFooter>
    <oddFooter>&amp;C&amp;"Arial,Regular"&amp;10Page ADJ_1.3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1818-025B-4B9F-828E-504B818A667B}">
  <dimension ref="A1:E53"/>
  <sheetViews>
    <sheetView view="pageBreakPreview" zoomScale="80" zoomScaleNormal="100" zoomScaleSheetLayoutView="80" workbookViewId="0"/>
  </sheetViews>
  <sheetFormatPr defaultColWidth="9.140625" defaultRowHeight="12.75" x14ac:dyDescent="0.2"/>
  <cols>
    <col min="1" max="1" width="41" style="195" bestFit="1" customWidth="1"/>
    <col min="2" max="3" width="21.42578125" style="195" customWidth="1"/>
    <col min="4" max="4" width="1.85546875" style="195" bestFit="1" customWidth="1"/>
    <col min="5" max="5" width="10.28515625" style="195" bestFit="1" customWidth="1"/>
    <col min="6" max="16384" width="9.140625" style="195"/>
  </cols>
  <sheetData>
    <row r="1" spans="1:4" x14ac:dyDescent="0.2">
      <c r="A1" s="217" t="s">
        <v>6</v>
      </c>
      <c r="D1" s="219" t="s">
        <v>231</v>
      </c>
    </row>
    <row r="2" spans="1:4" x14ac:dyDescent="0.2">
      <c r="A2" s="217" t="str">
        <f>'Lead Sheet ADJ_1'!B2</f>
        <v>Washington Limited-Issue Rate Filing</v>
      </c>
    </row>
    <row r="3" spans="1:4" x14ac:dyDescent="0.2">
      <c r="A3" s="217" t="s">
        <v>230</v>
      </c>
    </row>
    <row r="4" spans="1:4" x14ac:dyDescent="0.2">
      <c r="A4" s="217" t="s">
        <v>229</v>
      </c>
    </row>
    <row r="6" spans="1:4" ht="38.25" x14ac:dyDescent="0.2">
      <c r="A6" s="254" t="s">
        <v>207</v>
      </c>
      <c r="B6" s="253" t="s">
        <v>228</v>
      </c>
      <c r="C6" s="253" t="s">
        <v>227</v>
      </c>
    </row>
    <row r="7" spans="1:4" x14ac:dyDescent="0.2">
      <c r="A7" s="252" t="s">
        <v>20</v>
      </c>
      <c r="B7" s="251"/>
      <c r="C7" s="251"/>
    </row>
    <row r="8" spans="1:4" x14ac:dyDescent="0.2">
      <c r="A8" s="195" t="s">
        <v>226</v>
      </c>
      <c r="B8" s="250"/>
      <c r="C8" s="250"/>
    </row>
    <row r="9" spans="1:4" x14ac:dyDescent="0.2">
      <c r="A9" s="195" t="s">
        <v>225</v>
      </c>
      <c r="B9" s="250"/>
      <c r="C9" s="250"/>
    </row>
    <row r="10" spans="1:4" x14ac:dyDescent="0.2">
      <c r="A10" s="195" t="s">
        <v>224</v>
      </c>
      <c r="B10" s="250"/>
      <c r="C10" s="250"/>
    </row>
    <row r="11" spans="1:4" x14ac:dyDescent="0.2">
      <c r="A11" s="195" t="s">
        <v>223</v>
      </c>
      <c r="B11" s="250"/>
      <c r="C11" s="250"/>
    </row>
    <row r="12" spans="1:4" ht="13.5" thickBot="1" x14ac:dyDescent="0.25">
      <c r="A12" s="214" t="s">
        <v>222</v>
      </c>
      <c r="B12" s="249">
        <v>781291383</v>
      </c>
      <c r="C12" s="248">
        <v>747078506.63999987</v>
      </c>
    </row>
    <row r="13" spans="1:4" ht="13.5" thickTop="1" x14ac:dyDescent="0.2">
      <c r="B13" s="247" t="s">
        <v>200</v>
      </c>
      <c r="C13" s="245" t="str">
        <f>"Ref. "&amp;'Lead Sheet ADJ_1'!$J$1&amp;".1"</f>
        <v>Ref. ADJ_1.1</v>
      </c>
    </row>
    <row r="14" spans="1:4" x14ac:dyDescent="0.2">
      <c r="B14" s="255" t="s">
        <v>210</v>
      </c>
      <c r="C14" s="245"/>
    </row>
    <row r="15" spans="1:4" ht="15" x14ac:dyDescent="0.25">
      <c r="A15" s="257" t="s">
        <v>221</v>
      </c>
      <c r="C15" s="258"/>
    </row>
    <row r="16" spans="1:4" x14ac:dyDescent="0.2">
      <c r="A16" s="195" t="s">
        <v>220</v>
      </c>
      <c r="B16" s="250"/>
      <c r="C16" s="250"/>
    </row>
    <row r="17" spans="1:4" x14ac:dyDescent="0.2">
      <c r="A17" s="195" t="s">
        <v>219</v>
      </c>
      <c r="B17" s="250"/>
      <c r="C17" s="250"/>
    </row>
    <row r="18" spans="1:4" x14ac:dyDescent="0.2">
      <c r="A18" s="195" t="s">
        <v>218</v>
      </c>
      <c r="B18" s="250"/>
      <c r="C18" s="250"/>
    </row>
    <row r="19" spans="1:4" x14ac:dyDescent="0.2">
      <c r="A19" s="195" t="s">
        <v>217</v>
      </c>
      <c r="B19" s="250"/>
      <c r="C19" s="250"/>
      <c r="D19" s="195" t="s">
        <v>216</v>
      </c>
    </row>
    <row r="20" spans="1:4" x14ac:dyDescent="0.2">
      <c r="A20" s="195" t="s">
        <v>215</v>
      </c>
      <c r="B20" s="250"/>
      <c r="C20" s="250"/>
    </row>
    <row r="21" spans="1:4" x14ac:dyDescent="0.2">
      <c r="A21" s="195" t="s">
        <v>214</v>
      </c>
      <c r="B21" s="250"/>
      <c r="C21" s="250"/>
    </row>
    <row r="22" spans="1:4" x14ac:dyDescent="0.2">
      <c r="A22" s="195" t="s">
        <v>213</v>
      </c>
      <c r="B22" s="250"/>
      <c r="C22" s="250"/>
    </row>
    <row r="23" spans="1:4" x14ac:dyDescent="0.2">
      <c r="A23" s="195" t="s">
        <v>212</v>
      </c>
      <c r="B23" s="250"/>
      <c r="C23" s="250"/>
    </row>
    <row r="24" spans="1:4" ht="13.5" thickBot="1" x14ac:dyDescent="0.25">
      <c r="A24" s="214" t="s">
        <v>211</v>
      </c>
      <c r="B24" s="249">
        <v>1638883832.2895815</v>
      </c>
      <c r="C24" s="248">
        <v>1633363196.0399997</v>
      </c>
    </row>
    <row r="25" spans="1:4" ht="13.5" thickTop="1" x14ac:dyDescent="0.2">
      <c r="B25" s="247" t="s">
        <v>200</v>
      </c>
      <c r="C25" s="245" t="str">
        <f>"Ref. "&amp;'Lead Sheet ADJ_1'!$J$1&amp;".1"</f>
        <v>Ref. ADJ_1.1</v>
      </c>
    </row>
    <row r="26" spans="1:4" x14ac:dyDescent="0.2">
      <c r="B26" s="255" t="s">
        <v>210</v>
      </c>
      <c r="C26" s="245"/>
    </row>
    <row r="27" spans="1:4" ht="15" x14ac:dyDescent="0.25">
      <c r="A27" s="257" t="s">
        <v>204</v>
      </c>
      <c r="B27" s="236"/>
      <c r="C27" s="236"/>
    </row>
    <row r="28" spans="1:4" x14ac:dyDescent="0.2">
      <c r="A28" s="195" t="s">
        <v>203</v>
      </c>
      <c r="B28" s="250"/>
      <c r="C28" s="250"/>
      <c r="D28" s="256"/>
    </row>
    <row r="29" spans="1:4" x14ac:dyDescent="0.2">
      <c r="A29" s="195" t="s">
        <v>202</v>
      </c>
      <c r="B29" s="250"/>
      <c r="C29" s="250"/>
      <c r="D29" s="256"/>
    </row>
    <row r="30" spans="1:4" ht="13.5" thickBot="1" x14ac:dyDescent="0.25">
      <c r="A30" s="214" t="s">
        <v>209</v>
      </c>
      <c r="B30" s="249">
        <v>212859318.62392002</v>
      </c>
      <c r="C30" s="248">
        <v>201579856.77000007</v>
      </c>
      <c r="D30" s="256"/>
    </row>
    <row r="31" spans="1:4" ht="13.5" thickTop="1" x14ac:dyDescent="0.2">
      <c r="B31" s="247" t="s">
        <v>200</v>
      </c>
      <c r="C31" s="245" t="str">
        <f>"Ref. "&amp;'Lead Sheet ADJ_1'!$J$1&amp;".1"</f>
        <v>Ref. ADJ_1.1</v>
      </c>
    </row>
    <row r="32" spans="1:4" x14ac:dyDescent="0.2">
      <c r="B32" s="255" t="s">
        <v>208</v>
      </c>
      <c r="C32" s="236"/>
    </row>
    <row r="33" spans="1:5" x14ac:dyDescent="0.2">
      <c r="B33" s="255"/>
      <c r="C33" s="236"/>
    </row>
    <row r="34" spans="1:5" ht="51.75" customHeight="1" x14ac:dyDescent="0.2">
      <c r="A34" s="254" t="s">
        <v>207</v>
      </c>
      <c r="B34" s="253" t="s">
        <v>206</v>
      </c>
      <c r="C34" s="253" t="s">
        <v>205</v>
      </c>
    </row>
    <row r="35" spans="1:5" x14ac:dyDescent="0.2">
      <c r="A35" s="252" t="s">
        <v>204</v>
      </c>
      <c r="B35" s="251"/>
      <c r="C35" s="251"/>
      <c r="E35" s="233"/>
    </row>
    <row r="36" spans="1:5" x14ac:dyDescent="0.2">
      <c r="A36" s="195" t="s">
        <v>203</v>
      </c>
      <c r="B36" s="250"/>
      <c r="C36" s="250"/>
      <c r="E36" s="246"/>
    </row>
    <row r="37" spans="1:5" x14ac:dyDescent="0.2">
      <c r="A37" s="195" t="s">
        <v>202</v>
      </c>
      <c r="B37" s="250"/>
      <c r="C37" s="250"/>
      <c r="E37" s="246"/>
    </row>
    <row r="38" spans="1:5" ht="13.5" thickBot="1" x14ac:dyDescent="0.25">
      <c r="A38" s="214" t="s">
        <v>201</v>
      </c>
      <c r="B38" s="249">
        <v>193520952.31</v>
      </c>
      <c r="C38" s="248">
        <v>193721842.78999999</v>
      </c>
      <c r="E38" s="246"/>
    </row>
    <row r="39" spans="1:5" ht="13.5" thickTop="1" x14ac:dyDescent="0.2">
      <c r="B39" s="247" t="s">
        <v>200</v>
      </c>
      <c r="C39" s="245" t="str">
        <f>"Ref. "&amp;'Lead Sheet ADJ_1'!$J$1&amp;".1"</f>
        <v>Ref. ADJ_1.1</v>
      </c>
      <c r="E39" s="246"/>
    </row>
    <row r="40" spans="1:5" x14ac:dyDescent="0.2">
      <c r="B40" s="245" t="s">
        <v>199</v>
      </c>
    </row>
    <row r="41" spans="1:5" x14ac:dyDescent="0.2">
      <c r="B41" s="245"/>
    </row>
    <row r="42" spans="1:5" x14ac:dyDescent="0.2">
      <c r="A42" s="195" t="s">
        <v>198</v>
      </c>
      <c r="B42" s="236"/>
      <c r="C42" s="236"/>
    </row>
    <row r="43" spans="1:5" x14ac:dyDescent="0.2">
      <c r="A43" s="195" t="s">
        <v>197</v>
      </c>
      <c r="B43" s="236"/>
      <c r="C43" s="236"/>
    </row>
    <row r="44" spans="1:5" x14ac:dyDescent="0.2">
      <c r="A44" s="219"/>
      <c r="B44" s="236"/>
      <c r="C44" s="236"/>
    </row>
    <row r="45" spans="1:5" x14ac:dyDescent="0.2">
      <c r="A45" s="219"/>
      <c r="B45" s="236"/>
      <c r="C45" s="236"/>
    </row>
    <row r="46" spans="1:5" x14ac:dyDescent="0.2">
      <c r="A46" s="219"/>
      <c r="B46" s="236"/>
      <c r="C46" s="236"/>
    </row>
    <row r="47" spans="1:5" x14ac:dyDescent="0.2">
      <c r="A47" s="219"/>
      <c r="B47" s="236"/>
      <c r="C47" s="236"/>
    </row>
    <row r="48" spans="1:5" x14ac:dyDescent="0.2">
      <c r="A48" s="219"/>
      <c r="B48" s="236"/>
      <c r="C48" s="236"/>
    </row>
    <row r="49" spans="1:3" x14ac:dyDescent="0.2">
      <c r="A49" s="219"/>
      <c r="B49" s="236"/>
      <c r="C49" s="236"/>
    </row>
    <row r="50" spans="1:3" x14ac:dyDescent="0.2">
      <c r="B50" s="236"/>
      <c r="C50" s="236"/>
    </row>
    <row r="51" spans="1:3" x14ac:dyDescent="0.2">
      <c r="B51" s="236"/>
      <c r="C51" s="236"/>
    </row>
    <row r="52" spans="1:3" x14ac:dyDescent="0.2">
      <c r="B52" s="236"/>
      <c r="C52" s="236"/>
    </row>
    <row r="53" spans="1:3" x14ac:dyDescent="0.2">
      <c r="B53" s="236"/>
      <c r="C53" s="236"/>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2021-07-01T07:00:00+00:00</OpenedDate>
    <SignificantOrder xmlns="dc463f71-b30c-4ab2-9473-d307f9d35888">false</SignificantOrder>
    <Date1 xmlns="dc463f71-b30c-4ab2-9473-d307f9d35888">2021-10-18T07:00:00+00:00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210532</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FDB890DE267284EA2E995D4D4EF8915" ma:contentTypeVersion="44" ma:contentTypeDescription="" ma:contentTypeScope="" ma:versionID="8141efba68ebf9c44247529df6014db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82D8C4-F2DB-4049-B305-1BEC81EFD28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E73FC8-0D32-41FA-A09B-5A52C5AB9264}">
  <ds:schemaRefs>
    <ds:schemaRef ds:uri="http://schemas.microsoft.com/sharepoint/v3/contenttype/forms"/>
  </ds:schemaRefs>
</ds:datastoreItem>
</file>

<file path=customXml/itemProps3.xml><?xml version="1.0" encoding="utf-8"?>
<ds:datastoreItem xmlns:ds="http://schemas.openxmlformats.org/officeDocument/2006/customXml" ds:itemID="{1249EB17-7E7F-404B-9AE7-B028B5BA3644}"/>
</file>

<file path=customXml/itemProps4.xml><?xml version="1.0" encoding="utf-8"?>
<ds:datastoreItem xmlns:ds="http://schemas.openxmlformats.org/officeDocument/2006/customXml" ds:itemID="{6EBEA139-1ED5-4998-887C-E107E17403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Results</vt:lpstr>
      <vt:lpstr>Price Change</vt:lpstr>
      <vt:lpstr>Adjustments</vt:lpstr>
      <vt:lpstr>Variables</vt:lpstr>
      <vt:lpstr>Lead Sheet ADJ_1</vt:lpstr>
      <vt:lpstr>Page ADJ_1.1</vt:lpstr>
      <vt:lpstr>Page ADJ_1.2</vt:lpstr>
      <vt:lpstr>Page ADJ_1.3</vt:lpstr>
      <vt:lpstr>Page ADJ_1.4R</vt:lpstr>
      <vt:lpstr>Lead Sheet ADJ_2</vt:lpstr>
      <vt:lpstr>Page ADJ_2.1</vt:lpstr>
      <vt:lpstr>Page ADJ_2.2</vt:lpstr>
      <vt:lpstr>Lead Sheet ADJ_3</vt:lpstr>
      <vt:lpstr>Page ADJ_3.1</vt:lpstr>
      <vt:lpstr>Lead Sheet ADJ_4</vt:lpstr>
      <vt:lpstr>Page ADJ_4.1</vt:lpstr>
      <vt:lpstr>Cost_Debt</vt:lpstr>
      <vt:lpstr>Cost_equity</vt:lpstr>
      <vt:lpstr>Cost_pref</vt:lpstr>
      <vt:lpstr>gross_up_factor</vt:lpstr>
      <vt:lpstr>Overall_ROR</vt:lpstr>
      <vt:lpstr>Percent_common</vt:lpstr>
      <vt:lpstr>Percent_debt</vt:lpstr>
      <vt:lpstr>Percent_pref</vt:lpstr>
      <vt:lpstr>Adjustments!Print_Area</vt:lpstr>
      <vt:lpstr>'Lead Sheet ADJ_1'!Print_Area</vt:lpstr>
      <vt:lpstr>'Lead Sheet ADJ_2'!Print_Area</vt:lpstr>
      <vt:lpstr>'Lead Sheet ADJ_3'!Print_Area</vt:lpstr>
      <vt:lpstr>'Lead Sheet ADJ_4'!Print_Area</vt:lpstr>
      <vt:lpstr>'Page ADJ_1.2'!Print_Area</vt:lpstr>
      <vt:lpstr>'Page ADJ_1.3'!Print_Area</vt:lpstr>
      <vt:lpstr>'Page ADJ_1.4R'!Print_Area</vt:lpstr>
      <vt:lpstr>'Page ADJ_2.1'!Print_Area</vt:lpstr>
      <vt:lpstr>'Page ADJ_2.2'!Print_Area</vt:lpstr>
      <vt:lpstr>'Page ADJ_3.1'!Print_Area</vt:lpstr>
      <vt:lpstr>'Page ADJ_4.1'!Print_Area</vt:lpstr>
      <vt:lpstr>'Price Change'!Print_Area</vt:lpstr>
      <vt:lpstr>Adjustments!Print_Titles</vt:lpstr>
      <vt:lpstr>Unadj_Op_revenue</vt:lpstr>
      <vt:lpstr>Unadj_rate_base</vt:lpstr>
      <vt:lpstr>Unadj_ROE</vt:lpstr>
      <vt:lpstr>uncollectible_perc</vt:lpstr>
      <vt:lpstr>WA_rev_tax_perc</vt:lpstr>
      <vt:lpstr>Weighted_cost_debt</vt:lpstr>
      <vt:lpstr>Weighted_cost_equity</vt:lpstr>
      <vt:lpstr>Weighted_cost_pref</vt:lpstr>
      <vt:lpstr>WUTC_reg_fee_perc</vt:lpstr>
    </vt:vector>
  </TitlesOfParts>
  <Company>PacifiCorp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SUNDARAM</dc:creator>
  <cp:lastModifiedBy>Cheung, Sherona (PacifiCorp)</cp:lastModifiedBy>
  <cp:lastPrinted>2021-06-23T21:59:36Z</cp:lastPrinted>
  <dcterms:created xsi:type="dcterms:W3CDTF">2009-02-17T19:17:29Z</dcterms:created>
  <dcterms:modified xsi:type="dcterms:W3CDTF">2021-10-14T17:14:17Z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0x0101006E56B4D1795A2E4DB2F0B01679ED314A002FDB890DE267284EA2E995D4D4EF8915</vt:lpwstr>
  </property>
  <property fmtid="{D5CDD505-2E9C-101B-9397-08002B2CF9AE}" pid="3" name="_docset_NoMedatataSyncRequired">
    <vt:lpwstr>False</vt:lpwstr>
  </property>
  <property fmtid="{D5CDD505-2E9C-101B-9397-08002B2CF9AE}" pid="4" name="IsEFSEC">
    <vt:bool>false</vt:bool>
  </property>
</Properties>
</file>