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 yWindow="-45" windowWidth="9315" windowHeight="5100" tabRatio="633"/>
  </bookViews>
  <sheets>
    <sheet name="Schedule M's 2011" sheetId="6275" r:id="rId1"/>
    <sheet name="Schedule M's 2010" sheetId="6274" r:id="rId2"/>
    <sheet name="Sheet1" sheetId="6276" r:id="rId3"/>
  </sheet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255</definedName>
    <definedName name="_xlnm.Print_Area" localSheetId="1">'Schedule M''s 2010'!$A$1:$O$120</definedName>
    <definedName name="_xlnm.Print_Area" localSheetId="0">'Schedule M''s 2011'!$A$1:$O$131</definedName>
    <definedName name="_xlnm.Print_Titles" localSheetId="1">'Schedule M''s 2010'!$1:$5</definedName>
    <definedName name="_xlnm.Print_Titles" localSheetId="0">'Schedule M''s 2011'!$1:$5</definedName>
    <definedName name="TB">#N/A</definedName>
  </definedNames>
  <calcPr calcId="125725"/>
</workbook>
</file>

<file path=xl/calcChain.xml><?xml version="1.0" encoding="utf-8"?>
<calcChain xmlns="http://schemas.openxmlformats.org/spreadsheetml/2006/main">
  <c r="J90" i="6275"/>
  <c r="K90"/>
  <c r="I90"/>
  <c r="J61"/>
  <c r="K52"/>
  <c r="I119" l="1"/>
  <c r="I128" s="1"/>
  <c r="I105" l="1"/>
  <c r="I94"/>
  <c r="I26"/>
  <c r="I88"/>
  <c r="K59"/>
  <c r="J57"/>
  <c r="J72" l="1"/>
  <c r="J73"/>
  <c r="J74"/>
  <c r="J75"/>
  <c r="J76"/>
  <c r="J77"/>
  <c r="J78"/>
  <c r="J79"/>
  <c r="J80"/>
  <c r="J81"/>
  <c r="J82"/>
  <c r="J83"/>
  <c r="J84"/>
  <c r="J85"/>
  <c r="J86"/>
  <c r="J87"/>
  <c r="J71"/>
  <c r="K70"/>
  <c r="J69"/>
  <c r="J68"/>
  <c r="K67"/>
  <c r="J66"/>
  <c r="J65"/>
  <c r="J64"/>
  <c r="J63"/>
  <c r="J62"/>
  <c r="J60"/>
  <c r="K58"/>
  <c r="J54"/>
  <c r="J55"/>
  <c r="J56"/>
  <c r="J53"/>
  <c r="J50"/>
  <c r="J51"/>
  <c r="J49"/>
  <c r="J48"/>
  <c r="J47"/>
  <c r="J46"/>
  <c r="J44"/>
  <c r="J45"/>
  <c r="J43"/>
  <c r="J35" l="1"/>
  <c r="J36"/>
  <c r="J37"/>
  <c r="J38"/>
  <c r="J39"/>
  <c r="J40"/>
  <c r="J41"/>
  <c r="J42"/>
  <c r="J34"/>
  <c r="K33"/>
  <c r="K32"/>
  <c r="K31"/>
  <c r="K88" s="1"/>
  <c r="J25"/>
  <c r="K24"/>
  <c r="J23"/>
  <c r="J22"/>
  <c r="K21"/>
  <c r="J20"/>
  <c r="J26" s="1"/>
  <c r="K16"/>
  <c r="K17"/>
  <c r="K18"/>
  <c r="K19"/>
  <c r="K15"/>
  <c r="K26" s="1"/>
  <c r="I36"/>
  <c r="J88" l="1"/>
  <c r="I12"/>
  <c r="I28" l="1"/>
  <c r="I79" i="6274"/>
  <c r="I101" i="6275" l="1"/>
  <c r="I112" s="1"/>
  <c r="I131" s="1"/>
  <c r="I87" i="6274" l="1"/>
  <c r="I95" l="1"/>
  <c r="I53" l="1"/>
  <c r="I18" l="1"/>
  <c r="I59" l="1"/>
  <c r="I56"/>
  <c r="I89" l="1"/>
  <c r="I88"/>
  <c r="I32" l="1"/>
  <c r="I43"/>
  <c r="I80"/>
  <c r="I78"/>
  <c r="I76"/>
  <c r="I74"/>
  <c r="I69"/>
  <c r="I68"/>
  <c r="I67"/>
  <c r="I66"/>
  <c r="I65"/>
  <c r="I64"/>
  <c r="I63"/>
  <c r="I62"/>
  <c r="I61"/>
  <c r="I60"/>
  <c r="I55"/>
  <c r="I52"/>
  <c r="I51"/>
  <c r="I47"/>
  <c r="I46"/>
  <c r="I45"/>
  <c r="I44"/>
  <c r="I42"/>
  <c r="I41"/>
  <c r="I40"/>
  <c r="I37"/>
  <c r="I36"/>
  <c r="I35"/>
  <c r="I12"/>
  <c r="I81" l="1"/>
  <c r="I24"/>
  <c r="I26" s="1"/>
  <c r="I85" l="1"/>
  <c r="I90" l="1"/>
  <c r="I93" l="1"/>
  <c r="I100" l="1"/>
  <c r="I106" l="1"/>
  <c r="I117" s="1"/>
  <c r="I120" s="1"/>
</calcChain>
</file>

<file path=xl/comments1.xml><?xml version="1.0" encoding="utf-8"?>
<comments xmlns="http://schemas.openxmlformats.org/spreadsheetml/2006/main">
  <authors>
    <author>C Hughbanks</author>
  </authors>
  <commentList>
    <comment ref="U12" authorId="0">
      <text>
        <r>
          <rPr>
            <b/>
            <sz val="10"/>
            <color indexed="81"/>
            <rFont val="Tahoma"/>
            <family val="2"/>
          </rPr>
          <t>JMcCauley:</t>
        </r>
        <r>
          <rPr>
            <sz val="10"/>
            <color indexed="81"/>
            <rFont val="Tahoma"/>
            <family val="2"/>
          </rPr>
          <t xml:space="preserve">
Should be $0 b/c pre-tax income should be same for book &amp; tax</t>
        </r>
      </text>
    </comment>
    <comment ref="Q96" authorId="0">
      <text>
        <r>
          <rPr>
            <b/>
            <sz val="10"/>
            <color indexed="81"/>
            <rFont val="Tahoma"/>
            <family val="2"/>
          </rPr>
          <t>C Hughbanks:</t>
        </r>
        <r>
          <rPr>
            <sz val="10"/>
            <color indexed="81"/>
            <rFont val="Tahoma"/>
            <family val="2"/>
          </rPr>
          <t xml:space="preserve">
From Yvonne's SIT Schedule (you'll need to request this from her). Take the "Accrual During Year" amount.</t>
        </r>
      </text>
    </comment>
    <comment ref="C119" authorId="0">
      <text>
        <r>
          <rPr>
            <b/>
            <sz val="10"/>
            <color indexed="81"/>
            <rFont val="Tahoma"/>
            <family val="2"/>
          </rPr>
          <t>JMcCauley:</t>
        </r>
        <r>
          <rPr>
            <sz val="10"/>
            <color indexed="81"/>
            <rFont val="Tahoma"/>
            <family val="2"/>
          </rPr>
          <t xml:space="preserve">
All FIT payments should be received via memo from Yvonne throughout the year.</t>
        </r>
      </text>
    </comment>
    <comment ref="C121" authorId="0">
      <text>
        <r>
          <rPr>
            <b/>
            <sz val="10"/>
            <color indexed="81"/>
            <rFont val="Tahoma"/>
            <family val="2"/>
          </rPr>
          <t>JMcCauley:</t>
        </r>
        <r>
          <rPr>
            <sz val="10"/>
            <color indexed="81"/>
            <rFont val="Tahoma"/>
            <family val="2"/>
          </rPr>
          <t xml:space="preserve">
From accrual registers.</t>
        </r>
      </text>
    </comment>
  </commentList>
</comments>
</file>

<file path=xl/comments2.xml><?xml version="1.0" encoding="utf-8"?>
<comments xmlns="http://schemas.openxmlformats.org/spreadsheetml/2006/main">
  <authors>
    <author>C Hughbanks</author>
  </authors>
  <commentList>
    <comment ref="T12" authorId="0">
      <text>
        <r>
          <rPr>
            <b/>
            <sz val="10"/>
            <color indexed="81"/>
            <rFont val="Tahoma"/>
            <family val="2"/>
          </rPr>
          <t>JMcCauley:</t>
        </r>
        <r>
          <rPr>
            <sz val="10"/>
            <color indexed="81"/>
            <rFont val="Tahoma"/>
            <family val="2"/>
          </rPr>
          <t xml:space="preserve">
Should be $0 b/c pre-tax income should be same for book &amp; tax</t>
        </r>
      </text>
    </comment>
    <comment ref="P87" authorId="0">
      <text>
        <r>
          <rPr>
            <b/>
            <sz val="10"/>
            <color indexed="81"/>
            <rFont val="Tahoma"/>
            <family val="2"/>
          </rPr>
          <t>C Hughbanks:</t>
        </r>
        <r>
          <rPr>
            <sz val="10"/>
            <color indexed="81"/>
            <rFont val="Tahoma"/>
            <family val="2"/>
          </rPr>
          <t xml:space="preserve">
From Yvonne's SIT Schedule (you'll need to request this from her). Take the "Accrual During Year" amount.</t>
        </r>
      </text>
    </comment>
    <comment ref="C106" authorId="0">
      <text>
        <r>
          <rPr>
            <b/>
            <sz val="10"/>
            <color indexed="81"/>
            <rFont val="Tahoma"/>
            <family val="2"/>
          </rPr>
          <t>JMcCauley:</t>
        </r>
        <r>
          <rPr>
            <sz val="10"/>
            <color indexed="81"/>
            <rFont val="Tahoma"/>
            <family val="2"/>
          </rPr>
          <t xml:space="preserve">
All FIT payments should be received via memo from Yvonne throughout the year.</t>
        </r>
      </text>
    </comment>
    <comment ref="C108" authorId="0">
      <text>
        <r>
          <rPr>
            <b/>
            <sz val="10"/>
            <color indexed="81"/>
            <rFont val="Tahoma"/>
            <family val="2"/>
          </rPr>
          <t>JMcCauley:</t>
        </r>
        <r>
          <rPr>
            <sz val="10"/>
            <color indexed="81"/>
            <rFont val="Tahoma"/>
            <family val="2"/>
          </rPr>
          <t xml:space="preserve">
From accrual registers.</t>
        </r>
      </text>
    </comment>
  </commentList>
</comments>
</file>

<file path=xl/sharedStrings.xml><?xml version="1.0" encoding="utf-8"?>
<sst xmlns="http://schemas.openxmlformats.org/spreadsheetml/2006/main" count="550" uniqueCount="200">
  <si>
    <t>Book Income Before Taxes</t>
  </si>
  <si>
    <t>Permanent Differences</t>
  </si>
  <si>
    <t>Total Permanent Differences</t>
  </si>
  <si>
    <t>Taxable Income Before Temporary Items</t>
  </si>
  <si>
    <t>Federal Income Tax Provision</t>
  </si>
  <si>
    <t>Total Deferred Tax Asset/(Liability)</t>
  </si>
  <si>
    <t>Income Tax Provision Before Credits @ 35%</t>
  </si>
  <si>
    <t>Political Contribution</t>
  </si>
  <si>
    <t>BETC Interest</t>
  </si>
  <si>
    <t xml:space="preserve">Manufacturing  Deduction </t>
  </si>
  <si>
    <t xml:space="preserve">Meal Disallowances </t>
  </si>
  <si>
    <t>Tax Rate - Federal</t>
  </si>
  <si>
    <t>Idaho Investment Tax Credit</t>
  </si>
  <si>
    <t>Federal Taxable (Income) Loss</t>
  </si>
  <si>
    <t>Prior Vintages Outstanding:</t>
  </si>
  <si>
    <t>Taxable (Income) Loss before State Income Taxes</t>
  </si>
  <si>
    <t>Delta</t>
  </si>
  <si>
    <t>Net Federal (Payable) Receivable Expected</t>
  </si>
  <si>
    <t>Net Federal (Payable) Receivable Current Year</t>
  </si>
  <si>
    <t>General Ledger</t>
  </si>
  <si>
    <t>FIT, DFIT, DSIT, ITC</t>
  </si>
  <si>
    <t>Equity Earnings in Subs</t>
  </si>
  <si>
    <t>Penalties</t>
  </si>
  <si>
    <t>Stock Options - Equity Accrued</t>
  </si>
  <si>
    <t>Stock Options - Liability Accrued</t>
  </si>
  <si>
    <t>Rathdrum Turbine Sales Tax Amort</t>
  </si>
  <si>
    <t>Exchange Power Amort - WNP3</t>
  </si>
  <si>
    <t>Vacation Pay Accrual / Paid Time Off</t>
  </si>
  <si>
    <t>Bad Debts</t>
  </si>
  <si>
    <t>BPA Residential Exchange</t>
  </si>
  <si>
    <t>CIAC</t>
  </si>
  <si>
    <t>CSS Temp Service Fees</t>
  </si>
  <si>
    <t>CS2 Retention</t>
  </si>
  <si>
    <t>Deferred Comp</t>
  </si>
  <si>
    <t>Deferred Gas</t>
  </si>
  <si>
    <t>Deferred Power - Idaho PCA</t>
  </si>
  <si>
    <t>WA Deferred Power Costs</t>
  </si>
  <si>
    <t>Boulder Park Disallowance</t>
  </si>
  <si>
    <t>Kettle Falls</t>
  </si>
  <si>
    <t>DSM Amortization &amp; Lost Margin</t>
  </si>
  <si>
    <t>DSM Tariff</t>
  </si>
  <si>
    <t>Oregon SB 408</t>
  </si>
  <si>
    <t>NE Tank Spill</t>
  </si>
  <si>
    <t>FAS 87</t>
  </si>
  <si>
    <t>FAS 106 &amp; HRA</t>
  </si>
  <si>
    <t>Clark Fork PME</t>
  </si>
  <si>
    <t>AFUDC</t>
  </si>
  <si>
    <t>Injuries &amp; Damages</t>
  </si>
  <si>
    <t>Airplane</t>
  </si>
  <si>
    <t>Office Building</t>
  </si>
  <si>
    <t>Nez Perce</t>
  </si>
  <si>
    <t>Non-Monetary Power Purchases</t>
  </si>
  <si>
    <t>PGE - Spokane Energy</t>
  </si>
  <si>
    <t>Amort of Interest Rate Swaps</t>
  </si>
  <si>
    <t>Reacquired Debt</t>
  </si>
  <si>
    <t>SERP</t>
  </si>
  <si>
    <t>Unbilled Revenue</t>
  </si>
  <si>
    <t>Grid West / RTO</t>
  </si>
  <si>
    <t>401(k) ESOP Dividends</t>
  </si>
  <si>
    <t>Account # 236000.ZZ.ZZ - TAXES ACCRUED - FEDERAL</t>
  </si>
  <si>
    <t>Debit (Credit) From a P&amp;L Perspective</t>
  </si>
  <si>
    <t>SIT Accrual</t>
  </si>
  <si>
    <t>Current Tax Accrual Reconciliation - GL vs. TAX</t>
  </si>
  <si>
    <t>CORP</t>
  </si>
  <si>
    <t>BETC - Oregon Purchased Tax Credits</t>
  </si>
  <si>
    <t>Temporary Differences</t>
  </si>
  <si>
    <t>Decoupling Mechanism</t>
  </si>
  <si>
    <t>Montana Settlement</t>
  </si>
  <si>
    <t>Chicago Climate Exchange (Carbon Credits)</t>
  </si>
  <si>
    <t>Officers Life Insurance - Benefit Accrual</t>
  </si>
  <si>
    <t>Officers Life Insurance - Cash Surrender Value</t>
  </si>
  <si>
    <t>Oregon Generated BETC Credit</t>
  </si>
  <si>
    <t>Oregon Purchased BETC Credit</t>
  </si>
  <si>
    <t>Cabinet Gorge Tax Credit</t>
  </si>
  <si>
    <t>2006 Vintage</t>
  </si>
  <si>
    <t>CDA Lake Settlement</t>
  </si>
  <si>
    <t>Colstrip</t>
  </si>
  <si>
    <t>2007 Vintage</t>
  </si>
  <si>
    <t>Capitalized Transportation</t>
  </si>
  <si>
    <t>Deduction for State Income Taxes</t>
  </si>
  <si>
    <t>Book Depreciation</t>
  </si>
  <si>
    <t>WPNG ACQ Adj Book Amort</t>
  </si>
  <si>
    <t>Spokane River Relicense</t>
  </si>
  <si>
    <t>2008 Vintage</t>
  </si>
  <si>
    <t>Wartsila Units</t>
  </si>
  <si>
    <t>Noxon Spill</t>
  </si>
  <si>
    <t xml:space="preserve">Tax Depreciation </t>
  </si>
  <si>
    <r>
      <t xml:space="preserve">Gain/Loss - Tax </t>
    </r>
    <r>
      <rPr>
        <b/>
        <sz val="10"/>
        <rFont val="Times New Roman"/>
        <family val="1"/>
      </rPr>
      <t xml:space="preserve"> ; </t>
    </r>
    <r>
      <rPr>
        <sz val="10"/>
        <rFont val="Times New Roman"/>
        <family val="1"/>
      </rPr>
      <t>Cost of Removal- Book</t>
    </r>
  </si>
  <si>
    <t>Noxon ITC</t>
  </si>
  <si>
    <t>Basic American Food Book Amort</t>
  </si>
  <si>
    <t>2010</t>
  </si>
  <si>
    <t>Idaho DSIT Amort</t>
  </si>
  <si>
    <t xml:space="preserve">2009 Vintage </t>
  </si>
  <si>
    <t>2010 Estimates Paid in 2010</t>
  </si>
  <si>
    <t>201012 End Bal</t>
  </si>
  <si>
    <t xml:space="preserve">Noxon Amortization </t>
  </si>
  <si>
    <t>Net Federal (Payable) Receivable per Books (at 12/31/2010</t>
  </si>
  <si>
    <t xml:space="preserve">Description </t>
  </si>
  <si>
    <t xml:space="preserve">Claims are estimated on a monthly journal based on known differences. For Tax, claims are deducted when paid, creating a timing difference. </t>
  </si>
  <si>
    <t xml:space="preserve"> Unbilled revenues are generated because the billing cycle does not always coincide with the calendar month.  Avista's Resource Accounting department takes billed revenues, applies a calculation and estimates calandar revenues. The estimated piece of calendar reveunues is the ubilled revenue piece. </t>
  </si>
  <si>
    <t xml:space="preserve"> The first two entries booked through these temporary difference, and related DFIT accounts were related to a tentative settlement being reached with regards to building damage as a result of seepage from Colstrip¿s fresh water pond.  The third entry is to accrue a potential settlement offer pass through to mine owners for the Colstrip Coal Transportation Royalties issue between Western Energy Co and two agencies.  The settlement is contingent upon acceptance of WECO's offer by MDOR and USMMS.  </t>
  </si>
  <si>
    <t xml:space="preserve">In October 2007, we entered into a settlement with the State of Montana regarding the use of the Noxon Rapids and Cabinet Gorge hydroelectric projects located on the Clark Fork River.  The terms of the settlement require us to make rental payments.  These items are being treated as deferreds because Avista plans to seek deferred accounting treatment with the WUTC &amp; IPUC. </t>
  </si>
  <si>
    <t xml:space="preserve"> The parties have agreed to defer as a regulatory asset Idaho &amp; Washington¿s share of the depreciation/amortization associated with the relicensing costs and related protection, mitigation or enhancement expenditures in regards to the Spokane River settlement. </t>
  </si>
  <si>
    <t xml:space="preserve"> An encompassing settlement was reached with the Coeur D Alene Tribe on 12/16/2008 associated with past and ongoing storage of water on Tribal lands (South lake CDA-Post Falls Dam). </t>
  </si>
  <si>
    <t xml:space="preserve"> Upon adoption of SFAS 123R, compensation expense is recorded for the unvested Performance Share Awards over the remaining vesting period.  DFIT is recorded at 35%, as the expense is not deductible for the tax return until the awards are settled and cash is paid.  Upon settlement of the Performance Share Awards, the temporary difference should be relieved (DR 214050) and common stock should be issued (CR 201000) for the value of the award settled.  The corresponding DFIT will be reversed, and current FIT will be booked.  </t>
  </si>
  <si>
    <t xml:space="preserve">The awards outstanding under the performance share grants include a dividend component that is paid in cash.  This component of the performance share grants is accounted for as liability award under the guidance of SFAS 123R.  These liability awards are revalued on a quarterly basis taking into account the number of awards outstanding, historical dividend rate, and the change in the value of the Company¿s common stock relative to an external benchmark.  Over the life of these awards, the cumulative amount of compensation expense recognized will match the actual cash paid. </t>
  </si>
  <si>
    <t xml:space="preserve"> For book purposes, the monthly accrual is expensed.  But for tax return purposes, the cash paid is deducted.  This creates a timing difference and deferred tax asset. </t>
  </si>
  <si>
    <t>We take into account several different variables when booking, and truing-up, the DFIT on paid time off expenses: 9 ½ month payment estimate, O&amp;M percentages, true-ups, etc.  The temporary difference account is not used in its entirety; the change in the account is modified for the aforementioned variables.
The tax code states that paid time off (vacation) expenses are deductible if paid within 9 ½ months following the end of the tax year.  In addition, we only deduct the O&amp;M piece of our paid time off accrual; the Capital piece is capitalized.  Avista¿s O&amp;M estimate, based on prior year¿s tax returns, is 64%</t>
  </si>
  <si>
    <t xml:space="preserve">  In December 2007, Avista became a member of the Chicago Climate Exchange (CCX). The initial membership fee of $200,000 was paid in December 2007; annual membership fees of $35,000 thereafter.  
Idaho included the credits in the 2008 rate case, stipulating that the proceeds be amortized over two years. The Idaho portion is 35.41%. Determination of the Washington piece (64.59%)  </t>
  </si>
  <si>
    <t xml:space="preserve"> The Residential Exchange Program provides access to the benefits of low-cost federal hydroelectricity to residential and small-farm customers of the region¿s investor-owned utilities. The Bonneville Power Administration (BPA) administers the Residential Exchange Program. We have executed an agreement with the BPA in settlement of each party¿s rights and obligations related to the Residential Exchange Program for the period October 1, 2001 through September 30, 2011. The benefits that we receive under the agreement with the BPA are passed through directly to our residential and small-farm customers via a credit to their monthly electric bills. </t>
  </si>
  <si>
    <t xml:space="preserve">  In January, 2006 per docket UE-050482, the Wartsila Units had an unrecovered balance in WA of $1,531,344.25.  The unrecovered balance is being straight line amortized over the next 10 years.  </t>
  </si>
  <si>
    <t xml:space="preserve"> In September 2006, the Oregon Public Utility Commssion (OPUC) issued final rules related to Oregon SB408.  SB 408 states that if the difference between income taxes collected and paid applicable to Oregon utility operations exceeds $100,000, the difference must either be surcharged or rebated to customers.  </t>
  </si>
  <si>
    <t xml:space="preserve"> The investment in exchange power represents the Company¿s previous investment in Washington Public Power Supply System Project 3 (WNP-3), a nuclear project that was terminated prior to completion. Under a settlement agreement with the Bonneville Power Administration in 1985, Avista Utilities began receiving power in 1987, for a 32.5-year period, related to its investment in WNP-3. Through a settlement agreement with the Washington Utilities and Transportation Commission (WUTC) in the Washington jurisdiction, Avista Utilities is amortizing the recoverable portion of its investment in WNP-3 (recorded as investment in exchange power) over a 32.5 year period beginning in 1987.</t>
  </si>
  <si>
    <t xml:space="preserve">. Effective September 2004, as ordered by the Idaho Public Utilities Commission (IPUC) with order #29602, we began recording the 10 year levelized return on Coyote Springs 2 in Idaho. </t>
  </si>
  <si>
    <t xml:space="preserve"> The deferred compensation accrual is expensed monthly for book purposes, and not deducted on the tax return until paid.  Therefore, we have generated a timing difference that must be deferred upon.  Additionally, there is an unrealized G/(L) component that Corporate Accounting backs out to estimate the monthly Schedule M for deferred compensation.  The unrealized G/(L) worksheet is maintained by the Treasury &amp; Trust department.</t>
  </si>
  <si>
    <t xml:space="preserve"> The temporary difference account is not used in its entirety; only the O&amp;M piece of our medical/HRA accrual is deductible; the Capital piece is capitalized.  Avista's O&amp;M estimate, based on prior year's tax returns, is 64%.   Accordingly, the monthly pension accrual is deductible at 64% of the temporary difference account.  </t>
  </si>
  <si>
    <t xml:space="preserve">Tax Return Adjustment/adjustments </t>
  </si>
  <si>
    <t>Deduction for excercised stock options</t>
  </si>
  <si>
    <t xml:space="preserve">Sub To Corp </t>
  </si>
  <si>
    <t>Settlement of Stock Options</t>
  </si>
  <si>
    <t>401 K Deduction Rate Recon</t>
  </si>
  <si>
    <t>Mauafacturing Deduction- Rate Recon</t>
  </si>
  <si>
    <t>Other</t>
  </si>
  <si>
    <t>Benefits</t>
  </si>
  <si>
    <t>Lancaster Deferral Op</t>
  </si>
  <si>
    <t>CNC Transmission</t>
  </si>
  <si>
    <t>Def CS2 &amp; Colstrip</t>
  </si>
  <si>
    <t>Lidar O&amp;M Reg Def</t>
  </si>
  <si>
    <t>Smart Grid</t>
  </si>
  <si>
    <t>Oregon Reg Fee</t>
  </si>
  <si>
    <t>Roseburg/Medford</t>
  </si>
  <si>
    <t>Stock Options Exercised</t>
  </si>
  <si>
    <t>2010 Tax Refund Applied to 2011</t>
  </si>
  <si>
    <t>2011 Estimates Paid in 2011</t>
  </si>
  <si>
    <t>Misc Tax Adjustments</t>
  </si>
  <si>
    <t>2010 Vintage</t>
  </si>
  <si>
    <t xml:space="preserve"> The Roseburg Reinforcement Project improves the delivery pressure and capacity of natural gas supplies into central and east Roseburg by extending a high pressure natural gas supply. </t>
  </si>
  <si>
    <t xml:space="preserve">Regional Transmission Organization Deposits. FERC Order No. 2000 required all utilities subject to FERC regulation to file a proposal form to a Regional Transmission Organization (RTO), or a description of efforts to participate in a RTO, and any existing obstacles to RTO participation.  Avista has been participating in discussions with utilities and others in the Pacific Northwest to develop the structure of an independently-governed transmission organization for the region.  The costs associated with this are deferred. </t>
  </si>
  <si>
    <t xml:space="preserve"> Lancaster Generation. The company will recognize monthly, the net cost of Lancaster based on daily and long term transactions, tracking both the net costs and benefits of operating the plant.  This account is specific to the Lancaster Power Purchase Agreement (PPA).</t>
  </si>
  <si>
    <t xml:space="preserve"> The Power Cost Adjustment (PCA) is the difference between Avista¿s actual cost of generating and purchasing power to serve customers and the cost currently included in customer base rates.  The difference is caused primarily by changes in purchase power and fuel costs and variations in hydro generations.  Avista files annually to increase or decrease the PCA rates.  </t>
  </si>
  <si>
    <t>Contributions in Aid of Construction</t>
  </si>
  <si>
    <t>New construction/customer's temporary service fees</t>
  </si>
  <si>
    <t xml:space="preserve">The Purchased Gas Adjustment (PGA) records changes in the cost of natural gas purchased by Avista to serve customers.  Avista files annually to increase or decrease the PGA rates.  </t>
  </si>
  <si>
    <t xml:space="preserve"> Energy Recovery Mechanism (ERM) is the difference between Avista¿s actual cost of generating and purchasing power to serve customers and the cost currently included in customer base rates.  The difference is caused primarily by changes in purchase power and fuel costs, as well as variations in hydro generation.  Avista can file periodically to change the surcharge rates and deferrals.   186280,290</t>
  </si>
  <si>
    <t xml:space="preserve">Gas costs associated with the Boulder Park plant.  As these costs were not allowed in rate base, a deferred tax asset was setup and will be amortized over 25 years.  </t>
  </si>
  <si>
    <t xml:space="preserve">Monthly pension accrual.  The monthly accrual is deductable at 65% of the temporary difference.  </t>
  </si>
  <si>
    <t>Kettle Falls Disallowed Plant- amortization through 2018</t>
  </si>
  <si>
    <t xml:space="preserve"> The Clark Fork PM&amp;E journal records the allowed expenses of the Clark Fork Settlement Agreement expenditures for Idaho.  </t>
  </si>
  <si>
    <t>Avista orginally owned the corporate headquarters office building and central operating facily in Spokane Since 1958.  These facilities were sold in 1986 and leased back for a term of 25 years (thru 2011).  The gain on sale was deferred and amortized over the 25 year period, to correspond with the term of the lease.</t>
  </si>
  <si>
    <t xml:space="preserve"> Decoupling is a mechanism allowing Avista to separate in rates its fixed costs from the costs of purchasing natural gas to serve customers.  Decoupling allows the company to recover a portion of fixed costs not recovered because of reduced energy usage by customers.  </t>
  </si>
  <si>
    <t xml:space="preserve"> The Interest Rate Swap Amortizations originate as interest rate settlements, and are amortized over the life of the issued debt.  Swaps will be amortized over a 10 year period. </t>
  </si>
  <si>
    <t xml:space="preserve"> The DFIT on FMB &amp; MTN Debt is generated through debt reacquisition, unamortized issuance costs, and/or any premiums paid on debt.  These items are deductible for tax, and are fully deferred on.  
The PCB DFIT is a fixed amount based on a schedule from Damien Lysiak, Treasury &amp; Trust.  The amount is expected to change in January 2009.  The amount rarely changes, but period inquiry should occur
</t>
  </si>
  <si>
    <t>Avista agreed to credit DSIT to electric customers over two years to help offset the rate impact, and for one year to help offset a portion year natural gas rate increase. The deferral will be amortized as the refunds are passed on to customers</t>
  </si>
  <si>
    <t>Allowed 50% of Employee Business Meals</t>
  </si>
  <si>
    <t>Interest on Oregon Business Energy Tax Credits</t>
  </si>
  <si>
    <t>Oregon Business Energy Tax Credits- Adjustment for deduction 87% of purchased credits only</t>
  </si>
  <si>
    <t>Domestic Production Activities Deduction. Businesses with "qualified production activities" can take a tax deduction of a certain % depending on the calendar year from net income.</t>
  </si>
  <si>
    <t>201112 End Bal</t>
  </si>
  <si>
    <t>Employee Stock Ownership Plan's Dividends that are reinvested by the employee</t>
  </si>
  <si>
    <t>Political Contributions/lobbying expenses incurred</t>
  </si>
  <si>
    <t xml:space="preserve">Tax Free Reimbursement. This was for cumulative health benefits incurred and paid for an early retiree.  </t>
  </si>
  <si>
    <t>To amortize refund for overpayment of the Rathdrum Turbine Construction's Sale Tax for a period of 2-95 thru 1-20</t>
  </si>
  <si>
    <t>Customer Uncollectables</t>
  </si>
  <si>
    <t>Greater than 12 month</t>
  </si>
  <si>
    <t>Corp</t>
  </si>
  <si>
    <t>Turnaround</t>
  </si>
  <si>
    <t>12 months or less</t>
  </si>
  <si>
    <t xml:space="preserve"> The Power Cost Adjustment (PCA) is the difference between Avista's actual cost of generating and purchasing power to serve customers and the cost currently included in customer base rates.  The difference is caused primarily by changes in purchase power and fuel costs and variations in hydro generations.  Avista files annually to increase or decrease the PCA rates.  </t>
  </si>
  <si>
    <t xml:space="preserve"> Energy Recovery Mechanism (ERM) is the difference between Avista's actual cost of generating and purchasing power to serve customers and the cost currently included in customer base rates.  The difference is caused primarily by changes in purchase power and fuel costs, as well as variations in hydro generation.  Avista can file periodically to change the surcharge rates and deferrals.   186280,290</t>
  </si>
  <si>
    <t>Greater than 12 months</t>
  </si>
  <si>
    <t xml:space="preserve">A. This account shall include the tax deferrals resulting from adoption of the principle of comprehensive interperiod income tax allocation described in General Instruction 18 of this system of accounts which are related to all property other than accelerated amortization property.B. This account shall be credited and accounts 410.1, Provision for Deferred Income Taxes, Utility Operating Income, or 410.2, Provision for Deferred Income Taxes, Other Income and Deductions, as appropriate, shall be debited with tax effects related to property described in paragraph A above where taxable income is lower than pretax accounting income </t>
  </si>
  <si>
    <t>Non Monetary exchanges and storage of energy</t>
  </si>
  <si>
    <t xml:space="preserve">Current </t>
  </si>
  <si>
    <t>Effective Tax Rate</t>
  </si>
  <si>
    <t>ARAM</t>
  </si>
  <si>
    <t>Contract Amortization between Spokane Energy/PGE and Avista</t>
  </si>
  <si>
    <t>Current</t>
  </si>
  <si>
    <t>Operating/</t>
  </si>
  <si>
    <t>Non-Operating</t>
  </si>
  <si>
    <t>Non-Op</t>
  </si>
  <si>
    <t>Operating</t>
  </si>
  <si>
    <t xml:space="preserve">  The IRS position is that costs must be capitalized and amortized for income tax purposes. </t>
  </si>
  <si>
    <t xml:space="preserve">  An oil spill was discovered at Noxon on Feb 26, 2009.  The spill is known and measurable event since it has occurred in the past, and costs can be estimated for the environmental remediation efforts. </t>
  </si>
  <si>
    <t xml:space="preserve">During 2005, Avista had a Northeast Combustion Turbine Oil Spill, which has environmental remediation repercussions. In Sept, 2005, Avista recorded the intitial remediation accrual and related DFIT.  Avista also recorded amounts in anticipation of recoveries from the spill. Since that time, the accrual has been increased, decreased, paid down, etc </t>
  </si>
  <si>
    <t>Avista owns the airplane for Tax Depreciation purposes- it is a lease for book purposes only.</t>
  </si>
  <si>
    <t xml:space="preserve"> The tribe sued because they alleged the dams were damaging fish runs. Per the settlement, Avista set up a regulatory liability and agreement dictating the accounting treatment. WA &amp; ID have different treatments. </t>
  </si>
  <si>
    <t xml:space="preserve">The supplemental executive retirement plan benefit accrual is made on a monthly basis, with estimates received from Watson Wyatt, our plan administrator.  The deferred arises because the actual for book purposes and the tax deduction (cash basis) create timing differences. </t>
  </si>
  <si>
    <t xml:space="preserve">In October 2007, we entered into a settlement with the State of Montana regarding the use of the Noxon Rapids and Cabinet Gorge hydroelectric projects located on the Clark Fork River.  The terms of the settlement require us to make rental payments.  These items are being treated as deferred items because Avista has approved deferred accounting treatment with the WUTC &amp; IPUC. </t>
  </si>
  <si>
    <t>Effective October 2011, pursuant to Order No. 32371, Avista began amortizing ID's portion of the CNC expenses in equal amounts over 36 months.</t>
  </si>
  <si>
    <t xml:space="preserve">The Washington Utilities and Transportation Commission (UTC) approved the Settlement Stipulation (Docket UE-110876) filed by the parties with an effective date of January 1, 2012, approving amortization of the Washington portion of the CNC expenses in equal amounts over 36 months beginning January 1, 2012. </t>
  </si>
  <si>
    <r>
      <t>With the settlement of the WA Rate Case on December 16</t>
    </r>
    <r>
      <rPr>
        <vertAlign val="superscript"/>
        <sz val="10"/>
        <rFont val="Arial"/>
        <family val="2"/>
      </rPr>
      <t>th</t>
    </r>
    <r>
      <rPr>
        <sz val="10"/>
        <rFont val="Arial"/>
        <family val="2"/>
      </rPr>
      <t>, 2011 detailing deferral accounting treatment for transmission related NERC compliance costs, the company intends to apply ASC Topic 980.  Amortization of the deferred balance began in January 2012 with approximately 1/36 per month of the total dollars to be spent for 36 months until this treatment is superseded, suspended, or cancelled by regulatory order.  The ID portion of the TLRC plan costs, based on the production transmission ratio, will be recorded and expensed as incurred</t>
    </r>
  </si>
  <si>
    <t xml:space="preserve">The regulatory fee was reset from .25 percent to .15 percent. Each electric and natural gas public utility must defer the difference between the fees payment calculated at .25 percent and .15 percent.  By July 1, 2010 each electric and gas utility must submit a proposal and request to amortize all or a portion of the deferral. </t>
  </si>
  <si>
    <t xml:space="preserve">Penalties we have incurred </t>
  </si>
  <si>
    <t>Penalties we have accrued</t>
  </si>
  <si>
    <t xml:space="preserve">Regional Transmission Organization Deposits. FERC Order No. 2000 required all utilities subject to FERC regulation to file a proposal to form a Regional Transmission Organization (RTO), or a description of efforts to participate in a RTO, and any existing obstacles to RTO participation.  Avista has been participating in discussions with utilities and others in the Pacific Northwest to develop the structure of an independently-governed transmission organization for the region.  The costs associated with this are deferred. </t>
  </si>
  <si>
    <t xml:space="preserve">Renewable energy production credit for efficiency improvements. The improvements are due to the replacement of a unit runner of the Noxon Rapids development.  </t>
  </si>
  <si>
    <t xml:space="preserve">Renewable energy production credit for efficiency improvements. The improvements are due to the replacement of a unit runner at the Noxon Rapids development.  </t>
  </si>
  <si>
    <t>2011</t>
  </si>
  <si>
    <t>Total Temporary Differences</t>
  </si>
  <si>
    <t>Total Schedule M Adjustments</t>
  </si>
</sst>
</file>

<file path=xl/styles.xml><?xml version="1.0" encoding="utf-8"?>
<styleSheet xmlns="http://schemas.openxmlformats.org/spreadsheetml/2006/main">
  <numFmts count="7">
    <numFmt numFmtId="41" formatCode="_(* #,##0_);_(* \(#,##0\);_(* &quot;-&quot;_);_(@_)"/>
    <numFmt numFmtId="43" formatCode="_(* #,##0.00_);_(* \(#,##0.00\);_(* &quot;-&quot;??_);_(@_)"/>
    <numFmt numFmtId="164" formatCode="_(* #,##0_);_(* \(#,##0\);_(* &quot;-&quot;??_);_(@_)"/>
    <numFmt numFmtId="165" formatCode="#.00"/>
    <numFmt numFmtId="166" formatCode="#."/>
    <numFmt numFmtId="167" formatCode="m\o\n\th\ d\,\ yyyy"/>
    <numFmt numFmtId="168" formatCode="mm/dd/yy;@"/>
  </numFmts>
  <fonts count="32">
    <font>
      <sz val="10"/>
      <name val="Courier"/>
    </font>
    <font>
      <sz val="10"/>
      <name val="Arial"/>
      <family val="2"/>
    </font>
    <font>
      <sz val="1"/>
      <color indexed="8"/>
      <name val="Courier"/>
      <family val="3"/>
    </font>
    <font>
      <b/>
      <sz val="1"/>
      <color indexed="8"/>
      <name val="Courier"/>
      <family val="3"/>
    </font>
    <font>
      <sz val="10"/>
      <name val="Times New Roman"/>
      <family val="1"/>
    </font>
    <font>
      <b/>
      <sz val="10"/>
      <name val="Times New Roman"/>
      <family val="1"/>
    </font>
    <font>
      <i/>
      <sz val="10"/>
      <name val="times new roman"/>
      <family val="1"/>
    </font>
    <font>
      <b/>
      <sz val="10"/>
      <color indexed="22"/>
      <name val="Times New Roman"/>
      <family val="1"/>
    </font>
    <font>
      <sz val="10"/>
      <color indexed="81"/>
      <name val="Tahoma"/>
      <family val="2"/>
    </font>
    <font>
      <b/>
      <sz val="10"/>
      <color indexed="81"/>
      <name val="Tahoma"/>
      <family val="2"/>
    </font>
    <font>
      <sz val="10"/>
      <color indexed="8"/>
      <name val="Times New Roman"/>
      <family val="1"/>
    </font>
    <font>
      <sz val="12"/>
      <color indexed="8"/>
      <name val="Times New Roman"/>
      <family val="2"/>
    </font>
    <font>
      <sz val="12"/>
      <color indexed="47"/>
      <name val="Times New Roman"/>
      <family val="2"/>
    </font>
    <font>
      <sz val="12"/>
      <color indexed="20"/>
      <name val="Times New Roman"/>
      <family val="2"/>
    </font>
    <font>
      <b/>
      <sz val="12"/>
      <color indexed="10"/>
      <name val="Times New Roman"/>
      <family val="2"/>
    </font>
    <font>
      <b/>
      <sz val="12"/>
      <color indexed="47"/>
      <name val="Times New Roman"/>
      <family val="2"/>
    </font>
    <font>
      <i/>
      <sz val="12"/>
      <color indexed="23"/>
      <name val="Times New Roman"/>
      <family val="2"/>
    </font>
    <font>
      <sz val="12"/>
      <color indexed="17"/>
      <name val="Times New Roman"/>
      <family val="2"/>
    </font>
    <font>
      <b/>
      <sz val="15"/>
      <color indexed="62"/>
      <name val="Times New Roman"/>
      <family val="2"/>
    </font>
    <font>
      <b/>
      <sz val="13"/>
      <color indexed="62"/>
      <name val="Times New Roman"/>
      <family val="2"/>
    </font>
    <font>
      <b/>
      <sz val="11"/>
      <color indexed="62"/>
      <name val="Times New Roman"/>
      <family val="2"/>
    </font>
    <font>
      <sz val="12"/>
      <color indexed="62"/>
      <name val="Times New Roman"/>
      <family val="2"/>
    </font>
    <font>
      <sz val="12"/>
      <color indexed="10"/>
      <name val="Times New Roman"/>
      <family val="2"/>
    </font>
    <font>
      <sz val="12"/>
      <color indexed="19"/>
      <name val="Times New Roman"/>
      <family val="2"/>
    </font>
    <font>
      <sz val="10"/>
      <name val="Courier"/>
      <family val="3"/>
    </font>
    <font>
      <b/>
      <sz val="12"/>
      <color indexed="63"/>
      <name val="Times New Roman"/>
      <family val="2"/>
    </font>
    <font>
      <b/>
      <sz val="18"/>
      <color indexed="62"/>
      <name val="Cambria"/>
      <family val="2"/>
    </font>
    <font>
      <sz val="12"/>
      <name val="Times New Roman"/>
      <family val="1"/>
    </font>
    <font>
      <sz val="10"/>
      <color rgb="FF000000"/>
      <name val="Arial"/>
      <family val="2"/>
    </font>
    <font>
      <b/>
      <sz val="10"/>
      <name val="Arial"/>
      <family val="2"/>
    </font>
    <font>
      <i/>
      <sz val="10"/>
      <name val="Arial"/>
      <family val="2"/>
    </font>
    <font>
      <vertAlign val="superscript"/>
      <sz val="10"/>
      <name val="Arial"/>
      <family val="2"/>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22"/>
      </left>
      <right/>
      <top style="thin">
        <color indexed="22"/>
      </top>
      <bottom style="thin">
        <color indexed="22"/>
      </bottom>
      <diagonal/>
    </border>
  </borders>
  <cellStyleXfs count="49">
    <xf numFmtId="37"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11"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4" fillId="16" borderId="1" applyNumberFormat="0" applyAlignment="0" applyProtection="0"/>
    <xf numFmtId="0" fontId="15" fillId="17" borderId="2" applyNumberFormat="0" applyAlignment="0" applyProtection="0"/>
    <xf numFmtId="43" fontId="1" fillId="0" borderId="0" applyFont="0" applyFill="0" applyBorder="0" applyAlignment="0" applyProtection="0"/>
    <xf numFmtId="167" fontId="2" fillId="0" borderId="0">
      <protection locked="0"/>
    </xf>
    <xf numFmtId="0" fontId="16" fillId="0" borderId="0" applyNumberFormat="0" applyFill="0" applyBorder="0" applyAlignment="0" applyProtection="0"/>
    <xf numFmtId="165" fontId="2" fillId="0" borderId="0">
      <protection locked="0"/>
    </xf>
    <xf numFmtId="0" fontId="17" fillId="6"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166" fontId="3" fillId="0" borderId="0">
      <protection locked="0"/>
    </xf>
    <xf numFmtId="166" fontId="3" fillId="0" borderId="0">
      <protection locked="0"/>
    </xf>
    <xf numFmtId="0" fontId="21" fillId="7" borderId="1" applyNumberFormat="0" applyAlignment="0" applyProtection="0"/>
    <xf numFmtId="0" fontId="22" fillId="0" borderId="6" applyNumberFormat="0" applyFill="0" applyAlignment="0" applyProtection="0"/>
    <xf numFmtId="0" fontId="23" fillId="7" borderId="0" applyNumberFormat="0" applyBorder="0" applyAlignment="0" applyProtection="0"/>
    <xf numFmtId="0" fontId="27" fillId="0" borderId="0"/>
    <xf numFmtId="0" fontId="24" fillId="4" borderId="7" applyNumberFormat="0" applyFont="0" applyAlignment="0" applyProtection="0"/>
    <xf numFmtId="0" fontId="25" fillId="16"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166" fontId="2" fillId="0" borderId="9">
      <protection locked="0"/>
    </xf>
    <xf numFmtId="0" fontId="22" fillId="0" borderId="0" applyNumberFormat="0" applyFill="0" applyBorder="0" applyAlignment="0" applyProtection="0"/>
  </cellStyleXfs>
  <cellXfs count="64">
    <xf numFmtId="37" fontId="0" fillId="0" borderId="0" xfId="0"/>
    <xf numFmtId="37" fontId="4" fillId="0" borderId="0" xfId="0" applyFont="1" applyFill="1"/>
    <xf numFmtId="37" fontId="5" fillId="0" borderId="0" xfId="0" applyFont="1" applyFill="1" applyAlignment="1">
      <alignment horizontal="left"/>
    </xf>
    <xf numFmtId="168" fontId="5" fillId="0" borderId="0" xfId="0" quotePrefix="1" applyNumberFormat="1" applyFont="1" applyFill="1" applyAlignment="1">
      <alignment horizontal="left"/>
    </xf>
    <xf numFmtId="41" fontId="4" fillId="0" borderId="0" xfId="0" applyNumberFormat="1" applyFont="1" applyFill="1"/>
    <xf numFmtId="37" fontId="4" fillId="0" borderId="10" xfId="0" applyFont="1" applyFill="1" applyBorder="1"/>
    <xf numFmtId="37" fontId="5" fillId="0" borderId="0" xfId="0" applyFont="1" applyFill="1"/>
    <xf numFmtId="37" fontId="5" fillId="0" borderId="0" xfId="0" applyFont="1" applyFill="1" applyAlignment="1">
      <alignment horizontal="center"/>
    </xf>
    <xf numFmtId="41" fontId="4" fillId="0" borderId="11" xfId="28" applyNumberFormat="1" applyFont="1" applyFill="1" applyBorder="1"/>
    <xf numFmtId="37" fontId="5" fillId="0" borderId="7" xfId="0" applyFont="1" applyFill="1" applyBorder="1"/>
    <xf numFmtId="37" fontId="4" fillId="0" borderId="7" xfId="0" applyFont="1" applyFill="1" applyBorder="1"/>
    <xf numFmtId="41" fontId="4" fillId="0" borderId="7" xfId="0" applyNumberFormat="1" applyFont="1" applyFill="1" applyBorder="1"/>
    <xf numFmtId="37" fontId="4" fillId="0" borderId="0" xfId="0" applyFont="1" applyFill="1" applyBorder="1" applyAlignment="1">
      <alignment horizontal="left" indent="1"/>
    </xf>
    <xf numFmtId="41" fontId="4" fillId="0" borderId="7" xfId="28" applyNumberFormat="1" applyFont="1" applyFill="1" applyBorder="1"/>
    <xf numFmtId="41" fontId="4" fillId="0" borderId="0" xfId="28" applyNumberFormat="1" applyFont="1" applyFill="1" applyBorder="1"/>
    <xf numFmtId="41" fontId="4" fillId="0" borderId="0" xfId="28" applyNumberFormat="1" applyFont="1" applyFill="1"/>
    <xf numFmtId="41" fontId="5" fillId="0" borderId="0" xfId="0" applyNumberFormat="1" applyFont="1" applyFill="1"/>
    <xf numFmtId="41" fontId="5" fillId="0" borderId="0" xfId="0" applyNumberFormat="1" applyFont="1" applyFill="1" applyBorder="1"/>
    <xf numFmtId="41" fontId="4" fillId="0" borderId="0" xfId="0" applyNumberFormat="1" applyFont="1" applyFill="1" applyBorder="1"/>
    <xf numFmtId="41" fontId="10" fillId="0" borderId="7" xfId="0" applyNumberFormat="1" applyFont="1" applyFill="1" applyBorder="1"/>
    <xf numFmtId="41" fontId="10" fillId="0" borderId="0" xfId="28" applyNumberFormat="1" applyFont="1" applyFill="1"/>
    <xf numFmtId="37" fontId="4" fillId="0" borderId="0" xfId="0" applyFont="1" applyFill="1" applyBorder="1"/>
    <xf numFmtId="10" fontId="4" fillId="0" borderId="0" xfId="45" applyNumberFormat="1" applyFont="1" applyFill="1"/>
    <xf numFmtId="37" fontId="6" fillId="0" borderId="7" xfId="0" applyFont="1" applyFill="1" applyBorder="1"/>
    <xf numFmtId="41" fontId="6" fillId="0" borderId="7" xfId="28" applyNumberFormat="1" applyFont="1" applyFill="1" applyBorder="1"/>
    <xf numFmtId="37" fontId="5" fillId="0" borderId="0" xfId="0" applyFont="1" applyFill="1" applyBorder="1"/>
    <xf numFmtId="37" fontId="5" fillId="0" borderId="10" xfId="0" applyFont="1" applyFill="1" applyBorder="1" applyAlignment="1">
      <alignment horizontal="center"/>
    </xf>
    <xf numFmtId="10" fontId="6" fillId="0" borderId="7" xfId="0" applyNumberFormat="1" applyFont="1" applyFill="1" applyBorder="1"/>
    <xf numFmtId="49" fontId="4" fillId="0" borderId="7" xfId="0" applyNumberFormat="1" applyFont="1" applyFill="1" applyBorder="1"/>
    <xf numFmtId="9" fontId="5" fillId="0" borderId="0" xfId="45" applyFont="1" applyFill="1" applyBorder="1" applyAlignment="1">
      <alignment horizontal="center"/>
    </xf>
    <xf numFmtId="37" fontId="4" fillId="0" borderId="0" xfId="0" applyFont="1" applyFill="1" applyAlignment="1">
      <alignment horizontal="center"/>
    </xf>
    <xf numFmtId="37" fontId="7" fillId="0" borderId="0" xfId="0" applyFont="1" applyFill="1"/>
    <xf numFmtId="41" fontId="4" fillId="0" borderId="11" xfId="0" applyNumberFormat="1" applyFont="1" applyFill="1" applyBorder="1"/>
    <xf numFmtId="41" fontId="4" fillId="0" borderId="0" xfId="45" applyNumberFormat="1" applyFont="1" applyFill="1" applyBorder="1"/>
    <xf numFmtId="164" fontId="4" fillId="0" borderId="0" xfId="42" applyNumberFormat="1" applyFont="1" applyFill="1"/>
    <xf numFmtId="41" fontId="4" fillId="0" borderId="9" xfId="0" applyNumberFormat="1" applyFont="1" applyFill="1" applyBorder="1"/>
    <xf numFmtId="37" fontId="5" fillId="0" borderId="0" xfId="0" applyFont="1" applyFill="1" applyBorder="1" applyAlignment="1">
      <alignment horizontal="left" indent="1"/>
    </xf>
    <xf numFmtId="41" fontId="4" fillId="0" borderId="0" xfId="0" applyNumberFormat="1" applyFont="1" applyFill="1" applyBorder="1" applyAlignment="1">
      <alignment horizontal="left" indent="1"/>
    </xf>
    <xf numFmtId="37" fontId="4" fillId="0" borderId="0" xfId="0" applyFont="1" applyFill="1" applyBorder="1" applyAlignment="1">
      <alignment horizontal="left" indent="2"/>
    </xf>
    <xf numFmtId="164" fontId="4" fillId="0" borderId="0" xfId="28" applyNumberFormat="1" applyFont="1" applyFill="1" applyBorder="1" applyAlignment="1">
      <alignment horizontal="left" indent="1"/>
    </xf>
    <xf numFmtId="41" fontId="4" fillId="0" borderId="12" xfId="0" applyNumberFormat="1" applyFont="1" applyFill="1" applyBorder="1"/>
    <xf numFmtId="37" fontId="5" fillId="0" borderId="0" xfId="0" applyFont="1" applyFill="1" applyBorder="1" applyAlignment="1">
      <alignment horizontal="center"/>
    </xf>
    <xf numFmtId="0" fontId="5" fillId="0" borderId="0" xfId="0" applyNumberFormat="1" applyFont="1" applyFill="1" applyBorder="1" applyAlignment="1">
      <alignment horizontal="center"/>
    </xf>
    <xf numFmtId="37" fontId="4" fillId="0" borderId="0" xfId="0" applyFont="1" applyFill="1" applyBorder="1" applyAlignment="1">
      <alignment horizontal="center"/>
    </xf>
    <xf numFmtId="41" fontId="10" fillId="0" borderId="0" xfId="0" applyNumberFormat="1" applyFont="1" applyFill="1" applyBorder="1"/>
    <xf numFmtId="41" fontId="10" fillId="0" borderId="0" xfId="28" applyNumberFormat="1" applyFont="1" applyFill="1" applyBorder="1"/>
    <xf numFmtId="10" fontId="4" fillId="0" borderId="0" xfId="45" applyNumberFormat="1" applyFont="1" applyFill="1" applyBorder="1"/>
    <xf numFmtId="0" fontId="28" fillId="0" borderId="0" xfId="0" applyNumberFormat="1" applyFont="1" applyAlignment="1">
      <alignment wrapText="1"/>
    </xf>
    <xf numFmtId="0" fontId="28" fillId="0" borderId="0" xfId="0" applyNumberFormat="1" applyFont="1" applyFill="1" applyAlignment="1">
      <alignment wrapText="1"/>
    </xf>
    <xf numFmtId="9" fontId="4" fillId="0" borderId="0" xfId="0" applyNumberFormat="1" applyFont="1" applyFill="1" applyBorder="1" applyAlignment="1">
      <alignment horizontal="center"/>
    </xf>
    <xf numFmtId="41" fontId="4" fillId="0" borderId="0" xfId="0" applyNumberFormat="1" applyFont="1" applyFill="1" applyBorder="1" applyAlignment="1">
      <alignment horizontal="center"/>
    </xf>
    <xf numFmtId="41" fontId="4" fillId="0" borderId="0" xfId="28" applyNumberFormat="1" applyFont="1" applyFill="1" applyBorder="1" applyAlignment="1">
      <alignment horizontal="center"/>
    </xf>
    <xf numFmtId="37" fontId="1" fillId="0" borderId="0" xfId="0" applyFont="1" applyFill="1"/>
    <xf numFmtId="37" fontId="29" fillId="0" borderId="10" xfId="0" applyFont="1" applyFill="1" applyBorder="1" applyAlignment="1">
      <alignment horizontal="center"/>
    </xf>
    <xf numFmtId="37" fontId="29" fillId="0" borderId="0" xfId="0" applyFont="1" applyFill="1"/>
    <xf numFmtId="37" fontId="30" fillId="0" borderId="7" xfId="0" applyFont="1" applyFill="1" applyBorder="1"/>
    <xf numFmtId="10" fontId="30" fillId="0" borderId="7" xfId="0" applyNumberFormat="1" applyFont="1" applyFill="1" applyBorder="1"/>
    <xf numFmtId="37" fontId="1" fillId="0" borderId="7" xfId="0" applyFont="1" applyFill="1" applyBorder="1"/>
    <xf numFmtId="37" fontId="1" fillId="0" borderId="0" xfId="0" applyFont="1" applyFill="1" applyBorder="1"/>
    <xf numFmtId="37" fontId="1" fillId="0" borderId="0" xfId="0" applyFont="1" applyFill="1" applyBorder="1" applyAlignment="1">
      <alignment horizontal="left" indent="1"/>
    </xf>
    <xf numFmtId="41" fontId="10" fillId="0" borderId="12" xfId="0" applyNumberFormat="1" applyFont="1" applyFill="1" applyBorder="1"/>
    <xf numFmtId="41" fontId="4" fillId="0" borderId="12" xfId="28" applyNumberFormat="1" applyFont="1" applyFill="1" applyBorder="1"/>
    <xf numFmtId="41" fontId="6" fillId="0" borderId="12" xfId="28" applyNumberFormat="1" applyFont="1" applyFill="1" applyBorder="1"/>
    <xf numFmtId="41" fontId="4" fillId="0" borderId="0" xfId="45" applyNumberFormat="1" applyFont="1" applyFill="1"/>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Date" xfId="29"/>
    <cellStyle name="Explanatory Text" xfId="30" builtinId="53" customBuiltin="1"/>
    <cellStyle name="Fixed" xfId="3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eading1" xfId="37"/>
    <cellStyle name="Heading2" xfId="38"/>
    <cellStyle name="Input" xfId="39" builtinId="20" customBuiltin="1"/>
    <cellStyle name="Linked Cell" xfId="40" builtinId="24" customBuiltin="1"/>
    <cellStyle name="Neutral" xfId="41" builtinId="28" customBuiltin="1"/>
    <cellStyle name="Normal" xfId="0" builtinId="0"/>
    <cellStyle name="Normal_Rate Recon - Corp - 2007" xfId="42"/>
    <cellStyle name="Note" xfId="43" builtinId="10" customBuiltin="1"/>
    <cellStyle name="Output" xfId="44" builtinId="21" customBuiltin="1"/>
    <cellStyle name="Percent" xfId="45" builtinId="5"/>
    <cellStyle name="Title" xfId="46" builtinId="15" customBuiltin="1"/>
    <cellStyle name="Total" xfId="47" builtinId="25" customBuiltin="1"/>
    <cellStyle name="Warning Text" xfId="48" builtinId="11" customBuiltin="1"/>
  </cellStyles>
  <dxfs count="2">
    <dxf>
      <fill>
        <patternFill>
          <bgColor indexed="15"/>
        </patternFill>
      </fill>
    </dxf>
    <dxf>
      <fill>
        <patternFill>
          <bgColor indexed="1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99"/>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FF00"/>
    </mru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O142"/>
  <sheetViews>
    <sheetView tabSelected="1" view="pageBreakPreview" topLeftCell="A3" zoomScale="75" zoomScaleNormal="100" zoomScaleSheetLayoutView="75" workbookViewId="0">
      <pane xSplit="8" ySplit="5" topLeftCell="I8" activePane="bottomRight" state="frozen"/>
      <selection activeCell="A3" sqref="A3"/>
      <selection pane="topRight" activeCell="I3" sqref="I3"/>
      <selection pane="bottomLeft" activeCell="A8" sqref="A8"/>
      <selection pane="bottomRight" activeCell="A3" sqref="A3"/>
    </sheetView>
  </sheetViews>
  <sheetFormatPr defaultRowHeight="57" customHeight="1" outlineLevelCol="1"/>
  <cols>
    <col min="1" max="1" width="5.375" style="6" customWidth="1"/>
    <col min="2" max="2" width="3.625" style="6" customWidth="1"/>
    <col min="3" max="3" width="34.625" style="1" customWidth="1"/>
    <col min="4" max="4" width="2" style="1" customWidth="1" outlineLevel="1"/>
    <col min="5" max="5" width="2.375" style="1" customWidth="1" outlineLevel="1"/>
    <col min="6" max="6" width="1.375" style="1" customWidth="1" outlineLevel="1"/>
    <col min="7" max="7" width="57.5" style="52" customWidth="1" outlineLevel="1"/>
    <col min="8" max="8" width="1" style="1" customWidth="1"/>
    <col min="9" max="9" width="14.25" style="4" customWidth="1"/>
    <col min="10" max="10" width="10.5" style="4" bestFit="1" customWidth="1"/>
    <col min="11" max="11" width="14" style="4" bestFit="1" customWidth="1"/>
    <col min="12" max="12" width="1.25" style="4" customWidth="1"/>
    <col min="13" max="13" width="16.625" style="18" bestFit="1" customWidth="1"/>
    <col min="14" max="14" width="1.125" style="18" customWidth="1"/>
    <col min="15" max="15" width="13.125" style="18" bestFit="1" customWidth="1"/>
    <col min="16" max="16" width="1.5" style="18" customWidth="1"/>
    <col min="17" max="17" width="13.125" style="18" customWidth="1"/>
    <col min="18" max="18" width="2.5" style="18" customWidth="1"/>
    <col min="19" max="19" width="14.5" style="18" customWidth="1"/>
    <col min="20" max="20" width="2" style="18" customWidth="1"/>
    <col min="21" max="21" width="13.125" style="18" customWidth="1"/>
    <col min="22" max="22" width="2" style="18" customWidth="1"/>
    <col min="23" max="23" width="14.125" style="18" customWidth="1"/>
    <col min="24" max="24" width="2" style="18" customWidth="1" outlineLevel="1"/>
    <col min="25" max="41" width="9" style="18"/>
    <col min="42" max="16384" width="9" style="4"/>
  </cols>
  <sheetData>
    <row r="1" spans="1:41" s="1" customFormat="1" ht="19.5" customHeight="1">
      <c r="A1" s="2" t="s">
        <v>62</v>
      </c>
      <c r="B1" s="2"/>
      <c r="G1" s="52"/>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row>
    <row r="2" spans="1:41" s="1" customFormat="1" ht="18" customHeight="1">
      <c r="A2" s="2" t="s">
        <v>59</v>
      </c>
      <c r="B2" s="2"/>
      <c r="G2" s="52"/>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row>
    <row r="3" spans="1:41" s="1" customFormat="1" ht="24.75" customHeight="1">
      <c r="A3" s="6" t="s">
        <v>60</v>
      </c>
      <c r="B3" s="6"/>
      <c r="G3" s="52"/>
      <c r="I3" s="7" t="s">
        <v>63</v>
      </c>
      <c r="J3" s="7"/>
      <c r="K3" s="7"/>
      <c r="M3" s="41"/>
      <c r="N3" s="41"/>
      <c r="O3" s="41"/>
      <c r="P3" s="41"/>
      <c r="Q3" s="41"/>
      <c r="R3" s="41"/>
      <c r="S3" s="41"/>
      <c r="T3" s="21"/>
      <c r="U3" s="21"/>
      <c r="V3" s="21"/>
      <c r="W3" s="29"/>
      <c r="X3" s="21"/>
      <c r="Y3" s="21"/>
      <c r="Z3" s="21"/>
      <c r="AA3" s="21"/>
      <c r="AB3" s="21"/>
      <c r="AC3" s="21"/>
      <c r="AD3" s="21"/>
      <c r="AE3" s="21"/>
      <c r="AF3" s="21"/>
      <c r="AG3" s="21"/>
      <c r="AH3" s="21"/>
      <c r="AI3" s="21"/>
      <c r="AJ3" s="21"/>
      <c r="AK3" s="21"/>
      <c r="AL3" s="21"/>
      <c r="AM3" s="21"/>
      <c r="AN3" s="21"/>
      <c r="AO3" s="21"/>
    </row>
    <row r="4" spans="1:41" s="1" customFormat="1" ht="17.25" customHeight="1">
      <c r="A4" s="6"/>
      <c r="B4" s="6"/>
      <c r="G4" s="52"/>
      <c r="I4" s="7" t="s">
        <v>157</v>
      </c>
      <c r="J4" s="7"/>
      <c r="K4" s="7"/>
      <c r="M4" s="41" t="s">
        <v>164</v>
      </c>
      <c r="N4" s="41"/>
      <c r="O4" s="41" t="s">
        <v>176</v>
      </c>
      <c r="P4" s="41"/>
      <c r="Q4" s="41"/>
      <c r="R4" s="41"/>
      <c r="S4" s="41"/>
      <c r="T4" s="21"/>
      <c r="U4" s="21"/>
      <c r="V4" s="21"/>
      <c r="W4" s="29"/>
      <c r="X4" s="21"/>
      <c r="Y4" s="21"/>
      <c r="Z4" s="21"/>
      <c r="AA4" s="21"/>
      <c r="AB4" s="21"/>
      <c r="AC4" s="21"/>
      <c r="AD4" s="21"/>
      <c r="AE4" s="21"/>
      <c r="AF4" s="21"/>
      <c r="AG4" s="21"/>
      <c r="AH4" s="21"/>
      <c r="AI4" s="21"/>
      <c r="AJ4" s="21"/>
      <c r="AK4" s="21"/>
      <c r="AL4" s="21"/>
      <c r="AM4" s="21"/>
      <c r="AN4" s="21"/>
      <c r="AO4" s="21"/>
    </row>
    <row r="5" spans="1:41" s="30" customFormat="1" ht="18.75" customHeight="1">
      <c r="A5" s="3" t="s">
        <v>197</v>
      </c>
      <c r="B5" s="3"/>
      <c r="C5" s="1"/>
      <c r="D5" s="1"/>
      <c r="E5" s="1"/>
      <c r="F5" s="1"/>
      <c r="G5" s="53" t="s">
        <v>97</v>
      </c>
      <c r="H5" s="1"/>
      <c r="I5" s="26" t="s">
        <v>19</v>
      </c>
      <c r="J5" s="26" t="s">
        <v>180</v>
      </c>
      <c r="K5" s="26" t="s">
        <v>178</v>
      </c>
      <c r="L5" s="5"/>
      <c r="M5" s="42" t="s">
        <v>165</v>
      </c>
      <c r="N5" s="42"/>
      <c r="O5" s="41" t="s">
        <v>173</v>
      </c>
      <c r="P5" s="41"/>
      <c r="Q5" s="41"/>
      <c r="R5" s="41"/>
      <c r="S5" s="41"/>
      <c r="T5" s="21"/>
      <c r="U5" s="41"/>
      <c r="V5" s="21"/>
      <c r="W5" s="41"/>
      <c r="X5" s="21"/>
      <c r="Y5" s="43"/>
      <c r="Z5" s="43"/>
      <c r="AA5" s="43"/>
      <c r="AB5" s="43"/>
      <c r="AC5" s="43"/>
      <c r="AD5" s="43"/>
      <c r="AE5" s="43"/>
      <c r="AF5" s="43"/>
      <c r="AG5" s="43"/>
      <c r="AH5" s="43"/>
      <c r="AI5" s="43"/>
      <c r="AJ5" s="43"/>
      <c r="AK5" s="43"/>
      <c r="AL5" s="43"/>
      <c r="AM5" s="43"/>
      <c r="AN5" s="43"/>
      <c r="AO5" s="43"/>
    </row>
    <row r="6" spans="1:41" ht="15.75" customHeight="1"/>
    <row r="7" spans="1:41" ht="15.75" customHeight="1">
      <c r="C7" s="1" t="s">
        <v>0</v>
      </c>
      <c r="I7" s="4">
        <v>-138867063</v>
      </c>
    </row>
    <row r="8" spans="1:41" ht="15.75" customHeight="1">
      <c r="C8" s="1" t="s">
        <v>20</v>
      </c>
      <c r="I8" s="4">
        <v>0</v>
      </c>
    </row>
    <row r="9" spans="1:41" ht="15.75" customHeight="1">
      <c r="C9" s="1" t="s">
        <v>21</v>
      </c>
      <c r="I9" s="4">
        <v>0</v>
      </c>
    </row>
    <row r="10" spans="1:41" ht="15.75" customHeight="1">
      <c r="C10" s="1" t="s">
        <v>61</v>
      </c>
      <c r="I10" s="4">
        <v>0</v>
      </c>
    </row>
    <row r="11" spans="1:41" ht="15.75" customHeight="1">
      <c r="I11" s="14"/>
      <c r="J11" s="14"/>
      <c r="K11" s="14"/>
      <c r="P11" s="14"/>
      <c r="Q11" s="14"/>
      <c r="R11" s="14"/>
    </row>
    <row r="12" spans="1:41" ht="15.75" customHeight="1">
      <c r="C12" s="6" t="s">
        <v>0</v>
      </c>
      <c r="I12" s="8">
        <f>+SUM(I7:I11)</f>
        <v>-138867063</v>
      </c>
      <c r="J12" s="14"/>
      <c r="K12" s="14"/>
      <c r="P12" s="14"/>
      <c r="Q12" s="14"/>
      <c r="R12" s="14"/>
      <c r="U12" s="14"/>
    </row>
    <row r="13" spans="1:41" ht="15.75" customHeight="1"/>
    <row r="14" spans="1:41" ht="15.75" customHeight="1">
      <c r="A14" s="6" t="s">
        <v>1</v>
      </c>
    </row>
    <row r="15" spans="1:41" ht="27.75" customHeight="1">
      <c r="A15" s="9"/>
      <c r="B15" s="9"/>
      <c r="C15" s="10" t="s">
        <v>58</v>
      </c>
      <c r="D15" s="10"/>
      <c r="E15" s="10"/>
      <c r="F15" s="10"/>
      <c r="G15" s="47" t="s">
        <v>158</v>
      </c>
      <c r="H15" s="10"/>
      <c r="I15" s="11">
        <v>1482425</v>
      </c>
      <c r="J15" s="40"/>
      <c r="K15" s="40">
        <f>I15</f>
        <v>1482425</v>
      </c>
      <c r="L15" s="40"/>
      <c r="O15" s="49">
        <v>0.35</v>
      </c>
    </row>
    <row r="16" spans="1:41" ht="15.75" customHeight="1">
      <c r="A16" s="9"/>
      <c r="B16" s="9"/>
      <c r="C16" s="10" t="s">
        <v>22</v>
      </c>
      <c r="D16" s="10"/>
      <c r="E16" s="10"/>
      <c r="F16" s="10"/>
      <c r="G16" s="47" t="s">
        <v>193</v>
      </c>
      <c r="H16" s="10"/>
      <c r="I16" s="11">
        <v>-281762</v>
      </c>
      <c r="J16" s="40"/>
      <c r="K16" s="40">
        <f t="shared" ref="K16:K19" si="0">I16</f>
        <v>-281762</v>
      </c>
      <c r="L16" s="40"/>
      <c r="O16" s="49">
        <v>0.35</v>
      </c>
    </row>
    <row r="17" spans="1:23" s="18" customFormat="1" ht="15" customHeight="1">
      <c r="A17" s="9"/>
      <c r="B17" s="9"/>
      <c r="C17" s="10" t="s">
        <v>7</v>
      </c>
      <c r="D17" s="10"/>
      <c r="E17" s="10"/>
      <c r="F17" s="10"/>
      <c r="G17" s="47" t="s">
        <v>159</v>
      </c>
      <c r="H17" s="10"/>
      <c r="I17" s="19">
        <v>-1186022</v>
      </c>
      <c r="J17" s="60"/>
      <c r="K17" s="40">
        <f t="shared" si="0"/>
        <v>-1186022</v>
      </c>
      <c r="L17" s="40"/>
      <c r="O17" s="49">
        <v>0.35</v>
      </c>
      <c r="Q17" s="44"/>
      <c r="R17" s="44"/>
    </row>
    <row r="18" spans="1:23" s="18" customFormat="1" ht="30" customHeight="1">
      <c r="A18" s="9"/>
      <c r="B18" s="9"/>
      <c r="C18" s="10" t="s">
        <v>123</v>
      </c>
      <c r="D18" s="10"/>
      <c r="E18" s="10"/>
      <c r="F18" s="10"/>
      <c r="G18" s="47" t="s">
        <v>160</v>
      </c>
      <c r="H18" s="10"/>
      <c r="I18" s="19">
        <v>432325</v>
      </c>
      <c r="J18" s="60"/>
      <c r="K18" s="40">
        <f t="shared" si="0"/>
        <v>432325</v>
      </c>
      <c r="L18" s="40"/>
      <c r="O18" s="49">
        <v>0.35</v>
      </c>
      <c r="Q18" s="44"/>
      <c r="R18" s="44"/>
    </row>
    <row r="19" spans="1:23" s="18" customFormat="1" ht="46.5" customHeight="1">
      <c r="A19" s="9"/>
      <c r="B19" s="9"/>
      <c r="C19" s="10" t="s">
        <v>70</v>
      </c>
      <c r="D19" s="10"/>
      <c r="E19" s="10"/>
      <c r="F19" s="10"/>
      <c r="G19" s="47" t="s">
        <v>106</v>
      </c>
      <c r="H19" s="10"/>
      <c r="I19" s="19">
        <v>1270217</v>
      </c>
      <c r="J19" s="60"/>
      <c r="K19" s="40">
        <f t="shared" si="0"/>
        <v>1270217</v>
      </c>
      <c r="L19" s="40"/>
      <c r="O19" s="49">
        <v>0.35</v>
      </c>
      <c r="Q19" s="44"/>
      <c r="R19" s="44"/>
    </row>
    <row r="20" spans="1:23" s="18" customFormat="1" ht="18.75" customHeight="1">
      <c r="A20" s="9"/>
      <c r="B20" s="9"/>
      <c r="C20" s="10" t="s">
        <v>10</v>
      </c>
      <c r="D20" s="10"/>
      <c r="E20" s="10"/>
      <c r="F20" s="10"/>
      <c r="G20" s="47" t="s">
        <v>153</v>
      </c>
      <c r="H20" s="10"/>
      <c r="I20" s="19">
        <v>-460912</v>
      </c>
      <c r="J20" s="60">
        <f>I20</f>
        <v>-460912</v>
      </c>
      <c r="K20" s="60"/>
      <c r="L20" s="40"/>
      <c r="O20" s="49">
        <v>0.35</v>
      </c>
      <c r="Q20" s="44"/>
      <c r="R20" s="44"/>
    </row>
    <row r="21" spans="1:23" s="18" customFormat="1" ht="21" customHeight="1">
      <c r="A21" s="9"/>
      <c r="B21" s="9"/>
      <c r="C21" s="10" t="s">
        <v>8</v>
      </c>
      <c r="D21" s="10"/>
      <c r="E21" s="10"/>
      <c r="F21" s="10"/>
      <c r="G21" s="47" t="s">
        <v>154</v>
      </c>
      <c r="H21" s="10"/>
      <c r="I21" s="19">
        <v>3846</v>
      </c>
      <c r="J21" s="60"/>
      <c r="K21" s="60">
        <f>I21</f>
        <v>3846</v>
      </c>
      <c r="L21" s="40"/>
      <c r="O21" s="49">
        <v>0.35</v>
      </c>
      <c r="Q21" s="44"/>
      <c r="R21" s="44"/>
    </row>
    <row r="22" spans="1:23" s="18" customFormat="1" ht="27.75" customHeight="1">
      <c r="A22" s="9"/>
      <c r="B22" s="9"/>
      <c r="C22" s="10" t="s">
        <v>64</v>
      </c>
      <c r="D22" s="10"/>
      <c r="E22" s="10"/>
      <c r="F22" s="10"/>
      <c r="G22" s="47" t="s">
        <v>155</v>
      </c>
      <c r="H22" s="10"/>
      <c r="I22" s="19">
        <v>102494</v>
      </c>
      <c r="J22" s="60">
        <f>I22</f>
        <v>102494</v>
      </c>
      <c r="K22" s="60"/>
      <c r="L22" s="40"/>
      <c r="O22" s="49">
        <v>0.35</v>
      </c>
      <c r="Q22" s="44"/>
      <c r="R22" s="44"/>
    </row>
    <row r="23" spans="1:23" s="18" customFormat="1" ht="42.75" customHeight="1">
      <c r="A23" s="9"/>
      <c r="B23" s="9"/>
      <c r="C23" s="10" t="s">
        <v>9</v>
      </c>
      <c r="D23" s="10"/>
      <c r="E23" s="10"/>
      <c r="F23" s="10"/>
      <c r="G23" s="47" t="s">
        <v>156</v>
      </c>
      <c r="H23" s="10"/>
      <c r="I23" s="19">
        <v>3000000</v>
      </c>
      <c r="J23" s="60">
        <f>I23</f>
        <v>3000000</v>
      </c>
      <c r="K23" s="60"/>
      <c r="L23" s="40"/>
      <c r="O23" s="49">
        <v>0.35</v>
      </c>
      <c r="Q23" s="44"/>
      <c r="R23" s="44"/>
    </row>
    <row r="24" spans="1:23" s="18" customFormat="1" ht="12.75" customHeight="1">
      <c r="A24" s="31"/>
      <c r="B24" s="31"/>
      <c r="C24" s="1" t="s">
        <v>131</v>
      </c>
      <c r="D24" s="1"/>
      <c r="E24" s="1"/>
      <c r="F24" s="1"/>
      <c r="G24" s="52"/>
      <c r="H24" s="1"/>
      <c r="I24" s="20">
        <v>2070474</v>
      </c>
      <c r="J24" s="20"/>
      <c r="K24" s="20">
        <f>I24</f>
        <v>2070474</v>
      </c>
      <c r="L24" s="4"/>
      <c r="O24" s="49">
        <v>0.35</v>
      </c>
      <c r="Q24" s="45"/>
      <c r="R24" s="45"/>
    </row>
    <row r="25" spans="1:23" s="18" customFormat="1" ht="127.5">
      <c r="A25" s="31"/>
      <c r="B25" s="31"/>
      <c r="C25" s="10" t="s">
        <v>26</v>
      </c>
      <c r="D25" s="9"/>
      <c r="E25" s="9"/>
      <c r="F25" s="9"/>
      <c r="G25" s="47" t="s">
        <v>112</v>
      </c>
      <c r="H25" s="10"/>
      <c r="I25" s="11">
        <v>-1192020</v>
      </c>
      <c r="J25" s="40">
        <f>I25</f>
        <v>-1192020</v>
      </c>
      <c r="K25" s="40"/>
      <c r="L25" s="40"/>
      <c r="M25" s="18" t="s">
        <v>163</v>
      </c>
      <c r="O25" s="49">
        <v>0.35</v>
      </c>
      <c r="Q25" s="45"/>
      <c r="R25" s="45"/>
    </row>
    <row r="26" spans="1:23" s="18" customFormat="1" ht="15.75" customHeight="1">
      <c r="A26" s="31"/>
      <c r="B26" s="31"/>
      <c r="C26" s="6" t="s">
        <v>2</v>
      </c>
      <c r="D26" s="6"/>
      <c r="E26" s="6"/>
      <c r="F26" s="6"/>
      <c r="G26" s="54"/>
      <c r="H26" s="1"/>
      <c r="I26" s="8">
        <f>SUM(I14:I25)</f>
        <v>5241065</v>
      </c>
      <c r="J26" s="8">
        <f t="shared" ref="J26:K26" si="1">SUM(J14:J25)</f>
        <v>1449562</v>
      </c>
      <c r="K26" s="8">
        <f t="shared" si="1"/>
        <v>3791503</v>
      </c>
      <c r="L26" s="4"/>
      <c r="M26" s="14"/>
      <c r="N26" s="14"/>
      <c r="O26" s="14"/>
      <c r="P26" s="14"/>
      <c r="Q26" s="14"/>
      <c r="R26" s="14"/>
      <c r="S26" s="14"/>
      <c r="U26" s="14"/>
      <c r="W26" s="14"/>
    </row>
    <row r="27" spans="1:23" s="18" customFormat="1" ht="15.75" customHeight="1">
      <c r="A27" s="31"/>
      <c r="B27" s="31"/>
      <c r="C27" s="1"/>
      <c r="D27" s="1"/>
      <c r="E27" s="1"/>
      <c r="F27" s="1"/>
      <c r="G27" s="52"/>
      <c r="H27" s="1"/>
      <c r="I27" s="15"/>
      <c r="J27" s="15"/>
      <c r="K27" s="15"/>
      <c r="L27" s="4"/>
      <c r="Q27" s="14"/>
      <c r="R27" s="14"/>
    </row>
    <row r="28" spans="1:23" s="18" customFormat="1" ht="15.75" customHeight="1">
      <c r="A28" s="6"/>
      <c r="B28" s="6"/>
      <c r="C28" s="6" t="s">
        <v>3</v>
      </c>
      <c r="D28" s="6"/>
      <c r="E28" s="6"/>
      <c r="F28" s="6"/>
      <c r="G28" s="54"/>
      <c r="H28" s="1"/>
      <c r="I28" s="8">
        <f>+I12+I26</f>
        <v>-133625998</v>
      </c>
      <c r="J28" s="14"/>
      <c r="K28" s="14"/>
      <c r="L28" s="4"/>
      <c r="M28" s="14"/>
      <c r="N28" s="14"/>
      <c r="O28" s="14"/>
      <c r="P28" s="14"/>
      <c r="Q28" s="14"/>
      <c r="R28" s="14"/>
      <c r="S28" s="14"/>
      <c r="U28" s="14"/>
    </row>
    <row r="29" spans="1:23" s="18" customFormat="1" ht="15.75" customHeight="1">
      <c r="A29" s="6"/>
      <c r="B29" s="6"/>
      <c r="C29" s="1"/>
      <c r="D29" s="1"/>
      <c r="E29" s="1"/>
      <c r="F29" s="1"/>
      <c r="G29" s="52"/>
      <c r="H29" s="1"/>
      <c r="I29" s="4"/>
      <c r="J29" s="4"/>
      <c r="K29" s="4"/>
      <c r="L29" s="4"/>
    </row>
    <row r="30" spans="1:23" s="18" customFormat="1" ht="15.75" customHeight="1">
      <c r="A30" s="6" t="s">
        <v>65</v>
      </c>
      <c r="B30" s="6"/>
      <c r="C30" s="1"/>
      <c r="D30" s="6"/>
      <c r="E30" s="6"/>
      <c r="F30" s="6"/>
      <c r="G30" s="54"/>
      <c r="H30" s="1"/>
      <c r="I30" s="4"/>
      <c r="J30" s="4"/>
      <c r="K30" s="4"/>
      <c r="L30" s="4"/>
    </row>
    <row r="31" spans="1:23" s="18" customFormat="1" ht="60" customHeight="1">
      <c r="A31" s="9"/>
      <c r="B31" s="9"/>
      <c r="C31" s="10" t="s">
        <v>69</v>
      </c>
      <c r="D31" s="9"/>
      <c r="E31" s="9"/>
      <c r="F31" s="9"/>
      <c r="G31" s="47" t="s">
        <v>106</v>
      </c>
      <c r="H31" s="10"/>
      <c r="I31" s="11">
        <v>17153</v>
      </c>
      <c r="J31" s="40"/>
      <c r="K31" s="40">
        <f>I31</f>
        <v>17153</v>
      </c>
      <c r="L31" s="40"/>
      <c r="M31" s="18" t="s">
        <v>163</v>
      </c>
      <c r="O31" s="49">
        <v>0.35</v>
      </c>
    </row>
    <row r="32" spans="1:23" s="18" customFormat="1" ht="102">
      <c r="A32" s="9"/>
      <c r="B32" s="9"/>
      <c r="C32" s="10" t="s">
        <v>23</v>
      </c>
      <c r="D32" s="9"/>
      <c r="E32" s="9"/>
      <c r="F32" s="9"/>
      <c r="G32" s="47" t="s">
        <v>104</v>
      </c>
      <c r="H32" s="10"/>
      <c r="I32" s="11">
        <v>-3635159</v>
      </c>
      <c r="J32" s="40"/>
      <c r="K32" s="40">
        <f>I32</f>
        <v>-3635159</v>
      </c>
      <c r="L32" s="40"/>
      <c r="M32" s="18" t="s">
        <v>163</v>
      </c>
      <c r="O32" s="49">
        <v>0.35</v>
      </c>
    </row>
    <row r="33" spans="1:15" s="18" customFormat="1" ht="114.75">
      <c r="A33" s="9"/>
      <c r="B33" s="9"/>
      <c r="C33" s="10" t="s">
        <v>24</v>
      </c>
      <c r="D33" s="9"/>
      <c r="E33" s="9"/>
      <c r="F33" s="9"/>
      <c r="G33" s="47" t="s">
        <v>105</v>
      </c>
      <c r="H33" s="10"/>
      <c r="I33" s="11">
        <v>-99195</v>
      </c>
      <c r="J33" s="40"/>
      <c r="K33" s="40">
        <f>I33</f>
        <v>-99195</v>
      </c>
      <c r="L33" s="40"/>
      <c r="M33" s="18" t="s">
        <v>166</v>
      </c>
      <c r="O33" s="49">
        <v>0.35</v>
      </c>
    </row>
    <row r="34" spans="1:15" s="18" customFormat="1" ht="127.5">
      <c r="A34" s="9"/>
      <c r="B34" s="9"/>
      <c r="C34" s="10" t="s">
        <v>27</v>
      </c>
      <c r="D34" s="9"/>
      <c r="E34" s="9"/>
      <c r="F34" s="9"/>
      <c r="G34" s="47" t="s">
        <v>107</v>
      </c>
      <c r="H34" s="10"/>
      <c r="I34" s="11">
        <v>-302437</v>
      </c>
      <c r="J34" s="40">
        <f>I34</f>
        <v>-302437</v>
      </c>
      <c r="K34" s="40"/>
      <c r="L34" s="40"/>
      <c r="M34" s="18" t="s">
        <v>166</v>
      </c>
      <c r="O34" s="49">
        <v>0.35</v>
      </c>
    </row>
    <row r="35" spans="1:15" s="18" customFormat="1" ht="27.75" customHeight="1">
      <c r="A35" s="9"/>
      <c r="B35" s="9"/>
      <c r="C35" s="10" t="s">
        <v>25</v>
      </c>
      <c r="D35" s="9"/>
      <c r="E35" s="9"/>
      <c r="F35" s="9"/>
      <c r="G35" s="47" t="s">
        <v>161</v>
      </c>
      <c r="H35" s="10"/>
      <c r="I35" s="11">
        <v>33828</v>
      </c>
      <c r="J35" s="40">
        <f t="shared" ref="J35:J42" si="2">I35</f>
        <v>33828</v>
      </c>
      <c r="K35" s="40"/>
      <c r="L35" s="40"/>
      <c r="M35" s="18" t="s">
        <v>163</v>
      </c>
      <c r="O35" s="50" t="s">
        <v>174</v>
      </c>
    </row>
    <row r="36" spans="1:15" s="18" customFormat="1" ht="127.5">
      <c r="A36" s="9"/>
      <c r="B36" s="9"/>
      <c r="C36" s="10" t="s">
        <v>26</v>
      </c>
      <c r="D36" s="9"/>
      <c r="E36" s="9"/>
      <c r="F36" s="9"/>
      <c r="G36" s="47" t="s">
        <v>112</v>
      </c>
      <c r="H36" s="10"/>
      <c r="I36" s="11">
        <f>-2450031-I25</f>
        <v>-1258011</v>
      </c>
      <c r="J36" s="40">
        <f t="shared" si="2"/>
        <v>-1258011</v>
      </c>
      <c r="K36" s="40"/>
      <c r="L36" s="40"/>
      <c r="M36" s="18" t="s">
        <v>163</v>
      </c>
      <c r="O36" s="49">
        <v>0.35</v>
      </c>
    </row>
    <row r="37" spans="1:15" s="18" customFormat="1" ht="21.75" customHeight="1">
      <c r="A37" s="9"/>
      <c r="B37" s="9"/>
      <c r="C37" s="10" t="s">
        <v>28</v>
      </c>
      <c r="D37" s="9"/>
      <c r="E37" s="9"/>
      <c r="F37" s="9"/>
      <c r="G37" s="47" t="s">
        <v>162</v>
      </c>
      <c r="H37" s="10"/>
      <c r="I37" s="11">
        <v>-651650</v>
      </c>
      <c r="J37" s="40">
        <f t="shared" si="2"/>
        <v>-651650</v>
      </c>
      <c r="K37" s="40"/>
      <c r="L37" s="40"/>
      <c r="M37" s="18" t="s">
        <v>166</v>
      </c>
      <c r="O37" s="49">
        <v>0.35</v>
      </c>
    </row>
    <row r="38" spans="1:15" s="18" customFormat="1" ht="132" customHeight="1">
      <c r="A38" s="9"/>
      <c r="B38" s="9"/>
      <c r="C38" s="10" t="s">
        <v>29</v>
      </c>
      <c r="D38" s="9"/>
      <c r="E38" s="9"/>
      <c r="F38" s="9"/>
      <c r="G38" s="47" t="s">
        <v>109</v>
      </c>
      <c r="H38" s="10"/>
      <c r="I38" s="11">
        <v>-737644</v>
      </c>
      <c r="J38" s="40">
        <f t="shared" si="2"/>
        <v>-737644</v>
      </c>
      <c r="K38" s="40"/>
      <c r="L38" s="40"/>
      <c r="M38" s="18" t="s">
        <v>163</v>
      </c>
      <c r="O38" s="49">
        <v>0.35</v>
      </c>
    </row>
    <row r="39" spans="1:15" s="18" customFormat="1" ht="18.75" customHeight="1">
      <c r="A39" s="9"/>
      <c r="B39" s="9"/>
      <c r="C39" s="10" t="s">
        <v>30</v>
      </c>
      <c r="D39" s="9"/>
      <c r="E39" s="9"/>
      <c r="F39" s="9"/>
      <c r="G39" s="47" t="s">
        <v>140</v>
      </c>
      <c r="H39" s="10"/>
      <c r="I39" s="11">
        <v>-3348453</v>
      </c>
      <c r="J39" s="40">
        <f t="shared" si="2"/>
        <v>-3348453</v>
      </c>
      <c r="K39" s="40"/>
      <c r="L39" s="40"/>
      <c r="M39" s="18" t="s">
        <v>163</v>
      </c>
      <c r="O39" s="50" t="s">
        <v>174</v>
      </c>
    </row>
    <row r="40" spans="1:15" s="18" customFormat="1" ht="15.75" customHeight="1">
      <c r="A40" s="9"/>
      <c r="B40" s="9"/>
      <c r="C40" s="10" t="s">
        <v>31</v>
      </c>
      <c r="D40" s="9"/>
      <c r="E40" s="9"/>
      <c r="F40" s="9"/>
      <c r="G40" s="47" t="s">
        <v>141</v>
      </c>
      <c r="H40" s="10"/>
      <c r="I40" s="11">
        <v>-238315</v>
      </c>
      <c r="J40" s="40">
        <f t="shared" si="2"/>
        <v>-238315</v>
      </c>
      <c r="K40" s="40"/>
      <c r="L40" s="40"/>
      <c r="M40" s="18" t="s">
        <v>163</v>
      </c>
      <c r="O40" s="50" t="s">
        <v>174</v>
      </c>
    </row>
    <row r="41" spans="1:15" s="18" customFormat="1" ht="57" customHeight="1">
      <c r="A41" s="9"/>
      <c r="B41" s="9"/>
      <c r="C41" s="10" t="s">
        <v>32</v>
      </c>
      <c r="D41" s="9"/>
      <c r="E41" s="9"/>
      <c r="F41" s="9"/>
      <c r="G41" s="47" t="s">
        <v>113</v>
      </c>
      <c r="H41" s="10"/>
      <c r="I41" s="11">
        <v>-194260</v>
      </c>
      <c r="J41" s="40">
        <f t="shared" si="2"/>
        <v>-194260</v>
      </c>
      <c r="K41" s="40"/>
      <c r="L41" s="40"/>
      <c r="M41" s="18" t="s">
        <v>163</v>
      </c>
      <c r="O41" s="49">
        <v>0.35</v>
      </c>
    </row>
    <row r="42" spans="1:15" s="18" customFormat="1" ht="89.25">
      <c r="A42" s="9"/>
      <c r="B42" s="9"/>
      <c r="C42" s="10" t="s">
        <v>33</v>
      </c>
      <c r="D42" s="9"/>
      <c r="E42" s="9"/>
      <c r="F42" s="9"/>
      <c r="G42" s="47" t="s">
        <v>114</v>
      </c>
      <c r="H42" s="10"/>
      <c r="I42" s="11">
        <v>592652</v>
      </c>
      <c r="J42" s="40">
        <f t="shared" si="2"/>
        <v>592652</v>
      </c>
      <c r="K42" s="40"/>
      <c r="L42" s="40"/>
      <c r="M42" s="18" t="s">
        <v>163</v>
      </c>
      <c r="O42" s="49">
        <v>0.35</v>
      </c>
    </row>
    <row r="43" spans="1:15" s="18" customFormat="1" ht="57" customHeight="1">
      <c r="A43" s="9"/>
      <c r="B43" s="9"/>
      <c r="C43" s="10" t="s">
        <v>34</v>
      </c>
      <c r="D43" s="9"/>
      <c r="E43" s="9"/>
      <c r="F43" s="9"/>
      <c r="G43" s="47" t="s">
        <v>142</v>
      </c>
      <c r="H43" s="10"/>
      <c r="I43" s="11">
        <v>10683974</v>
      </c>
      <c r="J43" s="40">
        <f>I43-K43</f>
        <v>11197092</v>
      </c>
      <c r="K43" s="40">
        <v>-513118</v>
      </c>
      <c r="L43" s="40"/>
      <c r="M43" s="18" t="s">
        <v>166</v>
      </c>
      <c r="O43" s="49">
        <v>0.35</v>
      </c>
    </row>
    <row r="44" spans="1:15" s="18" customFormat="1" ht="81.75" customHeight="1">
      <c r="A44" s="9"/>
      <c r="B44" s="9"/>
      <c r="C44" s="10" t="s">
        <v>35</v>
      </c>
      <c r="D44" s="9"/>
      <c r="E44" s="9"/>
      <c r="F44" s="9"/>
      <c r="G44" s="47" t="s">
        <v>167</v>
      </c>
      <c r="H44" s="10"/>
      <c r="I44" s="11">
        <v>-19048989</v>
      </c>
      <c r="J44" s="40">
        <f t="shared" ref="J44:J48" si="3">I44-K44</f>
        <v>-19130656</v>
      </c>
      <c r="K44" s="40">
        <v>81667</v>
      </c>
      <c r="L44" s="40"/>
      <c r="M44" s="18" t="s">
        <v>166</v>
      </c>
      <c r="O44" s="49">
        <v>0.35</v>
      </c>
    </row>
    <row r="45" spans="1:15" s="18" customFormat="1" ht="83.25" customHeight="1">
      <c r="A45" s="9"/>
      <c r="B45" s="9"/>
      <c r="C45" s="10" t="s">
        <v>36</v>
      </c>
      <c r="D45" s="9"/>
      <c r="E45" s="9"/>
      <c r="F45" s="9"/>
      <c r="G45" s="47" t="s">
        <v>168</v>
      </c>
      <c r="H45" s="10"/>
      <c r="I45" s="11">
        <v>-12955462</v>
      </c>
      <c r="J45" s="40">
        <f t="shared" si="3"/>
        <v>-12795395</v>
      </c>
      <c r="K45" s="40">
        <v>-160067</v>
      </c>
      <c r="L45" s="40"/>
      <c r="M45" s="18" t="s">
        <v>166</v>
      </c>
      <c r="O45" s="49">
        <v>0.35</v>
      </c>
    </row>
    <row r="46" spans="1:15" s="18" customFormat="1" ht="57" customHeight="1">
      <c r="A46" s="9"/>
      <c r="B46" s="9"/>
      <c r="C46" s="10" t="s">
        <v>37</v>
      </c>
      <c r="D46" s="9"/>
      <c r="E46" s="9"/>
      <c r="F46" s="9"/>
      <c r="G46" s="47" t="s">
        <v>144</v>
      </c>
      <c r="H46" s="10"/>
      <c r="I46" s="11">
        <v>103282</v>
      </c>
      <c r="J46" s="40">
        <f>I46</f>
        <v>103282</v>
      </c>
      <c r="K46" s="40"/>
      <c r="L46" s="40"/>
      <c r="M46" s="18" t="s">
        <v>163</v>
      </c>
      <c r="O46" s="49">
        <v>0.35</v>
      </c>
    </row>
    <row r="47" spans="1:15" s="18" customFormat="1" ht="24.75" customHeight="1">
      <c r="A47" s="9"/>
      <c r="B47" s="9"/>
      <c r="C47" s="10" t="s">
        <v>38</v>
      </c>
      <c r="D47" s="9"/>
      <c r="E47" s="9"/>
      <c r="F47" s="9"/>
      <c r="G47" s="47" t="s">
        <v>146</v>
      </c>
      <c r="H47" s="10"/>
      <c r="I47" s="11">
        <v>187516</v>
      </c>
      <c r="J47" s="40">
        <f t="shared" si="3"/>
        <v>134591</v>
      </c>
      <c r="K47" s="40">
        <v>52925</v>
      </c>
      <c r="L47" s="40"/>
      <c r="M47" s="18" t="s">
        <v>163</v>
      </c>
      <c r="O47" s="49">
        <v>0.35</v>
      </c>
    </row>
    <row r="48" spans="1:15" s="18" customFormat="1" ht="36.75" customHeight="1">
      <c r="A48" s="9"/>
      <c r="B48" s="9"/>
      <c r="C48" s="10" t="s">
        <v>39</v>
      </c>
      <c r="D48" s="9"/>
      <c r="E48" s="9"/>
      <c r="F48" s="9"/>
      <c r="G48" s="47" t="s">
        <v>181</v>
      </c>
      <c r="H48" s="10"/>
      <c r="I48" s="11">
        <v>-318331</v>
      </c>
      <c r="J48" s="40">
        <f t="shared" si="3"/>
        <v>-394646</v>
      </c>
      <c r="K48" s="40">
        <v>76315</v>
      </c>
      <c r="L48" s="40"/>
      <c r="M48" s="18" t="s">
        <v>163</v>
      </c>
      <c r="O48" s="49">
        <v>0.35</v>
      </c>
    </row>
    <row r="49" spans="1:15" s="18" customFormat="1" ht="38.25" customHeight="1">
      <c r="A49" s="9"/>
      <c r="B49" s="9"/>
      <c r="C49" s="10" t="s">
        <v>40</v>
      </c>
      <c r="D49" s="9"/>
      <c r="E49" s="9"/>
      <c r="F49" s="9"/>
      <c r="G49" s="47" t="s">
        <v>181</v>
      </c>
      <c r="H49" s="10"/>
      <c r="I49" s="11">
        <v>-4422466</v>
      </c>
      <c r="J49" s="40">
        <f>I49</f>
        <v>-4422466</v>
      </c>
      <c r="K49" s="40"/>
      <c r="L49" s="40"/>
      <c r="M49" s="18" t="s">
        <v>166</v>
      </c>
      <c r="O49" s="49">
        <v>0.35</v>
      </c>
    </row>
    <row r="50" spans="1:15" s="18" customFormat="1" ht="76.5" customHeight="1">
      <c r="A50" s="9"/>
      <c r="B50" s="9"/>
      <c r="C50" s="10" t="s">
        <v>41</v>
      </c>
      <c r="D50" s="9"/>
      <c r="E50" s="9"/>
      <c r="F50" s="9"/>
      <c r="G50" s="47" t="s">
        <v>111</v>
      </c>
      <c r="H50" s="10"/>
      <c r="I50" s="11">
        <v>1773345</v>
      </c>
      <c r="J50" s="40">
        <f t="shared" ref="J50:J51" si="4">I50</f>
        <v>1773345</v>
      </c>
      <c r="K50" s="40"/>
      <c r="L50" s="40"/>
      <c r="M50" s="18" t="s">
        <v>163</v>
      </c>
      <c r="O50" s="49">
        <v>0.35</v>
      </c>
    </row>
    <row r="51" spans="1:15" s="18" customFormat="1" ht="57" customHeight="1">
      <c r="A51" s="9"/>
      <c r="B51" s="9"/>
      <c r="C51" s="10" t="s">
        <v>85</v>
      </c>
      <c r="D51" s="9"/>
      <c r="E51" s="9"/>
      <c r="F51" s="9"/>
      <c r="G51" s="47" t="s">
        <v>182</v>
      </c>
      <c r="H51" s="10"/>
      <c r="I51" s="11">
        <v>88949</v>
      </c>
      <c r="J51" s="40">
        <f t="shared" si="4"/>
        <v>88949</v>
      </c>
      <c r="K51" s="40"/>
      <c r="L51" s="40"/>
      <c r="M51" s="18" t="s">
        <v>163</v>
      </c>
      <c r="O51" s="49">
        <v>0.35</v>
      </c>
    </row>
    <row r="52" spans="1:15" s="18" customFormat="1" ht="72" customHeight="1">
      <c r="A52" s="9"/>
      <c r="B52" s="9"/>
      <c r="C52" s="10" t="s">
        <v>42</v>
      </c>
      <c r="D52" s="9"/>
      <c r="E52" s="9"/>
      <c r="F52" s="9"/>
      <c r="G52" s="47" t="s">
        <v>183</v>
      </c>
      <c r="H52" s="10"/>
      <c r="I52" s="11">
        <v>16739</v>
      </c>
      <c r="J52" s="40"/>
      <c r="K52" s="40">
        <f>I52</f>
        <v>16739</v>
      </c>
      <c r="L52" s="40"/>
      <c r="M52" s="18" t="s">
        <v>163</v>
      </c>
      <c r="O52" s="49">
        <v>0.35</v>
      </c>
    </row>
    <row r="53" spans="1:15" s="18" customFormat="1" ht="36" customHeight="1">
      <c r="A53" s="9"/>
      <c r="B53" s="9"/>
      <c r="C53" s="10" t="s">
        <v>43</v>
      </c>
      <c r="D53" s="9"/>
      <c r="E53" s="9"/>
      <c r="F53" s="9"/>
      <c r="G53" s="47" t="s">
        <v>145</v>
      </c>
      <c r="H53" s="10"/>
      <c r="I53" s="11">
        <v>14346114</v>
      </c>
      <c r="J53" s="40">
        <f>I53</f>
        <v>14346114</v>
      </c>
      <c r="K53" s="40"/>
      <c r="L53" s="40"/>
      <c r="M53" s="18" t="s">
        <v>163</v>
      </c>
      <c r="O53" s="49">
        <v>0.35</v>
      </c>
    </row>
    <row r="54" spans="1:15" s="18" customFormat="1" ht="73.5" customHeight="1">
      <c r="A54" s="9"/>
      <c r="B54" s="9"/>
      <c r="C54" s="10" t="s">
        <v>44</v>
      </c>
      <c r="D54" s="9"/>
      <c r="E54" s="9"/>
      <c r="F54" s="9"/>
      <c r="G54" s="47" t="s">
        <v>115</v>
      </c>
      <c r="H54" s="10"/>
      <c r="I54" s="11">
        <v>-3187180</v>
      </c>
      <c r="J54" s="40">
        <f t="shared" ref="J54:J56" si="5">I54</f>
        <v>-3187180</v>
      </c>
      <c r="K54" s="40"/>
      <c r="L54" s="40"/>
      <c r="M54" s="18" t="s">
        <v>163</v>
      </c>
      <c r="O54" s="49">
        <v>0.35</v>
      </c>
    </row>
    <row r="55" spans="1:15" s="18" customFormat="1" ht="57" customHeight="1">
      <c r="A55" s="9"/>
      <c r="B55" s="9"/>
      <c r="C55" s="10" t="s">
        <v>45</v>
      </c>
      <c r="D55" s="9"/>
      <c r="E55" s="9"/>
      <c r="F55" s="9"/>
      <c r="G55" s="48" t="s">
        <v>147</v>
      </c>
      <c r="H55" s="10"/>
      <c r="I55" s="11">
        <v>-263251</v>
      </c>
      <c r="J55" s="40">
        <f t="shared" si="5"/>
        <v>-263251</v>
      </c>
      <c r="K55" s="40"/>
      <c r="L55" s="40"/>
      <c r="M55" s="18" t="s">
        <v>163</v>
      </c>
      <c r="O55" s="49">
        <v>0.35</v>
      </c>
    </row>
    <row r="56" spans="1:15" s="18" customFormat="1" ht="124.5" customHeight="1">
      <c r="A56" s="9"/>
      <c r="B56" s="9"/>
      <c r="C56" s="10" t="s">
        <v>86</v>
      </c>
      <c r="D56" s="28"/>
      <c r="E56" s="9"/>
      <c r="F56" s="9"/>
      <c r="G56" s="48" t="s">
        <v>170</v>
      </c>
      <c r="H56" s="10"/>
      <c r="I56" s="11">
        <v>184304523</v>
      </c>
      <c r="J56" s="40">
        <f t="shared" si="5"/>
        <v>184304523</v>
      </c>
      <c r="K56" s="40"/>
      <c r="L56" s="40"/>
      <c r="M56" s="18" t="s">
        <v>163</v>
      </c>
      <c r="O56" s="50" t="s">
        <v>174</v>
      </c>
    </row>
    <row r="57" spans="1:15" s="18" customFormat="1" ht="121.5" customHeight="1">
      <c r="A57" s="9"/>
      <c r="B57" s="9"/>
      <c r="C57" s="10" t="s">
        <v>80</v>
      </c>
      <c r="D57" s="9"/>
      <c r="E57" s="9"/>
      <c r="F57" s="9"/>
      <c r="G57" s="48" t="s">
        <v>170</v>
      </c>
      <c r="H57" s="10"/>
      <c r="I57" s="11">
        <v>-106155092</v>
      </c>
      <c r="J57" s="40">
        <f>I57-K57</f>
        <v>-105727998</v>
      </c>
      <c r="K57" s="40">
        <v>-427094</v>
      </c>
      <c r="L57" s="40"/>
      <c r="M57" s="18" t="s">
        <v>163</v>
      </c>
      <c r="O57" s="50" t="s">
        <v>174</v>
      </c>
    </row>
    <row r="58" spans="1:15" s="18" customFormat="1" ht="121.5" customHeight="1">
      <c r="A58" s="9"/>
      <c r="B58" s="9"/>
      <c r="C58" s="10" t="s">
        <v>81</v>
      </c>
      <c r="D58" s="9"/>
      <c r="E58" s="9"/>
      <c r="F58" s="9"/>
      <c r="G58" s="48" t="s">
        <v>170</v>
      </c>
      <c r="H58" s="10"/>
      <c r="I58" s="11">
        <v>384169</v>
      </c>
      <c r="J58" s="40"/>
      <c r="K58" s="40">
        <f>I58</f>
        <v>384169</v>
      </c>
      <c r="L58" s="40"/>
      <c r="M58" s="18" t="s">
        <v>163</v>
      </c>
      <c r="O58" s="50" t="s">
        <v>174</v>
      </c>
    </row>
    <row r="59" spans="1:15" s="18" customFormat="1" ht="129.75" customHeight="1">
      <c r="A59" s="9"/>
      <c r="B59" s="9"/>
      <c r="C59" s="10" t="s">
        <v>89</v>
      </c>
      <c r="D59" s="9"/>
      <c r="E59" s="9"/>
      <c r="F59" s="9"/>
      <c r="G59" s="48" t="s">
        <v>170</v>
      </c>
      <c r="H59" s="10"/>
      <c r="I59" s="11">
        <v>19</v>
      </c>
      <c r="J59" s="40"/>
      <c r="K59" s="40">
        <f>I59</f>
        <v>19</v>
      </c>
      <c r="L59" s="40"/>
      <c r="M59" s="18" t="s">
        <v>163</v>
      </c>
      <c r="O59" s="50" t="s">
        <v>174</v>
      </c>
    </row>
    <row r="60" spans="1:15" s="18" customFormat="1" ht="125.25" customHeight="1">
      <c r="A60" s="9"/>
      <c r="B60" s="9"/>
      <c r="C60" s="10" t="s">
        <v>78</v>
      </c>
      <c r="D60" s="9"/>
      <c r="E60" s="9"/>
      <c r="F60" s="9"/>
      <c r="G60" s="48" t="s">
        <v>170</v>
      </c>
      <c r="H60" s="10"/>
      <c r="I60" s="11">
        <v>-1556033</v>
      </c>
      <c r="J60" s="40">
        <f>I60</f>
        <v>-1556033</v>
      </c>
      <c r="K60" s="40"/>
      <c r="L60" s="40"/>
      <c r="M60" s="18" t="s">
        <v>163</v>
      </c>
      <c r="O60" s="50" t="s">
        <v>174</v>
      </c>
    </row>
    <row r="61" spans="1:15" s="18" customFormat="1" ht="120.75" customHeight="1">
      <c r="A61" s="9"/>
      <c r="B61" s="9"/>
      <c r="C61" s="10" t="s">
        <v>46</v>
      </c>
      <c r="D61" s="9"/>
      <c r="E61" s="9"/>
      <c r="F61" s="9"/>
      <c r="G61" s="48" t="s">
        <v>170</v>
      </c>
      <c r="H61" s="10"/>
      <c r="I61" s="11">
        <v>1668652</v>
      </c>
      <c r="J61" s="40">
        <f>I61</f>
        <v>1668652</v>
      </c>
      <c r="K61" s="40"/>
      <c r="L61" s="40"/>
      <c r="M61" s="18" t="s">
        <v>163</v>
      </c>
      <c r="O61" s="50" t="s">
        <v>174</v>
      </c>
    </row>
    <row r="62" spans="1:15" s="18" customFormat="1" ht="42.75" customHeight="1">
      <c r="A62" s="9"/>
      <c r="B62" s="9"/>
      <c r="C62" s="10" t="s">
        <v>47</v>
      </c>
      <c r="D62" s="9"/>
      <c r="E62" s="9"/>
      <c r="F62" s="9"/>
      <c r="G62" s="47" t="s">
        <v>98</v>
      </c>
      <c r="H62" s="10"/>
      <c r="I62" s="11">
        <v>-551069</v>
      </c>
      <c r="J62" s="40">
        <f>I62</f>
        <v>-551069</v>
      </c>
      <c r="K62" s="40"/>
      <c r="L62" s="40"/>
      <c r="M62" s="18" t="s">
        <v>166</v>
      </c>
      <c r="O62" s="49">
        <v>0.35</v>
      </c>
    </row>
    <row r="63" spans="1:15" s="18" customFormat="1" ht="57" customHeight="1">
      <c r="A63" s="9"/>
      <c r="B63" s="9"/>
      <c r="C63" s="10" t="s">
        <v>48</v>
      </c>
      <c r="D63" s="9"/>
      <c r="E63" s="9"/>
      <c r="F63" s="9"/>
      <c r="G63" s="47" t="s">
        <v>184</v>
      </c>
      <c r="H63" s="10"/>
      <c r="I63" s="11">
        <v>-500528</v>
      </c>
      <c r="J63" s="40">
        <f t="shared" ref="J63:J66" si="6">I63</f>
        <v>-500528</v>
      </c>
      <c r="K63" s="40"/>
      <c r="L63" s="40"/>
      <c r="M63" s="18" t="s">
        <v>163</v>
      </c>
      <c r="O63" s="50" t="s">
        <v>174</v>
      </c>
    </row>
    <row r="64" spans="1:15" s="18" customFormat="1" ht="72" customHeight="1">
      <c r="A64" s="9"/>
      <c r="B64" s="9"/>
      <c r="C64" s="10" t="s">
        <v>49</v>
      </c>
      <c r="D64" s="9"/>
      <c r="E64" s="9"/>
      <c r="F64" s="9"/>
      <c r="G64" s="47" t="s">
        <v>148</v>
      </c>
      <c r="H64" s="10"/>
      <c r="I64" s="11">
        <v>261456</v>
      </c>
      <c r="J64" s="40">
        <f t="shared" si="6"/>
        <v>261456</v>
      </c>
      <c r="K64" s="40"/>
      <c r="L64" s="40"/>
      <c r="M64" s="18" t="s">
        <v>163</v>
      </c>
      <c r="O64" s="49">
        <v>0.35</v>
      </c>
    </row>
    <row r="65" spans="1:18" s="18" customFormat="1" ht="61.5" customHeight="1">
      <c r="A65" s="9"/>
      <c r="B65" s="9"/>
      <c r="C65" s="10" t="s">
        <v>50</v>
      </c>
      <c r="D65" s="9"/>
      <c r="E65" s="9"/>
      <c r="F65" s="9"/>
      <c r="G65" s="47" t="s">
        <v>185</v>
      </c>
      <c r="H65" s="10"/>
      <c r="I65" s="11">
        <v>16796</v>
      </c>
      <c r="J65" s="40">
        <f t="shared" si="6"/>
        <v>16796</v>
      </c>
      <c r="K65" s="40"/>
      <c r="L65" s="40"/>
      <c r="M65" s="18" t="s">
        <v>163</v>
      </c>
      <c r="O65" s="49">
        <v>0.35</v>
      </c>
    </row>
    <row r="66" spans="1:18" s="18" customFormat="1" ht="23.25" customHeight="1">
      <c r="A66" s="9"/>
      <c r="B66" s="9"/>
      <c r="C66" s="10" t="s">
        <v>51</v>
      </c>
      <c r="D66" s="9"/>
      <c r="E66" s="9"/>
      <c r="F66" s="9"/>
      <c r="G66" s="47" t="s">
        <v>171</v>
      </c>
      <c r="H66" s="10"/>
      <c r="I66" s="11">
        <v>-58978</v>
      </c>
      <c r="J66" s="40">
        <f t="shared" si="6"/>
        <v>-58978</v>
      </c>
      <c r="K66" s="40"/>
      <c r="L66" s="40"/>
      <c r="M66" s="18" t="s">
        <v>163</v>
      </c>
      <c r="O66" s="49">
        <v>0.35</v>
      </c>
    </row>
    <row r="67" spans="1:18" s="18" customFormat="1" ht="24" customHeight="1">
      <c r="A67" s="9"/>
      <c r="B67" s="9"/>
      <c r="C67" s="10" t="s">
        <v>52</v>
      </c>
      <c r="D67" s="9"/>
      <c r="E67" s="9"/>
      <c r="F67" s="9"/>
      <c r="G67" s="48" t="s">
        <v>175</v>
      </c>
      <c r="H67" s="10"/>
      <c r="I67" s="11">
        <v>-12559050</v>
      </c>
      <c r="J67" s="40"/>
      <c r="K67" s="40">
        <f>I67</f>
        <v>-12559050</v>
      </c>
      <c r="L67" s="40"/>
      <c r="M67" s="18" t="s">
        <v>163</v>
      </c>
      <c r="O67" s="49">
        <v>0.35</v>
      </c>
    </row>
    <row r="68" spans="1:18" s="18" customFormat="1" ht="57" customHeight="1">
      <c r="A68" s="9"/>
      <c r="B68" s="9"/>
      <c r="C68" s="10" t="s">
        <v>53</v>
      </c>
      <c r="D68" s="9"/>
      <c r="E68" s="9"/>
      <c r="F68" s="9"/>
      <c r="G68" s="47" t="s">
        <v>150</v>
      </c>
      <c r="H68" s="10"/>
      <c r="I68" s="11">
        <v>9677428</v>
      </c>
      <c r="J68" s="40">
        <f>I68</f>
        <v>9677428</v>
      </c>
      <c r="K68" s="40"/>
      <c r="L68" s="40"/>
      <c r="M68" s="18" t="s">
        <v>166</v>
      </c>
      <c r="O68" s="49">
        <v>0.35</v>
      </c>
    </row>
    <row r="69" spans="1:18" s="18" customFormat="1" ht="89.25">
      <c r="A69" s="9"/>
      <c r="B69" s="9"/>
      <c r="C69" s="10" t="s">
        <v>54</v>
      </c>
      <c r="D69" s="9"/>
      <c r="E69" s="9"/>
      <c r="F69" s="9"/>
      <c r="G69" s="47" t="s">
        <v>151</v>
      </c>
      <c r="H69" s="10"/>
      <c r="I69" s="11">
        <v>-2245858</v>
      </c>
      <c r="J69" s="40">
        <f>I69</f>
        <v>-2245858</v>
      </c>
      <c r="K69" s="40"/>
      <c r="L69" s="40"/>
      <c r="M69" s="18" t="s">
        <v>163</v>
      </c>
      <c r="O69" s="49">
        <v>0.35</v>
      </c>
    </row>
    <row r="70" spans="1:18" s="18" customFormat="1" ht="60" customHeight="1">
      <c r="A70" s="9"/>
      <c r="B70" s="9"/>
      <c r="C70" s="10" t="s">
        <v>55</v>
      </c>
      <c r="D70" s="9"/>
      <c r="E70" s="9"/>
      <c r="F70" s="9"/>
      <c r="G70" s="47" t="s">
        <v>186</v>
      </c>
      <c r="H70" s="10"/>
      <c r="I70" s="11">
        <v>-916836</v>
      </c>
      <c r="J70" s="40"/>
      <c r="K70" s="40">
        <f>I70</f>
        <v>-916836</v>
      </c>
      <c r="L70" s="40"/>
      <c r="M70" s="18" t="s">
        <v>163</v>
      </c>
      <c r="O70" s="49">
        <v>0.35</v>
      </c>
    </row>
    <row r="71" spans="1:18" s="18" customFormat="1" ht="57" customHeight="1">
      <c r="A71" s="9"/>
      <c r="B71" s="9"/>
      <c r="C71" s="10" t="s">
        <v>66</v>
      </c>
      <c r="D71" s="9"/>
      <c r="E71" s="9"/>
      <c r="F71" s="9"/>
      <c r="G71" s="47" t="s">
        <v>149</v>
      </c>
      <c r="H71" s="10"/>
      <c r="I71" s="11">
        <v>-256453</v>
      </c>
      <c r="J71" s="40">
        <f>I71</f>
        <v>-256453</v>
      </c>
      <c r="K71" s="40"/>
      <c r="L71" s="40"/>
      <c r="M71" s="18" t="s">
        <v>163</v>
      </c>
      <c r="O71" s="49">
        <v>0.35</v>
      </c>
    </row>
    <row r="72" spans="1:18" s="18" customFormat="1" ht="121.5" customHeight="1">
      <c r="A72" s="9"/>
      <c r="B72" s="9"/>
      <c r="C72" s="10" t="s">
        <v>67</v>
      </c>
      <c r="D72" s="9"/>
      <c r="E72" s="9"/>
      <c r="F72" s="9"/>
      <c r="G72" s="47" t="s">
        <v>187</v>
      </c>
      <c r="H72" s="10"/>
      <c r="I72" s="11">
        <v>-1037316</v>
      </c>
      <c r="J72" s="40">
        <f t="shared" ref="J72:J87" si="7">I72</f>
        <v>-1037316</v>
      </c>
      <c r="K72" s="40"/>
      <c r="L72" s="40"/>
      <c r="M72" s="18" t="s">
        <v>163</v>
      </c>
      <c r="O72" s="49">
        <v>0.35</v>
      </c>
    </row>
    <row r="73" spans="1:18" s="18" customFormat="1" ht="88.5" customHeight="1">
      <c r="A73" s="9"/>
      <c r="B73" s="9"/>
      <c r="C73" s="10" t="s">
        <v>68</v>
      </c>
      <c r="D73" s="9"/>
      <c r="E73" s="9"/>
      <c r="F73" s="9"/>
      <c r="G73" s="47" t="s">
        <v>108</v>
      </c>
      <c r="H73" s="10"/>
      <c r="I73" s="11">
        <v>0</v>
      </c>
      <c r="J73" s="40">
        <f t="shared" si="7"/>
        <v>0</v>
      </c>
      <c r="K73" s="40"/>
      <c r="L73" s="40"/>
      <c r="M73" s="18" t="s">
        <v>163</v>
      </c>
      <c r="O73" s="49">
        <v>0.35</v>
      </c>
    </row>
    <row r="74" spans="1:18" s="18" customFormat="1" ht="48.75" customHeight="1">
      <c r="A74" s="9"/>
      <c r="B74" s="9"/>
      <c r="C74" s="10" t="s">
        <v>84</v>
      </c>
      <c r="D74" s="9"/>
      <c r="E74" s="9"/>
      <c r="F74" s="9"/>
      <c r="G74" s="47" t="s">
        <v>110</v>
      </c>
      <c r="H74" s="10"/>
      <c r="I74" s="11">
        <v>-337788</v>
      </c>
      <c r="J74" s="40">
        <f t="shared" si="7"/>
        <v>-337788</v>
      </c>
      <c r="K74" s="40"/>
      <c r="L74" s="40"/>
      <c r="M74" s="18" t="s">
        <v>163</v>
      </c>
      <c r="O74" s="49">
        <v>0.35</v>
      </c>
    </row>
    <row r="75" spans="1:18" s="18" customFormat="1" ht="72.75" customHeight="1">
      <c r="A75" s="9"/>
      <c r="B75" s="9"/>
      <c r="C75" s="10" t="s">
        <v>56</v>
      </c>
      <c r="D75" s="10"/>
      <c r="E75" s="10"/>
      <c r="F75" s="10"/>
      <c r="G75" s="47" t="s">
        <v>99</v>
      </c>
      <c r="H75" s="10"/>
      <c r="I75" s="13">
        <v>1464868</v>
      </c>
      <c r="J75" s="40">
        <f t="shared" si="7"/>
        <v>1464868</v>
      </c>
      <c r="K75" s="61"/>
      <c r="L75" s="40"/>
      <c r="M75" s="18" t="s">
        <v>166</v>
      </c>
      <c r="O75" s="49">
        <v>0.35</v>
      </c>
      <c r="Q75" s="14"/>
      <c r="R75" s="14"/>
    </row>
    <row r="76" spans="1:18" s="18" customFormat="1" ht="111" customHeight="1">
      <c r="A76" s="9"/>
      <c r="B76" s="9"/>
      <c r="C76" s="10" t="s">
        <v>57</v>
      </c>
      <c r="D76" s="10"/>
      <c r="E76" s="10"/>
      <c r="F76" s="10"/>
      <c r="G76" s="47" t="s">
        <v>137</v>
      </c>
      <c r="H76" s="10"/>
      <c r="I76" s="13">
        <v>-149913</v>
      </c>
      <c r="J76" s="40">
        <f t="shared" si="7"/>
        <v>-149913</v>
      </c>
      <c r="K76" s="61"/>
      <c r="L76" s="40"/>
      <c r="M76" s="18" t="s">
        <v>163</v>
      </c>
      <c r="O76" s="49">
        <v>0.35</v>
      </c>
      <c r="Q76" s="14"/>
      <c r="R76" s="14"/>
    </row>
    <row r="77" spans="1:18" s="18" customFormat="1" ht="47.25" customHeight="1">
      <c r="A77" s="25"/>
      <c r="B77" s="25"/>
      <c r="C77" s="21" t="s">
        <v>75</v>
      </c>
      <c r="D77" s="21"/>
      <c r="E77" s="21"/>
      <c r="F77" s="21"/>
      <c r="G77" s="47" t="s">
        <v>103</v>
      </c>
      <c r="H77" s="21"/>
      <c r="I77" s="14">
        <v>-1593594</v>
      </c>
      <c r="J77" s="40">
        <f t="shared" si="7"/>
        <v>-1593594</v>
      </c>
      <c r="K77" s="14"/>
      <c r="M77" s="18" t="s">
        <v>163</v>
      </c>
      <c r="O77" s="49">
        <v>0.35</v>
      </c>
      <c r="Q77" s="14"/>
      <c r="R77" s="14"/>
    </row>
    <row r="78" spans="1:18" s="18" customFormat="1" ht="61.5" customHeight="1">
      <c r="A78" s="25"/>
      <c r="B78" s="25"/>
      <c r="C78" s="21" t="s">
        <v>82</v>
      </c>
      <c r="D78" s="21"/>
      <c r="E78" s="21"/>
      <c r="F78" s="21"/>
      <c r="G78" s="47" t="s">
        <v>102</v>
      </c>
      <c r="H78" s="21"/>
      <c r="I78" s="14">
        <v>-152048</v>
      </c>
      <c r="J78" s="40">
        <f t="shared" si="7"/>
        <v>-152048</v>
      </c>
      <c r="K78" s="14"/>
      <c r="M78" s="18" t="s">
        <v>163</v>
      </c>
      <c r="O78" s="49">
        <v>0.35</v>
      </c>
      <c r="Q78" s="14"/>
      <c r="R78" s="14"/>
    </row>
    <row r="79" spans="1:18" s="18" customFormat="1" ht="72.75" customHeight="1">
      <c r="A79" s="25"/>
      <c r="B79" s="25"/>
      <c r="C79" s="21" t="s">
        <v>124</v>
      </c>
      <c r="D79" s="21"/>
      <c r="E79" s="21"/>
      <c r="F79" s="21"/>
      <c r="G79" s="47" t="s">
        <v>138</v>
      </c>
      <c r="H79" s="21"/>
      <c r="I79" s="14">
        <v>-1360000</v>
      </c>
      <c r="J79" s="40">
        <f t="shared" si="7"/>
        <v>-1360000</v>
      </c>
      <c r="K79" s="14"/>
      <c r="M79" s="18" t="s">
        <v>163</v>
      </c>
      <c r="O79" s="49">
        <v>0.35</v>
      </c>
      <c r="Q79" s="14"/>
      <c r="R79" s="14"/>
    </row>
    <row r="80" spans="1:18" s="18" customFormat="1" ht="46.5" customHeight="1">
      <c r="A80" s="25"/>
      <c r="B80" s="25"/>
      <c r="C80" s="21" t="s">
        <v>125</v>
      </c>
      <c r="D80" s="21"/>
      <c r="E80" s="21"/>
      <c r="F80" s="21"/>
      <c r="G80" s="47" t="s">
        <v>188</v>
      </c>
      <c r="H80" s="21"/>
      <c r="I80" s="14">
        <v>735906</v>
      </c>
      <c r="J80" s="40">
        <f t="shared" si="7"/>
        <v>735906</v>
      </c>
      <c r="K80" s="14"/>
      <c r="M80" s="18" t="s">
        <v>163</v>
      </c>
      <c r="O80" s="49">
        <v>0.35</v>
      </c>
      <c r="Q80" s="14"/>
      <c r="R80" s="14"/>
    </row>
    <row r="81" spans="1:23" s="18" customFormat="1" ht="73.5" customHeight="1">
      <c r="A81" s="25"/>
      <c r="B81" s="25"/>
      <c r="C81" s="21" t="s">
        <v>126</v>
      </c>
      <c r="D81" s="21"/>
      <c r="E81" s="21"/>
      <c r="F81" s="21"/>
      <c r="G81" s="47" t="s">
        <v>189</v>
      </c>
      <c r="H81" s="21"/>
      <c r="I81" s="14">
        <v>-373025</v>
      </c>
      <c r="J81" s="40">
        <f t="shared" si="7"/>
        <v>-373025</v>
      </c>
      <c r="K81" s="14"/>
      <c r="M81" s="18" t="s">
        <v>163</v>
      </c>
      <c r="O81" s="49">
        <v>0.35</v>
      </c>
      <c r="Q81" s="14"/>
      <c r="R81" s="14"/>
    </row>
    <row r="82" spans="1:23" s="18" customFormat="1" ht="57" customHeight="1">
      <c r="A82" s="25"/>
      <c r="B82" s="25"/>
      <c r="C82" s="21" t="s">
        <v>95</v>
      </c>
      <c r="D82" s="21"/>
      <c r="E82" s="21"/>
      <c r="F82" s="21"/>
      <c r="G82" s="47" t="s">
        <v>196</v>
      </c>
      <c r="H82" s="21"/>
      <c r="I82" s="14">
        <v>0</v>
      </c>
      <c r="J82" s="40">
        <f t="shared" si="7"/>
        <v>0</v>
      </c>
      <c r="K82" s="14"/>
      <c r="M82" s="18" t="s">
        <v>163</v>
      </c>
      <c r="O82" s="49">
        <v>0.35</v>
      </c>
      <c r="Q82" s="14"/>
      <c r="R82" s="14"/>
    </row>
    <row r="83" spans="1:23" s="18" customFormat="1" ht="63" customHeight="1">
      <c r="A83" s="6"/>
      <c r="B83" s="6"/>
      <c r="C83" s="1" t="s">
        <v>91</v>
      </c>
      <c r="D83" s="1"/>
      <c r="E83" s="1"/>
      <c r="F83" s="1"/>
      <c r="G83" s="47" t="s">
        <v>152</v>
      </c>
      <c r="H83" s="1"/>
      <c r="I83" s="4">
        <v>11001058</v>
      </c>
      <c r="J83" s="40">
        <f t="shared" si="7"/>
        <v>11001058</v>
      </c>
      <c r="K83" s="4"/>
      <c r="L83" s="4"/>
      <c r="M83" s="18" t="s">
        <v>163</v>
      </c>
      <c r="O83" s="49">
        <v>0.35</v>
      </c>
    </row>
    <row r="84" spans="1:23" s="18" customFormat="1" ht="133.5" customHeight="1">
      <c r="A84" s="6"/>
      <c r="B84" s="6"/>
      <c r="C84" s="1" t="s">
        <v>127</v>
      </c>
      <c r="D84" s="1"/>
      <c r="E84" s="1"/>
      <c r="F84" s="1"/>
      <c r="G84" s="47" t="s">
        <v>190</v>
      </c>
      <c r="H84" s="1"/>
      <c r="I84" s="4">
        <v>337879</v>
      </c>
      <c r="J84" s="40">
        <f t="shared" si="7"/>
        <v>337879</v>
      </c>
      <c r="K84" s="4"/>
      <c r="L84" s="4"/>
      <c r="M84" s="18" t="s">
        <v>163</v>
      </c>
      <c r="O84" s="49">
        <v>0.35</v>
      </c>
    </row>
    <row r="85" spans="1:23" s="18" customFormat="1" ht="126.75" customHeight="1">
      <c r="A85" s="6"/>
      <c r="B85" s="6"/>
      <c r="C85" s="1" t="s">
        <v>128</v>
      </c>
      <c r="D85" s="1"/>
      <c r="E85" s="1"/>
      <c r="F85" s="1"/>
      <c r="G85" s="48" t="s">
        <v>170</v>
      </c>
      <c r="H85" s="1"/>
      <c r="I85" s="4">
        <v>-350000</v>
      </c>
      <c r="J85" s="40">
        <f t="shared" si="7"/>
        <v>-350000</v>
      </c>
      <c r="K85" s="4"/>
      <c r="L85" s="4"/>
      <c r="M85" s="18" t="s">
        <v>163</v>
      </c>
      <c r="O85" s="49" t="s">
        <v>174</v>
      </c>
    </row>
    <row r="86" spans="1:23" s="18" customFormat="1" ht="77.25" customHeight="1">
      <c r="A86" s="6"/>
      <c r="B86" s="6"/>
      <c r="C86" s="1" t="s">
        <v>129</v>
      </c>
      <c r="D86" s="1"/>
      <c r="E86" s="1"/>
      <c r="F86" s="1"/>
      <c r="G86" s="47" t="s">
        <v>191</v>
      </c>
      <c r="H86" s="1"/>
      <c r="I86" s="4">
        <v>116888</v>
      </c>
      <c r="J86" s="40">
        <f t="shared" si="7"/>
        <v>116888</v>
      </c>
      <c r="K86" s="4"/>
      <c r="L86" s="4"/>
      <c r="M86" s="18" t="s">
        <v>163</v>
      </c>
      <c r="O86" s="49">
        <v>0.35</v>
      </c>
    </row>
    <row r="87" spans="1:23" s="18" customFormat="1" ht="57" customHeight="1">
      <c r="A87" s="6"/>
      <c r="B87" s="6"/>
      <c r="C87" s="1" t="s">
        <v>130</v>
      </c>
      <c r="D87" s="1"/>
      <c r="E87" s="1"/>
      <c r="F87" s="1"/>
      <c r="G87" s="47" t="s">
        <v>136</v>
      </c>
      <c r="H87" s="1"/>
      <c r="I87" s="4">
        <v>142470</v>
      </c>
      <c r="J87" s="40">
        <f t="shared" si="7"/>
        <v>142470</v>
      </c>
      <c r="K87" s="4"/>
      <c r="L87" s="4"/>
      <c r="M87" s="18" t="s">
        <v>163</v>
      </c>
      <c r="O87" s="49">
        <v>0.35</v>
      </c>
    </row>
    <row r="88" spans="1:23" s="18" customFormat="1" ht="18" customHeight="1">
      <c r="A88" s="6"/>
      <c r="B88" s="6"/>
      <c r="C88" s="6" t="s">
        <v>198</v>
      </c>
      <c r="D88" s="1"/>
      <c r="E88" s="1"/>
      <c r="F88" s="1"/>
      <c r="G88" s="52"/>
      <c r="H88" s="1"/>
      <c r="I88" s="32">
        <f>SUM(I30:I87)</f>
        <v>57141280</v>
      </c>
      <c r="J88" s="32">
        <f t="shared" ref="J88:K88" si="8">SUM(J30:J87)</f>
        <v>74822812</v>
      </c>
      <c r="K88" s="32">
        <f t="shared" si="8"/>
        <v>-17681532</v>
      </c>
      <c r="L88" s="4"/>
    </row>
    <row r="89" spans="1:23" s="18" customFormat="1" ht="18" customHeight="1">
      <c r="A89" s="6"/>
      <c r="B89" s="6"/>
      <c r="C89" s="6"/>
      <c r="D89" s="1"/>
      <c r="E89" s="1"/>
      <c r="F89" s="1"/>
      <c r="G89" s="52"/>
      <c r="H89" s="1"/>
      <c r="L89" s="4"/>
    </row>
    <row r="90" spans="1:23" s="18" customFormat="1" ht="18" customHeight="1">
      <c r="A90" s="6"/>
      <c r="B90" s="6"/>
      <c r="C90" s="6" t="s">
        <v>199</v>
      </c>
      <c r="D90" s="1"/>
      <c r="E90" s="1"/>
      <c r="F90" s="1"/>
      <c r="G90" s="52"/>
      <c r="H90" s="1"/>
      <c r="I90" s="18">
        <f>SUM(I88,I26)</f>
        <v>62382345</v>
      </c>
      <c r="J90" s="18">
        <f t="shared" ref="J90:K90" si="9">SUM(J88,J26)</f>
        <v>76272374</v>
      </c>
      <c r="K90" s="18">
        <f t="shared" si="9"/>
        <v>-13890029</v>
      </c>
      <c r="L90" s="4"/>
    </row>
    <row r="91" spans="1:23" ht="17.25" customHeight="1"/>
    <row r="92" spans="1:23" s="18" customFormat="1" ht="18" customHeight="1">
      <c r="A92" s="6"/>
      <c r="B92" s="6"/>
      <c r="C92" s="1" t="s">
        <v>11</v>
      </c>
      <c r="D92" s="1"/>
      <c r="E92" s="1"/>
      <c r="F92" s="1"/>
      <c r="G92" s="52"/>
      <c r="H92" s="1"/>
      <c r="I92" s="22">
        <v>0.35</v>
      </c>
      <c r="J92" s="22"/>
      <c r="K92" s="63"/>
      <c r="L92" s="22"/>
      <c r="M92" s="46"/>
      <c r="N92" s="46"/>
      <c r="O92" s="46"/>
      <c r="P92" s="46"/>
      <c r="Q92" s="46"/>
      <c r="R92" s="46"/>
      <c r="S92" s="46"/>
      <c r="T92" s="46"/>
      <c r="U92" s="46"/>
      <c r="W92" s="33"/>
    </row>
    <row r="93" spans="1:23" s="18" customFormat="1" ht="13.5" customHeight="1">
      <c r="A93" s="6"/>
      <c r="B93" s="6"/>
      <c r="C93" s="1"/>
      <c r="D93" s="1"/>
      <c r="E93" s="1"/>
      <c r="F93" s="1"/>
      <c r="G93" s="52"/>
      <c r="H93" s="1"/>
      <c r="I93" s="4"/>
      <c r="J93" s="4"/>
      <c r="K93" s="4"/>
      <c r="L93" s="4"/>
      <c r="W93" s="33"/>
    </row>
    <row r="94" spans="1:23" s="18" customFormat="1" ht="12.75" customHeight="1">
      <c r="A94" s="6"/>
      <c r="B94" s="6"/>
      <c r="C94" s="6" t="s">
        <v>15</v>
      </c>
      <c r="D94" s="1"/>
      <c r="E94" s="1"/>
      <c r="F94" s="1"/>
      <c r="G94" s="52"/>
      <c r="H94" s="1"/>
      <c r="I94" s="4">
        <f>I28+I88</f>
        <v>-76484718</v>
      </c>
      <c r="J94" s="4"/>
      <c r="K94" s="4"/>
      <c r="L94" s="4"/>
      <c r="W94" s="33"/>
    </row>
    <row r="95" spans="1:23" s="18" customFormat="1" ht="13.5" customHeight="1">
      <c r="A95" s="9"/>
      <c r="B95" s="9"/>
      <c r="C95" s="23"/>
      <c r="D95" s="23"/>
      <c r="E95" s="23"/>
      <c r="F95" s="23"/>
      <c r="G95" s="55"/>
      <c r="H95" s="23"/>
      <c r="I95" s="24"/>
      <c r="J95" s="62"/>
      <c r="K95" s="62"/>
      <c r="L95" s="40"/>
      <c r="Q95" s="14"/>
      <c r="R95" s="14"/>
      <c r="W95" s="14"/>
    </row>
    <row r="96" spans="1:23" s="18" customFormat="1" ht="15.75" customHeight="1">
      <c r="A96" s="9"/>
      <c r="B96" s="9"/>
      <c r="C96" s="23" t="s">
        <v>79</v>
      </c>
      <c r="D96" s="23"/>
      <c r="E96" s="27"/>
      <c r="F96" s="27"/>
      <c r="G96" s="56"/>
      <c r="H96" s="23"/>
      <c r="I96" s="13">
        <v>2149361</v>
      </c>
      <c r="J96" s="61"/>
      <c r="K96" s="61"/>
      <c r="L96" s="40"/>
      <c r="Q96" s="14"/>
      <c r="R96" s="14"/>
      <c r="W96" s="14"/>
    </row>
    <row r="97" spans="1:24" s="18" customFormat="1" ht="15.75" customHeight="1">
      <c r="A97" s="9"/>
      <c r="B97" s="9"/>
      <c r="C97" s="10" t="s">
        <v>12</v>
      </c>
      <c r="D97" s="10"/>
      <c r="E97" s="10"/>
      <c r="F97" s="10"/>
      <c r="G97" s="57"/>
      <c r="H97" s="10"/>
      <c r="I97" s="13">
        <v>-821946</v>
      </c>
      <c r="J97" s="61"/>
      <c r="K97" s="61"/>
      <c r="L97" s="40"/>
      <c r="Q97" s="14"/>
      <c r="R97" s="14"/>
      <c r="W97" s="14"/>
    </row>
    <row r="98" spans="1:24" s="18" customFormat="1" ht="16.5" customHeight="1">
      <c r="A98" s="9"/>
      <c r="B98" s="9"/>
      <c r="C98" s="10" t="s">
        <v>71</v>
      </c>
      <c r="D98" s="10"/>
      <c r="E98" s="10"/>
      <c r="F98" s="10"/>
      <c r="G98" s="57"/>
      <c r="H98" s="10"/>
      <c r="I98" s="13">
        <v>-108143</v>
      </c>
      <c r="J98" s="61"/>
      <c r="K98" s="61"/>
      <c r="L98" s="40"/>
      <c r="Q98" s="14"/>
      <c r="R98" s="14"/>
      <c r="W98" s="14"/>
    </row>
    <row r="99" spans="1:24" s="18" customFormat="1" ht="16.5" customHeight="1">
      <c r="A99" s="9"/>
      <c r="B99" s="9"/>
      <c r="C99" s="10" t="s">
        <v>72</v>
      </c>
      <c r="D99" s="10"/>
      <c r="E99" s="10"/>
      <c r="F99" s="10"/>
      <c r="G99" s="57"/>
      <c r="H99" s="10"/>
      <c r="I99" s="34"/>
      <c r="J99" s="34"/>
      <c r="K99" s="34"/>
      <c r="L99" s="40"/>
      <c r="Q99" s="14"/>
      <c r="R99" s="14"/>
      <c r="W99" s="14"/>
    </row>
    <row r="100" spans="1:24" s="18" customFormat="1" ht="16.5" customHeight="1">
      <c r="A100" s="6"/>
      <c r="B100" s="6"/>
      <c r="C100" s="1"/>
      <c r="D100" s="1"/>
      <c r="E100" s="1"/>
      <c r="F100" s="1"/>
      <c r="G100" s="52"/>
      <c r="H100" s="1"/>
      <c r="I100" s="34"/>
      <c r="J100" s="34"/>
      <c r="K100" s="34"/>
      <c r="L100" s="4"/>
      <c r="W100" s="14"/>
    </row>
    <row r="101" spans="1:24" s="18" customFormat="1" ht="15" customHeight="1" thickBot="1">
      <c r="A101" s="6"/>
      <c r="B101" s="6"/>
      <c r="C101" s="6" t="s">
        <v>13</v>
      </c>
      <c r="D101" s="1"/>
      <c r="E101" s="1"/>
      <c r="F101" s="1"/>
      <c r="G101" s="52"/>
      <c r="H101" s="1"/>
      <c r="I101" s="35">
        <f>SUM(I94:I100)</f>
        <v>-75265446</v>
      </c>
      <c r="L101" s="4"/>
      <c r="Q101" s="17"/>
      <c r="R101" s="17"/>
      <c r="S101" s="17"/>
    </row>
    <row r="102" spans="1:24" ht="15" customHeight="1" thickTop="1">
      <c r="C102" s="6"/>
      <c r="I102" s="18"/>
      <c r="J102" s="18"/>
      <c r="K102" s="18"/>
      <c r="Q102" s="17"/>
      <c r="R102" s="17"/>
      <c r="S102" s="17"/>
    </row>
    <row r="103" spans="1:24" ht="16.5" customHeight="1">
      <c r="C103" s="6"/>
      <c r="I103" s="18"/>
      <c r="J103" s="18"/>
      <c r="K103" s="18"/>
      <c r="Q103" s="17"/>
      <c r="R103" s="17"/>
      <c r="S103" s="17"/>
    </row>
    <row r="104" spans="1:24" ht="16.5" customHeight="1">
      <c r="W104" s="33"/>
    </row>
    <row r="105" spans="1:24" ht="16.5" customHeight="1">
      <c r="C105" s="1" t="s">
        <v>6</v>
      </c>
      <c r="I105" s="4">
        <f>I101*$I$92</f>
        <v>-26342906.099999998</v>
      </c>
      <c r="W105" s="33"/>
    </row>
    <row r="106" spans="1:24" ht="16.5" customHeight="1">
      <c r="W106" s="33"/>
    </row>
    <row r="107" spans="1:24" ht="16.5" customHeight="1">
      <c r="A107" s="9"/>
      <c r="B107" s="9"/>
      <c r="C107" s="10" t="s">
        <v>88</v>
      </c>
      <c r="D107" s="10"/>
      <c r="E107" s="10"/>
      <c r="F107" s="10"/>
      <c r="G107" s="57"/>
      <c r="H107" s="10"/>
      <c r="I107" s="11">
        <v>2672495</v>
      </c>
      <c r="J107" s="40"/>
      <c r="K107" s="40"/>
      <c r="L107" s="40"/>
    </row>
    <row r="108" spans="1:24" ht="16.5" customHeight="1">
      <c r="A108" s="9"/>
      <c r="B108" s="9"/>
      <c r="C108" s="10" t="s">
        <v>73</v>
      </c>
      <c r="D108" s="10"/>
      <c r="E108" s="10"/>
      <c r="F108" s="10"/>
      <c r="G108" s="57"/>
      <c r="H108" s="10"/>
      <c r="I108" s="11">
        <v>200441</v>
      </c>
      <c r="J108" s="40"/>
      <c r="K108" s="40"/>
      <c r="L108" s="40"/>
    </row>
    <row r="109" spans="1:24" ht="16.5" customHeight="1">
      <c r="A109" s="25"/>
      <c r="B109" s="25"/>
      <c r="C109" s="21" t="s">
        <v>117</v>
      </c>
      <c r="D109" s="21"/>
      <c r="E109" s="21"/>
      <c r="F109" s="21"/>
      <c r="G109" s="58"/>
      <c r="H109" s="21"/>
      <c r="I109" s="18">
        <v>0</v>
      </c>
      <c r="J109" s="18"/>
      <c r="K109" s="18"/>
      <c r="L109" s="18"/>
    </row>
    <row r="110" spans="1:24" ht="16.5" customHeight="1">
      <c r="C110" s="1" t="s">
        <v>118</v>
      </c>
      <c r="I110" s="4">
        <v>585694</v>
      </c>
    </row>
    <row r="111" spans="1:24" ht="16.5" customHeight="1">
      <c r="A111" s="9"/>
      <c r="B111" s="9"/>
      <c r="C111" s="10"/>
      <c r="D111" s="10"/>
      <c r="E111" s="10"/>
      <c r="F111" s="10"/>
      <c r="G111" s="57"/>
      <c r="H111" s="10"/>
      <c r="I111" s="11"/>
      <c r="J111" s="40"/>
      <c r="K111" s="40"/>
      <c r="L111" s="40"/>
    </row>
    <row r="112" spans="1:24" ht="16.5" customHeight="1" thickBot="1">
      <c r="C112" s="1" t="s">
        <v>4</v>
      </c>
      <c r="I112" s="35">
        <f>SUM(I105:I111)</f>
        <v>-22884276.099999998</v>
      </c>
      <c r="J112" s="18"/>
      <c r="K112" s="18"/>
      <c r="Q112" s="17"/>
      <c r="R112" s="17"/>
      <c r="S112" s="17"/>
      <c r="W112" s="17"/>
      <c r="X112" s="17"/>
    </row>
    <row r="113" spans="1:41" ht="16.5" customHeight="1" thickTop="1">
      <c r="W113" s="14"/>
    </row>
    <row r="114" spans="1:41" s="16" customFormat="1" ht="15" customHeight="1">
      <c r="A114" s="6"/>
      <c r="B114" s="6"/>
      <c r="C114" s="1"/>
      <c r="D114" s="1"/>
      <c r="E114" s="1"/>
      <c r="F114" s="1"/>
      <c r="G114" s="52"/>
      <c r="H114" s="1"/>
      <c r="I114" s="4"/>
      <c r="J114" s="4"/>
      <c r="K114" s="4"/>
      <c r="L114" s="4"/>
      <c r="M114" s="18"/>
      <c r="N114" s="18"/>
      <c r="O114" s="18"/>
      <c r="P114" s="18"/>
      <c r="Q114" s="18"/>
      <c r="R114" s="18"/>
      <c r="S114" s="18"/>
      <c r="T114" s="18"/>
      <c r="U114" s="18"/>
      <c r="V114" s="18"/>
      <c r="W114" s="18"/>
      <c r="X114" s="18"/>
      <c r="Y114" s="17"/>
      <c r="Z114" s="17"/>
      <c r="AA114" s="17"/>
      <c r="AB114" s="17"/>
      <c r="AC114" s="17"/>
      <c r="AD114" s="17"/>
      <c r="AE114" s="17"/>
      <c r="AF114" s="17"/>
      <c r="AG114" s="17"/>
      <c r="AH114" s="17"/>
      <c r="AI114" s="17"/>
      <c r="AJ114" s="17"/>
      <c r="AK114" s="17"/>
      <c r="AL114" s="17"/>
      <c r="AM114" s="17"/>
      <c r="AN114" s="17"/>
      <c r="AO114" s="17"/>
    </row>
    <row r="115" spans="1:41" s="16" customFormat="1" ht="16.5" customHeight="1">
      <c r="A115" s="6"/>
      <c r="B115" s="6"/>
      <c r="C115" s="1" t="s">
        <v>132</v>
      </c>
      <c r="D115" s="1"/>
      <c r="E115" s="1"/>
      <c r="F115" s="1"/>
      <c r="G115" s="52"/>
      <c r="H115" s="1"/>
      <c r="I115" s="4">
        <v>11718723</v>
      </c>
      <c r="J115" s="4"/>
      <c r="K115" s="4"/>
      <c r="L115" s="4"/>
      <c r="M115" s="18"/>
      <c r="N115" s="18"/>
      <c r="O115" s="18"/>
      <c r="P115" s="18"/>
      <c r="Q115" s="18"/>
      <c r="R115" s="18"/>
      <c r="S115" s="18"/>
      <c r="T115" s="18"/>
      <c r="U115" s="18"/>
      <c r="V115" s="18"/>
      <c r="W115" s="18"/>
      <c r="X115" s="18"/>
      <c r="Y115" s="17"/>
      <c r="Z115" s="17"/>
      <c r="AA115" s="17"/>
      <c r="AB115" s="17"/>
      <c r="AC115" s="17"/>
      <c r="AD115" s="17"/>
      <c r="AE115" s="17"/>
      <c r="AF115" s="17"/>
      <c r="AG115" s="17"/>
      <c r="AH115" s="17"/>
      <c r="AI115" s="17"/>
      <c r="AJ115" s="17"/>
      <c r="AK115" s="17"/>
      <c r="AL115" s="17"/>
      <c r="AM115" s="17"/>
      <c r="AN115" s="17"/>
      <c r="AO115" s="17"/>
    </row>
    <row r="116" spans="1:41" s="16" customFormat="1" ht="16.5" customHeight="1">
      <c r="A116" s="6"/>
      <c r="B116" s="6"/>
      <c r="C116" s="1" t="s">
        <v>133</v>
      </c>
      <c r="D116" s="1"/>
      <c r="E116" s="1"/>
      <c r="F116" s="1"/>
      <c r="G116" s="52"/>
      <c r="H116" s="1"/>
      <c r="I116" s="4">
        <v>18311502</v>
      </c>
      <c r="J116" s="4"/>
      <c r="K116" s="4"/>
      <c r="L116" s="4"/>
      <c r="M116" s="18"/>
      <c r="N116" s="18"/>
      <c r="O116" s="18"/>
      <c r="P116" s="18"/>
      <c r="Q116" s="18"/>
      <c r="R116" s="18"/>
      <c r="S116" s="18"/>
      <c r="T116" s="18"/>
      <c r="U116" s="18"/>
      <c r="V116" s="18"/>
      <c r="W116" s="18"/>
      <c r="X116" s="18"/>
      <c r="Y116" s="17"/>
      <c r="Z116" s="17"/>
      <c r="AA116" s="17"/>
      <c r="AB116" s="17"/>
      <c r="AC116" s="17"/>
      <c r="AD116" s="17"/>
      <c r="AE116" s="17"/>
      <c r="AF116" s="17"/>
      <c r="AG116" s="17"/>
      <c r="AH116" s="17"/>
      <c r="AI116" s="17"/>
      <c r="AJ116" s="17"/>
      <c r="AK116" s="17"/>
      <c r="AL116" s="17"/>
      <c r="AM116" s="17"/>
      <c r="AN116" s="17"/>
      <c r="AO116" s="17"/>
    </row>
    <row r="117" spans="1:41" s="16" customFormat="1" ht="16.5" customHeight="1">
      <c r="A117" s="6"/>
      <c r="B117" s="6"/>
      <c r="C117" s="1" t="s">
        <v>134</v>
      </c>
      <c r="D117" s="1"/>
      <c r="E117" s="1"/>
      <c r="F117" s="1"/>
      <c r="G117" s="52"/>
      <c r="H117" s="1"/>
      <c r="I117" s="4">
        <v>934691</v>
      </c>
      <c r="J117" s="4"/>
      <c r="K117" s="4"/>
      <c r="L117" s="4"/>
      <c r="M117" s="18"/>
      <c r="N117" s="18"/>
      <c r="O117" s="18"/>
      <c r="P117" s="18"/>
      <c r="Q117" s="18"/>
      <c r="R117" s="18"/>
      <c r="S117" s="18"/>
      <c r="T117" s="18"/>
      <c r="U117" s="18"/>
      <c r="V117" s="18"/>
      <c r="W117" s="18"/>
      <c r="X117" s="18"/>
      <c r="Y117" s="17"/>
      <c r="Z117" s="17"/>
      <c r="AA117" s="17"/>
      <c r="AB117" s="17"/>
      <c r="AC117" s="17"/>
      <c r="AD117" s="17"/>
      <c r="AE117" s="17"/>
      <c r="AF117" s="17"/>
      <c r="AG117" s="17"/>
      <c r="AH117" s="17"/>
      <c r="AI117" s="17"/>
      <c r="AJ117" s="17"/>
      <c r="AK117" s="17"/>
      <c r="AL117" s="17"/>
      <c r="AM117" s="17"/>
      <c r="AN117" s="17"/>
      <c r="AO117" s="17"/>
    </row>
    <row r="118" spans="1:41" s="16" customFormat="1" ht="16.5" customHeight="1">
      <c r="A118" s="6"/>
      <c r="B118" s="6"/>
      <c r="C118" s="1"/>
      <c r="D118" s="1"/>
      <c r="E118" s="1"/>
      <c r="F118" s="1"/>
      <c r="G118" s="52"/>
      <c r="H118" s="1"/>
      <c r="I118" s="4"/>
      <c r="J118" s="4"/>
      <c r="K118" s="4"/>
      <c r="L118" s="4"/>
      <c r="M118" s="18"/>
      <c r="N118" s="18"/>
      <c r="O118" s="18"/>
      <c r="P118" s="18"/>
      <c r="Q118" s="18"/>
      <c r="R118" s="18"/>
      <c r="S118" s="18"/>
      <c r="T118" s="18"/>
      <c r="U118" s="18"/>
      <c r="V118" s="18"/>
      <c r="W118" s="18"/>
      <c r="X118" s="18"/>
      <c r="Y118" s="17"/>
      <c r="Z118" s="17"/>
      <c r="AA118" s="17"/>
      <c r="AB118" s="17"/>
      <c r="AC118" s="17"/>
      <c r="AD118" s="17"/>
      <c r="AE118" s="17"/>
      <c r="AF118" s="17"/>
      <c r="AG118" s="17"/>
      <c r="AH118" s="17"/>
      <c r="AI118" s="17"/>
      <c r="AJ118" s="17"/>
      <c r="AK118" s="17"/>
      <c r="AL118" s="17"/>
      <c r="AM118" s="17"/>
      <c r="AN118" s="17"/>
      <c r="AO118" s="17"/>
    </row>
    <row r="119" spans="1:41" s="16" customFormat="1" ht="16.5" customHeight="1" thickBot="1">
      <c r="A119" s="6"/>
      <c r="B119" s="6"/>
      <c r="C119" s="1" t="s">
        <v>18</v>
      </c>
      <c r="D119" s="1"/>
      <c r="E119" s="1"/>
      <c r="F119" s="1"/>
      <c r="G119" s="52"/>
      <c r="H119" s="1"/>
      <c r="I119" s="35">
        <f>SUM(I112:I118)</f>
        <v>8080639.9000000022</v>
      </c>
      <c r="J119" s="18"/>
      <c r="K119" s="18"/>
      <c r="L119" s="4"/>
      <c r="M119" s="18"/>
      <c r="N119" s="18"/>
      <c r="O119" s="18"/>
      <c r="P119" s="18"/>
      <c r="Q119" s="18"/>
      <c r="R119" s="18"/>
      <c r="S119" s="18"/>
      <c r="T119" s="18"/>
      <c r="U119" s="18"/>
      <c r="V119" s="18"/>
      <c r="W119" s="18"/>
      <c r="X119" s="18"/>
      <c r="Y119" s="17"/>
      <c r="Z119" s="17"/>
      <c r="AA119" s="17"/>
      <c r="AB119" s="17"/>
      <c r="AC119" s="17"/>
      <c r="AD119" s="17"/>
      <c r="AE119" s="17"/>
      <c r="AF119" s="17"/>
      <c r="AG119" s="17"/>
      <c r="AH119" s="17"/>
      <c r="AI119" s="17"/>
      <c r="AJ119" s="17"/>
      <c r="AK119" s="17"/>
      <c r="AL119" s="17"/>
      <c r="AM119" s="17"/>
      <c r="AN119" s="17"/>
      <c r="AO119" s="17"/>
    </row>
    <row r="120" spans="1:41" s="16" customFormat="1" ht="16.5" customHeight="1" thickTop="1">
      <c r="A120" s="6"/>
      <c r="B120" s="6"/>
      <c r="C120" s="1"/>
      <c r="D120" s="1"/>
      <c r="E120" s="1"/>
      <c r="F120" s="1"/>
      <c r="G120" s="52"/>
      <c r="H120" s="1"/>
      <c r="I120" s="4"/>
      <c r="J120" s="4"/>
      <c r="K120" s="4"/>
      <c r="L120" s="4"/>
      <c r="M120" s="18"/>
      <c r="N120" s="18"/>
      <c r="O120" s="18"/>
      <c r="P120" s="18"/>
      <c r="Q120" s="18"/>
      <c r="R120" s="18"/>
      <c r="S120" s="18"/>
      <c r="T120" s="18"/>
      <c r="U120" s="18"/>
      <c r="V120" s="18"/>
      <c r="W120" s="18"/>
      <c r="X120" s="18"/>
      <c r="Y120" s="17"/>
      <c r="Z120" s="17"/>
      <c r="AA120" s="17"/>
      <c r="AB120" s="17"/>
      <c r="AC120" s="17"/>
      <c r="AD120" s="17"/>
      <c r="AE120" s="17"/>
      <c r="AF120" s="17"/>
      <c r="AG120" s="17"/>
      <c r="AH120" s="17"/>
      <c r="AI120" s="17"/>
      <c r="AJ120" s="17"/>
      <c r="AK120" s="17"/>
      <c r="AL120" s="17"/>
      <c r="AM120" s="17"/>
      <c r="AN120" s="17"/>
      <c r="AO120" s="17"/>
    </row>
    <row r="121" spans="1:41" s="16" customFormat="1" ht="16.5" customHeight="1">
      <c r="A121" s="6"/>
      <c r="B121" s="6"/>
      <c r="C121" s="1" t="s">
        <v>14</v>
      </c>
      <c r="D121" s="1"/>
      <c r="E121" s="1"/>
      <c r="F121" s="1"/>
      <c r="G121" s="52"/>
      <c r="H121" s="1"/>
      <c r="I121" s="4"/>
      <c r="J121" s="4"/>
      <c r="K121" s="4"/>
      <c r="L121" s="4"/>
      <c r="M121" s="18"/>
      <c r="N121" s="18"/>
      <c r="O121" s="18"/>
      <c r="P121" s="18"/>
      <c r="Q121" s="18"/>
      <c r="R121" s="18"/>
      <c r="S121" s="18"/>
      <c r="T121" s="18"/>
      <c r="U121" s="18"/>
      <c r="V121" s="18"/>
      <c r="W121" s="18"/>
      <c r="X121" s="18"/>
      <c r="Y121" s="17"/>
      <c r="Z121" s="17"/>
      <c r="AA121" s="17"/>
      <c r="AB121" s="17"/>
      <c r="AC121" s="17"/>
      <c r="AD121" s="17"/>
      <c r="AE121" s="17"/>
      <c r="AF121" s="17"/>
      <c r="AG121" s="17"/>
      <c r="AH121" s="17"/>
      <c r="AI121" s="17"/>
      <c r="AJ121" s="17"/>
      <c r="AK121" s="17"/>
      <c r="AL121" s="17"/>
      <c r="AM121" s="17"/>
      <c r="AN121" s="17"/>
      <c r="AO121" s="17"/>
    </row>
    <row r="122" spans="1:41" s="16" customFormat="1" ht="16.5" customHeight="1">
      <c r="A122" s="6"/>
      <c r="B122" s="6"/>
      <c r="C122" s="1" t="s">
        <v>74</v>
      </c>
      <c r="D122" s="1"/>
      <c r="E122" s="1"/>
      <c r="F122" s="1"/>
      <c r="G122" s="52"/>
      <c r="H122" s="1"/>
      <c r="I122" s="4">
        <v>2700913</v>
      </c>
      <c r="J122" s="4"/>
      <c r="K122" s="4"/>
      <c r="L122" s="4"/>
      <c r="M122" s="18"/>
      <c r="N122" s="18"/>
      <c r="O122" s="18"/>
      <c r="P122" s="18"/>
      <c r="Q122" s="18"/>
      <c r="R122" s="18"/>
      <c r="S122" s="18"/>
      <c r="T122" s="18"/>
      <c r="U122" s="18"/>
      <c r="V122" s="18"/>
      <c r="W122" s="18"/>
      <c r="X122" s="18"/>
      <c r="Y122" s="17"/>
      <c r="Z122" s="17"/>
      <c r="AA122" s="17"/>
      <c r="AB122" s="17"/>
      <c r="AC122" s="17"/>
      <c r="AD122" s="17"/>
      <c r="AE122" s="17"/>
      <c r="AF122" s="17"/>
      <c r="AG122" s="17"/>
      <c r="AH122" s="17"/>
      <c r="AI122" s="17"/>
      <c r="AJ122" s="17"/>
      <c r="AK122" s="17"/>
      <c r="AL122" s="17"/>
      <c r="AM122" s="17"/>
      <c r="AN122" s="17"/>
      <c r="AO122" s="17"/>
    </row>
    <row r="123" spans="1:41" s="16" customFormat="1" ht="16.5" customHeight="1">
      <c r="A123" s="6"/>
      <c r="B123" s="6"/>
      <c r="C123" s="1" t="s">
        <v>77</v>
      </c>
      <c r="D123" s="1"/>
      <c r="E123" s="1"/>
      <c r="F123" s="1"/>
      <c r="G123" s="52"/>
      <c r="H123" s="1"/>
      <c r="I123" s="4">
        <v>742349</v>
      </c>
      <c r="J123" s="4"/>
      <c r="K123" s="4"/>
      <c r="L123" s="4"/>
      <c r="M123" s="18"/>
      <c r="N123" s="18"/>
      <c r="O123" s="18"/>
      <c r="P123" s="18"/>
      <c r="Q123" s="18"/>
      <c r="R123" s="18"/>
      <c r="S123" s="18"/>
      <c r="T123" s="18"/>
      <c r="U123" s="18"/>
      <c r="V123" s="18"/>
      <c r="W123" s="18"/>
      <c r="X123" s="18"/>
      <c r="Y123" s="17"/>
      <c r="Z123" s="17"/>
      <c r="AA123" s="17"/>
      <c r="AB123" s="17"/>
      <c r="AC123" s="17"/>
      <c r="AD123" s="17"/>
      <c r="AE123" s="17"/>
      <c r="AF123" s="17"/>
      <c r="AG123" s="17"/>
      <c r="AH123" s="17"/>
      <c r="AI123" s="17"/>
      <c r="AJ123" s="17"/>
      <c r="AK123" s="17"/>
      <c r="AL123" s="17"/>
      <c r="AM123" s="17"/>
      <c r="AN123" s="17"/>
      <c r="AO123" s="17"/>
    </row>
    <row r="124" spans="1:41" s="16" customFormat="1" ht="16.5" customHeight="1">
      <c r="A124" s="6"/>
      <c r="B124" s="6"/>
      <c r="C124" s="1" t="s">
        <v>83</v>
      </c>
      <c r="D124" s="1"/>
      <c r="E124" s="1"/>
      <c r="F124" s="1"/>
      <c r="G124" s="52"/>
      <c r="H124" s="1"/>
      <c r="I124" s="4">
        <v>507293</v>
      </c>
      <c r="J124" s="4"/>
      <c r="K124" s="4"/>
      <c r="L124" s="4"/>
      <c r="M124" s="18"/>
      <c r="N124" s="18"/>
      <c r="O124" s="18"/>
      <c r="P124" s="18"/>
      <c r="Q124" s="18"/>
      <c r="R124" s="18"/>
      <c r="S124" s="18"/>
      <c r="T124" s="18"/>
      <c r="U124" s="18"/>
      <c r="V124" s="18"/>
      <c r="W124" s="18"/>
      <c r="X124" s="18"/>
      <c r="Y124" s="17"/>
      <c r="Z124" s="17"/>
      <c r="AA124" s="17"/>
      <c r="AB124" s="17"/>
      <c r="AC124" s="17"/>
      <c r="AD124" s="17"/>
      <c r="AE124" s="17"/>
      <c r="AF124" s="17"/>
      <c r="AG124" s="17"/>
      <c r="AH124" s="17"/>
      <c r="AI124" s="17"/>
      <c r="AJ124" s="17"/>
      <c r="AK124" s="17"/>
      <c r="AL124" s="17"/>
      <c r="AM124" s="17"/>
      <c r="AN124" s="17"/>
      <c r="AO124" s="17"/>
    </row>
    <row r="125" spans="1:41" s="16" customFormat="1" ht="16.5" customHeight="1">
      <c r="A125" s="6"/>
      <c r="B125" s="6"/>
      <c r="C125" s="1" t="s">
        <v>92</v>
      </c>
      <c r="D125" s="1"/>
      <c r="E125" s="1"/>
      <c r="F125" s="1"/>
      <c r="G125" s="52"/>
      <c r="H125" s="1"/>
      <c r="I125" s="4">
        <v>1436898</v>
      </c>
      <c r="J125" s="4"/>
      <c r="K125" s="4"/>
      <c r="L125" s="4"/>
      <c r="M125" s="18"/>
      <c r="N125" s="18"/>
      <c r="O125" s="18"/>
      <c r="P125" s="18"/>
      <c r="Q125" s="18"/>
      <c r="R125" s="18"/>
      <c r="S125" s="18"/>
      <c r="T125" s="18"/>
      <c r="U125" s="18"/>
      <c r="V125" s="18"/>
      <c r="W125" s="18"/>
      <c r="X125" s="18"/>
      <c r="Y125" s="17"/>
      <c r="Z125" s="17"/>
      <c r="AA125" s="17"/>
      <c r="AB125" s="17"/>
      <c r="AC125" s="17"/>
      <c r="AD125" s="17"/>
      <c r="AE125" s="17"/>
      <c r="AF125" s="17"/>
      <c r="AG125" s="17"/>
      <c r="AH125" s="17"/>
      <c r="AI125" s="17"/>
      <c r="AJ125" s="17"/>
      <c r="AK125" s="17"/>
      <c r="AL125" s="17"/>
      <c r="AM125" s="17"/>
      <c r="AN125" s="17"/>
      <c r="AO125" s="17"/>
    </row>
    <row r="126" spans="1:41" s="16" customFormat="1" ht="16.5" customHeight="1">
      <c r="A126" s="6"/>
      <c r="B126" s="6"/>
      <c r="C126" s="1" t="s">
        <v>135</v>
      </c>
      <c r="D126" s="1"/>
      <c r="E126" s="1"/>
      <c r="F126" s="1"/>
      <c r="G126" s="52"/>
      <c r="H126" s="1"/>
      <c r="I126" s="4">
        <v>1163409</v>
      </c>
      <c r="J126" s="4"/>
      <c r="K126" s="4"/>
      <c r="L126" s="4"/>
      <c r="M126" s="18"/>
      <c r="N126" s="18"/>
      <c r="O126" s="18"/>
      <c r="P126" s="18"/>
      <c r="Q126" s="18"/>
      <c r="R126" s="18"/>
      <c r="S126" s="18"/>
      <c r="T126" s="18"/>
      <c r="U126" s="18"/>
      <c r="V126" s="18"/>
      <c r="W126" s="18"/>
      <c r="X126" s="18"/>
      <c r="Y126" s="17"/>
      <c r="Z126" s="17"/>
      <c r="AA126" s="17"/>
      <c r="AB126" s="17"/>
      <c r="AC126" s="17"/>
      <c r="AD126" s="17"/>
      <c r="AE126" s="17"/>
      <c r="AF126" s="17"/>
      <c r="AG126" s="17"/>
      <c r="AH126" s="17"/>
      <c r="AI126" s="17"/>
      <c r="AJ126" s="17"/>
      <c r="AK126" s="17"/>
      <c r="AL126" s="17"/>
      <c r="AM126" s="17"/>
      <c r="AN126" s="17"/>
      <c r="AO126" s="17"/>
    </row>
    <row r="127" spans="1:41" s="16" customFormat="1" ht="16.5" customHeight="1">
      <c r="A127" s="6"/>
      <c r="B127" s="6"/>
      <c r="C127" s="1" t="s">
        <v>122</v>
      </c>
      <c r="D127" s="1"/>
      <c r="E127" s="1"/>
      <c r="F127" s="1"/>
      <c r="G127" s="52"/>
      <c r="H127" s="1"/>
      <c r="I127" s="4">
        <v>3254</v>
      </c>
      <c r="J127" s="4"/>
      <c r="K127" s="4"/>
      <c r="L127" s="4"/>
      <c r="M127" s="18"/>
      <c r="N127" s="18"/>
      <c r="O127" s="18"/>
      <c r="P127" s="18"/>
      <c r="Q127" s="18"/>
      <c r="R127" s="18"/>
      <c r="S127" s="18"/>
      <c r="T127" s="18"/>
      <c r="U127" s="18"/>
      <c r="V127" s="18"/>
      <c r="W127" s="18"/>
      <c r="X127" s="18"/>
      <c r="Y127" s="17"/>
      <c r="Z127" s="17"/>
      <c r="AA127" s="17"/>
      <c r="AB127" s="17"/>
      <c r="AC127" s="17"/>
      <c r="AD127" s="17"/>
      <c r="AE127" s="17"/>
      <c r="AF127" s="17"/>
      <c r="AG127" s="17"/>
      <c r="AH127" s="17"/>
      <c r="AI127" s="17"/>
      <c r="AJ127" s="17"/>
      <c r="AK127" s="17"/>
      <c r="AL127" s="17"/>
      <c r="AM127" s="17"/>
      <c r="AN127" s="17"/>
      <c r="AO127" s="17"/>
    </row>
    <row r="128" spans="1:41" s="16" customFormat="1" ht="16.5" customHeight="1" thickBot="1">
      <c r="A128" s="6"/>
      <c r="B128" s="6"/>
      <c r="C128" s="1" t="s">
        <v>17</v>
      </c>
      <c r="D128" s="1"/>
      <c r="E128" s="1"/>
      <c r="F128" s="1"/>
      <c r="G128" s="52"/>
      <c r="H128" s="1"/>
      <c r="I128" s="35">
        <f>SUM(I119:I127)</f>
        <v>14634755.900000002</v>
      </c>
      <c r="J128" s="18"/>
      <c r="K128" s="18"/>
      <c r="L128" s="4"/>
      <c r="M128" s="18"/>
      <c r="N128" s="18"/>
      <c r="O128" s="18"/>
      <c r="P128" s="18"/>
      <c r="Q128" s="18"/>
      <c r="R128" s="18"/>
      <c r="S128" s="18"/>
      <c r="T128" s="18"/>
      <c r="U128" s="18"/>
      <c r="V128" s="18"/>
      <c r="W128" s="18"/>
      <c r="X128" s="18"/>
      <c r="Y128" s="17"/>
      <c r="Z128" s="17"/>
      <c r="AA128" s="17"/>
      <c r="AB128" s="17"/>
      <c r="AC128" s="17"/>
      <c r="AD128" s="17"/>
      <c r="AE128" s="17"/>
      <c r="AF128" s="17"/>
      <c r="AG128" s="17"/>
      <c r="AH128" s="17"/>
      <c r="AI128" s="17"/>
      <c r="AJ128" s="17"/>
      <c r="AK128" s="17"/>
      <c r="AL128" s="17"/>
      <c r="AM128" s="17"/>
      <c r="AN128" s="17"/>
      <c r="AO128" s="17"/>
    </row>
    <row r="129" spans="1:41" s="16" customFormat="1" ht="16.5" customHeight="1" thickTop="1">
      <c r="A129" s="6"/>
      <c r="B129" s="6"/>
      <c r="C129" s="1"/>
      <c r="D129" s="1"/>
      <c r="E129" s="1"/>
      <c r="F129" s="1"/>
      <c r="G129" s="52"/>
      <c r="H129" s="1"/>
      <c r="I129" s="4"/>
      <c r="J129" s="4"/>
      <c r="K129" s="4"/>
      <c r="L129" s="4"/>
      <c r="M129" s="18"/>
      <c r="N129" s="18"/>
      <c r="O129" s="18"/>
      <c r="P129" s="18"/>
      <c r="Q129" s="18"/>
      <c r="R129" s="18"/>
      <c r="S129" s="18"/>
      <c r="T129" s="18"/>
      <c r="U129" s="18"/>
      <c r="V129" s="18"/>
      <c r="W129" s="18"/>
      <c r="X129" s="18"/>
      <c r="Y129" s="17"/>
      <c r="Z129" s="17"/>
      <c r="AA129" s="17"/>
      <c r="AB129" s="17"/>
      <c r="AC129" s="17"/>
      <c r="AD129" s="17"/>
      <c r="AE129" s="17"/>
      <c r="AF129" s="17"/>
      <c r="AG129" s="17"/>
      <c r="AH129" s="17"/>
      <c r="AI129" s="17"/>
      <c r="AJ129" s="17"/>
      <c r="AK129" s="17"/>
      <c r="AL129" s="17"/>
      <c r="AM129" s="17"/>
      <c r="AN129" s="17"/>
      <c r="AO129" s="17"/>
    </row>
    <row r="130" spans="1:41" s="16" customFormat="1" ht="16.5" customHeight="1" thickBot="1">
      <c r="A130" s="6"/>
      <c r="B130" s="6"/>
      <c r="C130" s="1" t="s">
        <v>96</v>
      </c>
      <c r="D130" s="1"/>
      <c r="E130" s="1"/>
      <c r="F130" s="1"/>
      <c r="G130" s="52"/>
      <c r="H130" s="1"/>
      <c r="I130" s="35">
        <v>14634755.67</v>
      </c>
      <c r="J130" s="18"/>
      <c r="K130" s="18"/>
      <c r="L130" s="4"/>
      <c r="M130" s="18"/>
      <c r="N130" s="18"/>
      <c r="O130" s="18"/>
      <c r="P130" s="18"/>
      <c r="Q130" s="18"/>
      <c r="R130" s="18"/>
      <c r="S130" s="18"/>
      <c r="T130" s="18"/>
      <c r="U130" s="18"/>
      <c r="V130" s="18"/>
      <c r="W130" s="18"/>
      <c r="X130" s="18"/>
      <c r="Y130" s="17"/>
      <c r="Z130" s="17"/>
      <c r="AA130" s="17"/>
      <c r="AB130" s="17"/>
      <c r="AC130" s="17"/>
      <c r="AD130" s="17"/>
      <c r="AE130" s="17"/>
      <c r="AF130" s="17"/>
      <c r="AG130" s="17"/>
      <c r="AH130" s="17"/>
      <c r="AI130" s="17"/>
      <c r="AJ130" s="17"/>
      <c r="AK130" s="17"/>
      <c r="AL130" s="17"/>
      <c r="AM130" s="17"/>
      <c r="AN130" s="17"/>
      <c r="AO130" s="17"/>
    </row>
    <row r="131" spans="1:41" s="16" customFormat="1" ht="16.5" customHeight="1" thickTop="1">
      <c r="A131" s="6"/>
      <c r="B131" s="6"/>
      <c r="C131" s="1" t="s">
        <v>16</v>
      </c>
      <c r="D131" s="1"/>
      <c r="E131" s="1"/>
      <c r="F131" s="1"/>
      <c r="G131" s="52"/>
      <c r="H131" s="1"/>
      <c r="I131" s="4">
        <f>+I128-I130</f>
        <v>0.23000000230967999</v>
      </c>
      <c r="J131" s="4"/>
      <c r="K131" s="4"/>
      <c r="L131" s="4"/>
      <c r="M131" s="18"/>
      <c r="N131" s="18"/>
      <c r="O131" s="18"/>
      <c r="P131" s="18"/>
      <c r="Q131" s="18"/>
      <c r="R131" s="18"/>
      <c r="S131" s="18"/>
      <c r="T131" s="18"/>
      <c r="U131" s="18"/>
      <c r="V131" s="18"/>
      <c r="W131" s="18"/>
      <c r="X131" s="18"/>
      <c r="Y131" s="17"/>
      <c r="Z131" s="17"/>
      <c r="AA131" s="17"/>
      <c r="AB131" s="17"/>
      <c r="AC131" s="17"/>
      <c r="AD131" s="17"/>
      <c r="AE131" s="17"/>
      <c r="AF131" s="17"/>
      <c r="AG131" s="17"/>
      <c r="AH131" s="17"/>
      <c r="AI131" s="17"/>
      <c r="AJ131" s="17"/>
      <c r="AK131" s="17"/>
      <c r="AL131" s="17"/>
      <c r="AM131" s="17"/>
      <c r="AN131" s="17"/>
      <c r="AO131" s="17"/>
    </row>
    <row r="132" spans="1:41" s="16" customFormat="1" ht="57" customHeight="1">
      <c r="A132" s="6"/>
      <c r="B132" s="6"/>
      <c r="C132" s="1"/>
      <c r="D132" s="1"/>
      <c r="E132" s="1"/>
      <c r="F132" s="1"/>
      <c r="G132" s="52"/>
      <c r="H132" s="1"/>
      <c r="I132" s="18"/>
      <c r="J132" s="18"/>
      <c r="K132" s="18"/>
      <c r="L132" s="4"/>
      <c r="M132" s="18"/>
      <c r="N132" s="18"/>
      <c r="O132" s="18"/>
      <c r="P132" s="18"/>
      <c r="Q132" s="18"/>
      <c r="R132" s="18"/>
      <c r="S132" s="18"/>
      <c r="T132" s="18"/>
      <c r="U132" s="18"/>
      <c r="V132" s="18"/>
      <c r="W132" s="18"/>
      <c r="X132" s="18"/>
      <c r="Y132" s="17"/>
      <c r="Z132" s="17"/>
      <c r="AA132" s="17"/>
      <c r="AB132" s="17"/>
      <c r="AC132" s="17"/>
      <c r="AD132" s="17"/>
      <c r="AE132" s="17"/>
      <c r="AF132" s="17"/>
      <c r="AG132" s="17"/>
      <c r="AH132" s="17"/>
      <c r="AI132" s="17"/>
      <c r="AJ132" s="17"/>
      <c r="AK132" s="17"/>
      <c r="AL132" s="17"/>
      <c r="AM132" s="17"/>
      <c r="AN132" s="17"/>
      <c r="AO132" s="17"/>
    </row>
    <row r="133" spans="1:41" s="16" customFormat="1" ht="57" customHeight="1">
      <c r="A133" s="6"/>
      <c r="B133" s="6"/>
      <c r="C133" s="36"/>
      <c r="D133" s="12"/>
      <c r="E133" s="12"/>
      <c r="F133" s="12"/>
      <c r="G133" s="59"/>
      <c r="H133" s="12"/>
      <c r="I133" s="37"/>
      <c r="J133" s="37"/>
      <c r="K133" s="37"/>
      <c r="L133" s="4"/>
      <c r="M133" s="18"/>
      <c r="N133" s="18"/>
      <c r="O133" s="18"/>
      <c r="P133" s="18"/>
      <c r="Q133" s="18"/>
      <c r="R133" s="18"/>
      <c r="S133" s="18"/>
      <c r="T133" s="18"/>
      <c r="U133" s="18"/>
      <c r="V133" s="18"/>
      <c r="W133" s="18"/>
      <c r="X133" s="18"/>
      <c r="Y133" s="17"/>
      <c r="Z133" s="17"/>
      <c r="AA133" s="17"/>
      <c r="AB133" s="17"/>
      <c r="AC133" s="17"/>
      <c r="AD133" s="17"/>
      <c r="AE133" s="17"/>
      <c r="AF133" s="17"/>
      <c r="AG133" s="17"/>
      <c r="AH133" s="17"/>
      <c r="AI133" s="17"/>
      <c r="AJ133" s="17"/>
      <c r="AK133" s="17"/>
      <c r="AL133" s="17"/>
      <c r="AM133" s="17"/>
      <c r="AN133" s="17"/>
      <c r="AO133" s="17"/>
    </row>
    <row r="134" spans="1:41" s="16" customFormat="1" ht="57" customHeight="1">
      <c r="A134" s="6"/>
      <c r="B134" s="6"/>
      <c r="C134" s="38"/>
      <c r="D134" s="12"/>
      <c r="E134" s="12"/>
      <c r="F134" s="12"/>
      <c r="G134" s="59"/>
      <c r="H134" s="12"/>
      <c r="I134" s="39"/>
      <c r="J134" s="39"/>
      <c r="K134" s="39"/>
      <c r="L134" s="4"/>
      <c r="M134" s="18"/>
      <c r="N134" s="18"/>
      <c r="O134" s="18"/>
      <c r="P134" s="18"/>
      <c r="Q134" s="18"/>
      <c r="R134" s="18"/>
      <c r="S134" s="18"/>
      <c r="T134" s="18"/>
      <c r="U134" s="18"/>
      <c r="V134" s="18"/>
      <c r="W134" s="18"/>
      <c r="X134" s="18"/>
      <c r="Y134" s="17"/>
      <c r="Z134" s="17"/>
      <c r="AA134" s="17"/>
      <c r="AB134" s="17"/>
      <c r="AC134" s="17"/>
      <c r="AD134" s="17"/>
      <c r="AE134" s="17"/>
      <c r="AF134" s="17"/>
      <c r="AG134" s="17"/>
      <c r="AH134" s="17"/>
      <c r="AI134" s="17"/>
      <c r="AJ134" s="17"/>
      <c r="AK134" s="17"/>
      <c r="AL134" s="17"/>
      <c r="AM134" s="17"/>
      <c r="AN134" s="17"/>
      <c r="AO134" s="17"/>
    </row>
    <row r="135" spans="1:41" s="16" customFormat="1" ht="57" customHeight="1">
      <c r="A135" s="6"/>
      <c r="B135" s="6"/>
      <c r="C135" s="38"/>
      <c r="D135" s="12"/>
      <c r="E135" s="12"/>
      <c r="F135" s="12"/>
      <c r="G135" s="59"/>
      <c r="H135" s="12"/>
      <c r="I135" s="37"/>
      <c r="J135" s="37"/>
      <c r="K135" s="37"/>
      <c r="L135" s="4"/>
      <c r="M135" s="18"/>
      <c r="N135" s="18"/>
      <c r="O135" s="18"/>
      <c r="P135" s="18"/>
      <c r="Q135" s="18"/>
      <c r="R135" s="18"/>
      <c r="S135" s="18"/>
      <c r="T135" s="18"/>
      <c r="U135" s="18"/>
      <c r="V135" s="18"/>
      <c r="W135" s="18"/>
      <c r="X135" s="18"/>
      <c r="Y135" s="17"/>
      <c r="Z135" s="17"/>
      <c r="AA135" s="17"/>
      <c r="AB135" s="17"/>
      <c r="AC135" s="17"/>
      <c r="AD135" s="17"/>
      <c r="AE135" s="17"/>
      <c r="AF135" s="17"/>
      <c r="AG135" s="17"/>
      <c r="AH135" s="17"/>
      <c r="AI135" s="17"/>
      <c r="AJ135" s="17"/>
      <c r="AK135" s="17"/>
      <c r="AL135" s="17"/>
      <c r="AM135" s="17"/>
      <c r="AN135" s="17"/>
      <c r="AO135" s="17"/>
    </row>
    <row r="136" spans="1:41" s="16" customFormat="1" ht="57" customHeight="1">
      <c r="A136" s="6"/>
      <c r="B136" s="6"/>
      <c r="C136" s="38"/>
      <c r="D136" s="12"/>
      <c r="E136" s="12"/>
      <c r="F136" s="12"/>
      <c r="G136" s="59"/>
      <c r="H136" s="12"/>
      <c r="I136" s="37"/>
      <c r="J136" s="37"/>
      <c r="K136" s="37"/>
      <c r="L136" s="4"/>
      <c r="M136" s="18"/>
      <c r="N136" s="18"/>
      <c r="O136" s="18"/>
      <c r="P136" s="18"/>
      <c r="Q136" s="18"/>
      <c r="R136" s="18"/>
      <c r="S136" s="18"/>
      <c r="T136" s="18"/>
      <c r="U136" s="18"/>
      <c r="V136" s="18"/>
      <c r="W136" s="18"/>
      <c r="X136" s="18"/>
      <c r="Y136" s="17"/>
      <c r="Z136" s="17"/>
      <c r="AA136" s="17"/>
      <c r="AB136" s="17"/>
      <c r="AC136" s="17"/>
      <c r="AD136" s="17"/>
      <c r="AE136" s="17"/>
      <c r="AF136" s="17"/>
      <c r="AG136" s="17"/>
      <c r="AH136" s="17"/>
      <c r="AI136" s="17"/>
      <c r="AJ136" s="17"/>
      <c r="AK136" s="17"/>
      <c r="AL136" s="17"/>
      <c r="AM136" s="17"/>
      <c r="AN136" s="17"/>
      <c r="AO136" s="17"/>
    </row>
    <row r="137" spans="1:41" s="16" customFormat="1" ht="57" customHeight="1">
      <c r="A137" s="6"/>
      <c r="B137" s="6"/>
      <c r="C137" s="38"/>
      <c r="D137" s="12"/>
      <c r="E137" s="12"/>
      <c r="F137" s="12"/>
      <c r="G137" s="59"/>
      <c r="H137" s="12"/>
      <c r="I137" s="37"/>
      <c r="J137" s="37"/>
      <c r="K137" s="37"/>
      <c r="L137" s="4"/>
      <c r="M137" s="18"/>
      <c r="N137" s="18"/>
      <c r="O137" s="18"/>
      <c r="P137" s="18"/>
      <c r="Q137" s="18"/>
      <c r="R137" s="18"/>
      <c r="S137" s="18"/>
      <c r="T137" s="18"/>
      <c r="U137" s="18"/>
      <c r="V137" s="18"/>
      <c r="W137" s="18"/>
      <c r="X137" s="18"/>
      <c r="Y137" s="17"/>
      <c r="Z137" s="17"/>
      <c r="AA137" s="17"/>
      <c r="AB137" s="17"/>
      <c r="AC137" s="17"/>
      <c r="AD137" s="17"/>
      <c r="AE137" s="17"/>
      <c r="AF137" s="17"/>
      <c r="AG137" s="17"/>
      <c r="AH137" s="17"/>
      <c r="AI137" s="17"/>
      <c r="AJ137" s="17"/>
      <c r="AK137" s="17"/>
      <c r="AL137" s="17"/>
      <c r="AM137" s="17"/>
      <c r="AN137" s="17"/>
      <c r="AO137" s="17"/>
    </row>
    <row r="138" spans="1:41" s="16" customFormat="1" ht="57" customHeight="1">
      <c r="A138" s="6"/>
      <c r="B138" s="6"/>
      <c r="C138" s="12"/>
      <c r="D138" s="12"/>
      <c r="E138" s="12"/>
      <c r="F138" s="12"/>
      <c r="G138" s="59"/>
      <c r="H138" s="12"/>
      <c r="I138" s="37"/>
      <c r="J138" s="37"/>
      <c r="K138" s="37"/>
      <c r="L138" s="4"/>
      <c r="M138" s="18"/>
      <c r="N138" s="18"/>
      <c r="O138" s="18"/>
      <c r="P138" s="18"/>
      <c r="Q138" s="18"/>
      <c r="R138" s="18"/>
      <c r="S138" s="18"/>
      <c r="T138" s="18"/>
      <c r="U138" s="18"/>
      <c r="V138" s="18"/>
      <c r="W138" s="18"/>
      <c r="X138" s="18"/>
      <c r="Y138" s="17"/>
      <c r="Z138" s="17"/>
      <c r="AA138" s="17"/>
      <c r="AB138" s="17"/>
      <c r="AC138" s="17"/>
      <c r="AD138" s="17"/>
      <c r="AE138" s="17"/>
      <c r="AF138" s="17"/>
      <c r="AG138" s="17"/>
      <c r="AH138" s="17"/>
      <c r="AI138" s="17"/>
      <c r="AJ138" s="17"/>
      <c r="AK138" s="17"/>
      <c r="AL138" s="17"/>
      <c r="AM138" s="17"/>
      <c r="AN138" s="17"/>
      <c r="AO138" s="17"/>
    </row>
    <row r="139" spans="1:41" s="16" customFormat="1" ht="57" customHeight="1">
      <c r="A139" s="6"/>
      <c r="B139" s="6"/>
      <c r="C139" s="21"/>
      <c r="D139" s="21"/>
      <c r="E139" s="21"/>
      <c r="F139" s="21"/>
      <c r="G139" s="58"/>
      <c r="H139" s="21"/>
      <c r="I139" s="18"/>
      <c r="J139" s="18"/>
      <c r="K139" s="18"/>
      <c r="L139" s="4"/>
      <c r="M139" s="18"/>
      <c r="N139" s="18"/>
      <c r="O139" s="18"/>
      <c r="P139" s="18"/>
      <c r="Q139" s="18"/>
      <c r="R139" s="18"/>
      <c r="S139" s="18"/>
      <c r="T139" s="18"/>
      <c r="U139" s="18"/>
      <c r="V139" s="18"/>
      <c r="W139" s="18"/>
      <c r="X139" s="18"/>
      <c r="Y139" s="17"/>
      <c r="Z139" s="17"/>
      <c r="AA139" s="17"/>
      <c r="AB139" s="17"/>
      <c r="AC139" s="17"/>
      <c r="AD139" s="17"/>
      <c r="AE139" s="17"/>
      <c r="AF139" s="17"/>
      <c r="AG139" s="17"/>
      <c r="AH139" s="17"/>
      <c r="AI139" s="17"/>
      <c r="AJ139" s="17"/>
      <c r="AK139" s="17"/>
      <c r="AL139" s="17"/>
      <c r="AM139" s="17"/>
      <c r="AN139" s="17"/>
      <c r="AO139" s="17"/>
    </row>
    <row r="140" spans="1:41" s="16" customFormat="1" ht="57" customHeight="1">
      <c r="A140" s="6"/>
      <c r="B140" s="6"/>
      <c r="C140" s="21"/>
      <c r="D140" s="21"/>
      <c r="E140" s="21"/>
      <c r="F140" s="21"/>
      <c r="G140" s="58"/>
      <c r="H140" s="21"/>
      <c r="I140" s="18"/>
      <c r="J140" s="18"/>
      <c r="K140" s="18"/>
      <c r="L140" s="4"/>
      <c r="M140" s="18"/>
      <c r="N140" s="18"/>
      <c r="O140" s="18"/>
      <c r="P140" s="18"/>
      <c r="Q140" s="18"/>
      <c r="R140" s="18"/>
      <c r="S140" s="18"/>
      <c r="T140" s="18"/>
      <c r="U140" s="18"/>
      <c r="V140" s="18"/>
      <c r="W140" s="18"/>
      <c r="X140" s="18"/>
      <c r="Y140" s="17"/>
      <c r="Z140" s="17"/>
      <c r="AA140" s="17"/>
      <c r="AB140" s="17"/>
      <c r="AC140" s="17"/>
      <c r="AD140" s="17"/>
      <c r="AE140" s="17"/>
      <c r="AF140" s="17"/>
      <c r="AG140" s="17"/>
      <c r="AH140" s="17"/>
      <c r="AI140" s="17"/>
      <c r="AJ140" s="17"/>
      <c r="AK140" s="17"/>
      <c r="AL140" s="17"/>
      <c r="AM140" s="17"/>
      <c r="AN140" s="17"/>
      <c r="AO140" s="17"/>
    </row>
    <row r="141" spans="1:41" s="16" customFormat="1" ht="57" customHeight="1">
      <c r="A141" s="6"/>
      <c r="B141" s="6"/>
      <c r="C141" s="21"/>
      <c r="D141" s="21"/>
      <c r="E141" s="21"/>
      <c r="F141" s="21"/>
      <c r="G141" s="58"/>
      <c r="H141" s="21"/>
      <c r="I141" s="18"/>
      <c r="J141" s="18"/>
      <c r="K141" s="18"/>
      <c r="L141" s="4"/>
      <c r="M141" s="18"/>
      <c r="N141" s="18"/>
      <c r="O141" s="18"/>
      <c r="P141" s="18"/>
      <c r="Q141" s="18"/>
      <c r="R141" s="18"/>
      <c r="S141" s="18"/>
      <c r="T141" s="18"/>
      <c r="U141" s="18"/>
      <c r="V141" s="18"/>
      <c r="W141" s="18"/>
      <c r="X141" s="18"/>
      <c r="Y141" s="17"/>
      <c r="Z141" s="17"/>
      <c r="AA141" s="17"/>
      <c r="AB141" s="17"/>
      <c r="AC141" s="17"/>
      <c r="AD141" s="17"/>
      <c r="AE141" s="17"/>
      <c r="AF141" s="17"/>
      <c r="AG141" s="17"/>
      <c r="AH141" s="17"/>
      <c r="AI141" s="17"/>
      <c r="AJ141" s="17"/>
      <c r="AK141" s="17"/>
      <c r="AL141" s="17"/>
      <c r="AM141" s="17"/>
      <c r="AN141" s="17"/>
      <c r="AO141" s="17"/>
    </row>
    <row r="142" spans="1:41" ht="57" customHeight="1">
      <c r="C142" s="21"/>
      <c r="D142" s="21"/>
      <c r="E142" s="21"/>
      <c r="F142" s="21"/>
      <c r="G142" s="58"/>
      <c r="H142" s="21"/>
      <c r="I142" s="18"/>
      <c r="J142" s="18"/>
      <c r="K142" s="18"/>
    </row>
  </sheetData>
  <conditionalFormatting sqref="W113">
    <cfRule type="cellIs" dxfId="1" priority="1" stopIfTrue="1" operator="notEqual">
      <formula>0</formula>
    </cfRule>
  </conditionalFormatting>
  <pageMargins left="0.75" right="0.5" top="0.5" bottom="0.5" header="0.5" footer="0.25"/>
  <pageSetup scale="60" fitToHeight="2" orientation="landscape" r:id="rId1"/>
  <headerFooter alignWithMargins="0">
    <oddFooter>&amp;C&amp;F&amp;R&amp;"Times New Roman,Regular"Page &amp;P of &amp;N</oddFooter>
  </headerFooter>
  <rowBreaks count="1" manualBreakCount="1">
    <brk id="103" max="14" man="1"/>
  </rowBreaks>
  <legacyDrawing r:id="rId2"/>
</worksheet>
</file>

<file path=xl/worksheets/sheet2.xml><?xml version="1.0" encoding="utf-8"?>
<worksheet xmlns="http://schemas.openxmlformats.org/spreadsheetml/2006/main" xmlns:r="http://schemas.openxmlformats.org/officeDocument/2006/relationships">
  <dimension ref="A1:AN131"/>
  <sheetViews>
    <sheetView zoomScaleNormal="100" zoomScaleSheetLayoutView="90" workbookViewId="0">
      <selection activeCell="A6" sqref="A6"/>
    </sheetView>
  </sheetViews>
  <sheetFormatPr defaultRowHeight="57" customHeight="1" outlineLevelCol="1"/>
  <cols>
    <col min="1" max="2" width="3.625" style="6" customWidth="1"/>
    <col min="3" max="3" width="35.125" style="1" customWidth="1"/>
    <col min="4" max="4" width="5.625" style="1" hidden="1" customWidth="1" outlineLevel="1"/>
    <col min="5" max="5" width="11" style="1" hidden="1" customWidth="1" outlineLevel="1"/>
    <col min="6" max="6" width="1.5" style="1" customWidth="1" outlineLevel="1"/>
    <col min="7" max="7" width="57.5" style="52" customWidth="1" outlineLevel="1"/>
    <col min="8" max="8" width="2" style="1" customWidth="1"/>
    <col min="9" max="9" width="14.25" style="4" customWidth="1"/>
    <col min="10" max="10" width="2" style="4" customWidth="1"/>
    <col min="11" max="11" width="17.5" style="18" bestFit="1" customWidth="1"/>
    <col min="12" max="12" width="2.625" style="18" customWidth="1"/>
    <col min="13" max="13" width="13.25" style="18" bestFit="1" customWidth="1"/>
    <col min="14" max="14" width="3.125" style="18" customWidth="1"/>
    <col min="15" max="15" width="11.625" style="18" customWidth="1"/>
    <col min="16" max="16" width="3" style="18" customWidth="1"/>
    <col min="17" max="17" width="2.5" style="18" customWidth="1"/>
    <col min="18" max="18" width="14.5" style="18" customWidth="1"/>
    <col min="19" max="19" width="2" style="18" customWidth="1"/>
    <col min="20" max="20" width="13.125" style="18" customWidth="1"/>
    <col min="21" max="21" width="2" style="18" customWidth="1"/>
    <col min="22" max="22" width="14.125" style="18" customWidth="1"/>
    <col min="23" max="23" width="2" style="18" hidden="1" customWidth="1" outlineLevel="1"/>
    <col min="24" max="24" width="9" style="18" collapsed="1"/>
    <col min="25" max="40" width="9" style="18"/>
    <col min="41" max="16384" width="9" style="4"/>
  </cols>
  <sheetData>
    <row r="1" spans="1:40" s="1" customFormat="1" ht="19.5" customHeight="1">
      <c r="A1" s="2" t="s">
        <v>62</v>
      </c>
      <c r="B1" s="2"/>
      <c r="G1" s="52"/>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row>
    <row r="2" spans="1:40" s="1" customFormat="1" ht="18" customHeight="1">
      <c r="A2" s="2" t="s">
        <v>59</v>
      </c>
      <c r="B2" s="2"/>
      <c r="G2" s="52"/>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row>
    <row r="3" spans="1:40" s="1" customFormat="1" ht="24.75" customHeight="1">
      <c r="A3" s="6" t="s">
        <v>60</v>
      </c>
      <c r="B3" s="6"/>
      <c r="G3" s="52"/>
      <c r="I3" s="7" t="s">
        <v>63</v>
      </c>
      <c r="K3" s="41"/>
      <c r="L3" s="41"/>
      <c r="M3" s="41"/>
      <c r="N3" s="41"/>
      <c r="O3" s="21"/>
      <c r="P3" s="41"/>
      <c r="Q3" s="41"/>
      <c r="R3" s="41"/>
      <c r="S3" s="21"/>
      <c r="T3" s="21"/>
      <c r="U3" s="21"/>
      <c r="V3" s="29"/>
      <c r="W3" s="21"/>
      <c r="X3" s="21"/>
      <c r="Y3" s="21"/>
      <c r="Z3" s="21"/>
      <c r="AA3" s="21"/>
      <c r="AB3" s="21"/>
      <c r="AC3" s="21"/>
      <c r="AD3" s="21"/>
      <c r="AE3" s="21"/>
      <c r="AF3" s="21"/>
      <c r="AG3" s="21"/>
      <c r="AH3" s="21"/>
      <c r="AI3" s="21"/>
      <c r="AJ3" s="21"/>
      <c r="AK3" s="21"/>
      <c r="AL3" s="21"/>
      <c r="AM3" s="21"/>
      <c r="AN3" s="21"/>
    </row>
    <row r="4" spans="1:40" s="1" customFormat="1" ht="17.25" customHeight="1">
      <c r="A4" s="6"/>
      <c r="B4" s="6"/>
      <c r="G4" s="52"/>
      <c r="I4" s="7" t="s">
        <v>94</v>
      </c>
      <c r="K4" s="41" t="s">
        <v>164</v>
      </c>
      <c r="L4" s="41"/>
      <c r="M4" s="41" t="s">
        <v>172</v>
      </c>
      <c r="N4" s="41"/>
      <c r="O4" s="41" t="s">
        <v>177</v>
      </c>
      <c r="P4" s="41"/>
      <c r="Q4" s="41"/>
      <c r="R4" s="41"/>
      <c r="S4" s="21"/>
      <c r="T4" s="21"/>
      <c r="U4" s="21"/>
      <c r="V4" s="29"/>
      <c r="W4" s="21"/>
      <c r="X4" s="21"/>
      <c r="Y4" s="21"/>
      <c r="Z4" s="21"/>
      <c r="AA4" s="21"/>
      <c r="AB4" s="21"/>
      <c r="AC4" s="21"/>
      <c r="AD4" s="21"/>
      <c r="AE4" s="21"/>
      <c r="AF4" s="21"/>
      <c r="AG4" s="21"/>
      <c r="AH4" s="21"/>
      <c r="AI4" s="21"/>
      <c r="AJ4" s="21"/>
      <c r="AK4" s="21"/>
      <c r="AL4" s="21"/>
      <c r="AM4" s="21"/>
      <c r="AN4" s="21"/>
    </row>
    <row r="5" spans="1:40" s="30" customFormat="1" ht="18.75" customHeight="1">
      <c r="A5" s="3" t="s">
        <v>90</v>
      </c>
      <c r="B5" s="3"/>
      <c r="C5" s="1"/>
      <c r="D5" s="1"/>
      <c r="E5" s="1"/>
      <c r="F5" s="1"/>
      <c r="G5" s="53" t="s">
        <v>97</v>
      </c>
      <c r="H5" s="1"/>
      <c r="I5" s="26" t="s">
        <v>19</v>
      </c>
      <c r="J5" s="5"/>
      <c r="K5" s="42" t="s">
        <v>165</v>
      </c>
      <c r="L5" s="42"/>
      <c r="M5" s="41" t="s">
        <v>173</v>
      </c>
      <c r="N5" s="41"/>
      <c r="O5" s="41" t="s">
        <v>178</v>
      </c>
      <c r="P5" s="41"/>
      <c r="Q5" s="41"/>
      <c r="R5" s="41"/>
      <c r="S5" s="21"/>
      <c r="T5" s="41"/>
      <c r="U5" s="21"/>
      <c r="V5" s="41"/>
      <c r="W5" s="21"/>
      <c r="X5" s="43"/>
      <c r="Y5" s="43"/>
      <c r="Z5" s="43"/>
      <c r="AA5" s="43"/>
      <c r="AB5" s="43"/>
      <c r="AC5" s="43"/>
      <c r="AD5" s="43"/>
      <c r="AE5" s="43"/>
      <c r="AF5" s="43"/>
      <c r="AG5" s="43"/>
      <c r="AH5" s="43"/>
      <c r="AI5" s="43"/>
      <c r="AJ5" s="43"/>
      <c r="AK5" s="43"/>
      <c r="AL5" s="43"/>
      <c r="AM5" s="43"/>
      <c r="AN5" s="43"/>
    </row>
    <row r="6" spans="1:40" ht="15.75" customHeight="1"/>
    <row r="7" spans="1:40" ht="15.75" customHeight="1">
      <c r="C7" s="1" t="s">
        <v>0</v>
      </c>
      <c r="I7" s="4">
        <v>-132570962</v>
      </c>
    </row>
    <row r="8" spans="1:40" ht="15.75" customHeight="1">
      <c r="C8" s="1" t="s">
        <v>20</v>
      </c>
      <c r="I8" s="4">
        <v>0</v>
      </c>
    </row>
    <row r="9" spans="1:40" ht="15.75" customHeight="1">
      <c r="C9" s="1" t="s">
        <v>21</v>
      </c>
      <c r="I9" s="4">
        <v>0</v>
      </c>
    </row>
    <row r="10" spans="1:40" ht="15.75" customHeight="1">
      <c r="C10" s="1" t="s">
        <v>61</v>
      </c>
      <c r="I10" s="4">
        <v>0</v>
      </c>
    </row>
    <row r="11" spans="1:40" ht="15.75" customHeight="1">
      <c r="I11" s="14"/>
      <c r="N11" s="14"/>
      <c r="P11" s="14"/>
      <c r="Q11" s="14"/>
    </row>
    <row r="12" spans="1:40" ht="15.75" customHeight="1">
      <c r="C12" s="6" t="s">
        <v>0</v>
      </c>
      <c r="I12" s="8">
        <f>+SUM(I7:I11)</f>
        <v>-132570962</v>
      </c>
      <c r="N12" s="14"/>
      <c r="P12" s="14"/>
      <c r="Q12" s="14"/>
      <c r="T12" s="14"/>
    </row>
    <row r="13" spans="1:40" ht="15.75" customHeight="1"/>
    <row r="14" spans="1:40" ht="15.75" customHeight="1">
      <c r="A14" s="6" t="s">
        <v>1</v>
      </c>
    </row>
    <row r="15" spans="1:40" ht="29.25" customHeight="1">
      <c r="A15" s="9"/>
      <c r="B15" s="9"/>
      <c r="C15" s="10" t="s">
        <v>58</v>
      </c>
      <c r="D15" s="10"/>
      <c r="E15" s="10"/>
      <c r="F15" s="10"/>
      <c r="G15" s="47" t="s">
        <v>158</v>
      </c>
      <c r="H15" s="10"/>
      <c r="I15" s="11">
        <v>1409466</v>
      </c>
      <c r="J15" s="40"/>
      <c r="M15" s="49">
        <v>0.35</v>
      </c>
      <c r="O15" s="18" t="s">
        <v>179</v>
      </c>
    </row>
    <row r="16" spans="1:40" ht="18" customHeight="1">
      <c r="A16" s="9"/>
      <c r="B16" s="9"/>
      <c r="C16" s="10" t="s">
        <v>22</v>
      </c>
      <c r="D16" s="10"/>
      <c r="E16" s="10"/>
      <c r="F16" s="10"/>
      <c r="G16" s="47" t="s">
        <v>192</v>
      </c>
      <c r="H16" s="10"/>
      <c r="I16" s="11">
        <v>-287129</v>
      </c>
      <c r="J16" s="40"/>
      <c r="M16" s="49">
        <v>0.35</v>
      </c>
      <c r="O16" s="18" t="s">
        <v>179</v>
      </c>
    </row>
    <row r="17" spans="1:22" ht="20.25" customHeight="1">
      <c r="A17" s="9"/>
      <c r="B17" s="9"/>
      <c r="C17" s="10" t="s">
        <v>7</v>
      </c>
      <c r="D17" s="10"/>
      <c r="E17" s="10"/>
      <c r="F17" s="10"/>
      <c r="G17" s="47" t="s">
        <v>159</v>
      </c>
      <c r="H17" s="10"/>
      <c r="I17" s="19">
        <v>-1167774</v>
      </c>
      <c r="J17" s="40"/>
      <c r="M17" s="49">
        <v>0.35</v>
      </c>
      <c r="O17" s="18" t="s">
        <v>179</v>
      </c>
      <c r="P17" s="44"/>
      <c r="Q17" s="44"/>
    </row>
    <row r="18" spans="1:22" ht="48" customHeight="1">
      <c r="A18" s="9"/>
      <c r="B18" s="9"/>
      <c r="C18" s="10" t="s">
        <v>70</v>
      </c>
      <c r="D18" s="10"/>
      <c r="E18" s="10"/>
      <c r="F18" s="10"/>
      <c r="G18" s="47" t="s">
        <v>106</v>
      </c>
      <c r="H18" s="10"/>
      <c r="I18" s="19">
        <f>1028219</f>
        <v>1028219</v>
      </c>
      <c r="J18" s="40"/>
      <c r="M18" s="49">
        <v>0.35</v>
      </c>
      <c r="O18" s="18" t="s">
        <v>179</v>
      </c>
      <c r="P18" s="44"/>
      <c r="Q18" s="44"/>
    </row>
    <row r="19" spans="1:22" ht="19.5" customHeight="1">
      <c r="A19" s="9"/>
      <c r="B19" s="9"/>
      <c r="C19" s="10" t="s">
        <v>10</v>
      </c>
      <c r="D19" s="10"/>
      <c r="E19" s="10"/>
      <c r="F19" s="10"/>
      <c r="G19" s="47" t="s">
        <v>153</v>
      </c>
      <c r="H19" s="10"/>
      <c r="I19" s="19">
        <v>-422252</v>
      </c>
      <c r="J19" s="40"/>
      <c r="M19" s="49">
        <v>0.35</v>
      </c>
      <c r="O19" s="18" t="s">
        <v>180</v>
      </c>
      <c r="P19" s="44"/>
      <c r="Q19" s="44"/>
    </row>
    <row r="20" spans="1:22" ht="19.5" customHeight="1">
      <c r="A20" s="9"/>
      <c r="B20" s="9"/>
      <c r="C20" s="10" t="s">
        <v>8</v>
      </c>
      <c r="D20" s="10"/>
      <c r="E20" s="10"/>
      <c r="F20" s="10"/>
      <c r="G20" s="47" t="s">
        <v>154</v>
      </c>
      <c r="H20" s="10"/>
      <c r="I20" s="19">
        <v>8890</v>
      </c>
      <c r="J20" s="40"/>
      <c r="M20" s="49">
        <v>0.35</v>
      </c>
      <c r="O20" s="18" t="s">
        <v>179</v>
      </c>
      <c r="P20" s="44"/>
      <c r="Q20" s="44"/>
    </row>
    <row r="21" spans="1:22" ht="28.5" customHeight="1">
      <c r="A21" s="9"/>
      <c r="B21" s="9"/>
      <c r="C21" s="10" t="s">
        <v>64</v>
      </c>
      <c r="D21" s="10"/>
      <c r="E21" s="10"/>
      <c r="F21" s="10"/>
      <c r="G21" s="47" t="s">
        <v>155</v>
      </c>
      <c r="H21" s="10"/>
      <c r="I21" s="19">
        <v>-102494</v>
      </c>
      <c r="J21" s="40"/>
      <c r="M21" s="49">
        <v>0.35</v>
      </c>
      <c r="O21" s="18" t="s">
        <v>179</v>
      </c>
      <c r="P21" s="44"/>
      <c r="Q21" s="44"/>
    </row>
    <row r="22" spans="1:22" ht="47.25" customHeight="1">
      <c r="A22" s="9"/>
      <c r="B22" s="9"/>
      <c r="C22" s="10" t="s">
        <v>9</v>
      </c>
      <c r="D22" s="10"/>
      <c r="E22" s="10"/>
      <c r="F22" s="10"/>
      <c r="G22" s="47" t="s">
        <v>156</v>
      </c>
      <c r="H22" s="10"/>
      <c r="I22" s="19">
        <v>4541614</v>
      </c>
      <c r="J22" s="40"/>
      <c r="M22" s="49">
        <v>0.35</v>
      </c>
      <c r="O22" s="18" t="s">
        <v>180</v>
      </c>
      <c r="P22" s="44"/>
      <c r="Q22" s="44"/>
    </row>
    <row r="23" spans="1:22" ht="17.25" customHeight="1">
      <c r="A23" s="31"/>
      <c r="B23" s="31"/>
      <c r="I23" s="20"/>
      <c r="M23" s="50"/>
      <c r="P23" s="45"/>
      <c r="Q23" s="45"/>
    </row>
    <row r="24" spans="1:22" ht="15.75" customHeight="1">
      <c r="A24" s="31"/>
      <c r="B24" s="31"/>
      <c r="C24" s="6" t="s">
        <v>2</v>
      </c>
      <c r="D24" s="6"/>
      <c r="E24" s="6"/>
      <c r="F24" s="6"/>
      <c r="G24" s="54"/>
      <c r="I24" s="8">
        <f>SUM(I14:I22)</f>
        <v>5008540</v>
      </c>
      <c r="K24" s="14"/>
      <c r="L24" s="14"/>
      <c r="M24" s="51"/>
      <c r="N24" s="14"/>
      <c r="P24" s="14"/>
      <c r="Q24" s="14"/>
      <c r="R24" s="14"/>
      <c r="T24" s="14"/>
      <c r="V24" s="14"/>
    </row>
    <row r="25" spans="1:22" ht="15.75" customHeight="1">
      <c r="A25" s="31"/>
      <c r="B25" s="31"/>
      <c r="I25" s="15"/>
      <c r="M25" s="50"/>
      <c r="P25" s="14"/>
      <c r="Q25" s="14"/>
    </row>
    <row r="26" spans="1:22" ht="15.75" customHeight="1">
      <c r="C26" s="6" t="s">
        <v>3</v>
      </c>
      <c r="D26" s="6"/>
      <c r="E26" s="6"/>
      <c r="F26" s="6"/>
      <c r="G26" s="54"/>
      <c r="I26" s="8">
        <f>+I12+I24</f>
        <v>-127562422</v>
      </c>
      <c r="K26" s="14"/>
      <c r="L26" s="14"/>
      <c r="M26" s="51"/>
      <c r="N26" s="14"/>
      <c r="P26" s="14"/>
      <c r="Q26" s="14"/>
      <c r="R26" s="14"/>
      <c r="T26" s="14"/>
    </row>
    <row r="27" spans="1:22" ht="15.75" customHeight="1">
      <c r="M27" s="50"/>
    </row>
    <row r="28" spans="1:22" ht="15.75" customHeight="1">
      <c r="A28" s="6" t="s">
        <v>65</v>
      </c>
      <c r="D28" s="6"/>
      <c r="E28" s="6"/>
      <c r="F28" s="6"/>
      <c r="G28" s="54"/>
      <c r="M28" s="50"/>
    </row>
    <row r="29" spans="1:22" ht="60" customHeight="1">
      <c r="A29" s="9"/>
      <c r="B29" s="9"/>
      <c r="C29" s="10" t="s">
        <v>69</v>
      </c>
      <c r="D29" s="9"/>
      <c r="E29" s="9"/>
      <c r="F29" s="9"/>
      <c r="G29" s="47" t="s">
        <v>106</v>
      </c>
      <c r="H29" s="10"/>
      <c r="I29" s="11">
        <v>44887</v>
      </c>
      <c r="J29" s="40"/>
      <c r="K29" s="18" t="s">
        <v>169</v>
      </c>
      <c r="M29" s="49">
        <v>0.35</v>
      </c>
      <c r="O29" s="18" t="s">
        <v>179</v>
      </c>
    </row>
    <row r="30" spans="1:22" ht="106.5" customHeight="1">
      <c r="A30" s="9"/>
      <c r="B30" s="9"/>
      <c r="C30" s="10" t="s">
        <v>23</v>
      </c>
      <c r="D30" s="9"/>
      <c r="E30" s="9"/>
      <c r="F30" s="9"/>
      <c r="G30" s="47" t="s">
        <v>104</v>
      </c>
      <c r="H30" s="10"/>
      <c r="I30" s="11">
        <v>-3097401</v>
      </c>
      <c r="J30" s="40"/>
      <c r="K30" s="18" t="s">
        <v>169</v>
      </c>
      <c r="M30" s="49">
        <v>0.35</v>
      </c>
      <c r="O30" s="18" t="s">
        <v>179</v>
      </c>
    </row>
    <row r="31" spans="1:22" ht="114.75">
      <c r="A31" s="9"/>
      <c r="B31" s="9"/>
      <c r="C31" s="10" t="s">
        <v>24</v>
      </c>
      <c r="D31" s="9"/>
      <c r="E31" s="9"/>
      <c r="F31" s="9"/>
      <c r="G31" s="47" t="s">
        <v>105</v>
      </c>
      <c r="H31" s="10"/>
      <c r="I31" s="11">
        <v>-505245</v>
      </c>
      <c r="J31" s="40"/>
      <c r="K31" s="18" t="s">
        <v>166</v>
      </c>
      <c r="M31" s="49">
        <v>0.35</v>
      </c>
      <c r="O31" s="18" t="s">
        <v>179</v>
      </c>
    </row>
    <row r="32" spans="1:22" ht="127.5">
      <c r="A32" s="9"/>
      <c r="B32" s="9"/>
      <c r="C32" s="10" t="s">
        <v>27</v>
      </c>
      <c r="D32" s="9"/>
      <c r="E32" s="9"/>
      <c r="F32" s="9"/>
      <c r="G32" s="47" t="s">
        <v>107</v>
      </c>
      <c r="H32" s="10"/>
      <c r="I32" s="11">
        <f>-411134-110692-47667</f>
        <v>-569493</v>
      </c>
      <c r="J32" s="40"/>
      <c r="K32" s="18" t="s">
        <v>166</v>
      </c>
      <c r="M32" s="49">
        <v>0.35</v>
      </c>
      <c r="O32" s="18" t="s">
        <v>180</v>
      </c>
    </row>
    <row r="33" spans="1:15" ht="34.5" customHeight="1">
      <c r="A33" s="9"/>
      <c r="B33" s="9"/>
      <c r="C33" s="10" t="s">
        <v>25</v>
      </c>
      <c r="D33" s="9"/>
      <c r="E33" s="9"/>
      <c r="F33" s="9"/>
      <c r="G33" s="47" t="s">
        <v>161</v>
      </c>
      <c r="H33" s="10"/>
      <c r="I33" s="11">
        <v>33828</v>
      </c>
      <c r="J33" s="40"/>
      <c r="K33" s="18" t="s">
        <v>169</v>
      </c>
      <c r="M33" s="50" t="s">
        <v>174</v>
      </c>
      <c r="O33" s="18" t="s">
        <v>180</v>
      </c>
    </row>
    <row r="34" spans="1:15" ht="127.5">
      <c r="A34" s="9"/>
      <c r="B34" s="9"/>
      <c r="C34" s="10" t="s">
        <v>26</v>
      </c>
      <c r="D34" s="9"/>
      <c r="E34" s="9"/>
      <c r="F34" s="9"/>
      <c r="G34" s="47" t="s">
        <v>112</v>
      </c>
      <c r="H34" s="10"/>
      <c r="I34" s="11">
        <v>-2450031</v>
      </c>
      <c r="J34" s="40"/>
      <c r="K34" s="18" t="s">
        <v>169</v>
      </c>
      <c r="M34" s="49">
        <v>0.35</v>
      </c>
      <c r="O34" s="18" t="s">
        <v>180</v>
      </c>
    </row>
    <row r="35" spans="1:15" ht="18" customHeight="1">
      <c r="A35" s="9"/>
      <c r="B35" s="9"/>
      <c r="C35" s="10" t="s">
        <v>28</v>
      </c>
      <c r="D35" s="9"/>
      <c r="E35" s="9"/>
      <c r="F35" s="9"/>
      <c r="G35" s="47" t="s">
        <v>162</v>
      </c>
      <c r="H35" s="10"/>
      <c r="I35" s="11">
        <f>-94623-25476-10970-5000</f>
        <v>-136069</v>
      </c>
      <c r="J35" s="40"/>
      <c r="K35" s="18" t="s">
        <v>166</v>
      </c>
      <c r="M35" s="49">
        <v>0.35</v>
      </c>
      <c r="O35" s="18" t="s">
        <v>180</v>
      </c>
    </row>
    <row r="36" spans="1:15" ht="126.75" customHeight="1">
      <c r="A36" s="9"/>
      <c r="B36" s="9"/>
      <c r="C36" s="10" t="s">
        <v>29</v>
      </c>
      <c r="D36" s="9"/>
      <c r="E36" s="9"/>
      <c r="F36" s="9"/>
      <c r="G36" s="47" t="s">
        <v>109</v>
      </c>
      <c r="H36" s="10"/>
      <c r="I36" s="11">
        <f>3578116-16420</f>
        <v>3561696</v>
      </c>
      <c r="J36" s="40"/>
      <c r="K36" s="18" t="s">
        <v>169</v>
      </c>
      <c r="M36" s="49">
        <v>0.35</v>
      </c>
      <c r="O36" s="18" t="s">
        <v>180</v>
      </c>
    </row>
    <row r="37" spans="1:15" ht="21" customHeight="1">
      <c r="A37" s="9"/>
      <c r="B37" s="9"/>
      <c r="C37" s="10" t="s">
        <v>30</v>
      </c>
      <c r="D37" s="9"/>
      <c r="E37" s="9"/>
      <c r="F37" s="9"/>
      <c r="G37" s="47" t="s">
        <v>140</v>
      </c>
      <c r="H37" s="10"/>
      <c r="I37" s="11">
        <f>-3673476-290305-14373</f>
        <v>-3978154</v>
      </c>
      <c r="J37" s="40"/>
      <c r="K37" s="18" t="s">
        <v>169</v>
      </c>
      <c r="M37" s="50" t="s">
        <v>174</v>
      </c>
      <c r="O37" s="18" t="s">
        <v>180</v>
      </c>
    </row>
    <row r="38" spans="1:15" ht="18" customHeight="1">
      <c r="A38" s="9"/>
      <c r="B38" s="9"/>
      <c r="C38" s="10" t="s">
        <v>31</v>
      </c>
      <c r="D38" s="9"/>
      <c r="E38" s="9"/>
      <c r="F38" s="9"/>
      <c r="G38" s="47" t="s">
        <v>141</v>
      </c>
      <c r="H38" s="10"/>
      <c r="I38" s="11">
        <v>-215068</v>
      </c>
      <c r="J38" s="40"/>
      <c r="K38" s="18" t="s">
        <v>169</v>
      </c>
      <c r="M38" s="50" t="s">
        <v>174</v>
      </c>
      <c r="O38" s="18" t="s">
        <v>180</v>
      </c>
    </row>
    <row r="39" spans="1:15" ht="57" customHeight="1">
      <c r="A39" s="9"/>
      <c r="B39" s="9"/>
      <c r="C39" s="10" t="s">
        <v>32</v>
      </c>
      <c r="D39" s="9"/>
      <c r="E39" s="9"/>
      <c r="F39" s="9"/>
      <c r="G39" s="47" t="s">
        <v>113</v>
      </c>
      <c r="H39" s="10"/>
      <c r="I39" s="11">
        <v>-60300</v>
      </c>
      <c r="J39" s="40"/>
      <c r="K39" s="18" t="s">
        <v>169</v>
      </c>
      <c r="M39" s="49">
        <v>0.35</v>
      </c>
      <c r="O39" s="18" t="s">
        <v>180</v>
      </c>
    </row>
    <row r="40" spans="1:15" ht="85.5" customHeight="1">
      <c r="A40" s="9"/>
      <c r="B40" s="9"/>
      <c r="C40" s="10" t="s">
        <v>33</v>
      </c>
      <c r="D40" s="9"/>
      <c r="E40" s="9"/>
      <c r="F40" s="9"/>
      <c r="G40" s="47" t="s">
        <v>114</v>
      </c>
      <c r="H40" s="10"/>
      <c r="I40" s="11">
        <f>-281433-75772-32629</f>
        <v>-389834</v>
      </c>
      <c r="J40" s="40"/>
      <c r="K40" s="18" t="s">
        <v>169</v>
      </c>
      <c r="M40" s="49">
        <v>0.35</v>
      </c>
      <c r="O40" s="18" t="s">
        <v>180</v>
      </c>
    </row>
    <row r="41" spans="1:15" ht="57" customHeight="1">
      <c r="A41" s="9"/>
      <c r="B41" s="9"/>
      <c r="C41" s="10" t="s">
        <v>34</v>
      </c>
      <c r="D41" s="9"/>
      <c r="E41" s="9"/>
      <c r="F41" s="9"/>
      <c r="G41" s="47" t="s">
        <v>142</v>
      </c>
      <c r="H41" s="10"/>
      <c r="I41" s="11">
        <f>5169368+13210330-479356-65077-302071+344515-134604-130435</f>
        <v>17612670</v>
      </c>
      <c r="J41" s="40"/>
      <c r="K41" s="18" t="s">
        <v>166</v>
      </c>
      <c r="M41" s="49">
        <v>0.35</v>
      </c>
      <c r="O41" s="18" t="s">
        <v>180</v>
      </c>
    </row>
    <row r="42" spans="1:15" ht="66" customHeight="1">
      <c r="A42" s="9"/>
      <c r="B42" s="9"/>
      <c r="C42" s="10" t="s">
        <v>35</v>
      </c>
      <c r="D42" s="9"/>
      <c r="E42" s="9"/>
      <c r="F42" s="9"/>
      <c r="G42" s="47" t="s">
        <v>139</v>
      </c>
      <c r="H42" s="10"/>
      <c r="I42" s="11">
        <f>-3417104+214595</f>
        <v>-3202509</v>
      </c>
      <c r="J42" s="40"/>
      <c r="K42" s="18" t="s">
        <v>166</v>
      </c>
      <c r="M42" s="49">
        <v>0.35</v>
      </c>
      <c r="O42" s="18" t="s">
        <v>180</v>
      </c>
    </row>
    <row r="43" spans="1:15" ht="89.25" customHeight="1">
      <c r="A43" s="9"/>
      <c r="B43" s="9"/>
      <c r="C43" s="10" t="s">
        <v>36</v>
      </c>
      <c r="D43" s="9"/>
      <c r="E43" s="9"/>
      <c r="F43" s="9"/>
      <c r="G43" s="47" t="s">
        <v>143</v>
      </c>
      <c r="H43" s="10"/>
      <c r="I43" s="11">
        <f>-6276436+12280+6591608+95059</f>
        <v>422511</v>
      </c>
      <c r="J43" s="40"/>
      <c r="K43" s="18" t="s">
        <v>166</v>
      </c>
      <c r="M43" s="49">
        <v>0.35</v>
      </c>
      <c r="O43" s="18" t="s">
        <v>180</v>
      </c>
    </row>
    <row r="44" spans="1:15" ht="57" customHeight="1">
      <c r="A44" s="9"/>
      <c r="B44" s="9"/>
      <c r="C44" s="10" t="s">
        <v>37</v>
      </c>
      <c r="D44" s="9"/>
      <c r="E44" s="9"/>
      <c r="F44" s="9"/>
      <c r="G44" s="47" t="s">
        <v>144</v>
      </c>
      <c r="H44" s="10"/>
      <c r="I44" s="11">
        <f>103282</f>
        <v>103282</v>
      </c>
      <c r="J44" s="40"/>
      <c r="K44" s="18" t="s">
        <v>169</v>
      </c>
      <c r="M44" s="49">
        <v>0.35</v>
      </c>
      <c r="O44" s="18" t="s">
        <v>180</v>
      </c>
    </row>
    <row r="45" spans="1:15" ht="57" customHeight="1">
      <c r="A45" s="9"/>
      <c r="B45" s="9"/>
      <c r="C45" s="10" t="s">
        <v>38</v>
      </c>
      <c r="D45" s="9"/>
      <c r="E45" s="9"/>
      <c r="F45" s="9"/>
      <c r="G45" s="47" t="s">
        <v>146</v>
      </c>
      <c r="H45" s="10"/>
      <c r="I45" s="11">
        <f>52924+134592</f>
        <v>187516</v>
      </c>
      <c r="J45" s="40"/>
      <c r="K45" s="18" t="s">
        <v>169</v>
      </c>
      <c r="M45" s="49">
        <v>0.35</v>
      </c>
      <c r="O45" s="18" t="s">
        <v>180</v>
      </c>
    </row>
    <row r="46" spans="1:15" ht="48.75" customHeight="1">
      <c r="A46" s="9"/>
      <c r="B46" s="9"/>
      <c r="C46" s="10" t="s">
        <v>39</v>
      </c>
      <c r="D46" s="9"/>
      <c r="E46" s="9"/>
      <c r="F46" s="9"/>
      <c r="G46" s="47" t="s">
        <v>181</v>
      </c>
      <c r="H46" s="10"/>
      <c r="I46" s="11">
        <f>-229213-241089+77760-2072766+1971437</f>
        <v>-493871</v>
      </c>
      <c r="J46" s="40"/>
      <c r="K46" s="18" t="s">
        <v>169</v>
      </c>
      <c r="M46" s="49">
        <v>0.35</v>
      </c>
      <c r="O46" s="18" t="s">
        <v>180</v>
      </c>
    </row>
    <row r="47" spans="1:15" ht="38.25" customHeight="1">
      <c r="A47" s="9"/>
      <c r="B47" s="9"/>
      <c r="C47" s="10" t="s">
        <v>40</v>
      </c>
      <c r="D47" s="9"/>
      <c r="E47" s="9"/>
      <c r="F47" s="9"/>
      <c r="G47" s="47" t="s">
        <v>181</v>
      </c>
      <c r="H47" s="10"/>
      <c r="I47" s="11">
        <f>-6521409-1944580</f>
        <v>-8465989</v>
      </c>
      <c r="J47" s="40"/>
      <c r="K47" s="18" t="s">
        <v>166</v>
      </c>
      <c r="M47" s="49">
        <v>0.35</v>
      </c>
      <c r="O47" s="18" t="s">
        <v>180</v>
      </c>
    </row>
    <row r="48" spans="1:15" ht="76.5" customHeight="1">
      <c r="A48" s="9"/>
      <c r="B48" s="9"/>
      <c r="C48" s="10" t="s">
        <v>41</v>
      </c>
      <c r="D48" s="9"/>
      <c r="E48" s="9"/>
      <c r="F48" s="9"/>
      <c r="G48" s="47" t="s">
        <v>111</v>
      </c>
      <c r="H48" s="10"/>
      <c r="I48" s="11">
        <v>-755285</v>
      </c>
      <c r="J48" s="40"/>
      <c r="K48" s="18" t="s">
        <v>169</v>
      </c>
      <c r="M48" s="49">
        <v>0.35</v>
      </c>
      <c r="O48" s="18" t="s">
        <v>180</v>
      </c>
    </row>
    <row r="49" spans="1:15" ht="57" customHeight="1">
      <c r="A49" s="9"/>
      <c r="B49" s="9"/>
      <c r="C49" s="10" t="s">
        <v>85</v>
      </c>
      <c r="D49" s="9"/>
      <c r="E49" s="9"/>
      <c r="F49" s="9"/>
      <c r="G49" s="47" t="s">
        <v>182</v>
      </c>
      <c r="H49" s="10"/>
      <c r="I49" s="11">
        <v>237550</v>
      </c>
      <c r="J49" s="40"/>
      <c r="K49" s="18" t="s">
        <v>169</v>
      </c>
      <c r="M49" s="49">
        <v>0.35</v>
      </c>
      <c r="O49" s="18" t="s">
        <v>180</v>
      </c>
    </row>
    <row r="50" spans="1:15" ht="80.25" customHeight="1">
      <c r="A50" s="9"/>
      <c r="B50" s="9"/>
      <c r="C50" s="10" t="s">
        <v>42</v>
      </c>
      <c r="D50" s="9"/>
      <c r="E50" s="9"/>
      <c r="F50" s="9"/>
      <c r="G50" s="47" t="s">
        <v>183</v>
      </c>
      <c r="H50" s="10"/>
      <c r="I50" s="11">
        <v>0</v>
      </c>
      <c r="J50" s="40"/>
      <c r="K50" s="18" t="s">
        <v>169</v>
      </c>
      <c r="M50" s="49">
        <v>0.35</v>
      </c>
      <c r="O50" s="18" t="s">
        <v>180</v>
      </c>
    </row>
    <row r="51" spans="1:15" ht="38.25" customHeight="1">
      <c r="A51" s="9"/>
      <c r="B51" s="9"/>
      <c r="C51" s="10" t="s">
        <v>43</v>
      </c>
      <c r="D51" s="9"/>
      <c r="E51" s="9"/>
      <c r="F51" s="9"/>
      <c r="G51" s="47" t="s">
        <v>145</v>
      </c>
      <c r="H51" s="10"/>
      <c r="I51" s="11">
        <f>2597119+301108+699239</f>
        <v>3597466</v>
      </c>
      <c r="J51" s="40"/>
      <c r="K51" s="18" t="s">
        <v>169</v>
      </c>
      <c r="M51" s="49">
        <v>0.35</v>
      </c>
      <c r="O51" s="18" t="s">
        <v>180</v>
      </c>
    </row>
    <row r="52" spans="1:15" ht="67.5" customHeight="1">
      <c r="A52" s="9"/>
      <c r="B52" s="9"/>
      <c r="C52" s="10" t="s">
        <v>44</v>
      </c>
      <c r="D52" s="9"/>
      <c r="E52" s="9"/>
      <c r="F52" s="9"/>
      <c r="G52" s="47" t="s">
        <v>115</v>
      </c>
      <c r="H52" s="10"/>
      <c r="I52" s="11">
        <f>86603+321660+37293-339356-55561</f>
        <v>50639</v>
      </c>
      <c r="J52" s="40"/>
      <c r="K52" s="18" t="s">
        <v>169</v>
      </c>
      <c r="M52" s="49">
        <v>0.35</v>
      </c>
      <c r="O52" s="18" t="s">
        <v>180</v>
      </c>
    </row>
    <row r="53" spans="1:15" ht="126" customHeight="1">
      <c r="A53" s="9"/>
      <c r="B53" s="9"/>
      <c r="C53" s="10" t="s">
        <v>87</v>
      </c>
      <c r="D53" s="9"/>
      <c r="E53" s="9"/>
      <c r="F53" s="9"/>
      <c r="G53" s="48" t="s">
        <v>170</v>
      </c>
      <c r="H53" s="10"/>
      <c r="I53" s="11">
        <f>331884+8450+27073</f>
        <v>367407</v>
      </c>
      <c r="J53" s="40"/>
      <c r="K53" s="18" t="s">
        <v>169</v>
      </c>
      <c r="M53" s="50" t="s">
        <v>174</v>
      </c>
      <c r="O53" s="18" t="s">
        <v>180</v>
      </c>
    </row>
    <row r="54" spans="1:15" ht="39.75" customHeight="1">
      <c r="A54" s="9"/>
      <c r="B54" s="9"/>
      <c r="C54" s="10" t="s">
        <v>45</v>
      </c>
      <c r="D54" s="9"/>
      <c r="E54" s="9"/>
      <c r="F54" s="9"/>
      <c r="G54" s="47" t="s">
        <v>147</v>
      </c>
      <c r="H54" s="10"/>
      <c r="I54" s="11">
        <v>-260633</v>
      </c>
      <c r="J54" s="40"/>
      <c r="K54" s="18" t="s">
        <v>169</v>
      </c>
      <c r="M54" s="49">
        <v>0.35</v>
      </c>
      <c r="O54" s="18" t="s">
        <v>180</v>
      </c>
    </row>
    <row r="55" spans="1:15" ht="119.25" customHeight="1">
      <c r="A55" s="9"/>
      <c r="B55" s="9"/>
      <c r="C55" s="10" t="s">
        <v>86</v>
      </c>
      <c r="D55" s="28"/>
      <c r="E55" s="9"/>
      <c r="F55" s="9"/>
      <c r="G55" s="48" t="s">
        <v>170</v>
      </c>
      <c r="H55" s="10"/>
      <c r="I55" s="11">
        <f>768510+129511641+34919197+19919581+1006668</f>
        <v>186125597</v>
      </c>
      <c r="J55" s="40"/>
      <c r="K55" s="18" t="s">
        <v>169</v>
      </c>
      <c r="M55" s="50" t="s">
        <v>174</v>
      </c>
      <c r="O55" s="18" t="s">
        <v>180</v>
      </c>
    </row>
    <row r="56" spans="1:15" ht="120" customHeight="1">
      <c r="A56" s="9"/>
      <c r="B56" s="9"/>
      <c r="C56" s="10" t="s">
        <v>80</v>
      </c>
      <c r="D56" s="9"/>
      <c r="E56" s="9"/>
      <c r="F56" s="9"/>
      <c r="G56" s="48" t="s">
        <v>170</v>
      </c>
      <c r="H56" s="10"/>
      <c r="I56" s="11">
        <f>-81622213-13929880-5101219</f>
        <v>-100653312</v>
      </c>
      <c r="J56" s="40"/>
      <c r="K56" s="18" t="s">
        <v>169</v>
      </c>
      <c r="M56" s="50" t="s">
        <v>174</v>
      </c>
      <c r="O56" s="18" t="s">
        <v>180</v>
      </c>
    </row>
    <row r="57" spans="1:15" ht="123" customHeight="1">
      <c r="A57" s="9"/>
      <c r="B57" s="9"/>
      <c r="C57" s="10" t="s">
        <v>81</v>
      </c>
      <c r="D57" s="9"/>
      <c r="E57" s="9"/>
      <c r="F57" s="9"/>
      <c r="G57" s="48" t="s">
        <v>170</v>
      </c>
      <c r="H57" s="10"/>
      <c r="I57" s="11">
        <v>-1110572</v>
      </c>
      <c r="J57" s="40"/>
      <c r="K57" s="18" t="s">
        <v>169</v>
      </c>
      <c r="M57" s="50" t="s">
        <v>174</v>
      </c>
      <c r="O57" s="18" t="s">
        <v>180</v>
      </c>
    </row>
    <row r="58" spans="1:15" ht="120.75" customHeight="1">
      <c r="A58" s="9"/>
      <c r="B58" s="9"/>
      <c r="C58" s="10" t="s">
        <v>89</v>
      </c>
      <c r="D58" s="9"/>
      <c r="E58" s="9"/>
      <c r="F58" s="9"/>
      <c r="G58" s="48" t="s">
        <v>170</v>
      </c>
      <c r="H58" s="10"/>
      <c r="I58" s="11">
        <v>12785</v>
      </c>
      <c r="J58" s="40"/>
      <c r="K58" s="18" t="s">
        <v>169</v>
      </c>
      <c r="M58" s="50" t="s">
        <v>174</v>
      </c>
      <c r="O58" s="18" t="s">
        <v>180</v>
      </c>
    </row>
    <row r="59" spans="1:15" ht="127.5" customHeight="1">
      <c r="A59" s="9"/>
      <c r="B59" s="9"/>
      <c r="C59" s="10" t="s">
        <v>78</v>
      </c>
      <c r="D59" s="9"/>
      <c r="E59" s="9"/>
      <c r="F59" s="9"/>
      <c r="G59" s="48" t="s">
        <v>170</v>
      </c>
      <c r="H59" s="10"/>
      <c r="I59" s="11">
        <f>-3803478-1014405-431728</f>
        <v>-5249611</v>
      </c>
      <c r="J59" s="40"/>
      <c r="K59" s="18" t="s">
        <v>169</v>
      </c>
      <c r="M59" s="50" t="s">
        <v>174</v>
      </c>
      <c r="O59" s="18" t="s">
        <v>180</v>
      </c>
    </row>
    <row r="60" spans="1:15" ht="122.25" customHeight="1">
      <c r="A60" s="9"/>
      <c r="B60" s="9"/>
      <c r="C60" s="10" t="s">
        <v>46</v>
      </c>
      <c r="D60" s="9"/>
      <c r="E60" s="9"/>
      <c r="F60" s="9"/>
      <c r="G60" s="48" t="s">
        <v>170</v>
      </c>
      <c r="H60" s="10"/>
      <c r="I60" s="11">
        <f>487765-14803+34404+40288+119124</f>
        <v>666778</v>
      </c>
      <c r="J60" s="40"/>
      <c r="K60" s="18" t="s">
        <v>169</v>
      </c>
      <c r="M60" s="50" t="s">
        <v>174</v>
      </c>
      <c r="O60" s="18" t="s">
        <v>180</v>
      </c>
    </row>
    <row r="61" spans="1:15" ht="35.25" customHeight="1">
      <c r="A61" s="9"/>
      <c r="B61" s="9"/>
      <c r="C61" s="10" t="s">
        <v>47</v>
      </c>
      <c r="D61" s="9"/>
      <c r="E61" s="9"/>
      <c r="F61" s="9"/>
      <c r="G61" s="47" t="s">
        <v>98</v>
      </c>
      <c r="H61" s="10"/>
      <c r="I61" s="11">
        <f>-1677475+643000</f>
        <v>-1034475</v>
      </c>
      <c r="J61" s="40"/>
      <c r="K61" s="18" t="s">
        <v>166</v>
      </c>
      <c r="M61" s="49">
        <v>0.35</v>
      </c>
      <c r="O61" s="18" t="s">
        <v>180</v>
      </c>
    </row>
    <row r="62" spans="1:15" ht="37.5" customHeight="1">
      <c r="A62" s="9"/>
      <c r="B62" s="9"/>
      <c r="C62" s="10" t="s">
        <v>48</v>
      </c>
      <c r="D62" s="9"/>
      <c r="E62" s="9"/>
      <c r="F62" s="9"/>
      <c r="G62" s="47" t="s">
        <v>184</v>
      </c>
      <c r="H62" s="10"/>
      <c r="I62" s="11">
        <f>-35483-306047-82399</f>
        <v>-423929</v>
      </c>
      <c r="J62" s="40"/>
      <c r="K62" s="18" t="s">
        <v>169</v>
      </c>
      <c r="M62" s="50" t="s">
        <v>174</v>
      </c>
      <c r="O62" s="18" t="s">
        <v>180</v>
      </c>
    </row>
    <row r="63" spans="1:15" ht="69.75" customHeight="1">
      <c r="A63" s="9"/>
      <c r="B63" s="9"/>
      <c r="C63" s="10" t="s">
        <v>49</v>
      </c>
      <c r="D63" s="9"/>
      <c r="E63" s="9"/>
      <c r="F63" s="9"/>
      <c r="G63" s="47" t="s">
        <v>148</v>
      </c>
      <c r="H63" s="10"/>
      <c r="I63" s="11">
        <f>196092+65364</f>
        <v>261456</v>
      </c>
      <c r="J63" s="40"/>
      <c r="K63" s="18" t="s">
        <v>169</v>
      </c>
      <c r="M63" s="49">
        <v>0.35</v>
      </c>
      <c r="O63" s="18" t="s">
        <v>180</v>
      </c>
    </row>
    <row r="64" spans="1:15" ht="45" customHeight="1">
      <c r="A64" s="9"/>
      <c r="B64" s="9"/>
      <c r="C64" s="10" t="s">
        <v>50</v>
      </c>
      <c r="D64" s="9"/>
      <c r="E64" s="9"/>
      <c r="F64" s="9"/>
      <c r="G64" s="47" t="s">
        <v>185</v>
      </c>
      <c r="H64" s="10"/>
      <c r="I64" s="11">
        <f>22008-5212</f>
        <v>16796</v>
      </c>
      <c r="J64" s="40"/>
      <c r="K64" s="18" t="s">
        <v>169</v>
      </c>
      <c r="M64" s="49">
        <v>0.35</v>
      </c>
      <c r="O64" s="18" t="s">
        <v>180</v>
      </c>
    </row>
    <row r="65" spans="1:17" ht="25.5" customHeight="1">
      <c r="A65" s="9"/>
      <c r="B65" s="9"/>
      <c r="C65" s="10" t="s">
        <v>51</v>
      </c>
      <c r="D65" s="9"/>
      <c r="E65" s="9"/>
      <c r="F65" s="9"/>
      <c r="G65" s="47" t="s">
        <v>171</v>
      </c>
      <c r="H65" s="10"/>
      <c r="I65" s="11">
        <f>-89848</f>
        <v>-89848</v>
      </c>
      <c r="J65" s="40"/>
      <c r="K65" s="18" t="s">
        <v>169</v>
      </c>
      <c r="M65" s="49">
        <v>0.35</v>
      </c>
      <c r="O65" s="18" t="s">
        <v>180</v>
      </c>
    </row>
    <row r="66" spans="1:17" ht="30" customHeight="1">
      <c r="A66" s="9"/>
      <c r="B66" s="9"/>
      <c r="C66" s="10" t="s">
        <v>52</v>
      </c>
      <c r="D66" s="9"/>
      <c r="E66" s="9"/>
      <c r="F66" s="9"/>
      <c r="G66" s="48" t="s">
        <v>175</v>
      </c>
      <c r="H66" s="10"/>
      <c r="I66" s="11">
        <f>-11476785</f>
        <v>-11476785</v>
      </c>
      <c r="J66" s="40"/>
      <c r="K66" s="18" t="s">
        <v>169</v>
      </c>
      <c r="M66" s="49">
        <v>0.35</v>
      </c>
      <c r="O66" s="18" t="s">
        <v>179</v>
      </c>
    </row>
    <row r="67" spans="1:17" ht="57" customHeight="1">
      <c r="A67" s="9"/>
      <c r="B67" s="9"/>
      <c r="C67" s="10" t="s">
        <v>53</v>
      </c>
      <c r="D67" s="9"/>
      <c r="E67" s="9"/>
      <c r="F67" s="9"/>
      <c r="G67" s="47" t="s">
        <v>150</v>
      </c>
      <c r="H67" s="10"/>
      <c r="I67" s="11">
        <f>-644115-173419-74678</f>
        <v>-892212</v>
      </c>
      <c r="J67" s="40"/>
      <c r="K67" s="18" t="s">
        <v>166</v>
      </c>
      <c r="M67" s="49">
        <v>0.35</v>
      </c>
      <c r="O67" s="18" t="s">
        <v>180</v>
      </c>
    </row>
    <row r="68" spans="1:17" ht="89.25">
      <c r="A68" s="9"/>
      <c r="B68" s="9"/>
      <c r="C68" s="10" t="s">
        <v>54</v>
      </c>
      <c r="D68" s="9"/>
      <c r="E68" s="9"/>
      <c r="F68" s="9"/>
      <c r="G68" s="47" t="s">
        <v>151</v>
      </c>
      <c r="H68" s="10"/>
      <c r="I68" s="11">
        <f>7771268+2092310-204948+900995</f>
        <v>10559625</v>
      </c>
      <c r="J68" s="40"/>
      <c r="K68" s="18" t="s">
        <v>169</v>
      </c>
      <c r="M68" s="49">
        <v>0.35</v>
      </c>
      <c r="O68" s="18" t="s">
        <v>180</v>
      </c>
    </row>
    <row r="69" spans="1:17" ht="57" customHeight="1">
      <c r="A69" s="9"/>
      <c r="B69" s="9"/>
      <c r="C69" s="10" t="s">
        <v>55</v>
      </c>
      <c r="D69" s="9"/>
      <c r="E69" s="9"/>
      <c r="F69" s="9"/>
      <c r="G69" s="47" t="s">
        <v>186</v>
      </c>
      <c r="H69" s="10"/>
      <c r="I69" s="11">
        <f>-726174</f>
        <v>-726174</v>
      </c>
      <c r="J69" s="40"/>
      <c r="K69" s="18" t="s">
        <v>169</v>
      </c>
      <c r="M69" s="49">
        <v>0.35</v>
      </c>
      <c r="O69" s="18" t="s">
        <v>179</v>
      </c>
    </row>
    <row r="70" spans="1:17" ht="57" customHeight="1">
      <c r="A70" s="9"/>
      <c r="B70" s="9"/>
      <c r="C70" s="10" t="s">
        <v>66</v>
      </c>
      <c r="D70" s="9"/>
      <c r="E70" s="9"/>
      <c r="F70" s="9"/>
      <c r="G70" s="47" t="s">
        <v>149</v>
      </c>
      <c r="H70" s="10"/>
      <c r="I70" s="11">
        <v>-206660</v>
      </c>
      <c r="J70" s="40"/>
      <c r="K70" s="18" t="s">
        <v>169</v>
      </c>
      <c r="M70" s="49">
        <v>0.35</v>
      </c>
      <c r="O70" s="18" t="s">
        <v>180</v>
      </c>
    </row>
    <row r="71" spans="1:17" ht="94.5" customHeight="1">
      <c r="A71" s="9"/>
      <c r="B71" s="9"/>
      <c r="C71" s="10" t="s">
        <v>67</v>
      </c>
      <c r="D71" s="9"/>
      <c r="E71" s="9"/>
      <c r="F71" s="9"/>
      <c r="G71" s="47" t="s">
        <v>101</v>
      </c>
      <c r="H71" s="10"/>
      <c r="I71" s="11">
        <v>-1037316</v>
      </c>
      <c r="J71" s="40"/>
      <c r="K71" s="18" t="s">
        <v>169</v>
      </c>
      <c r="M71" s="49">
        <v>0.35</v>
      </c>
      <c r="O71" s="18" t="s">
        <v>180</v>
      </c>
    </row>
    <row r="72" spans="1:17" ht="81" customHeight="1">
      <c r="A72" s="9"/>
      <c r="B72" s="9"/>
      <c r="C72" s="10" t="s">
        <v>68</v>
      </c>
      <c r="D72" s="9"/>
      <c r="E72" s="9"/>
      <c r="F72" s="9"/>
      <c r="G72" s="47" t="s">
        <v>108</v>
      </c>
      <c r="H72" s="10"/>
      <c r="I72" s="11">
        <v>340512</v>
      </c>
      <c r="J72" s="40"/>
      <c r="K72" s="18" t="s">
        <v>169</v>
      </c>
      <c r="M72" s="49">
        <v>0.35</v>
      </c>
      <c r="O72" s="18" t="s">
        <v>180</v>
      </c>
    </row>
    <row r="73" spans="1:17" ht="44.25" customHeight="1">
      <c r="A73" s="9"/>
      <c r="B73" s="9"/>
      <c r="C73" s="10" t="s">
        <v>84</v>
      </c>
      <c r="D73" s="9"/>
      <c r="E73" s="9"/>
      <c r="F73" s="9"/>
      <c r="G73" s="47" t="s">
        <v>110</v>
      </c>
      <c r="H73" s="10"/>
      <c r="I73" s="11">
        <v>-337788</v>
      </c>
      <c r="J73" s="40"/>
      <c r="K73" s="18" t="s">
        <v>169</v>
      </c>
      <c r="M73" s="49">
        <v>0.35</v>
      </c>
      <c r="O73" s="18" t="s">
        <v>180</v>
      </c>
    </row>
    <row r="74" spans="1:17" ht="63.75">
      <c r="A74" s="9"/>
      <c r="B74" s="9"/>
      <c r="C74" s="10" t="s">
        <v>56</v>
      </c>
      <c r="D74" s="10"/>
      <c r="E74" s="10"/>
      <c r="F74" s="10"/>
      <c r="G74" s="47" t="s">
        <v>99</v>
      </c>
      <c r="H74" s="10"/>
      <c r="I74" s="13">
        <f>2833101-235817</f>
        <v>2597284</v>
      </c>
      <c r="J74" s="40"/>
      <c r="K74" s="18" t="s">
        <v>166</v>
      </c>
      <c r="M74" s="49">
        <v>0.35</v>
      </c>
      <c r="O74" s="18" t="s">
        <v>180</v>
      </c>
      <c r="P74" s="14"/>
      <c r="Q74" s="14"/>
    </row>
    <row r="75" spans="1:17" ht="102">
      <c r="A75" s="9"/>
      <c r="B75" s="9"/>
      <c r="C75" s="10" t="s">
        <v>57</v>
      </c>
      <c r="D75" s="10"/>
      <c r="E75" s="10"/>
      <c r="F75" s="10"/>
      <c r="G75" s="47" t="s">
        <v>194</v>
      </c>
      <c r="H75" s="10"/>
      <c r="I75" s="13">
        <v>-229019</v>
      </c>
      <c r="J75" s="40"/>
      <c r="K75" s="18" t="s">
        <v>169</v>
      </c>
      <c r="M75" s="49">
        <v>0.35</v>
      </c>
      <c r="O75" s="18" t="s">
        <v>180</v>
      </c>
      <c r="P75" s="14"/>
      <c r="Q75" s="14"/>
    </row>
    <row r="76" spans="1:17" ht="45" customHeight="1">
      <c r="A76" s="25"/>
      <c r="B76" s="25"/>
      <c r="C76" s="21" t="s">
        <v>75</v>
      </c>
      <c r="D76" s="21"/>
      <c r="E76" s="21"/>
      <c r="F76" s="21"/>
      <c r="G76" s="47" t="s">
        <v>103</v>
      </c>
      <c r="H76" s="21"/>
      <c r="I76" s="14">
        <f>-13115-45042+3183778-200000-3006+4000000+999999+61725-4958-2685</f>
        <v>7976696</v>
      </c>
      <c r="J76" s="18"/>
      <c r="K76" s="18" t="s">
        <v>169</v>
      </c>
      <c r="M76" s="49">
        <v>0.35</v>
      </c>
      <c r="O76" s="18" t="s">
        <v>180</v>
      </c>
      <c r="P76" s="14"/>
      <c r="Q76" s="14"/>
    </row>
    <row r="77" spans="1:17" ht="100.5" customHeight="1">
      <c r="A77" s="25"/>
      <c r="B77" s="25"/>
      <c r="C77" s="21" t="s">
        <v>76</v>
      </c>
      <c r="D77" s="21"/>
      <c r="E77" s="21"/>
      <c r="F77" s="21"/>
      <c r="G77" s="47" t="s">
        <v>100</v>
      </c>
      <c r="H77" s="21"/>
      <c r="I77" s="14">
        <v>-584330</v>
      </c>
      <c r="J77" s="18"/>
      <c r="K77" s="18" t="s">
        <v>169</v>
      </c>
      <c r="M77" s="49">
        <v>0.35</v>
      </c>
      <c r="O77" s="18" t="s">
        <v>180</v>
      </c>
      <c r="P77" s="14"/>
      <c r="Q77" s="14"/>
    </row>
    <row r="78" spans="1:17" ht="54" customHeight="1">
      <c r="A78" s="25"/>
      <c r="B78" s="25"/>
      <c r="C78" s="21" t="s">
        <v>82</v>
      </c>
      <c r="D78" s="21"/>
      <c r="E78" s="21"/>
      <c r="F78" s="21"/>
      <c r="G78" s="47" t="s">
        <v>102</v>
      </c>
      <c r="H78" s="21"/>
      <c r="I78" s="14">
        <f>-2342-19858+262326+15891+1144</f>
        <v>257161</v>
      </c>
      <c r="J78" s="18"/>
      <c r="K78" s="18" t="s">
        <v>169</v>
      </c>
      <c r="M78" s="49">
        <v>0.35</v>
      </c>
      <c r="O78" s="18" t="s">
        <v>180</v>
      </c>
      <c r="P78" s="14"/>
      <c r="Q78" s="14"/>
    </row>
    <row r="79" spans="1:17" ht="57" customHeight="1">
      <c r="A79" s="25"/>
      <c r="B79" s="25"/>
      <c r="C79" s="21" t="s">
        <v>95</v>
      </c>
      <c r="D79" s="21"/>
      <c r="E79" s="21"/>
      <c r="F79" s="21"/>
      <c r="G79" s="47" t="s">
        <v>195</v>
      </c>
      <c r="H79" s="21"/>
      <c r="I79" s="14">
        <f>-584034+1402</f>
        <v>-582632</v>
      </c>
      <c r="J79" s="18"/>
      <c r="K79" s="18" t="s">
        <v>169</v>
      </c>
      <c r="M79" s="49">
        <v>0.35</v>
      </c>
      <c r="O79" s="18" t="s">
        <v>180</v>
      </c>
      <c r="P79" s="14"/>
      <c r="Q79" s="14"/>
    </row>
    <row r="80" spans="1:17" ht="57" customHeight="1">
      <c r="C80" s="1" t="s">
        <v>91</v>
      </c>
      <c r="G80" s="47" t="s">
        <v>152</v>
      </c>
      <c r="I80" s="4">
        <f>2586728+113889</f>
        <v>2700617</v>
      </c>
      <c r="K80" s="18" t="s">
        <v>169</v>
      </c>
      <c r="M80" s="49">
        <v>0.35</v>
      </c>
      <c r="O80" s="18" t="s">
        <v>180</v>
      </c>
    </row>
    <row r="81" spans="1:22" ht="15" customHeight="1">
      <c r="C81" s="6" t="s">
        <v>5</v>
      </c>
      <c r="I81" s="32">
        <f>SUM(I28:I80)</f>
        <v>88520214</v>
      </c>
    </row>
    <row r="82" spans="1:22" ht="12.75" customHeight="1"/>
    <row r="83" spans="1:22" ht="15.75" customHeight="1">
      <c r="C83" s="1" t="s">
        <v>11</v>
      </c>
      <c r="I83" s="22">
        <v>0.35</v>
      </c>
      <c r="J83" s="22"/>
      <c r="K83" s="46"/>
      <c r="L83" s="46"/>
      <c r="M83" s="46"/>
      <c r="N83" s="46"/>
      <c r="O83" s="46"/>
      <c r="P83" s="46"/>
      <c r="Q83" s="46"/>
      <c r="R83" s="46"/>
      <c r="S83" s="46"/>
      <c r="T83" s="46"/>
      <c r="V83" s="33"/>
    </row>
    <row r="84" spans="1:22" ht="13.5" customHeight="1">
      <c r="V84" s="33"/>
    </row>
    <row r="85" spans="1:22" ht="12.75" customHeight="1">
      <c r="C85" s="6" t="s">
        <v>15</v>
      </c>
      <c r="I85" s="4">
        <f>I26+I81</f>
        <v>-39042208</v>
      </c>
      <c r="V85" s="33"/>
    </row>
    <row r="86" spans="1:22" ht="13.5" customHeight="1">
      <c r="A86" s="9"/>
      <c r="B86" s="9"/>
      <c r="C86" s="23"/>
      <c r="D86" s="23"/>
      <c r="E86" s="23"/>
      <c r="F86" s="23"/>
      <c r="G86" s="55"/>
      <c r="H86" s="23"/>
      <c r="I86" s="24"/>
      <c r="J86" s="40"/>
      <c r="P86" s="14"/>
      <c r="Q86" s="14"/>
      <c r="V86" s="14"/>
    </row>
    <row r="87" spans="1:22" ht="15.75" customHeight="1">
      <c r="A87" s="9"/>
      <c r="B87" s="9"/>
      <c r="C87" s="23" t="s">
        <v>79</v>
      </c>
      <c r="D87" s="23"/>
      <c r="E87" s="27"/>
      <c r="F87" s="27"/>
      <c r="G87" s="56"/>
      <c r="H87" s="23"/>
      <c r="I87" s="13">
        <f>1106496-42068</f>
        <v>1064428</v>
      </c>
      <c r="J87" s="40"/>
      <c r="P87" s="14"/>
      <c r="Q87" s="14"/>
      <c r="V87" s="14"/>
    </row>
    <row r="88" spans="1:22" ht="15.75" customHeight="1">
      <c r="A88" s="9"/>
      <c r="B88" s="9"/>
      <c r="C88" s="10" t="s">
        <v>12</v>
      </c>
      <c r="D88" s="10"/>
      <c r="E88" s="10"/>
      <c r="F88" s="10"/>
      <c r="G88" s="57"/>
      <c r="H88" s="10"/>
      <c r="I88" s="13">
        <f>-190758/(1-$I$83)</f>
        <v>-293473.84615384613</v>
      </c>
      <c r="J88" s="40"/>
      <c r="P88" s="14"/>
      <c r="Q88" s="14"/>
      <c r="V88" s="14"/>
    </row>
    <row r="89" spans="1:22" ht="16.5" customHeight="1">
      <c r="A89" s="9"/>
      <c r="B89" s="9"/>
      <c r="C89" s="10" t="s">
        <v>71</v>
      </c>
      <c r="D89" s="10"/>
      <c r="E89" s="10"/>
      <c r="F89" s="10"/>
      <c r="G89" s="57"/>
      <c r="H89" s="10"/>
      <c r="I89" s="13">
        <f>-45690/(1-$I$83)</f>
        <v>-70292.307692307688</v>
      </c>
      <c r="J89" s="40"/>
      <c r="P89" s="14"/>
      <c r="Q89" s="14"/>
      <c r="V89" s="14"/>
    </row>
    <row r="90" spans="1:22" ht="15" customHeight="1" thickBot="1">
      <c r="C90" s="6" t="s">
        <v>13</v>
      </c>
      <c r="I90" s="35">
        <f>SUM(I85:I89)</f>
        <v>-38341546.153846152</v>
      </c>
      <c r="P90" s="17"/>
      <c r="Q90" s="17"/>
      <c r="R90" s="17"/>
    </row>
    <row r="91" spans="1:22" ht="15" customHeight="1" thickTop="1">
      <c r="C91" s="6"/>
      <c r="I91" s="18"/>
      <c r="P91" s="17"/>
      <c r="Q91" s="17"/>
      <c r="R91" s="17"/>
    </row>
    <row r="92" spans="1:22" ht="16.5" customHeight="1">
      <c r="V92" s="33"/>
    </row>
    <row r="93" spans="1:22" ht="16.5" customHeight="1">
      <c r="C93" s="1" t="s">
        <v>6</v>
      </c>
      <c r="I93" s="4">
        <f>I90*$I$83</f>
        <v>-13419541.153846152</v>
      </c>
      <c r="V93" s="33"/>
    </row>
    <row r="94" spans="1:22" ht="16.5" customHeight="1">
      <c r="V94" s="33"/>
    </row>
    <row r="95" spans="1:22" ht="16.5" customHeight="1">
      <c r="A95" s="9"/>
      <c r="B95" s="9"/>
      <c r="C95" s="10" t="s">
        <v>88</v>
      </c>
      <c r="D95" s="10"/>
      <c r="E95" s="10"/>
      <c r="F95" s="10"/>
      <c r="G95" s="57"/>
      <c r="H95" s="10"/>
      <c r="I95" s="11">
        <f>2406862</f>
        <v>2406862</v>
      </c>
      <c r="J95" s="40"/>
    </row>
    <row r="96" spans="1:22" ht="16.5" customHeight="1">
      <c r="A96" s="9"/>
      <c r="B96" s="9"/>
      <c r="C96" s="10" t="s">
        <v>73</v>
      </c>
      <c r="D96" s="10"/>
      <c r="E96" s="10"/>
      <c r="F96" s="10"/>
      <c r="G96" s="57"/>
      <c r="H96" s="10"/>
      <c r="I96" s="11">
        <v>130134</v>
      </c>
      <c r="J96" s="40"/>
    </row>
    <row r="97" spans="1:40" ht="16.5" customHeight="1">
      <c r="A97" s="25"/>
      <c r="B97" s="25"/>
      <c r="C97" s="21" t="s">
        <v>117</v>
      </c>
      <c r="D97" s="21"/>
      <c r="E97" s="21"/>
      <c r="F97" s="21"/>
      <c r="G97" s="58"/>
      <c r="H97" s="21"/>
      <c r="I97" s="18">
        <v>322225</v>
      </c>
      <c r="J97" s="18"/>
    </row>
    <row r="98" spans="1:40" ht="16.5" customHeight="1">
      <c r="C98" s="1" t="s">
        <v>118</v>
      </c>
      <c r="I98" s="4">
        <v>-342369</v>
      </c>
    </row>
    <row r="99" spans="1:40" ht="16.5" customHeight="1">
      <c r="A99" s="9"/>
      <c r="B99" s="9"/>
      <c r="C99" s="10" t="s">
        <v>119</v>
      </c>
      <c r="D99" s="10"/>
      <c r="E99" s="10"/>
      <c r="F99" s="10"/>
      <c r="G99" s="57"/>
      <c r="H99" s="10"/>
      <c r="I99" s="11">
        <v>227159</v>
      </c>
      <c r="J99" s="40"/>
    </row>
    <row r="100" spans="1:40" ht="16.5" customHeight="1" thickBot="1">
      <c r="C100" s="1" t="s">
        <v>4</v>
      </c>
      <c r="I100" s="35">
        <f>SUM(I93:I99)</f>
        <v>-10675530.153846152</v>
      </c>
      <c r="P100" s="17"/>
      <c r="Q100" s="17"/>
      <c r="R100" s="17"/>
      <c r="V100" s="17"/>
      <c r="W100" s="17"/>
    </row>
    <row r="101" spans="1:40" ht="16.5" customHeight="1" thickTop="1">
      <c r="V101" s="14"/>
    </row>
    <row r="102" spans="1:40" s="16" customFormat="1" ht="16.5" customHeight="1">
      <c r="A102" s="6"/>
      <c r="B102" s="6"/>
      <c r="C102" s="1"/>
      <c r="D102" s="1"/>
      <c r="E102" s="1"/>
      <c r="F102" s="1"/>
      <c r="G102" s="52"/>
      <c r="H102" s="1"/>
      <c r="I102" s="4"/>
      <c r="J102" s="4"/>
      <c r="K102" s="18"/>
      <c r="L102" s="18"/>
      <c r="M102" s="18"/>
      <c r="N102" s="18"/>
      <c r="O102" s="18"/>
      <c r="P102" s="18"/>
      <c r="Q102" s="18"/>
      <c r="R102" s="18"/>
      <c r="S102" s="18"/>
      <c r="T102" s="18"/>
      <c r="U102" s="18"/>
      <c r="V102" s="18"/>
      <c r="W102" s="18"/>
      <c r="X102" s="17"/>
      <c r="Y102" s="17"/>
      <c r="Z102" s="17"/>
      <c r="AA102" s="17"/>
      <c r="AB102" s="17"/>
      <c r="AC102" s="17"/>
      <c r="AD102" s="17"/>
      <c r="AE102" s="17"/>
      <c r="AF102" s="17"/>
      <c r="AG102" s="17"/>
      <c r="AH102" s="17"/>
      <c r="AI102" s="17"/>
      <c r="AJ102" s="17"/>
      <c r="AK102" s="17"/>
      <c r="AL102" s="17"/>
      <c r="AM102" s="17"/>
      <c r="AN102" s="17"/>
    </row>
    <row r="103" spans="1:40" s="16" customFormat="1" ht="16.5" customHeight="1">
      <c r="A103" s="6"/>
      <c r="B103" s="6"/>
      <c r="C103" s="1" t="s">
        <v>93</v>
      </c>
      <c r="D103" s="1"/>
      <c r="E103" s="1"/>
      <c r="F103" s="1"/>
      <c r="G103" s="52"/>
      <c r="H103" s="1"/>
      <c r="I103" s="4">
        <v>23562103</v>
      </c>
      <c r="J103" s="4"/>
      <c r="K103" s="18"/>
      <c r="L103" s="18"/>
      <c r="M103" s="18"/>
      <c r="N103" s="18"/>
      <c r="O103" s="18"/>
      <c r="P103" s="18"/>
      <c r="Q103" s="18"/>
      <c r="R103" s="18"/>
      <c r="S103" s="18"/>
      <c r="T103" s="18"/>
      <c r="U103" s="18"/>
      <c r="V103" s="18"/>
      <c r="W103" s="18"/>
      <c r="X103" s="17"/>
      <c r="Y103" s="17"/>
      <c r="Z103" s="17"/>
      <c r="AA103" s="17"/>
      <c r="AB103" s="17"/>
      <c r="AC103" s="17"/>
      <c r="AD103" s="17"/>
      <c r="AE103" s="17"/>
      <c r="AF103" s="17"/>
      <c r="AG103" s="17"/>
      <c r="AH103" s="17"/>
      <c r="AI103" s="17"/>
      <c r="AJ103" s="17"/>
      <c r="AK103" s="17"/>
      <c r="AL103" s="17"/>
      <c r="AM103" s="17"/>
      <c r="AN103" s="17"/>
    </row>
    <row r="104" spans="1:40" s="16" customFormat="1" ht="16.5" customHeight="1">
      <c r="A104" s="6"/>
      <c r="B104" s="6"/>
      <c r="C104" s="1" t="s">
        <v>116</v>
      </c>
      <c r="D104" s="1"/>
      <c r="E104" s="1"/>
      <c r="F104" s="1"/>
      <c r="G104" s="52"/>
      <c r="H104" s="1"/>
      <c r="I104" s="4">
        <v>-2175462</v>
      </c>
      <c r="J104" s="4"/>
      <c r="K104" s="18"/>
      <c r="L104" s="18"/>
      <c r="M104" s="18"/>
      <c r="N104" s="18"/>
      <c r="O104" s="18"/>
      <c r="P104" s="18"/>
      <c r="Q104" s="18"/>
      <c r="R104" s="18"/>
      <c r="S104" s="18"/>
      <c r="T104" s="18"/>
      <c r="U104" s="18"/>
      <c r="V104" s="18"/>
      <c r="W104" s="18"/>
      <c r="X104" s="17"/>
      <c r="Y104" s="17"/>
      <c r="Z104" s="17"/>
      <c r="AA104" s="17"/>
      <c r="AB104" s="17"/>
      <c r="AC104" s="17"/>
      <c r="AD104" s="17"/>
      <c r="AE104" s="17"/>
      <c r="AF104" s="17"/>
      <c r="AG104" s="17"/>
      <c r="AH104" s="17"/>
      <c r="AI104" s="17"/>
      <c r="AJ104" s="17"/>
      <c r="AK104" s="17"/>
      <c r="AL104" s="17"/>
      <c r="AM104" s="17"/>
      <c r="AN104" s="17"/>
    </row>
    <row r="105" spans="1:40" s="16" customFormat="1" ht="16.5" customHeight="1">
      <c r="A105" s="6"/>
      <c r="B105" s="6"/>
      <c r="C105" s="1"/>
      <c r="D105" s="1"/>
      <c r="E105" s="1"/>
      <c r="F105" s="1"/>
      <c r="G105" s="52"/>
      <c r="H105" s="1"/>
      <c r="I105" s="4"/>
      <c r="J105" s="4"/>
      <c r="K105" s="18"/>
      <c r="L105" s="18"/>
      <c r="M105" s="18"/>
      <c r="N105" s="18"/>
      <c r="O105" s="18"/>
      <c r="P105" s="18"/>
      <c r="Q105" s="18"/>
      <c r="R105" s="18"/>
      <c r="S105" s="18"/>
      <c r="T105" s="18"/>
      <c r="U105" s="18"/>
      <c r="V105" s="18"/>
      <c r="W105" s="18"/>
      <c r="X105" s="17"/>
      <c r="Y105" s="17"/>
      <c r="Z105" s="17"/>
      <c r="AA105" s="17"/>
      <c r="AB105" s="17"/>
      <c r="AC105" s="17"/>
      <c r="AD105" s="17"/>
      <c r="AE105" s="17"/>
      <c r="AF105" s="17"/>
      <c r="AG105" s="17"/>
      <c r="AH105" s="17"/>
      <c r="AI105" s="17"/>
      <c r="AJ105" s="17"/>
      <c r="AK105" s="17"/>
      <c r="AL105" s="17"/>
      <c r="AM105" s="17"/>
      <c r="AN105" s="17"/>
    </row>
    <row r="106" spans="1:40" s="16" customFormat="1" ht="16.5" customHeight="1" thickBot="1">
      <c r="A106" s="6"/>
      <c r="B106" s="6"/>
      <c r="C106" s="1" t="s">
        <v>18</v>
      </c>
      <c r="D106" s="1"/>
      <c r="E106" s="1"/>
      <c r="F106" s="1"/>
      <c r="G106" s="52"/>
      <c r="H106" s="1"/>
      <c r="I106" s="35">
        <f>SUM(I100:I105)</f>
        <v>10711110.846153848</v>
      </c>
      <c r="J106" s="4"/>
      <c r="K106" s="18"/>
      <c r="L106" s="18"/>
      <c r="M106" s="18"/>
      <c r="N106" s="18"/>
      <c r="O106" s="18"/>
      <c r="P106" s="18"/>
      <c r="Q106" s="18"/>
      <c r="R106" s="18"/>
      <c r="S106" s="18"/>
      <c r="T106" s="18"/>
      <c r="U106" s="18"/>
      <c r="V106" s="18"/>
      <c r="W106" s="18"/>
      <c r="X106" s="17"/>
      <c r="Y106" s="17"/>
      <c r="Z106" s="17"/>
      <c r="AA106" s="17"/>
      <c r="AB106" s="17"/>
      <c r="AC106" s="17"/>
      <c r="AD106" s="17"/>
      <c r="AE106" s="17"/>
      <c r="AF106" s="17"/>
      <c r="AG106" s="17"/>
      <c r="AH106" s="17"/>
      <c r="AI106" s="17"/>
      <c r="AJ106" s="17"/>
      <c r="AK106" s="17"/>
      <c r="AL106" s="17"/>
      <c r="AM106" s="17"/>
      <c r="AN106" s="17"/>
    </row>
    <row r="107" spans="1:40" s="16" customFormat="1" ht="16.5" customHeight="1" thickTop="1">
      <c r="A107" s="6"/>
      <c r="B107" s="6"/>
      <c r="C107" s="1"/>
      <c r="D107" s="1"/>
      <c r="E107" s="1"/>
      <c r="F107" s="1"/>
      <c r="G107" s="52"/>
      <c r="H107" s="1"/>
      <c r="I107" s="4"/>
      <c r="J107" s="4"/>
      <c r="K107" s="18"/>
      <c r="L107" s="18"/>
      <c r="M107" s="18"/>
      <c r="N107" s="18"/>
      <c r="O107" s="18"/>
      <c r="P107" s="18"/>
      <c r="Q107" s="18"/>
      <c r="R107" s="18"/>
      <c r="S107" s="18"/>
      <c r="T107" s="18"/>
      <c r="U107" s="18"/>
      <c r="V107" s="18"/>
      <c r="W107" s="18"/>
      <c r="X107" s="17"/>
      <c r="Y107" s="17"/>
      <c r="Z107" s="17"/>
      <c r="AA107" s="17"/>
      <c r="AB107" s="17"/>
      <c r="AC107" s="17"/>
      <c r="AD107" s="17"/>
      <c r="AE107" s="17"/>
      <c r="AF107" s="17"/>
      <c r="AG107" s="17"/>
      <c r="AH107" s="17"/>
      <c r="AI107" s="17"/>
      <c r="AJ107" s="17"/>
      <c r="AK107" s="17"/>
      <c r="AL107" s="17"/>
      <c r="AM107" s="17"/>
      <c r="AN107" s="17"/>
    </row>
    <row r="108" spans="1:40" s="16" customFormat="1" ht="16.5" customHeight="1">
      <c r="A108" s="6"/>
      <c r="B108" s="6"/>
      <c r="C108" s="1" t="s">
        <v>14</v>
      </c>
      <c r="D108" s="1"/>
      <c r="E108" s="1"/>
      <c r="F108" s="1"/>
      <c r="G108" s="52"/>
      <c r="H108" s="1"/>
      <c r="I108" s="4"/>
      <c r="J108" s="4"/>
      <c r="K108" s="18"/>
      <c r="L108" s="18"/>
      <c r="M108" s="18"/>
      <c r="N108" s="18"/>
      <c r="O108" s="18"/>
      <c r="P108" s="18"/>
      <c r="Q108" s="18"/>
      <c r="R108" s="18"/>
      <c r="S108" s="18"/>
      <c r="T108" s="18"/>
      <c r="U108" s="18"/>
      <c r="V108" s="18"/>
      <c r="W108" s="18"/>
      <c r="X108" s="17"/>
      <c r="Y108" s="17"/>
      <c r="Z108" s="17"/>
      <c r="AA108" s="17"/>
      <c r="AB108" s="17"/>
      <c r="AC108" s="17"/>
      <c r="AD108" s="17"/>
      <c r="AE108" s="17"/>
      <c r="AF108" s="17"/>
      <c r="AG108" s="17"/>
      <c r="AH108" s="17"/>
      <c r="AI108" s="17"/>
      <c r="AJ108" s="17"/>
      <c r="AK108" s="17"/>
      <c r="AL108" s="17"/>
      <c r="AM108" s="17"/>
      <c r="AN108" s="17"/>
    </row>
    <row r="109" spans="1:40" s="16" customFormat="1" ht="16.5" customHeight="1">
      <c r="A109" s="6"/>
      <c r="B109" s="6"/>
      <c r="C109" s="1" t="s">
        <v>74</v>
      </c>
      <c r="D109" s="1"/>
      <c r="E109" s="1"/>
      <c r="F109" s="1"/>
      <c r="G109" s="52"/>
      <c r="H109" s="1"/>
      <c r="I109" s="4">
        <v>2700913</v>
      </c>
      <c r="J109" s="4"/>
      <c r="K109" s="18"/>
      <c r="L109" s="18"/>
      <c r="M109" s="18"/>
      <c r="N109" s="18"/>
      <c r="O109" s="18"/>
      <c r="P109" s="18"/>
      <c r="Q109" s="18"/>
      <c r="R109" s="18"/>
      <c r="S109" s="18"/>
      <c r="T109" s="18"/>
      <c r="U109" s="18"/>
      <c r="V109" s="18"/>
      <c r="W109" s="18"/>
      <c r="X109" s="17"/>
      <c r="Y109" s="17"/>
      <c r="Z109" s="17"/>
      <c r="AA109" s="17"/>
      <c r="AB109" s="17"/>
      <c r="AC109" s="17"/>
      <c r="AD109" s="17"/>
      <c r="AE109" s="17"/>
      <c r="AF109" s="17"/>
      <c r="AG109" s="17"/>
      <c r="AH109" s="17"/>
      <c r="AI109" s="17"/>
      <c r="AJ109" s="17"/>
      <c r="AK109" s="17"/>
      <c r="AL109" s="17"/>
      <c r="AM109" s="17"/>
      <c r="AN109" s="17"/>
    </row>
    <row r="110" spans="1:40" s="16" customFormat="1" ht="16.5" customHeight="1">
      <c r="A110" s="6"/>
      <c r="B110" s="6"/>
      <c r="C110" s="1" t="s">
        <v>77</v>
      </c>
      <c r="D110" s="1"/>
      <c r="E110" s="1"/>
      <c r="F110" s="1"/>
      <c r="G110" s="52"/>
      <c r="H110" s="1"/>
      <c r="I110" s="4">
        <v>742349</v>
      </c>
      <c r="J110" s="4"/>
      <c r="K110" s="18"/>
      <c r="L110" s="18"/>
      <c r="M110" s="18"/>
      <c r="N110" s="18"/>
      <c r="O110" s="18"/>
      <c r="P110" s="18"/>
      <c r="Q110" s="18"/>
      <c r="R110" s="18"/>
      <c r="S110" s="18"/>
      <c r="T110" s="18"/>
      <c r="U110" s="18"/>
      <c r="V110" s="18"/>
      <c r="W110" s="18"/>
      <c r="X110" s="17"/>
      <c r="Y110" s="17"/>
      <c r="Z110" s="17"/>
      <c r="AA110" s="17"/>
      <c r="AB110" s="17"/>
      <c r="AC110" s="17"/>
      <c r="AD110" s="17"/>
      <c r="AE110" s="17"/>
      <c r="AF110" s="17"/>
      <c r="AG110" s="17"/>
      <c r="AH110" s="17"/>
      <c r="AI110" s="17"/>
      <c r="AJ110" s="17"/>
      <c r="AK110" s="17"/>
      <c r="AL110" s="17"/>
      <c r="AM110" s="17"/>
      <c r="AN110" s="17"/>
    </row>
    <row r="111" spans="1:40" s="16" customFormat="1" ht="16.5" customHeight="1">
      <c r="A111" s="6"/>
      <c r="B111" s="6"/>
      <c r="C111" s="1" t="s">
        <v>83</v>
      </c>
      <c r="D111" s="1"/>
      <c r="E111" s="1"/>
      <c r="F111" s="1"/>
      <c r="G111" s="52"/>
      <c r="H111" s="1"/>
      <c r="I111" s="4">
        <v>507293</v>
      </c>
      <c r="J111" s="4"/>
      <c r="K111" s="18"/>
      <c r="L111" s="18"/>
      <c r="M111" s="18"/>
      <c r="N111" s="18"/>
      <c r="O111" s="18"/>
      <c r="P111" s="18"/>
      <c r="Q111" s="18"/>
      <c r="R111" s="18"/>
      <c r="S111" s="18"/>
      <c r="T111" s="18"/>
      <c r="U111" s="18"/>
      <c r="V111" s="18"/>
      <c r="W111" s="18"/>
      <c r="X111" s="17"/>
      <c r="Y111" s="17"/>
      <c r="Z111" s="17"/>
      <c r="AA111" s="17"/>
      <c r="AB111" s="17"/>
      <c r="AC111" s="17"/>
      <c r="AD111" s="17"/>
      <c r="AE111" s="17"/>
      <c r="AF111" s="17"/>
      <c r="AG111" s="17"/>
      <c r="AH111" s="17"/>
      <c r="AI111" s="17"/>
      <c r="AJ111" s="17"/>
      <c r="AK111" s="17"/>
      <c r="AL111" s="17"/>
      <c r="AM111" s="17"/>
      <c r="AN111" s="17"/>
    </row>
    <row r="112" spans="1:40" s="16" customFormat="1" ht="16.5" customHeight="1">
      <c r="A112" s="6"/>
      <c r="B112" s="6"/>
      <c r="C112" s="1" t="s">
        <v>92</v>
      </c>
      <c r="D112" s="1"/>
      <c r="E112" s="1"/>
      <c r="F112" s="1"/>
      <c r="G112" s="52"/>
      <c r="H112" s="1"/>
      <c r="I112" s="4">
        <v>6130277</v>
      </c>
      <c r="J112" s="4"/>
      <c r="K112" s="18"/>
      <c r="L112" s="18"/>
      <c r="M112" s="18"/>
      <c r="N112" s="18"/>
      <c r="O112" s="18"/>
      <c r="P112" s="18"/>
      <c r="Q112" s="18"/>
      <c r="R112" s="18"/>
      <c r="S112" s="18"/>
      <c r="T112" s="18"/>
      <c r="U112" s="18"/>
      <c r="V112" s="18"/>
      <c r="W112" s="18"/>
      <c r="X112" s="17"/>
      <c r="Y112" s="17"/>
      <c r="Z112" s="17"/>
      <c r="AA112" s="17"/>
      <c r="AB112" s="17"/>
      <c r="AC112" s="17"/>
      <c r="AD112" s="17"/>
      <c r="AE112" s="17"/>
      <c r="AF112" s="17"/>
      <c r="AG112" s="17"/>
      <c r="AH112" s="17"/>
      <c r="AI112" s="17"/>
      <c r="AJ112" s="17"/>
      <c r="AK112" s="17"/>
      <c r="AL112" s="17"/>
      <c r="AM112" s="17"/>
      <c r="AN112" s="17"/>
    </row>
    <row r="113" spans="1:40" s="16" customFormat="1" ht="16.5" customHeight="1">
      <c r="A113" s="6"/>
      <c r="B113" s="6"/>
      <c r="C113" s="1" t="s">
        <v>120</v>
      </c>
      <c r="D113" s="1"/>
      <c r="E113" s="1"/>
      <c r="F113" s="1"/>
      <c r="G113" s="52"/>
      <c r="H113" s="1"/>
      <c r="I113" s="4">
        <v>-1035762</v>
      </c>
      <c r="J113" s="4"/>
      <c r="K113" s="18"/>
      <c r="L113" s="18"/>
      <c r="M113" s="18"/>
      <c r="N113" s="18"/>
      <c r="O113" s="18"/>
      <c r="P113" s="18"/>
      <c r="Q113" s="18"/>
      <c r="R113" s="18"/>
      <c r="S113" s="18"/>
      <c r="T113" s="18"/>
      <c r="U113" s="18"/>
      <c r="V113" s="18"/>
      <c r="W113" s="18"/>
      <c r="X113" s="17"/>
      <c r="Y113" s="17"/>
      <c r="Z113" s="17"/>
      <c r="AA113" s="17"/>
      <c r="AB113" s="17"/>
      <c r="AC113" s="17"/>
      <c r="AD113" s="17"/>
      <c r="AE113" s="17"/>
      <c r="AF113" s="17"/>
      <c r="AG113" s="17"/>
      <c r="AH113" s="17"/>
      <c r="AI113" s="17"/>
      <c r="AJ113" s="17"/>
      <c r="AK113" s="17"/>
      <c r="AL113" s="17"/>
      <c r="AM113" s="17"/>
      <c r="AN113" s="17"/>
    </row>
    <row r="114" spans="1:40" s="16" customFormat="1" ht="16.5" customHeight="1">
      <c r="A114" s="6"/>
      <c r="B114" s="6"/>
      <c r="C114" s="1" t="s">
        <v>121</v>
      </c>
      <c r="D114" s="1"/>
      <c r="E114" s="1"/>
      <c r="F114" s="1"/>
      <c r="G114" s="52"/>
      <c r="H114" s="1"/>
      <c r="I114" s="4">
        <v>220458</v>
      </c>
      <c r="J114" s="4"/>
      <c r="K114" s="18"/>
      <c r="L114" s="18"/>
      <c r="M114" s="18"/>
      <c r="N114" s="18"/>
      <c r="O114" s="18"/>
      <c r="P114" s="18"/>
      <c r="Q114" s="18"/>
      <c r="R114" s="18"/>
      <c r="S114" s="18"/>
      <c r="T114" s="18"/>
      <c r="U114" s="18"/>
      <c r="V114" s="18"/>
      <c r="W114" s="18"/>
      <c r="X114" s="17"/>
      <c r="Y114" s="17"/>
      <c r="Z114" s="17"/>
      <c r="AA114" s="17"/>
      <c r="AB114" s="17"/>
      <c r="AC114" s="17"/>
      <c r="AD114" s="17"/>
      <c r="AE114" s="17"/>
      <c r="AF114" s="17"/>
      <c r="AG114" s="17"/>
      <c r="AH114" s="17"/>
      <c r="AI114" s="17"/>
      <c r="AJ114" s="17"/>
      <c r="AK114" s="17"/>
      <c r="AL114" s="17"/>
      <c r="AM114" s="17"/>
      <c r="AN114" s="17"/>
    </row>
    <row r="115" spans="1:40" s="16" customFormat="1" ht="16.5" customHeight="1">
      <c r="A115" s="6"/>
      <c r="B115" s="6"/>
      <c r="C115" s="1" t="s">
        <v>122</v>
      </c>
      <c r="D115" s="1"/>
      <c r="E115" s="1"/>
      <c r="F115" s="1"/>
      <c r="G115" s="52"/>
      <c r="H115" s="1"/>
      <c r="I115" s="4">
        <v>39862</v>
      </c>
      <c r="J115" s="4"/>
      <c r="K115" s="18"/>
      <c r="L115" s="18"/>
      <c r="M115" s="18"/>
      <c r="N115" s="18"/>
      <c r="O115" s="18"/>
      <c r="P115" s="18"/>
      <c r="Q115" s="18"/>
      <c r="R115" s="18"/>
      <c r="S115" s="18"/>
      <c r="T115" s="18"/>
      <c r="U115" s="18"/>
      <c r="V115" s="18"/>
      <c r="W115" s="18"/>
      <c r="X115" s="17"/>
      <c r="Y115" s="17"/>
      <c r="Z115" s="17"/>
      <c r="AA115" s="17"/>
      <c r="AB115" s="17"/>
      <c r="AC115" s="17"/>
      <c r="AD115" s="17"/>
      <c r="AE115" s="17"/>
      <c r="AF115" s="17"/>
      <c r="AG115" s="17"/>
      <c r="AH115" s="17"/>
      <c r="AI115" s="17"/>
      <c r="AJ115" s="17"/>
      <c r="AK115" s="17"/>
      <c r="AL115" s="17"/>
      <c r="AM115" s="17"/>
      <c r="AN115" s="17"/>
    </row>
    <row r="116" spans="1:40" s="16" customFormat="1" ht="16.5" customHeight="1">
      <c r="A116" s="6"/>
      <c r="B116" s="6"/>
      <c r="C116" s="1"/>
      <c r="D116" s="1"/>
      <c r="E116" s="1"/>
      <c r="F116" s="1"/>
      <c r="G116" s="52"/>
      <c r="H116" s="1"/>
      <c r="I116" s="4"/>
      <c r="J116" s="4"/>
      <c r="K116" s="18"/>
      <c r="L116" s="18"/>
      <c r="M116" s="18"/>
      <c r="N116" s="18"/>
      <c r="O116" s="18"/>
      <c r="P116" s="18"/>
      <c r="Q116" s="18"/>
      <c r="R116" s="18"/>
      <c r="S116" s="18"/>
      <c r="T116" s="18"/>
      <c r="U116" s="18"/>
      <c r="V116" s="18"/>
      <c r="W116" s="18"/>
      <c r="X116" s="17"/>
      <c r="Y116" s="17"/>
      <c r="Z116" s="17"/>
      <c r="AA116" s="17"/>
      <c r="AB116" s="17"/>
      <c r="AC116" s="17"/>
      <c r="AD116" s="17"/>
      <c r="AE116" s="17"/>
      <c r="AF116" s="17"/>
      <c r="AG116" s="17"/>
      <c r="AH116" s="17"/>
      <c r="AI116" s="17"/>
      <c r="AJ116" s="17"/>
      <c r="AK116" s="17"/>
      <c r="AL116" s="17"/>
      <c r="AM116" s="17"/>
      <c r="AN116" s="17"/>
    </row>
    <row r="117" spans="1:40" s="16" customFormat="1" ht="16.5" customHeight="1" thickBot="1">
      <c r="A117" s="6"/>
      <c r="B117" s="6"/>
      <c r="C117" s="1" t="s">
        <v>17</v>
      </c>
      <c r="D117" s="1"/>
      <c r="E117" s="1"/>
      <c r="F117" s="1"/>
      <c r="G117" s="52"/>
      <c r="H117" s="1"/>
      <c r="I117" s="35">
        <f>SUM(I106:I116)</f>
        <v>20016500.846153848</v>
      </c>
      <c r="J117" s="4"/>
      <c r="K117" s="18"/>
      <c r="L117" s="18"/>
      <c r="M117" s="18"/>
      <c r="N117" s="18"/>
      <c r="O117" s="18"/>
      <c r="P117" s="18"/>
      <c r="Q117" s="18"/>
      <c r="R117" s="18"/>
      <c r="S117" s="18"/>
      <c r="T117" s="18"/>
      <c r="U117" s="18"/>
      <c r="V117" s="18"/>
      <c r="W117" s="18"/>
      <c r="X117" s="17"/>
      <c r="Y117" s="17"/>
      <c r="Z117" s="17"/>
      <c r="AA117" s="17"/>
      <c r="AB117" s="17"/>
      <c r="AC117" s="17"/>
      <c r="AD117" s="17"/>
      <c r="AE117" s="17"/>
      <c r="AF117" s="17"/>
      <c r="AG117" s="17"/>
      <c r="AH117" s="17"/>
      <c r="AI117" s="17"/>
      <c r="AJ117" s="17"/>
      <c r="AK117" s="17"/>
      <c r="AL117" s="17"/>
      <c r="AM117" s="17"/>
      <c r="AN117" s="17"/>
    </row>
    <row r="118" spans="1:40" s="16" customFormat="1" ht="16.5" customHeight="1" thickTop="1">
      <c r="A118" s="6"/>
      <c r="B118" s="6"/>
      <c r="C118" s="1"/>
      <c r="D118" s="1"/>
      <c r="E118" s="1"/>
      <c r="F118" s="1"/>
      <c r="G118" s="52"/>
      <c r="H118" s="1"/>
      <c r="I118" s="4"/>
      <c r="J118" s="4"/>
      <c r="K118" s="18"/>
      <c r="L118" s="18"/>
      <c r="M118" s="18"/>
      <c r="N118" s="18"/>
      <c r="O118" s="18"/>
      <c r="P118" s="18"/>
      <c r="Q118" s="18"/>
      <c r="R118" s="18"/>
      <c r="S118" s="18"/>
      <c r="T118" s="18"/>
      <c r="U118" s="18"/>
      <c r="V118" s="18"/>
      <c r="W118" s="18"/>
      <c r="X118" s="17"/>
      <c r="Y118" s="17"/>
      <c r="Z118" s="17"/>
      <c r="AA118" s="17"/>
      <c r="AB118" s="17"/>
      <c r="AC118" s="17"/>
      <c r="AD118" s="17"/>
      <c r="AE118" s="17"/>
      <c r="AF118" s="17"/>
      <c r="AG118" s="17"/>
      <c r="AH118" s="17"/>
      <c r="AI118" s="17"/>
      <c r="AJ118" s="17"/>
      <c r="AK118" s="17"/>
      <c r="AL118" s="17"/>
      <c r="AM118" s="17"/>
      <c r="AN118" s="17"/>
    </row>
    <row r="119" spans="1:40" s="16" customFormat="1" ht="16.5" customHeight="1" thickBot="1">
      <c r="A119" s="6"/>
      <c r="B119" s="6"/>
      <c r="C119" s="1" t="s">
        <v>96</v>
      </c>
      <c r="D119" s="1"/>
      <c r="E119" s="1"/>
      <c r="F119" s="1"/>
      <c r="G119" s="52"/>
      <c r="H119" s="1"/>
      <c r="I119" s="35">
        <v>20016499.609999999</v>
      </c>
      <c r="J119" s="4"/>
      <c r="K119" s="18"/>
      <c r="L119" s="18"/>
      <c r="M119" s="18"/>
      <c r="N119" s="18"/>
      <c r="O119" s="18"/>
      <c r="P119" s="18"/>
      <c r="Q119" s="18"/>
      <c r="R119" s="18"/>
      <c r="S119" s="18"/>
      <c r="T119" s="18"/>
      <c r="U119" s="18"/>
      <c r="V119" s="18"/>
      <c r="W119" s="18"/>
      <c r="X119" s="17"/>
      <c r="Y119" s="17"/>
      <c r="Z119" s="17"/>
      <c r="AA119" s="17"/>
      <c r="AB119" s="17"/>
      <c r="AC119" s="17"/>
      <c r="AD119" s="17"/>
      <c r="AE119" s="17"/>
      <c r="AF119" s="17"/>
      <c r="AG119" s="17"/>
      <c r="AH119" s="17"/>
      <c r="AI119" s="17"/>
      <c r="AJ119" s="17"/>
      <c r="AK119" s="17"/>
      <c r="AL119" s="17"/>
      <c r="AM119" s="17"/>
      <c r="AN119" s="17"/>
    </row>
    <row r="120" spans="1:40" s="16" customFormat="1" ht="16.5" customHeight="1" thickTop="1">
      <c r="A120" s="6"/>
      <c r="B120" s="6"/>
      <c r="C120" s="1" t="s">
        <v>16</v>
      </c>
      <c r="D120" s="1"/>
      <c r="E120" s="1"/>
      <c r="F120" s="1"/>
      <c r="G120" s="52"/>
      <c r="H120" s="1"/>
      <c r="I120" s="4">
        <f>+I117-I119</f>
        <v>1.2361538484692574</v>
      </c>
      <c r="J120" s="4"/>
      <c r="K120" s="18"/>
      <c r="L120" s="18"/>
      <c r="M120" s="18"/>
      <c r="N120" s="18"/>
      <c r="O120" s="18"/>
      <c r="P120" s="18"/>
      <c r="Q120" s="18"/>
      <c r="R120" s="18"/>
      <c r="S120" s="18"/>
      <c r="T120" s="18"/>
      <c r="U120" s="18"/>
      <c r="V120" s="18"/>
      <c r="W120" s="18"/>
      <c r="X120" s="17"/>
      <c r="Y120" s="17"/>
      <c r="Z120" s="17"/>
      <c r="AA120" s="17"/>
      <c r="AB120" s="17"/>
      <c r="AC120" s="17"/>
      <c r="AD120" s="17"/>
      <c r="AE120" s="17"/>
      <c r="AF120" s="17"/>
      <c r="AG120" s="17"/>
      <c r="AH120" s="17"/>
      <c r="AI120" s="17"/>
      <c r="AJ120" s="17"/>
      <c r="AK120" s="17"/>
      <c r="AL120" s="17"/>
      <c r="AM120" s="17"/>
      <c r="AN120" s="17"/>
    </row>
    <row r="121" spans="1:40" s="16" customFormat="1" ht="57" customHeight="1">
      <c r="A121" s="6"/>
      <c r="B121" s="6"/>
      <c r="C121" s="1"/>
      <c r="D121" s="1"/>
      <c r="E121" s="1"/>
      <c r="F121" s="1"/>
      <c r="G121" s="52"/>
      <c r="H121" s="1"/>
      <c r="I121" s="18"/>
      <c r="J121" s="4"/>
      <c r="K121" s="18"/>
      <c r="L121" s="18"/>
      <c r="M121" s="18"/>
      <c r="N121" s="18"/>
      <c r="O121" s="18"/>
      <c r="P121" s="18"/>
      <c r="Q121" s="18"/>
      <c r="R121" s="18"/>
      <c r="S121" s="18"/>
      <c r="T121" s="18"/>
      <c r="U121" s="18"/>
      <c r="V121" s="18"/>
      <c r="W121" s="18"/>
      <c r="X121" s="17"/>
      <c r="Y121" s="17"/>
      <c r="Z121" s="17"/>
      <c r="AA121" s="17"/>
      <c r="AB121" s="17"/>
      <c r="AC121" s="17"/>
      <c r="AD121" s="17"/>
      <c r="AE121" s="17"/>
      <c r="AF121" s="17"/>
      <c r="AG121" s="17"/>
      <c r="AH121" s="17"/>
      <c r="AI121" s="17"/>
      <c r="AJ121" s="17"/>
      <c r="AK121" s="17"/>
      <c r="AL121" s="17"/>
      <c r="AM121" s="17"/>
      <c r="AN121" s="17"/>
    </row>
    <row r="122" spans="1:40" s="16" customFormat="1" ht="57" customHeight="1">
      <c r="A122" s="6"/>
      <c r="B122" s="6"/>
      <c r="C122" s="36"/>
      <c r="D122" s="12"/>
      <c r="E122" s="12"/>
      <c r="F122" s="12"/>
      <c r="G122" s="59"/>
      <c r="H122" s="12"/>
      <c r="I122" s="37"/>
      <c r="J122" s="4"/>
      <c r="K122" s="18"/>
      <c r="L122" s="18"/>
      <c r="M122" s="18"/>
      <c r="N122" s="18"/>
      <c r="O122" s="18"/>
      <c r="P122" s="18"/>
      <c r="Q122" s="18"/>
      <c r="R122" s="18"/>
      <c r="S122" s="18"/>
      <c r="T122" s="18"/>
      <c r="U122" s="18"/>
      <c r="V122" s="18"/>
      <c r="W122" s="18"/>
      <c r="X122" s="17"/>
      <c r="Y122" s="17"/>
      <c r="Z122" s="17"/>
      <c r="AA122" s="17"/>
      <c r="AB122" s="17"/>
      <c r="AC122" s="17"/>
      <c r="AD122" s="17"/>
      <c r="AE122" s="17"/>
      <c r="AF122" s="17"/>
      <c r="AG122" s="17"/>
      <c r="AH122" s="17"/>
      <c r="AI122" s="17"/>
      <c r="AJ122" s="17"/>
      <c r="AK122" s="17"/>
      <c r="AL122" s="17"/>
      <c r="AM122" s="17"/>
      <c r="AN122" s="17"/>
    </row>
    <row r="123" spans="1:40" s="16" customFormat="1" ht="57" customHeight="1">
      <c r="A123" s="6"/>
      <c r="B123" s="6"/>
      <c r="C123" s="38"/>
      <c r="D123" s="12"/>
      <c r="E123" s="12"/>
      <c r="F123" s="12"/>
      <c r="G123" s="59"/>
      <c r="H123" s="12"/>
      <c r="I123" s="39"/>
      <c r="J123" s="4"/>
      <c r="K123" s="18"/>
      <c r="L123" s="18"/>
      <c r="M123" s="18"/>
      <c r="N123" s="18"/>
      <c r="O123" s="18"/>
      <c r="P123" s="18"/>
      <c r="Q123" s="18"/>
      <c r="R123" s="18"/>
      <c r="S123" s="18"/>
      <c r="T123" s="18"/>
      <c r="U123" s="18"/>
      <c r="V123" s="18"/>
      <c r="W123" s="18"/>
      <c r="X123" s="17"/>
      <c r="Y123" s="17"/>
      <c r="Z123" s="17"/>
      <c r="AA123" s="17"/>
      <c r="AB123" s="17"/>
      <c r="AC123" s="17"/>
      <c r="AD123" s="17"/>
      <c r="AE123" s="17"/>
      <c r="AF123" s="17"/>
      <c r="AG123" s="17"/>
      <c r="AH123" s="17"/>
      <c r="AI123" s="17"/>
      <c r="AJ123" s="17"/>
      <c r="AK123" s="17"/>
      <c r="AL123" s="17"/>
      <c r="AM123" s="17"/>
      <c r="AN123" s="17"/>
    </row>
    <row r="124" spans="1:40" s="16" customFormat="1" ht="57" customHeight="1">
      <c r="A124" s="6"/>
      <c r="B124" s="6"/>
      <c r="C124" s="38"/>
      <c r="D124" s="12"/>
      <c r="E124" s="12"/>
      <c r="F124" s="12"/>
      <c r="G124" s="59"/>
      <c r="H124" s="12"/>
      <c r="I124" s="37"/>
      <c r="J124" s="4"/>
      <c r="K124" s="18"/>
      <c r="L124" s="18"/>
      <c r="M124" s="18"/>
      <c r="N124" s="18"/>
      <c r="O124" s="18"/>
      <c r="P124" s="18"/>
      <c r="Q124" s="18"/>
      <c r="R124" s="18"/>
      <c r="S124" s="18"/>
      <c r="T124" s="18"/>
      <c r="U124" s="18"/>
      <c r="V124" s="18"/>
      <c r="W124" s="18"/>
      <c r="X124" s="17"/>
      <c r="Y124" s="17"/>
      <c r="Z124" s="17"/>
      <c r="AA124" s="17"/>
      <c r="AB124" s="17"/>
      <c r="AC124" s="17"/>
      <c r="AD124" s="17"/>
      <c r="AE124" s="17"/>
      <c r="AF124" s="17"/>
      <c r="AG124" s="17"/>
      <c r="AH124" s="17"/>
      <c r="AI124" s="17"/>
      <c r="AJ124" s="17"/>
      <c r="AK124" s="17"/>
      <c r="AL124" s="17"/>
      <c r="AM124" s="17"/>
      <c r="AN124" s="17"/>
    </row>
    <row r="125" spans="1:40" s="16" customFormat="1" ht="57" customHeight="1">
      <c r="A125" s="6"/>
      <c r="B125" s="6"/>
      <c r="C125" s="38"/>
      <c r="D125" s="12"/>
      <c r="E125" s="12"/>
      <c r="F125" s="12"/>
      <c r="G125" s="59"/>
      <c r="H125" s="12"/>
      <c r="I125" s="37"/>
      <c r="J125" s="4"/>
      <c r="K125" s="18"/>
      <c r="L125" s="18"/>
      <c r="M125" s="18"/>
      <c r="N125" s="18"/>
      <c r="O125" s="18"/>
      <c r="P125" s="18"/>
      <c r="Q125" s="18"/>
      <c r="R125" s="18"/>
      <c r="S125" s="18"/>
      <c r="T125" s="18"/>
      <c r="U125" s="18"/>
      <c r="V125" s="18"/>
      <c r="W125" s="18"/>
      <c r="X125" s="17"/>
      <c r="Y125" s="17"/>
      <c r="Z125" s="17"/>
      <c r="AA125" s="17"/>
      <c r="AB125" s="17"/>
      <c r="AC125" s="17"/>
      <c r="AD125" s="17"/>
      <c r="AE125" s="17"/>
      <c r="AF125" s="17"/>
      <c r="AG125" s="17"/>
      <c r="AH125" s="17"/>
      <c r="AI125" s="17"/>
      <c r="AJ125" s="17"/>
      <c r="AK125" s="17"/>
      <c r="AL125" s="17"/>
      <c r="AM125" s="17"/>
      <c r="AN125" s="17"/>
    </row>
    <row r="126" spans="1:40" s="16" customFormat="1" ht="57" customHeight="1">
      <c r="A126" s="6"/>
      <c r="B126" s="6"/>
      <c r="C126" s="38"/>
      <c r="D126" s="12"/>
      <c r="E126" s="12"/>
      <c r="F126" s="12"/>
      <c r="G126" s="59"/>
      <c r="H126" s="12"/>
      <c r="I126" s="37"/>
      <c r="J126" s="4"/>
      <c r="K126" s="18"/>
      <c r="L126" s="18"/>
      <c r="M126" s="18"/>
      <c r="N126" s="18"/>
      <c r="O126" s="18"/>
      <c r="P126" s="18"/>
      <c r="Q126" s="18"/>
      <c r="R126" s="18"/>
      <c r="S126" s="18"/>
      <c r="T126" s="18"/>
      <c r="U126" s="18"/>
      <c r="V126" s="18"/>
      <c r="W126" s="18"/>
      <c r="X126" s="17"/>
      <c r="Y126" s="17"/>
      <c r="Z126" s="17"/>
      <c r="AA126" s="17"/>
      <c r="AB126" s="17"/>
      <c r="AC126" s="17"/>
      <c r="AD126" s="17"/>
      <c r="AE126" s="17"/>
      <c r="AF126" s="17"/>
      <c r="AG126" s="17"/>
      <c r="AH126" s="17"/>
      <c r="AI126" s="17"/>
      <c r="AJ126" s="17"/>
      <c r="AK126" s="17"/>
      <c r="AL126" s="17"/>
      <c r="AM126" s="17"/>
      <c r="AN126" s="17"/>
    </row>
    <row r="127" spans="1:40" s="16" customFormat="1" ht="57" customHeight="1">
      <c r="A127" s="6"/>
      <c r="B127" s="6"/>
      <c r="C127" s="12"/>
      <c r="D127" s="12"/>
      <c r="E127" s="12"/>
      <c r="F127" s="12"/>
      <c r="G127" s="59"/>
      <c r="H127" s="12"/>
      <c r="I127" s="37"/>
      <c r="J127" s="4"/>
      <c r="K127" s="18"/>
      <c r="L127" s="18"/>
      <c r="M127" s="18"/>
      <c r="N127" s="18"/>
      <c r="O127" s="18"/>
      <c r="P127" s="18"/>
      <c r="Q127" s="18"/>
      <c r="R127" s="18"/>
      <c r="S127" s="18"/>
      <c r="T127" s="18"/>
      <c r="U127" s="18"/>
      <c r="V127" s="18"/>
      <c r="W127" s="18"/>
      <c r="X127" s="17"/>
      <c r="Y127" s="17"/>
      <c r="Z127" s="17"/>
      <c r="AA127" s="17"/>
      <c r="AB127" s="17"/>
      <c r="AC127" s="17"/>
      <c r="AD127" s="17"/>
      <c r="AE127" s="17"/>
      <c r="AF127" s="17"/>
      <c r="AG127" s="17"/>
      <c r="AH127" s="17"/>
      <c r="AI127" s="17"/>
      <c r="AJ127" s="17"/>
      <c r="AK127" s="17"/>
      <c r="AL127" s="17"/>
      <c r="AM127" s="17"/>
      <c r="AN127" s="17"/>
    </row>
    <row r="128" spans="1:40" s="16" customFormat="1" ht="57" customHeight="1">
      <c r="A128" s="6"/>
      <c r="B128" s="6"/>
      <c r="C128" s="21"/>
      <c r="D128" s="21"/>
      <c r="E128" s="21"/>
      <c r="F128" s="21"/>
      <c r="G128" s="58"/>
      <c r="H128" s="21"/>
      <c r="I128" s="18"/>
      <c r="J128" s="4"/>
      <c r="K128" s="18"/>
      <c r="L128" s="18"/>
      <c r="M128" s="18"/>
      <c r="N128" s="18"/>
      <c r="O128" s="18"/>
      <c r="P128" s="18"/>
      <c r="Q128" s="18"/>
      <c r="R128" s="18"/>
      <c r="S128" s="18"/>
      <c r="T128" s="18"/>
      <c r="U128" s="18"/>
      <c r="V128" s="18"/>
      <c r="W128" s="18"/>
      <c r="X128" s="17"/>
      <c r="Y128" s="17"/>
      <c r="Z128" s="17"/>
      <c r="AA128" s="17"/>
      <c r="AB128" s="17"/>
      <c r="AC128" s="17"/>
      <c r="AD128" s="17"/>
      <c r="AE128" s="17"/>
      <c r="AF128" s="17"/>
      <c r="AG128" s="17"/>
      <c r="AH128" s="17"/>
      <c r="AI128" s="17"/>
      <c r="AJ128" s="17"/>
      <c r="AK128" s="17"/>
      <c r="AL128" s="17"/>
      <c r="AM128" s="17"/>
      <c r="AN128" s="17"/>
    </row>
    <row r="129" spans="1:40" s="16" customFormat="1" ht="57" customHeight="1">
      <c r="A129" s="6"/>
      <c r="B129" s="6"/>
      <c r="C129" s="21"/>
      <c r="D129" s="21"/>
      <c r="E129" s="21"/>
      <c r="F129" s="21"/>
      <c r="G129" s="58"/>
      <c r="H129" s="21"/>
      <c r="I129" s="18"/>
      <c r="J129" s="4"/>
      <c r="K129" s="18"/>
      <c r="L129" s="18"/>
      <c r="M129" s="18"/>
      <c r="N129" s="18"/>
      <c r="O129" s="18"/>
      <c r="P129" s="18"/>
      <c r="Q129" s="18"/>
      <c r="R129" s="18"/>
      <c r="S129" s="18"/>
      <c r="T129" s="18"/>
      <c r="U129" s="18"/>
      <c r="V129" s="18"/>
      <c r="W129" s="18"/>
      <c r="X129" s="17"/>
      <c r="Y129" s="17"/>
      <c r="Z129" s="17"/>
      <c r="AA129" s="17"/>
      <c r="AB129" s="17"/>
      <c r="AC129" s="17"/>
      <c r="AD129" s="17"/>
      <c r="AE129" s="17"/>
      <c r="AF129" s="17"/>
      <c r="AG129" s="17"/>
      <c r="AH129" s="17"/>
      <c r="AI129" s="17"/>
      <c r="AJ129" s="17"/>
      <c r="AK129" s="17"/>
      <c r="AL129" s="17"/>
      <c r="AM129" s="17"/>
      <c r="AN129" s="17"/>
    </row>
    <row r="130" spans="1:40" s="16" customFormat="1" ht="57" customHeight="1">
      <c r="A130" s="6"/>
      <c r="B130" s="6"/>
      <c r="C130" s="21"/>
      <c r="D130" s="21"/>
      <c r="E130" s="21"/>
      <c r="F130" s="21"/>
      <c r="G130" s="58"/>
      <c r="H130" s="21"/>
      <c r="I130" s="18"/>
      <c r="J130" s="4"/>
      <c r="K130" s="18"/>
      <c r="L130" s="18"/>
      <c r="M130" s="18"/>
      <c r="N130" s="18"/>
      <c r="O130" s="18"/>
      <c r="P130" s="18"/>
      <c r="Q130" s="18"/>
      <c r="R130" s="18"/>
      <c r="S130" s="18"/>
      <c r="T130" s="18"/>
      <c r="U130" s="18"/>
      <c r="V130" s="18"/>
      <c r="W130" s="18"/>
      <c r="X130" s="17"/>
      <c r="Y130" s="17"/>
      <c r="Z130" s="17"/>
      <c r="AA130" s="17"/>
      <c r="AB130" s="17"/>
      <c r="AC130" s="17"/>
      <c r="AD130" s="17"/>
      <c r="AE130" s="17"/>
      <c r="AF130" s="17"/>
      <c r="AG130" s="17"/>
      <c r="AH130" s="17"/>
      <c r="AI130" s="17"/>
      <c r="AJ130" s="17"/>
      <c r="AK130" s="17"/>
      <c r="AL130" s="17"/>
      <c r="AM130" s="17"/>
      <c r="AN130" s="17"/>
    </row>
    <row r="131" spans="1:40" ht="57" customHeight="1">
      <c r="C131" s="21"/>
      <c r="D131" s="21"/>
      <c r="E131" s="21"/>
      <c r="F131" s="21"/>
      <c r="G131" s="58"/>
      <c r="H131" s="21"/>
      <c r="I131" s="18"/>
    </row>
  </sheetData>
  <conditionalFormatting sqref="V101">
    <cfRule type="cellIs" dxfId="0" priority="1" stopIfTrue="1" operator="notEqual">
      <formula>0</formula>
    </cfRule>
  </conditionalFormatting>
  <pageMargins left="0.75" right="0.5" top="0.5" bottom="0.5" header="0.5" footer="0.25"/>
  <pageSetup scale="60" fitToHeight="2" orientation="landscape" r:id="rId1"/>
  <headerFooter alignWithMargins="0">
    <oddFooter>&amp;C&amp;F&amp;R&amp;"Times New Roman,Regular"Page &amp;P of &amp;N</oddFooter>
  </headerFooter>
  <rowBreaks count="1" manualBreakCount="1">
    <brk id="91" max="14" man="1"/>
  </rowBreaks>
  <legacy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2012-04-02T07:00:00+00:00</OpenedDate>
    <Date1 xmlns="dc463f71-b30c-4ab2-9473-d307f9d35888">2012-09-19T07:00:00+00:00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120436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EEBBBECEF4A9741925D1E0FF525C9BE" ma:contentTypeVersion="139" ma:contentTypeDescription="" ma:contentTypeScope="" ma:versionID="e1c2431b48247bef897b70fc6688e99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4E8FD-9D40-48FE-9802-8C8CA1D8EEB3}"/>
</file>

<file path=customXml/itemProps2.xml><?xml version="1.0" encoding="utf-8"?>
<ds:datastoreItem xmlns:ds="http://schemas.openxmlformats.org/officeDocument/2006/customXml" ds:itemID="{9A5EBA09-1671-45ED-B964-B06EE9EDB669}"/>
</file>

<file path=customXml/itemProps3.xml><?xml version="1.0" encoding="utf-8"?>
<ds:datastoreItem xmlns:ds="http://schemas.openxmlformats.org/officeDocument/2006/customXml" ds:itemID="{94830B8B-1CB4-4BEA-82A3-48C7EEEAEF60}"/>
</file>

<file path=customXml/itemProps4.xml><?xml version="1.0" encoding="utf-8"?>
<ds:datastoreItem xmlns:ds="http://schemas.openxmlformats.org/officeDocument/2006/customXml" ds:itemID="{AA691F51-9782-4B5F-A4E1-0D8AF865F0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Schedule M's 2011</vt:lpstr>
      <vt:lpstr>Schedule M's 2010</vt:lpstr>
      <vt:lpstr>Sheet1</vt:lpstr>
      <vt:lpstr>'Schedule M''s 2010'!Print_Area</vt:lpstr>
      <vt:lpstr>'Schedule M''s 2011'!Print_Area</vt:lpstr>
      <vt:lpstr>'Schedule M''s 2010'!Print_Titles</vt:lpstr>
      <vt:lpstr>'Schedule M''s 2011'!Print_Titles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Hughbanks</dc:creator>
  <cp:lastModifiedBy>Lea Daeschel</cp:lastModifiedBy>
  <cp:lastPrinted>2012-05-30T21:50:30Z</cp:lastPrinted>
  <dcterms:created xsi:type="dcterms:W3CDTF">1998-08-19T01:15:23Z</dcterms:created>
  <dcterms:modified xsi:type="dcterms:W3CDTF">2012-09-12T21:15:20Z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0x0101006E56B4D1795A2E4DB2F0B01679ED314A00DEEBBBECEF4A9741925D1E0FF525C9BE</vt:lpwstr>
  </property>
  <property fmtid="{D5CDD505-2E9C-101B-9397-08002B2CF9AE}" pid="3" name="_docset_NoMedatataSyncRequired">
    <vt:lpwstr>False</vt:lpwstr>
  </property>
</Properties>
</file>