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4235" windowHeight="7935" firstSheet="2" activeTab="5"/>
  </bookViews>
  <sheets>
    <sheet name="Exhibit No.__(EMA-8) page 9" sheetId="5" r:id="rId1"/>
    <sheet name="Exhibit No.__(EMA-8) page 10" sheetId="6" r:id="rId2"/>
    <sheet name="Exhibit No.__(EMA-8) page 11" sheetId="8" r:id="rId3"/>
    <sheet name="Exhibit No.__(EMA-8) page 12" sheetId="9" r:id="rId4"/>
    <sheet name="Exhibit No.__(EMA-8) page 13" sheetId="7" r:id="rId5"/>
    <sheet name="Exhibit No.__(EMA-8) page 14-15" sheetId="10" r:id="rId6"/>
  </sheets>
  <externalReferences>
    <externalReference r:id="rId7"/>
    <externalReference r:id="rId8"/>
  </externalReferences>
  <definedNames>
    <definedName name="_xlnm.Print_Area" localSheetId="1">'Exhibit No.__(EMA-8) page 10'!$A$1:$G$19</definedName>
    <definedName name="_xlnm.Print_Area" localSheetId="2">'Exhibit No.__(EMA-8) page 11'!$A$1:$G$48</definedName>
    <definedName name="_xlnm.Print_Area" localSheetId="4">'Exhibit No.__(EMA-8) page 13'!$F$37:$J$60</definedName>
    <definedName name="_xlnm.Print_Area" localSheetId="5">'Exhibit No.__(EMA-8) page 14-15'!$A$1:$Q$23</definedName>
    <definedName name="_xlnm.Print_Area" localSheetId="0">'Exhibit No.__(EMA-8) page 9'!$A$1:$J$61</definedName>
    <definedName name="Recover">[2]Macro1!$A$56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D17" i="10"/>
  <c r="Q16"/>
  <c r="Q18" s="1"/>
  <c r="P16"/>
  <c r="P18" s="1"/>
  <c r="O16"/>
  <c r="O18" s="1"/>
  <c r="N16"/>
  <c r="N18" s="1"/>
  <c r="M16"/>
  <c r="M18" s="1"/>
  <c r="L16"/>
  <c r="L18" s="1"/>
  <c r="K16"/>
  <c r="K18" s="1"/>
  <c r="J16"/>
  <c r="J18" s="1"/>
  <c r="I16"/>
  <c r="I18" s="1"/>
  <c r="H16"/>
  <c r="H18" s="1"/>
  <c r="G16"/>
  <c r="G18" s="1"/>
  <c r="F16"/>
  <c r="F18" s="1"/>
  <c r="E16"/>
  <c r="E18" s="1"/>
  <c r="D18" s="1"/>
  <c r="D15"/>
  <c r="D14"/>
  <c r="D13"/>
  <c r="D7"/>
  <c r="Q6"/>
  <c r="Q8" s="1"/>
  <c r="P6"/>
  <c r="P8" s="1"/>
  <c r="O6"/>
  <c r="O8" s="1"/>
  <c r="N6"/>
  <c r="N8" s="1"/>
  <c r="M6"/>
  <c r="M8" s="1"/>
  <c r="L6"/>
  <c r="L8" s="1"/>
  <c r="K6"/>
  <c r="K8" s="1"/>
  <c r="J6"/>
  <c r="J8" s="1"/>
  <c r="I6"/>
  <c r="I8" s="1"/>
  <c r="H6"/>
  <c r="H8" s="1"/>
  <c r="G6"/>
  <c r="G8" s="1"/>
  <c r="F6"/>
  <c r="F8" s="1"/>
  <c r="E6"/>
  <c r="E8" s="1"/>
  <c r="D6"/>
  <c r="D5"/>
  <c r="D4"/>
  <c r="D3"/>
  <c r="B36" i="9"/>
  <c r="B33"/>
  <c r="B34" s="1"/>
  <c r="B38" s="1"/>
  <c r="F25"/>
  <c r="E25"/>
  <c r="G24"/>
  <c r="G23"/>
  <c r="G22"/>
  <c r="G25" s="1"/>
  <c r="F19"/>
  <c r="E19"/>
  <c r="C19"/>
  <c r="B19"/>
  <c r="G18"/>
  <c r="G17"/>
  <c r="G19" s="1"/>
  <c r="F9"/>
  <c r="F11" s="1"/>
  <c r="E9"/>
  <c r="C9"/>
  <c r="C11" s="1"/>
  <c r="B9"/>
  <c r="G8"/>
  <c r="G7"/>
  <c r="G6"/>
  <c r="G9" s="1"/>
  <c r="D5" i="8"/>
  <c r="E5" s="1"/>
  <c r="D6"/>
  <c r="E6" s="1"/>
  <c r="D7"/>
  <c r="E7" s="1"/>
  <c r="C8"/>
  <c r="C14" s="1"/>
  <c r="C10"/>
  <c r="C11"/>
  <c r="D11"/>
  <c r="E11"/>
  <c r="C22"/>
  <c r="H22"/>
  <c r="B23"/>
  <c r="D22" s="1"/>
  <c r="E23"/>
  <c r="F23"/>
  <c r="H23"/>
  <c r="H27" s="1"/>
  <c r="I23"/>
  <c r="J23"/>
  <c r="E25"/>
  <c r="E27" s="1"/>
  <c r="I25"/>
  <c r="J25"/>
  <c r="F27"/>
  <c r="I27"/>
  <c r="B30"/>
  <c r="D30" s="1"/>
  <c r="F30" s="1"/>
  <c r="F34" s="1"/>
  <c r="F44"/>
  <c r="I57" i="7"/>
  <c r="J52"/>
  <c r="I51"/>
  <c r="H51"/>
  <c r="J51" s="1"/>
  <c r="H49"/>
  <c r="H46"/>
  <c r="I39"/>
  <c r="I49" s="1"/>
  <c r="I38"/>
  <c r="I50" s="1"/>
  <c r="J50" s="1"/>
  <c r="H36"/>
  <c r="I32"/>
  <c r="H32"/>
  <c r="J32" s="1"/>
  <c r="J31"/>
  <c r="J30"/>
  <c r="I29"/>
  <c r="J29" s="1"/>
  <c r="H29"/>
  <c r="I28"/>
  <c r="J28" s="1"/>
  <c r="H28"/>
  <c r="I27"/>
  <c r="J27" s="1"/>
  <c r="H27"/>
  <c r="J26"/>
  <c r="J25"/>
  <c r="I24"/>
  <c r="J24" s="1"/>
  <c r="H24"/>
  <c r="J23"/>
  <c r="I22"/>
  <c r="H22"/>
  <c r="J22" s="1"/>
  <c r="I21"/>
  <c r="J21" s="1"/>
  <c r="H21"/>
  <c r="I20"/>
  <c r="J20" s="1"/>
  <c r="H20"/>
  <c r="I19"/>
  <c r="J19" s="1"/>
  <c r="H19"/>
  <c r="I18"/>
  <c r="H18"/>
  <c r="J18" s="1"/>
  <c r="J17"/>
  <c r="I16"/>
  <c r="I33" s="1"/>
  <c r="H16"/>
  <c r="H33" s="1"/>
  <c r="I11"/>
  <c r="J11" s="1"/>
  <c r="H11"/>
  <c r="I10"/>
  <c r="J10" s="1"/>
  <c r="H10"/>
  <c r="I9"/>
  <c r="H9"/>
  <c r="J9" s="1"/>
  <c r="I8"/>
  <c r="I12" s="1"/>
  <c r="H8"/>
  <c r="H12" s="1"/>
  <c r="I5"/>
  <c r="H5"/>
  <c r="J5" s="1"/>
  <c r="P7" s="1"/>
  <c r="I4"/>
  <c r="J4" s="1"/>
  <c r="H4"/>
  <c r="I3"/>
  <c r="I6" s="1"/>
  <c r="H3"/>
  <c r="H6" s="1"/>
  <c r="G25" i="6"/>
  <c r="G27" s="1"/>
  <c r="E25"/>
  <c r="E27" s="1"/>
  <c r="E33" s="1"/>
  <c r="G6"/>
  <c r="G8" s="1"/>
  <c r="E6"/>
  <c r="E8" s="1"/>
  <c r="E14" s="1"/>
  <c r="D8" i="10" l="1"/>
  <c r="D16"/>
  <c r="G11" i="9"/>
  <c r="G13" s="1"/>
  <c r="B11"/>
  <c r="B13" s="1"/>
  <c r="E11"/>
  <c r="E13" s="1"/>
  <c r="C13"/>
  <c r="F13"/>
  <c r="J27" i="8"/>
  <c r="E36"/>
  <c r="E40" s="1"/>
  <c r="E46" s="1"/>
  <c r="E8"/>
  <c r="F36"/>
  <c r="F40" s="1"/>
  <c r="F46" s="1"/>
  <c r="B32"/>
  <c r="C32" s="1"/>
  <c r="E32" s="1"/>
  <c r="E34" s="1"/>
  <c r="D8"/>
  <c r="D14" s="1"/>
  <c r="T7" i="7"/>
  <c r="R7"/>
  <c r="P12"/>
  <c r="H38"/>
  <c r="H34"/>
  <c r="J49"/>
  <c r="H39"/>
  <c r="J39" s="1"/>
  <c r="P13"/>
  <c r="P21"/>
  <c r="R21" s="1"/>
  <c r="P20"/>
  <c r="I34"/>
  <c r="J3"/>
  <c r="J8"/>
  <c r="J16"/>
  <c r="I45"/>
  <c r="I48"/>
  <c r="J48" s="1"/>
  <c r="G11" i="6"/>
  <c r="G14" s="1"/>
  <c r="G30"/>
  <c r="G33" s="1"/>
  <c r="E16"/>
  <c r="E18" s="1"/>
  <c r="E35"/>
  <c r="E37" s="1"/>
  <c r="E14" i="8" l="1"/>
  <c r="B25"/>
  <c r="J33" i="7"/>
  <c r="P19"/>
  <c r="J6"/>
  <c r="H40" s="1"/>
  <c r="P6"/>
  <c r="H54"/>
  <c r="H53"/>
  <c r="J38"/>
  <c r="J45"/>
  <c r="I46"/>
  <c r="H57"/>
  <c r="J57" s="1"/>
  <c r="I36"/>
  <c r="J36" s="1"/>
  <c r="J12"/>
  <c r="P10"/>
  <c r="R20"/>
  <c r="R28" s="1"/>
  <c r="T20"/>
  <c r="T28" s="1"/>
  <c r="R13"/>
  <c r="T13"/>
  <c r="P14"/>
  <c r="T12"/>
  <c r="T14" s="1"/>
  <c r="R12"/>
  <c r="R14" s="1"/>
  <c r="P28"/>
  <c r="G35" i="6"/>
  <c r="G37" s="1"/>
  <c r="G16"/>
  <c r="G18" s="1"/>
  <c r="R10" i="7" l="1"/>
  <c r="R24" s="1"/>
  <c r="R45" s="1"/>
  <c r="R46" s="1"/>
  <c r="R48" s="1"/>
  <c r="R53" s="1"/>
  <c r="P24"/>
  <c r="T10"/>
  <c r="T24" s="1"/>
  <c r="T45" s="1"/>
  <c r="T46" s="1"/>
  <c r="T48" s="1"/>
  <c r="I47"/>
  <c r="J47" s="1"/>
  <c r="J46"/>
  <c r="H58"/>
  <c r="J34"/>
  <c r="P8"/>
  <c r="R6"/>
  <c r="P27"/>
  <c r="P29" s="1"/>
  <c r="P31" s="1"/>
  <c r="T6"/>
  <c r="P22"/>
  <c r="R19"/>
  <c r="R22" s="1"/>
  <c r="T19"/>
  <c r="T22" s="1"/>
  <c r="T8" l="1"/>
  <c r="T27"/>
  <c r="T29" s="1"/>
  <c r="T31" s="1"/>
  <c r="R27"/>
  <c r="R29" s="1"/>
  <c r="R31" s="1"/>
  <c r="R36" s="1"/>
  <c r="R8"/>
  <c r="J40" s="1"/>
  <c r="T50"/>
  <c r="T53" s="1"/>
  <c r="R55"/>
  <c r="R57" s="1"/>
  <c r="P45"/>
  <c r="P46" s="1"/>
  <c r="P48" s="1"/>
  <c r="J35"/>
  <c r="T55" l="1"/>
  <c r="T57" s="1"/>
  <c r="J54"/>
  <c r="J53"/>
  <c r="T33"/>
  <c r="T36" s="1"/>
  <c r="R38"/>
  <c r="R40"/>
  <c r="T38" l="1"/>
  <c r="T40" s="1"/>
  <c r="J58"/>
  <c r="J55"/>
  <c r="J56" s="1"/>
  <c r="E58" i="5" l="1"/>
  <c r="E56"/>
  <c r="D23"/>
  <c r="H5"/>
  <c r="H9"/>
  <c r="H10"/>
  <c r="C26" s="1"/>
  <c r="C29" s="1"/>
  <c r="H11"/>
  <c r="H13"/>
  <c r="C23"/>
  <c r="B23"/>
  <c r="E19"/>
  <c r="F19" s="1"/>
  <c r="H19" s="1"/>
  <c r="E18"/>
  <c r="F18" s="1"/>
  <c r="H18" s="1"/>
  <c r="E17"/>
  <c r="E16"/>
  <c r="F16" s="1"/>
  <c r="H16" s="1"/>
  <c r="E15"/>
  <c r="F15" s="1"/>
  <c r="H15" s="1"/>
  <c r="E14"/>
  <c r="F14" s="1"/>
  <c r="H14" s="1"/>
  <c r="E13"/>
  <c r="E12"/>
  <c r="F12" s="1"/>
  <c r="H12" s="1"/>
  <c r="E11"/>
  <c r="E10"/>
  <c r="E9"/>
  <c r="I9" s="1"/>
  <c r="I23" s="1"/>
  <c r="E8"/>
  <c r="F8" s="1"/>
  <c r="H8" s="1"/>
  <c r="E7"/>
  <c r="F7" s="1"/>
  <c r="H7" s="1"/>
  <c r="E6"/>
  <c r="F6" s="1"/>
  <c r="H6" s="1"/>
  <c r="E5"/>
  <c r="E4"/>
  <c r="F4" s="1"/>
  <c r="C30" l="1"/>
  <c r="F23"/>
  <c r="E26"/>
  <c r="H4"/>
  <c r="D26" s="1"/>
  <c r="E23"/>
  <c r="E46" l="1"/>
  <c r="E44"/>
  <c r="E45"/>
  <c r="H23"/>
  <c r="D37"/>
  <c r="F26"/>
  <c r="D38"/>
  <c r="D40" l="1"/>
  <c r="D41"/>
  <c r="E48"/>
  <c r="D57" s="1"/>
  <c r="E47"/>
  <c r="D56" s="1"/>
  <c r="E50"/>
  <c r="E49"/>
  <c r="D60"/>
  <c r="D59" l="1"/>
  <c r="D58"/>
  <c r="F58" s="1"/>
  <c r="G58" s="1"/>
  <c r="F56"/>
  <c r="G56" s="1"/>
  <c r="D61" l="1"/>
</calcChain>
</file>

<file path=xl/comments1.xml><?xml version="1.0" encoding="utf-8"?>
<comments xmlns="http://schemas.openxmlformats.org/spreadsheetml/2006/main">
  <authors>
    <author>mzr9zj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mzr9zj:  This 2007 spend $$ from query of FERC account spend.  Add up the MAC215 and MAC206 numbers within the FERC accounts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<sst xmlns="http://schemas.openxmlformats.org/spreadsheetml/2006/main" count="402" uniqueCount="284">
  <si>
    <t>Non-Labor</t>
  </si>
  <si>
    <t>Labor</t>
  </si>
  <si>
    <t>Description</t>
  </si>
  <si>
    <t xml:space="preserve">     TOTAL</t>
  </si>
  <si>
    <t>TOTAL</t>
  </si>
  <si>
    <t>Security/Compliance</t>
  </si>
  <si>
    <t>Enterprise Vice Portal Application Hosting Fees</t>
  </si>
  <si>
    <t>New Work Management System</t>
  </si>
  <si>
    <t>Crew Call Out Application Hosting Fee</t>
  </si>
  <si>
    <t>Wireless Wide-Area-Network</t>
  </si>
  <si>
    <t>Outage Mgmt &amp; Construction Design Application Support</t>
  </si>
  <si>
    <t>WEB Application Support</t>
  </si>
  <si>
    <t>New Mobile Dispatch Application - Electric</t>
  </si>
  <si>
    <t>Mobile Dispatch Application - Gas (Technical Support)</t>
  </si>
  <si>
    <t>Infrastructure Growth/Expansion (hardware, network, etc.)</t>
  </si>
  <si>
    <t>New Spokane Valley Call Center Recurring Costs</t>
  </si>
  <si>
    <t>New Software License Fees (Ultimate, IEE, etc.)</t>
  </si>
  <si>
    <t>Annual Increases for Existing Software License/Maintenance Fees</t>
  </si>
  <si>
    <t>Annual Increases for Existing Hardware Maintenance Fees</t>
  </si>
  <si>
    <t>New Hardware Maintenance Fees</t>
  </si>
  <si>
    <t>Common Gas</t>
  </si>
  <si>
    <t>Common Gas All</t>
  </si>
  <si>
    <t>Common All</t>
  </si>
  <si>
    <t>Allocation</t>
  </si>
  <si>
    <t>ID only - E&amp;G</t>
  </si>
  <si>
    <t>Common Electric</t>
  </si>
  <si>
    <t xml:space="preserve">WA </t>
  </si>
  <si>
    <t>ID</t>
  </si>
  <si>
    <t>Common Gas Allocation (note 8)</t>
  </si>
  <si>
    <t>Electric</t>
  </si>
  <si>
    <t>Gas North</t>
  </si>
  <si>
    <t>OR Gas</t>
  </si>
  <si>
    <t>(Note 4)</t>
  </si>
  <si>
    <t>(Note 7; 4)</t>
  </si>
  <si>
    <t>(Note 8; 4)</t>
  </si>
  <si>
    <t xml:space="preserve">Common All Allocation (note 7) </t>
  </si>
  <si>
    <t>Common North Allocation (note 9)</t>
  </si>
  <si>
    <t>WA gas</t>
  </si>
  <si>
    <t>ID gas</t>
  </si>
  <si>
    <t>Gas</t>
  </si>
  <si>
    <t>ID Electric</t>
  </si>
  <si>
    <t>ID Gas</t>
  </si>
  <si>
    <t>WA electric</t>
  </si>
  <si>
    <t>ID electric</t>
  </si>
  <si>
    <t>Total Electric ID</t>
  </si>
  <si>
    <t>Total Electric WA</t>
  </si>
  <si>
    <t>Total Gas WA</t>
  </si>
  <si>
    <t>Total Gas ID</t>
  </si>
  <si>
    <t>Total OR</t>
  </si>
  <si>
    <t>WA/ID Allocation (note 4) - Electric</t>
  </si>
  <si>
    <t>WA/ID Allocation (note 4) - Gas</t>
  </si>
  <si>
    <t>Expense started in 2009 (employee or EDS contract employee hired)</t>
  </si>
  <si>
    <t>Expense starts in 2010 - Excluded</t>
  </si>
  <si>
    <t>Automated Meter Reading Network - ID only</t>
  </si>
  <si>
    <t>(1)</t>
  </si>
  <si>
    <t>(1) - starts early 2010, however, will be EDS contract employee, contract amount from EDS contract, amount known.</t>
  </si>
  <si>
    <t>Increases due to support of existing applications customers already receive benefit from these projects.</t>
  </si>
  <si>
    <t>Efficiency - estimated</t>
  </si>
  <si>
    <t>Revised Expense for known expenses plus efficiencies</t>
  </si>
  <si>
    <t>Total Projects to include for 2009 (adjusted for efficiencies</t>
  </si>
  <si>
    <t>PRO FORMA INFORMATION SERVICES - (INCREMENTAL 2009 EXPENSE - 2010 excluded)</t>
  </si>
  <si>
    <t>Additional Efficiencies for 2009 known savings - Technology &amp; Electronixc Payment Service Providers</t>
  </si>
  <si>
    <t>Idaho Only</t>
  </si>
  <si>
    <t>Rev. Req, Net Reduction</t>
  </si>
  <si>
    <t>Reduction for savings or efficiencies</t>
  </si>
  <si>
    <t>REVISED ADJUSTMENT</t>
  </si>
  <si>
    <t>Originally Filed</t>
  </si>
  <si>
    <t>(in 000s)</t>
  </si>
  <si>
    <t>2010 - REVISED REQUEST</t>
  </si>
  <si>
    <t>Total System Adjustment</t>
  </si>
  <si>
    <t>Total Washington Adjustment</t>
  </si>
  <si>
    <t>Total           Idaho Adjustment</t>
  </si>
  <si>
    <t>P/T Allocation Percentages</t>
  </si>
  <si>
    <t>Colstrip Mercury Emission</t>
  </si>
  <si>
    <t>Operating &amp; Maintenance Expense</t>
  </si>
  <si>
    <t>Net Income Before Taxes</t>
  </si>
  <si>
    <t>Idaho State Income Taxes</t>
  </si>
  <si>
    <t>Net Income before FIT</t>
  </si>
  <si>
    <t>Federal Income Tax</t>
  </si>
  <si>
    <t>Net Reduction to Income</t>
  </si>
  <si>
    <t>2010 - ORIGINAL FILED REQUEST</t>
  </si>
  <si>
    <t>Input for Exhibit No. (EMA-6) page 11 Pro Forma Colstrip Mercury Emiss. O&amp;M Revised adjustment</t>
  </si>
  <si>
    <t>Input for Exhibit No. (EMA-7) page 9 Pro Forma Information Services Revised gas adjustment</t>
  </si>
  <si>
    <t>Input for Exhibit No. (EMA-6) page 10 Pro Forma Information Services Revised electric adjustment</t>
  </si>
  <si>
    <t>Code</t>
  </si>
  <si>
    <t>FERC Account (Veg Mgmt areas shaded in green)</t>
  </si>
  <si>
    <t>MAC or ORG</t>
  </si>
  <si>
    <t>Test Period 10/1/07-9/30/08    Spend</t>
  </si>
  <si>
    <t>2010 Proposed</t>
  </si>
  <si>
    <t>Increment Above Test Period</t>
  </si>
  <si>
    <t>TOTAL ASSET MANAGEMENT PROGRAMS</t>
  </si>
  <si>
    <t>Wood Pole Test &amp; Treat</t>
  </si>
  <si>
    <t>TA</t>
  </si>
  <si>
    <t>563, 560</t>
  </si>
  <si>
    <t>Aerial Patrol</t>
  </si>
  <si>
    <t>560/563</t>
  </si>
  <si>
    <t>TRANS OPERATIONS - Aerial Patrol</t>
  </si>
  <si>
    <t>Distribution Allocations - electric</t>
  </si>
  <si>
    <t>TPOL</t>
  </si>
  <si>
    <t>563, 571, 588</t>
  </si>
  <si>
    <t>Transmission Testing</t>
  </si>
  <si>
    <t>TRANSMISSION MAINTENANCE EXPENSE, OVERHEAD LINES</t>
  </si>
  <si>
    <t>Distribution Allocations - Gas</t>
  </si>
  <si>
    <t>DPOL</t>
  </si>
  <si>
    <t>583, 593</t>
  </si>
  <si>
    <t>Distribution Testing</t>
  </si>
  <si>
    <t>DISTRIBUTION OPERATIONS EXPENSE-OHD LINES</t>
  </si>
  <si>
    <t>WOOD POLE</t>
  </si>
  <si>
    <t>560/571</t>
  </si>
  <si>
    <t>Transmission Maintenance Expense</t>
  </si>
  <si>
    <t>Vegetation Management</t>
  </si>
  <si>
    <t>Distribution Operations Expense</t>
  </si>
  <si>
    <t>TS</t>
  </si>
  <si>
    <t>885, 887</t>
  </si>
  <si>
    <t>T</t>
  </si>
  <si>
    <t>TRANSMISSION OPERATIONS EXPENSE, AERIAL PATROL</t>
  </si>
  <si>
    <t>Veg MANAGEMENT - GAS</t>
  </si>
  <si>
    <t>568, 571</t>
  </si>
  <si>
    <t>Transmission</t>
  </si>
  <si>
    <t>568/571</t>
  </si>
  <si>
    <t>TRANS MAINTENANCE EXPENSE</t>
  </si>
  <si>
    <t>590, 593</t>
  </si>
  <si>
    <t>Distribution</t>
  </si>
  <si>
    <t>590/593</t>
  </si>
  <si>
    <t>DISTRIBUTION MAINTENANCE EXPENSE</t>
  </si>
  <si>
    <t>Veg MANAGEMENT - Electric</t>
  </si>
  <si>
    <t>562-571</t>
  </si>
  <si>
    <t>Transmission Ops/Maint Expense</t>
  </si>
  <si>
    <t>582-595</t>
  </si>
  <si>
    <t>Distribution Ops/Maint Expense</t>
  </si>
  <si>
    <t>ASSET Management</t>
  </si>
  <si>
    <t>TRANSMISSION OPERATIONS EXPENSE, STATION EXPENSES</t>
  </si>
  <si>
    <t>TRANSMISSION OPERATIONS EXPENSE, OH LINES</t>
  </si>
  <si>
    <t>TRANS MAINTENANCE EXPENSE, SUPERVISION AND ENGINEERING</t>
  </si>
  <si>
    <t>ASSET MANAGEMENT</t>
  </si>
  <si>
    <t>TRANSMISSION MAINTENANCE EXPENSE-STATION STRUCTURES</t>
  </si>
  <si>
    <t>TRANSMISSION MAINTENANCE EXPENSE-STATION EQUIPMENT</t>
  </si>
  <si>
    <t>Ditribution Network - Direct WA</t>
  </si>
  <si>
    <t>DS</t>
  </si>
  <si>
    <t>DISTRIBUTION OPERATIONS EXPENSE-STATION</t>
  </si>
  <si>
    <t>D</t>
  </si>
  <si>
    <t>GAS</t>
  </si>
  <si>
    <t>N</t>
  </si>
  <si>
    <t>DISTRIBUTION OPERATIONS EXPENSE-URD LINES</t>
  </si>
  <si>
    <t>WA</t>
  </si>
  <si>
    <t>Total Distribution Ops/Maint</t>
  </si>
  <si>
    <t>DISTRIBUTION OPERATIONS EXPENSE-METERS</t>
  </si>
  <si>
    <t>DISTRIBUTION OPERATIONS EXPENSE-MISCELLANEOUS EXPENSE</t>
  </si>
  <si>
    <t>ELECTRIC</t>
  </si>
  <si>
    <t>DISTRIBUTION MAINTENANCE EXPENSE-SUPERVISION AND ENGINEERING</t>
  </si>
  <si>
    <t>Total Transmission Oper/Maint</t>
  </si>
  <si>
    <t>DISTRIBUTION MAINTENANCE EXPENSE-STATION STRUCTURES</t>
  </si>
  <si>
    <t>DISTRIBUTION MAINTENANCE EXPENSE-STATION EQUIPMENT</t>
  </si>
  <si>
    <t>Total Expense</t>
  </si>
  <si>
    <t>DISTRIBUTION MAINTENANCE EXPENSE-OVERHEAD LINES</t>
  </si>
  <si>
    <t>MAINT UNDERGROUND - MAINTENANCE OF UNDERGROUND LINES</t>
  </si>
  <si>
    <t>Net Income Before Income Taxes</t>
  </si>
  <si>
    <t>DISTRIBUTION MAINTENANCE EXPENSE-LINE TRANSFORMERS</t>
  </si>
  <si>
    <t>electric</t>
  </si>
  <si>
    <t>gas'</t>
  </si>
  <si>
    <t>E&amp;G</t>
  </si>
  <si>
    <t>System</t>
  </si>
  <si>
    <t>WA Share</t>
  </si>
  <si>
    <t>Transmission Vegetation Increase - due to Compliance requirements</t>
  </si>
  <si>
    <t>Distribution Vegetation Management (current req. $2.8 increase to $4 or by $1.2m currently required by Docket No. UE-050482</t>
  </si>
  <si>
    <t>Wood Pole - tracked spending of capital &amp; expenses - per Docket # UE-070804 (2010 required level $872k vs $852 for 2010)</t>
  </si>
  <si>
    <t>64.59%/66.821%</t>
  </si>
  <si>
    <t>Asset management  $1,589,388</t>
  </si>
  <si>
    <t xml:space="preserve"> *  Most projects included in Asset Mgmt program provide for future reductions to required Capital; safety issues</t>
  </si>
  <si>
    <r>
      <rPr>
        <b/>
        <sz val="12"/>
        <rFont val="Geneva"/>
        <family val="2"/>
      </rPr>
      <t>Substation</t>
    </r>
    <r>
      <rPr>
        <sz val="12"/>
        <rFont val="Geneva"/>
        <family val="2"/>
      </rPr>
      <t xml:space="preserve"> (maintenance on transformers, circuit breakers, circuit switchers, reclosers, relays</t>
    </r>
  </si>
  <si>
    <t xml:space="preserve"> Substation Efficiency estimate 10%-built in for settlement purposes</t>
  </si>
  <si>
    <r>
      <rPr>
        <b/>
        <sz val="12"/>
        <rFont val="Geneva"/>
        <family val="2"/>
      </rPr>
      <t>Distribution:</t>
    </r>
    <r>
      <rPr>
        <sz val="12"/>
        <rFont val="Geneva"/>
        <family val="2"/>
      </rPr>
      <t xml:space="preserve"> Animal guards, underground cable, exacter testing reclosers, relays </t>
    </r>
  </si>
  <si>
    <t xml:space="preserve">   Animal Guards  ($44k savings in 2010 estimated)</t>
  </si>
  <si>
    <t xml:space="preserve">   Additonal distribution efficiency estimate 20%-built in for settlement purposes</t>
  </si>
  <si>
    <r>
      <rPr>
        <b/>
        <sz val="12"/>
        <rFont val="Geneva"/>
        <family val="2"/>
      </rPr>
      <t>Transmission:</t>
    </r>
    <r>
      <rPr>
        <sz val="12"/>
        <rFont val="Geneva"/>
        <family val="2"/>
      </rPr>
      <t xml:space="preserve">  Fire retardent coatings on poles</t>
    </r>
  </si>
  <si>
    <t xml:space="preserve">   Additonal transmission efficiency estimate 20%-built in for settlement purposes</t>
  </si>
  <si>
    <r>
      <rPr>
        <b/>
        <sz val="12"/>
        <rFont val="Geneva"/>
        <family val="2"/>
      </rPr>
      <t>Network</t>
    </r>
    <r>
      <rPr>
        <sz val="12"/>
        <rFont val="Geneva"/>
        <family val="2"/>
      </rPr>
      <t xml:space="preserve"> - Vaults, manholes/handholes - this work being completed for safety purposes</t>
    </r>
  </si>
  <si>
    <t>WA share-Excld. Eff. (E)</t>
  </si>
  <si>
    <t>Total electric-before efficiencies</t>
  </si>
  <si>
    <t>Total after efficiencies</t>
  </si>
  <si>
    <t>Net Reductions</t>
  </si>
  <si>
    <t>Net overall % reductions</t>
  </si>
  <si>
    <r>
      <rPr>
        <b/>
        <sz val="12"/>
        <rFont val="Geneva"/>
      </rPr>
      <t>Gas</t>
    </r>
    <r>
      <rPr>
        <sz val="12"/>
        <rFont val="Geneva"/>
        <family val="2"/>
      </rPr>
      <t xml:space="preserve"> Vegetation management - add to required level of spend with electric distribution.</t>
    </r>
  </si>
  <si>
    <t xml:space="preserve">Total </t>
  </si>
  <si>
    <t>WA share-Excld. Eff. (E/G)</t>
  </si>
  <si>
    <t xml:space="preserve"> WA E&amp;G after alternative efficiencies</t>
  </si>
  <si>
    <t>For Information Purposes Only</t>
  </si>
  <si>
    <t>REVISED REVENUE REQUIREMENT</t>
  </si>
  <si>
    <t>NET</t>
  </si>
  <si>
    <t>Public Counsel AGA Adj Accepted (Rev. Req.)</t>
  </si>
  <si>
    <t xml:space="preserve">REVISED EXPENSE ADJ </t>
  </si>
  <si>
    <t>(Shown during discovery through PC_DR_481-Attachment  A.xls)</t>
  </si>
  <si>
    <t xml:space="preserve">Adjustment </t>
  </si>
  <si>
    <t>Correctly Recorded</t>
  </si>
  <si>
    <t xml:space="preserve">Originally Recorded </t>
  </si>
  <si>
    <t>2008 (2)</t>
  </si>
  <si>
    <t>Allocation % Per Results</t>
  </si>
  <si>
    <t>ID GAS</t>
  </si>
  <si>
    <t xml:space="preserve">WA Gas </t>
  </si>
  <si>
    <t xml:space="preserve">WA Electric </t>
  </si>
  <si>
    <t xml:space="preserve">Electric </t>
  </si>
  <si>
    <t>Total Utility</t>
  </si>
  <si>
    <t>2008 (1)</t>
  </si>
  <si>
    <t xml:space="preserve">Proposed Adjustment : </t>
  </si>
  <si>
    <t>(1) EEI - Percent allocated to non-utility per Invoice</t>
  </si>
  <si>
    <t xml:space="preserve">Grand Total </t>
  </si>
  <si>
    <t>Other Dues on separate invoice</t>
  </si>
  <si>
    <t>Originally Recorded to GDAA (2)</t>
  </si>
  <si>
    <t xml:space="preserve">   Contribution </t>
  </si>
  <si>
    <t>Originally Recorded to CDAA (1)</t>
  </si>
  <si>
    <t xml:space="preserve">   Mutual Assistance</t>
  </si>
  <si>
    <t xml:space="preserve">   Industry Structure Assessment</t>
  </si>
  <si>
    <t xml:space="preserve">   Regular Activities</t>
  </si>
  <si>
    <t>Acct. 930200 Utility Amount</t>
  </si>
  <si>
    <t>Acct. 426400 Non-Utility Amount</t>
  </si>
  <si>
    <t>Invoice Amount</t>
  </si>
  <si>
    <t>Percent Allocated to Non-Utility Costs (1)</t>
  </si>
  <si>
    <t>Edison Electric Institute:</t>
  </si>
  <si>
    <t>Input for Exhibit No. (EMA-6) page 8 Misc. Restating Revised adjustment (added to adj amount previously included for direct case)</t>
  </si>
  <si>
    <t>Input for Exhibit No. (EMA-7) page  8 Misc. Restating Revised adjustment (added to adj amount previously included for direct case)</t>
  </si>
  <si>
    <t>Washington Allocated</t>
  </si>
  <si>
    <t>Filed</t>
  </si>
  <si>
    <t>Revised</t>
  </si>
  <si>
    <t>Change</t>
  </si>
  <si>
    <t>Amortization Expense (1)</t>
  </si>
  <si>
    <t>Annual 4(e) Payment/IPA Interest</t>
  </si>
  <si>
    <t>Current Period PM&amp;E Expenses</t>
  </si>
  <si>
    <t xml:space="preserve">  Total Expense Adjustment</t>
  </si>
  <si>
    <t>Federal Income Taxes</t>
  </si>
  <si>
    <t>Net Operating Income</t>
  </si>
  <si>
    <t>Rate Base (EOP)</t>
  </si>
  <si>
    <t>Process Costs (ER6104) - Thru 6/30/09</t>
  </si>
  <si>
    <t>4(e) Agreement (Payment 30 Days after License - 7/30/09)</t>
  </si>
  <si>
    <t xml:space="preserve">   Total Costs</t>
  </si>
  <si>
    <t>Rate Base - AMA 2010</t>
  </si>
  <si>
    <t>Cost</t>
  </si>
  <si>
    <t>Accumulated Depreciation</t>
  </si>
  <si>
    <t>DFIT</t>
  </si>
  <si>
    <t xml:space="preserve">   Net Rate Base</t>
  </si>
  <si>
    <t>(1)  Actual annual labor costs had been capitalized, which will be recorde as PM&amp;E costs in the future, computed as follows:</t>
  </si>
  <si>
    <t>Annual Labor Costs:</t>
  </si>
  <si>
    <t>2009 (Annualized using 5/31/09 actual costs)</t>
  </si>
  <si>
    <t>2008 &amp; 2009</t>
  </si>
  <si>
    <t>Average Annual Labor Costs</t>
  </si>
  <si>
    <t>WA Allocation factor</t>
  </si>
  <si>
    <t>WA Share of Annual Labor</t>
  </si>
  <si>
    <t>(2)  The filing, prepared in January 2009, used estimated costs.  Costs have been updated for actual costs.</t>
  </si>
  <si>
    <t xml:space="preserve">   </t>
  </si>
  <si>
    <t xml:space="preserve">(3)  Amortization descreased due to amortizing license over 50 years (rather than 45 years as estimated) </t>
  </si>
  <si>
    <t xml:space="preserve">      and the reduction to final licesne cost, noted in (2) above.</t>
  </si>
  <si>
    <t>Page 9 of 15</t>
  </si>
  <si>
    <t>Page 10 of 15</t>
  </si>
  <si>
    <t>Page 11 of 15</t>
  </si>
  <si>
    <t>Page 12 of 15</t>
  </si>
  <si>
    <t>Page 13 of 15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</si>
  <si>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</si>
  <si>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</si>
  <si>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</si>
  <si>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</si>
  <si>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</si>
  <si>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</si>
  <si>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</si>
  <si>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</si>
  <si>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</si>
  <si>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</si>
  <si>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</si>
  <si>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</si>
  <si>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</si>
  <si>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Service</t>
  </si>
  <si>
    <t>Ferc Acct</t>
  </si>
  <si>
    <t>Jurisdiction</t>
  </si>
  <si>
    <t>AMA</t>
  </si>
  <si>
    <t>Ending Balance SUM</t>
  </si>
  <si>
    <t>ED</t>
  </si>
  <si>
    <t>228200</t>
  </si>
  <si>
    <t>AN</t>
  </si>
  <si>
    <t>228210</t>
  </si>
  <si>
    <t>Net Reserve</t>
  </si>
  <si>
    <t>Allocation % to WA</t>
  </si>
  <si>
    <t>WA Reserve</t>
  </si>
  <si>
    <t>GD</t>
  </si>
  <si>
    <t>Provided in response to PC_DR_480-Revised</t>
  </si>
  <si>
    <t>Page 15  of 15</t>
  </si>
  <si>
    <t>Page 14  of 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</si>
</sst>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0.0000%"/>
  </numFmts>
  <fonts count="3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Geneva"/>
    </font>
    <font>
      <b/>
      <sz val="12"/>
      <name val="Geneva"/>
    </font>
    <font>
      <sz val="12"/>
      <name val="Geneva"/>
    </font>
    <font>
      <b/>
      <u/>
      <sz val="12"/>
      <name val="Geneva"/>
    </font>
    <font>
      <sz val="11"/>
      <name val="Geneva"/>
    </font>
    <font>
      <sz val="8"/>
      <name val="Geneva"/>
    </font>
    <font>
      <b/>
      <sz val="11"/>
      <name val="Geneva"/>
    </font>
    <font>
      <b/>
      <sz val="10"/>
      <name val="Geneva"/>
    </font>
    <font>
      <sz val="10"/>
      <name val="Geneva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u/>
      <sz val="10"/>
      <name val="Geneva"/>
    </font>
    <font>
      <sz val="12"/>
      <name val="Geneva"/>
      <family val="2"/>
    </font>
    <font>
      <b/>
      <sz val="12"/>
      <name val="Genev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 val="doubleAccounting"/>
      <sz val="10"/>
      <name val="Arial"/>
      <family val="2"/>
    </font>
    <font>
      <u val="doubleAccounting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i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383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3" fillId="0" borderId="1" xfId="0" applyFont="1" applyBorder="1"/>
    <xf numFmtId="0" fontId="4" fillId="0" borderId="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44" fontId="4" fillId="0" borderId="1" xfId="2" applyFont="1" applyBorder="1"/>
    <xf numFmtId="5" fontId="4" fillId="0" borderId="1" xfId="2" applyNumberFormat="1" applyFont="1" applyBorder="1"/>
    <xf numFmtId="5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5" fontId="4" fillId="0" borderId="0" xfId="2" applyNumberFormat="1" applyFont="1"/>
    <xf numFmtId="0" fontId="4" fillId="0" borderId="0" xfId="0" quotePrefix="1" applyFont="1"/>
    <xf numFmtId="0" fontId="4" fillId="0" borderId="0" xfId="0" applyFont="1" applyAlignment="1">
      <alignment horizontal="center"/>
    </xf>
    <xf numFmtId="5" fontId="4" fillId="0" borderId="0" xfId="0" applyNumberFormat="1" applyFont="1" applyBorder="1" applyAlignment="1">
      <alignment horizontal="center"/>
    </xf>
    <xf numFmtId="5" fontId="3" fillId="0" borderId="0" xfId="0" applyNumberFormat="1" applyFont="1" applyAlignment="1">
      <alignment horizontal="center"/>
    </xf>
    <xf numFmtId="5" fontId="4" fillId="0" borderId="11" xfId="2" applyNumberFormat="1" applyFont="1" applyBorder="1"/>
    <xf numFmtId="42" fontId="3" fillId="2" borderId="1" xfId="2" applyNumberFormat="1" applyFont="1" applyFill="1" applyBorder="1"/>
    <xf numFmtId="5" fontId="3" fillId="2" borderId="1" xfId="2" applyNumberFormat="1" applyFont="1" applyFill="1" applyBorder="1"/>
    <xf numFmtId="164" fontId="3" fillId="2" borderId="1" xfId="2" applyNumberFormat="1" applyFont="1" applyFill="1" applyBorder="1"/>
    <xf numFmtId="42" fontId="3" fillId="2" borderId="12" xfId="2" applyNumberFormat="1" applyFont="1" applyFill="1" applyBorder="1"/>
    <xf numFmtId="164" fontId="4" fillId="0" borderId="0" xfId="0" applyNumberFormat="1" applyFont="1"/>
    <xf numFmtId="0" fontId="3" fillId="0" borderId="0" xfId="0" quotePrefix="1" applyFont="1"/>
    <xf numFmtId="0" fontId="4" fillId="0" borderId="0" xfId="0" applyFont="1" applyAlignment="1">
      <alignment wrapText="1"/>
    </xf>
    <xf numFmtId="5" fontId="3" fillId="0" borderId="11" xfId="2" applyNumberFormat="1" applyFont="1" applyBorder="1" applyAlignment="1">
      <alignment horizontal="center" wrapText="1"/>
    </xf>
    <xf numFmtId="5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5" fontId="4" fillId="0" borderId="0" xfId="0" applyNumberFormat="1" applyFont="1"/>
    <xf numFmtId="5" fontId="4" fillId="0" borderId="15" xfId="0" applyNumberFormat="1" applyFont="1" applyBorder="1"/>
    <xf numFmtId="5" fontId="4" fillId="0" borderId="0" xfId="0" applyNumberFormat="1" applyFont="1" applyBorder="1"/>
    <xf numFmtId="5" fontId="4" fillId="0" borderId="0" xfId="2" applyNumberFormat="1" applyFont="1" applyAlignment="1">
      <alignment horizontal="center"/>
    </xf>
    <xf numFmtId="5" fontId="3" fillId="0" borderId="0" xfId="2" applyNumberFormat="1" applyFont="1" applyAlignment="1">
      <alignment horizontal="right"/>
    </xf>
    <xf numFmtId="0" fontId="3" fillId="0" borderId="0" xfId="0" applyFont="1" applyAlignment="1">
      <alignment horizontal="center"/>
    </xf>
    <xf numFmtId="165" fontId="4" fillId="0" borderId="0" xfId="2" applyNumberFormat="1" applyFont="1"/>
    <xf numFmtId="166" fontId="3" fillId="0" borderId="0" xfId="1" applyNumberFormat="1" applyFont="1"/>
    <xf numFmtId="166" fontId="4" fillId="0" borderId="0" xfId="1" applyNumberFormat="1" applyFont="1"/>
    <xf numFmtId="5" fontId="4" fillId="2" borderId="0" xfId="2" applyNumberFormat="1" applyFont="1" applyFill="1" applyAlignment="1">
      <alignment horizontal="right"/>
    </xf>
    <xf numFmtId="5" fontId="4" fillId="2" borderId="0" xfId="2" applyNumberFormat="1" applyFont="1" applyFill="1"/>
    <xf numFmtId="166" fontId="4" fillId="2" borderId="0" xfId="1" applyNumberFormat="1" applyFont="1" applyFill="1"/>
    <xf numFmtId="5" fontId="4" fillId="0" borderId="0" xfId="2" applyNumberFormat="1" applyFont="1" applyAlignment="1">
      <alignment horizontal="right"/>
    </xf>
    <xf numFmtId="166" fontId="5" fillId="0" borderId="0" xfId="1" applyNumberFormat="1" applyFont="1"/>
    <xf numFmtId="166" fontId="3" fillId="0" borderId="0" xfId="1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5" fontId="3" fillId="0" borderId="0" xfId="0" applyNumberFormat="1" applyFont="1"/>
    <xf numFmtId="166" fontId="3" fillId="0" borderId="0" xfId="0" applyNumberFormat="1" applyFont="1" applyFill="1" applyBorder="1"/>
    <xf numFmtId="166" fontId="4" fillId="0" borderId="0" xfId="0" applyNumberFormat="1" applyFont="1"/>
    <xf numFmtId="9" fontId="4" fillId="0" borderId="0" xfId="0" applyNumberFormat="1" applyFont="1" applyBorder="1" applyAlignment="1">
      <alignment horizontal="center" wrapText="1"/>
    </xf>
    <xf numFmtId="166" fontId="6" fillId="0" borderId="0" xfId="1" applyNumberFormat="1" applyFont="1" applyFill="1" applyAlignment="1">
      <alignment horizontal="center"/>
    </xf>
    <xf numFmtId="0" fontId="4" fillId="0" borderId="0" xfId="0" applyFont="1" applyFill="1"/>
    <xf numFmtId="0" fontId="8" fillId="0" borderId="7" xfId="0" applyFont="1" applyFill="1" applyBorder="1"/>
    <xf numFmtId="0" fontId="8" fillId="0" borderId="8" xfId="0" applyFont="1" applyFill="1" applyBorder="1"/>
    <xf numFmtId="166" fontId="8" fillId="0" borderId="8" xfId="0" applyNumberFormat="1" applyFont="1" applyFill="1" applyBorder="1"/>
    <xf numFmtId="166" fontId="8" fillId="3" borderId="9" xfId="0" applyNumberFormat="1" applyFont="1" applyFill="1" applyBorder="1"/>
    <xf numFmtId="0" fontId="7" fillId="0" borderId="3" xfId="0" applyFont="1" applyFill="1" applyBorder="1"/>
    <xf numFmtId="0" fontId="7" fillId="0" borderId="0" xfId="0" applyFont="1" applyFill="1" applyBorder="1"/>
    <xf numFmtId="166" fontId="7" fillId="0" borderId="0" xfId="0" applyNumberFormat="1" applyFont="1" applyFill="1" applyBorder="1"/>
    <xf numFmtId="166" fontId="8" fillId="0" borderId="0" xfId="0" applyNumberFormat="1" applyFont="1" applyFill="1" applyBorder="1"/>
    <xf numFmtId="166" fontId="8" fillId="0" borderId="4" xfId="0" applyNumberFormat="1" applyFont="1" applyFill="1" applyBorder="1"/>
    <xf numFmtId="0" fontId="8" fillId="0" borderId="3" xfId="0" applyFont="1" applyFill="1" applyBorder="1"/>
    <xf numFmtId="0" fontId="8" fillId="0" borderId="0" xfId="0" applyFont="1" applyFill="1" applyBorder="1"/>
    <xf numFmtId="166" fontId="8" fillId="3" borderId="4" xfId="0" applyNumberFormat="1" applyFont="1" applyFill="1" applyBorder="1"/>
    <xf numFmtId="0" fontId="7" fillId="0" borderId="3" xfId="0" applyFont="1" applyBorder="1"/>
    <xf numFmtId="0" fontId="7" fillId="0" borderId="0" xfId="0" applyFont="1" applyBorder="1"/>
    <xf numFmtId="166" fontId="7" fillId="0" borderId="0" xfId="0" applyNumberFormat="1" applyFont="1" applyBorder="1"/>
    <xf numFmtId="0" fontId="7" fillId="0" borderId="5" xfId="0" applyFont="1" applyBorder="1"/>
    <xf numFmtId="0" fontId="7" fillId="0" borderId="6" xfId="0" applyFont="1" applyBorder="1"/>
    <xf numFmtId="166" fontId="7" fillId="0" borderId="13" xfId="0" applyNumberFormat="1" applyFont="1" applyBorder="1"/>
    <xf numFmtId="166" fontId="8" fillId="0" borderId="6" xfId="0" applyNumberFormat="1" applyFont="1" applyFill="1" applyBorder="1"/>
    <xf numFmtId="166" fontId="8" fillId="0" borderId="14" xfId="0" applyNumberFormat="1" applyFont="1" applyFill="1" applyBorder="1"/>
    <xf numFmtId="0" fontId="8" fillId="0" borderId="8" xfId="0" applyFont="1" applyBorder="1" applyAlignment="1">
      <alignment horizontal="center" vertical="center" wrapText="1"/>
    </xf>
    <xf numFmtId="166" fontId="8" fillId="0" borderId="8" xfId="1" applyNumberFormat="1" applyFont="1" applyBorder="1" applyAlignment="1">
      <alignment horizontal="center" vertical="center" wrapText="1"/>
    </xf>
    <xf numFmtId="166" fontId="8" fillId="0" borderId="8" xfId="1" applyNumberFormat="1" applyFont="1" applyBorder="1" applyAlignment="1">
      <alignment horizontal="center" wrapText="1"/>
    </xf>
    <xf numFmtId="166" fontId="8" fillId="0" borderId="4" xfId="1" applyNumberFormat="1" applyFont="1" applyBorder="1"/>
    <xf numFmtId="0" fontId="7" fillId="0" borderId="4" xfId="0" applyFont="1" applyBorder="1"/>
    <xf numFmtId="0" fontId="8" fillId="0" borderId="16" xfId="0" applyFont="1" applyBorder="1" applyAlignment="1">
      <alignment horizontal="center" wrapText="1"/>
    </xf>
    <xf numFmtId="5" fontId="8" fillId="0" borderId="17" xfId="2" applyNumberFormat="1" applyFont="1" applyBorder="1" applyAlignment="1">
      <alignment horizontal="center"/>
    </xf>
    <xf numFmtId="5" fontId="8" fillId="0" borderId="18" xfId="2" applyNumberFormat="1" applyFont="1" applyBorder="1" applyAlignment="1">
      <alignment horizontal="center"/>
    </xf>
    <xf numFmtId="166" fontId="8" fillId="4" borderId="8" xfId="0" applyNumberFormat="1" applyFont="1" applyFill="1" applyBorder="1"/>
    <xf numFmtId="166" fontId="8" fillId="4" borderId="0" xfId="0" applyNumberFormat="1" applyFont="1" applyFill="1" applyBorder="1"/>
    <xf numFmtId="0" fontId="8" fillId="0" borderId="0" xfId="0" applyFont="1"/>
    <xf numFmtId="0" fontId="10" fillId="0" borderId="7" xfId="3" applyFont="1" applyFill="1" applyBorder="1" applyAlignment="1">
      <alignment horizontal="center" wrapText="1"/>
    </xf>
    <xf numFmtId="0" fontId="11" fillId="0" borderId="8" xfId="3" applyFont="1" applyFill="1" applyBorder="1" applyAlignment="1">
      <alignment wrapText="1"/>
    </xf>
    <xf numFmtId="0" fontId="10" fillId="0" borderId="19" xfId="3" applyFont="1" applyFill="1" applyBorder="1" applyAlignment="1">
      <alignment horizontal="center" wrapText="1"/>
    </xf>
    <xf numFmtId="0" fontId="10" fillId="0" borderId="20" xfId="3" applyFont="1" applyFill="1" applyBorder="1" applyAlignment="1">
      <alignment horizontal="center" wrapText="1"/>
    </xf>
    <xf numFmtId="0" fontId="10" fillId="0" borderId="21" xfId="3" applyFont="1" applyFill="1" applyBorder="1" applyAlignment="1">
      <alignment wrapText="1"/>
    </xf>
    <xf numFmtId="0" fontId="10" fillId="0" borderId="0" xfId="3" applyFont="1" applyFill="1" applyBorder="1" applyAlignment="1">
      <alignment wrapText="1"/>
    </xf>
    <xf numFmtId="0" fontId="10" fillId="0" borderId="0" xfId="3" applyFont="1" applyFill="1" applyBorder="1" applyAlignment="1">
      <alignment horizontal="center" wrapText="1"/>
    </xf>
    <xf numFmtId="0" fontId="11" fillId="0" borderId="0" xfId="3" applyFont="1" applyFill="1" applyBorder="1" applyAlignment="1">
      <alignment wrapText="1"/>
    </xf>
    <xf numFmtId="10" fontId="10" fillId="0" borderId="11" xfId="3" applyNumberFormat="1" applyFont="1" applyFill="1" applyBorder="1" applyAlignment="1">
      <alignment horizontal="center" wrapText="1"/>
    </xf>
    <xf numFmtId="10" fontId="10" fillId="0" borderId="22" xfId="3" applyNumberFormat="1" applyFont="1" applyFill="1" applyBorder="1" applyAlignment="1">
      <alignment horizontal="center" wrapText="1"/>
    </xf>
    <xf numFmtId="0" fontId="10" fillId="0" borderId="3" xfId="3" applyFont="1" applyFill="1" applyBorder="1" applyAlignment="1">
      <alignment wrapText="1"/>
    </xf>
    <xf numFmtId="10" fontId="10" fillId="0" borderId="0" xfId="3" applyNumberFormat="1" applyFont="1" applyFill="1" applyBorder="1" applyAlignment="1">
      <alignment horizontal="center" wrapText="1"/>
    </xf>
    <xf numFmtId="10" fontId="10" fillId="0" borderId="4" xfId="3" applyNumberFormat="1" applyFont="1" applyFill="1" applyBorder="1" applyAlignment="1">
      <alignment horizontal="center" wrapText="1"/>
    </xf>
    <xf numFmtId="0" fontId="12" fillId="0" borderId="3" xfId="3" applyFont="1" applyFill="1" applyBorder="1" applyAlignment="1">
      <alignment wrapText="1"/>
    </xf>
    <xf numFmtId="0" fontId="11" fillId="0" borderId="4" xfId="3" applyFont="1" applyFill="1" applyBorder="1"/>
    <xf numFmtId="0" fontId="11" fillId="0" borderId="3" xfId="3" applyFont="1" applyFill="1" applyBorder="1"/>
    <xf numFmtId="0" fontId="11" fillId="0" borderId="0" xfId="3" applyFont="1" applyFill="1" applyBorder="1"/>
    <xf numFmtId="164" fontId="11" fillId="0" borderId="0" xfId="3" applyNumberFormat="1" applyFont="1" applyFill="1" applyBorder="1"/>
    <xf numFmtId="166" fontId="10" fillId="5" borderId="11" xfId="3" applyNumberFormat="1" applyFont="1" applyFill="1" applyBorder="1"/>
    <xf numFmtId="166" fontId="11" fillId="0" borderId="0" xfId="3" applyNumberFormat="1" applyFont="1" applyFill="1" applyBorder="1"/>
    <xf numFmtId="166" fontId="11" fillId="0" borderId="22" xfId="3" applyNumberFormat="1" applyFont="1" applyFill="1" applyBorder="1"/>
    <xf numFmtId="166" fontId="11" fillId="0" borderId="4" xfId="3" applyNumberFormat="1" applyFont="1" applyFill="1" applyBorder="1"/>
    <xf numFmtId="167" fontId="11" fillId="0" borderId="0" xfId="3" applyNumberFormat="1" applyFont="1" applyFill="1" applyBorder="1"/>
    <xf numFmtId="0" fontId="11" fillId="0" borderId="11" xfId="3" applyFont="1" applyFill="1" applyBorder="1"/>
    <xf numFmtId="164" fontId="11" fillId="0" borderId="4" xfId="3" applyNumberFormat="1" applyFont="1" applyFill="1" applyBorder="1"/>
    <xf numFmtId="9" fontId="11" fillId="0" borderId="0" xfId="3" applyNumberFormat="1" applyFont="1" applyFill="1" applyBorder="1"/>
    <xf numFmtId="164" fontId="11" fillId="0" borderId="11" xfId="3" applyNumberFormat="1" applyFont="1" applyFill="1" applyBorder="1"/>
    <xf numFmtId="164" fontId="11" fillId="0" borderId="22" xfId="3" applyNumberFormat="1" applyFont="1" applyFill="1" applyBorder="1"/>
    <xf numFmtId="164" fontId="11" fillId="0" borderId="23" xfId="3" applyNumberFormat="1" applyFont="1" applyFill="1" applyBorder="1"/>
    <xf numFmtId="164" fontId="11" fillId="0" borderId="24" xfId="3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4" xfId="0" applyFill="1" applyBorder="1"/>
    <xf numFmtId="0" fontId="0" fillId="0" borderId="0" xfId="0" applyFill="1"/>
    <xf numFmtId="0" fontId="10" fillId="0" borderId="7" xfId="3" applyFont="1" applyBorder="1" applyAlignment="1">
      <alignment horizontal="center" wrapText="1"/>
    </xf>
    <xf numFmtId="0" fontId="11" fillId="0" borderId="8" xfId="3" applyFont="1" applyBorder="1" applyAlignment="1">
      <alignment wrapText="1"/>
    </xf>
    <xf numFmtId="0" fontId="10" fillId="0" borderId="19" xfId="3" applyFont="1" applyBorder="1" applyAlignment="1">
      <alignment horizontal="center" wrapText="1"/>
    </xf>
    <xf numFmtId="0" fontId="10" fillId="0" borderId="20" xfId="3" applyFont="1" applyBorder="1" applyAlignment="1">
      <alignment horizontal="center" wrapText="1"/>
    </xf>
    <xf numFmtId="0" fontId="10" fillId="0" borderId="21" xfId="3" applyFont="1" applyBorder="1" applyAlignment="1">
      <alignment wrapText="1"/>
    </xf>
    <xf numFmtId="0" fontId="10" fillId="0" borderId="0" xfId="3" applyFont="1" applyBorder="1" applyAlignment="1">
      <alignment wrapText="1"/>
    </xf>
    <xf numFmtId="0" fontId="10" fillId="0" borderId="0" xfId="3" applyFont="1" applyBorder="1" applyAlignment="1">
      <alignment horizontal="center" wrapText="1"/>
    </xf>
    <xf numFmtId="0" fontId="11" fillId="0" borderId="0" xfId="3" applyFont="1" applyBorder="1" applyAlignment="1">
      <alignment wrapText="1"/>
    </xf>
    <xf numFmtId="10" fontId="10" fillId="0" borderId="11" xfId="3" applyNumberFormat="1" applyFont="1" applyBorder="1" applyAlignment="1">
      <alignment horizontal="center" wrapText="1"/>
    </xf>
    <xf numFmtId="10" fontId="10" fillId="0" borderId="22" xfId="3" applyNumberFormat="1" applyFont="1" applyBorder="1" applyAlignment="1">
      <alignment horizontal="center" wrapText="1"/>
    </xf>
    <xf numFmtId="0" fontId="10" fillId="0" borderId="3" xfId="3" applyFont="1" applyBorder="1" applyAlignment="1">
      <alignment wrapText="1"/>
    </xf>
    <xf numFmtId="10" fontId="10" fillId="0" borderId="0" xfId="3" applyNumberFormat="1" applyFont="1" applyBorder="1" applyAlignment="1">
      <alignment horizontal="center" wrapText="1"/>
    </xf>
    <xf numFmtId="10" fontId="10" fillId="0" borderId="4" xfId="3" applyNumberFormat="1" applyFont="1" applyBorder="1" applyAlignment="1">
      <alignment horizontal="center" wrapText="1"/>
    </xf>
    <xf numFmtId="0" fontId="12" fillId="0" borderId="3" xfId="3" applyFont="1" applyBorder="1" applyAlignment="1">
      <alignment wrapText="1"/>
    </xf>
    <xf numFmtId="0" fontId="11" fillId="0" borderId="4" xfId="3" applyFont="1" applyBorder="1"/>
    <xf numFmtId="0" fontId="11" fillId="0" borderId="3" xfId="3" applyFont="1" applyBorder="1"/>
    <xf numFmtId="0" fontId="11" fillId="0" borderId="0" xfId="3" applyFont="1" applyBorder="1"/>
    <xf numFmtId="164" fontId="11" fillId="0" borderId="0" xfId="3" applyNumberFormat="1" applyFont="1" applyBorder="1"/>
    <xf numFmtId="166" fontId="10" fillId="0" borderId="11" xfId="3" applyNumberFormat="1" applyFont="1" applyBorder="1"/>
    <xf numFmtId="166" fontId="11" fillId="0" borderId="0" xfId="3" applyNumberFormat="1" applyFont="1" applyBorder="1"/>
    <xf numFmtId="166" fontId="11" fillId="0" borderId="22" xfId="3" applyNumberFormat="1" applyFont="1" applyBorder="1"/>
    <xf numFmtId="166" fontId="11" fillId="0" borderId="4" xfId="3" applyNumberFormat="1" applyFont="1" applyBorder="1"/>
    <xf numFmtId="167" fontId="11" fillId="0" borderId="0" xfId="3" applyNumberFormat="1" applyFont="1" applyBorder="1"/>
    <xf numFmtId="0" fontId="11" fillId="0" borderId="11" xfId="3" applyFont="1" applyBorder="1"/>
    <xf numFmtId="164" fontId="11" fillId="0" borderId="4" xfId="3" applyNumberFormat="1" applyFont="1" applyBorder="1"/>
    <xf numFmtId="9" fontId="11" fillId="0" borderId="0" xfId="3" applyNumberFormat="1" applyFont="1" applyBorder="1"/>
    <xf numFmtId="164" fontId="11" fillId="0" borderId="11" xfId="3" applyNumberFormat="1" applyFont="1" applyBorder="1"/>
    <xf numFmtId="164" fontId="11" fillId="0" borderId="22" xfId="3" applyNumberFormat="1" applyFont="1" applyBorder="1"/>
    <xf numFmtId="164" fontId="11" fillId="0" borderId="23" xfId="3" applyNumberFormat="1" applyFont="1" applyBorder="1"/>
    <xf numFmtId="164" fontId="11" fillId="0" borderId="24" xfId="3" applyNumberFormat="1" applyFont="1" applyBorder="1"/>
    <xf numFmtId="0" fontId="0" fillId="0" borderId="14" xfId="0" applyBorder="1"/>
    <xf numFmtId="0" fontId="9" fillId="0" borderId="0" xfId="4" applyFont="1" applyAlignment="1">
      <alignment wrapText="1"/>
    </xf>
    <xf numFmtId="0" fontId="9" fillId="0" borderId="0" xfId="4" applyFont="1" applyAlignment="1">
      <alignment textRotation="90" wrapText="1"/>
    </xf>
    <xf numFmtId="0" fontId="13" fillId="0" borderId="0" xfId="4" applyFont="1" applyFill="1" applyAlignment="1">
      <alignment textRotation="90" wrapText="1"/>
    </xf>
    <xf numFmtId="0" fontId="13" fillId="0" borderId="0" xfId="4" applyFont="1" applyFill="1" applyAlignment="1">
      <alignment wrapText="1"/>
    </xf>
    <xf numFmtId="0" fontId="14" fillId="0" borderId="0" xfId="4" applyFont="1" applyAlignment="1">
      <alignment wrapText="1"/>
    </xf>
    <xf numFmtId="0" fontId="11" fillId="0" borderId="0" xfId="4" applyFont="1" applyBorder="1" applyAlignment="1">
      <alignment wrapText="1"/>
    </xf>
    <xf numFmtId="0" fontId="10" fillId="6" borderId="0" xfId="4" applyFont="1" applyFill="1" applyBorder="1" applyAlignment="1">
      <alignment horizontal="center" wrapText="1"/>
    </xf>
    <xf numFmtId="0" fontId="9" fillId="0" borderId="0" xfId="4" applyFont="1" applyBorder="1" applyAlignment="1">
      <alignment wrapText="1"/>
    </xf>
    <xf numFmtId="0" fontId="10" fillId="0" borderId="11" xfId="4" applyFont="1" applyBorder="1" applyAlignment="1">
      <alignment horizontal="center" wrapText="1"/>
    </xf>
    <xf numFmtId="0" fontId="11" fillId="0" borderId="0" xfId="4" applyFont="1" applyAlignment="1">
      <alignment wrapText="1"/>
    </xf>
    <xf numFmtId="0" fontId="11" fillId="0" borderId="13" xfId="4" applyFont="1" applyBorder="1"/>
    <xf numFmtId="0" fontId="9" fillId="0" borderId="0" xfId="4" applyFont="1"/>
    <xf numFmtId="0" fontId="15" fillId="6" borderId="11" xfId="4" applyFont="1" applyFill="1" applyBorder="1" applyAlignment="1">
      <alignment wrapText="1"/>
    </xf>
    <xf numFmtId="0" fontId="10" fillId="0" borderId="11" xfId="4" applyFont="1" applyBorder="1" applyAlignment="1">
      <alignment wrapText="1"/>
    </xf>
    <xf numFmtId="0" fontId="16" fillId="0" borderId="0" xfId="4" applyFont="1" applyBorder="1" applyAlignment="1">
      <alignment wrapText="1"/>
    </xf>
    <xf numFmtId="0" fontId="10" fillId="0" borderId="0" xfId="4" applyFont="1" applyBorder="1" applyAlignment="1">
      <alignment horizontal="center" wrapText="1"/>
    </xf>
    <xf numFmtId="10" fontId="10" fillId="0" borderId="11" xfId="4" applyNumberFormat="1" applyFont="1" applyBorder="1" applyAlignment="1">
      <alignment horizontal="center" wrapText="1"/>
    </xf>
    <xf numFmtId="0" fontId="14" fillId="0" borderId="1" xfId="4" applyFont="1" applyBorder="1" applyAlignment="1">
      <alignment horizontal="right" wrapText="1"/>
    </xf>
    <xf numFmtId="0" fontId="17" fillId="7" borderId="1" xfId="4" applyFont="1" applyFill="1" applyBorder="1" applyAlignment="1">
      <alignment horizontal="right" vertical="center" wrapText="1"/>
    </xf>
    <xf numFmtId="0" fontId="13" fillId="0" borderId="0" xfId="4" applyFont="1" applyFill="1"/>
    <xf numFmtId="0" fontId="18" fillId="0" borderId="0" xfId="4" applyFont="1" applyFill="1" applyAlignment="1">
      <alignment horizontal="left" wrapText="1"/>
    </xf>
    <xf numFmtId="164" fontId="13" fillId="0" borderId="0" xfId="4" applyNumberFormat="1" applyFont="1" applyFill="1"/>
    <xf numFmtId="0" fontId="10" fillId="0" borderId="0" xfId="4" applyFont="1" applyBorder="1" applyAlignment="1">
      <alignment wrapText="1"/>
    </xf>
    <xf numFmtId="165" fontId="10" fillId="0" borderId="11" xfId="4" applyNumberFormat="1" applyFont="1" applyBorder="1" applyAlignment="1">
      <alignment horizontal="center" wrapText="1"/>
    </xf>
    <xf numFmtId="0" fontId="11" fillId="0" borderId="0" xfId="4" applyFont="1"/>
    <xf numFmtId="0" fontId="14" fillId="0" borderId="0" xfId="4" applyFont="1"/>
    <xf numFmtId="0" fontId="13" fillId="0" borderId="11" xfId="4" applyFont="1" applyFill="1" applyBorder="1"/>
    <xf numFmtId="164" fontId="13" fillId="0" borderId="11" xfId="4" applyNumberFormat="1" applyFont="1" applyFill="1" applyBorder="1"/>
    <xf numFmtId="0" fontId="12" fillId="0" borderId="0" xfId="4" applyFont="1" applyBorder="1" applyAlignment="1">
      <alignment wrapText="1"/>
    </xf>
    <xf numFmtId="0" fontId="11" fillId="0" borderId="0" xfId="4" applyFont="1" applyBorder="1"/>
    <xf numFmtId="164" fontId="15" fillId="6" borderId="15" xfId="4" applyNumberFormat="1" applyFont="1" applyFill="1" applyBorder="1"/>
    <xf numFmtId="0" fontId="11" fillId="0" borderId="0" xfId="4" applyFont="1" applyBorder="1" applyAlignment="1">
      <alignment horizontal="right"/>
    </xf>
    <xf numFmtId="0" fontId="9" fillId="0" borderId="0" xfId="4" applyFont="1" applyBorder="1"/>
    <xf numFmtId="164" fontId="11" fillId="0" borderId="0" xfId="4" applyNumberFormat="1" applyFont="1" applyBorder="1"/>
    <xf numFmtId="166" fontId="11" fillId="0" borderId="0" xfId="4" applyNumberFormat="1" applyFont="1" applyFill="1" applyBorder="1"/>
    <xf numFmtId="166" fontId="11" fillId="0" borderId="0" xfId="4" applyNumberFormat="1" applyFont="1" applyBorder="1"/>
    <xf numFmtId="164" fontId="15" fillId="0" borderId="0" xfId="4" applyNumberFormat="1" applyFont="1" applyFill="1" applyBorder="1"/>
    <xf numFmtId="164" fontId="11" fillId="0" borderId="11" xfId="4" applyNumberFormat="1" applyFont="1" applyBorder="1"/>
    <xf numFmtId="166" fontId="11" fillId="0" borderId="11" xfId="4" applyNumberFormat="1" applyFont="1" applyFill="1" applyBorder="1"/>
    <xf numFmtId="166" fontId="11" fillId="0" borderId="11" xfId="4" applyNumberFormat="1" applyFont="1" applyBorder="1"/>
    <xf numFmtId="0" fontId="9" fillId="7" borderId="1" xfId="4" applyFont="1" applyFill="1" applyBorder="1" applyAlignment="1">
      <alignment horizontal="right" vertical="center" wrapText="1"/>
    </xf>
    <xf numFmtId="0" fontId="13" fillId="2" borderId="0" xfId="4" applyFont="1" applyFill="1"/>
    <xf numFmtId="0" fontId="18" fillId="2" borderId="0" xfId="4" applyFont="1" applyFill="1" applyAlignment="1">
      <alignment horizontal="left" wrapText="1"/>
    </xf>
    <xf numFmtId="164" fontId="13" fillId="2" borderId="0" xfId="4" applyNumberFormat="1" applyFont="1" applyFill="1"/>
    <xf numFmtId="0" fontId="14" fillId="0" borderId="0" xfId="4" applyFont="1" applyFill="1"/>
    <xf numFmtId="164" fontId="11" fillId="0" borderId="25" xfId="4" applyNumberFormat="1" applyFont="1" applyFill="1" applyBorder="1"/>
    <xf numFmtId="164" fontId="11" fillId="0" borderId="25" xfId="4" applyNumberFormat="1" applyFont="1" applyBorder="1"/>
    <xf numFmtId="164" fontId="11" fillId="4" borderId="25" xfId="4" applyNumberFormat="1" applyFont="1" applyFill="1" applyBorder="1"/>
    <xf numFmtId="0" fontId="12" fillId="0" borderId="0" xfId="4" applyFont="1" applyFill="1" applyBorder="1"/>
    <xf numFmtId="0" fontId="11" fillId="0" borderId="11" xfId="4" applyFont="1" applyFill="1" applyBorder="1" applyAlignment="1">
      <alignment horizontal="left"/>
    </xf>
    <xf numFmtId="0" fontId="11" fillId="0" borderId="11" xfId="4" applyFont="1" applyBorder="1"/>
    <xf numFmtId="0" fontId="16" fillId="0" borderId="11" xfId="4" applyFont="1" applyFill="1" applyBorder="1"/>
    <xf numFmtId="164" fontId="11" fillId="0" borderId="11" xfId="4" applyNumberFormat="1" applyFont="1" applyFill="1" applyBorder="1"/>
    <xf numFmtId="166" fontId="11" fillId="4" borderId="11" xfId="4" applyNumberFormat="1" applyFont="1" applyFill="1" applyBorder="1"/>
    <xf numFmtId="0" fontId="9" fillId="7" borderId="26" xfId="4" applyFont="1" applyFill="1" applyBorder="1" applyAlignment="1">
      <alignment horizontal="right" vertical="center" wrapText="1"/>
    </xf>
    <xf numFmtId="0" fontId="11" fillId="0" borderId="0" xfId="4" applyFont="1" applyFill="1" applyBorder="1"/>
    <xf numFmtId="0" fontId="16" fillId="0" borderId="0" xfId="4" applyFont="1" applyFill="1" applyBorder="1"/>
    <xf numFmtId="166" fontId="11" fillId="4" borderId="0" xfId="4" applyNumberFormat="1" applyFont="1" applyFill="1" applyBorder="1"/>
    <xf numFmtId="0" fontId="9" fillId="0" borderId="0" xfId="4" applyFont="1" applyFill="1" applyAlignment="1">
      <alignment wrapText="1"/>
    </xf>
    <xf numFmtId="0" fontId="9" fillId="0" borderId="0" xfId="4" applyFont="1" applyFill="1"/>
    <xf numFmtId="0" fontId="19" fillId="6" borderId="0" xfId="4" applyFont="1" applyFill="1" applyAlignment="1">
      <alignment horizontal="left" wrapText="1"/>
    </xf>
    <xf numFmtId="0" fontId="11" fillId="0" borderId="6" xfId="4" applyFont="1" applyBorder="1"/>
    <xf numFmtId="0" fontId="9" fillId="0" borderId="6" xfId="4" applyFont="1" applyBorder="1"/>
    <xf numFmtId="0" fontId="11" fillId="0" borderId="6" xfId="4" applyFont="1" applyFill="1" applyBorder="1"/>
    <xf numFmtId="0" fontId="11" fillId="0" borderId="0" xfId="4" applyFont="1" applyFill="1"/>
    <xf numFmtId="0" fontId="18" fillId="0" borderId="0" xfId="4" applyFont="1" applyFill="1" applyAlignment="1">
      <alignment horizontal="left"/>
    </xf>
    <xf numFmtId="0" fontId="18" fillId="0" borderId="11" xfId="4" applyFont="1" applyFill="1" applyBorder="1" applyAlignment="1">
      <alignment horizontal="left"/>
    </xf>
    <xf numFmtId="0" fontId="11" fillId="0" borderId="0" xfId="4" applyFont="1" applyBorder="1" applyAlignment="1">
      <alignment horizontal="left"/>
    </xf>
    <xf numFmtId="166" fontId="11" fillId="0" borderId="25" xfId="4" applyNumberFormat="1" applyFont="1" applyFill="1" applyBorder="1"/>
    <xf numFmtId="166" fontId="11" fillId="0" borderId="25" xfId="4" applyNumberFormat="1" applyFont="1" applyBorder="1"/>
    <xf numFmtId="0" fontId="10" fillId="0" borderId="7" xfId="4" applyFont="1" applyFill="1" applyBorder="1"/>
    <xf numFmtId="0" fontId="11" fillId="0" borderId="8" xfId="4" applyFont="1" applyBorder="1"/>
    <xf numFmtId="0" fontId="9" fillId="0" borderId="8" xfId="4" applyFont="1" applyBorder="1"/>
    <xf numFmtId="0" fontId="11" fillId="0" borderId="9" xfId="4" applyFont="1" applyBorder="1"/>
    <xf numFmtId="0" fontId="11" fillId="0" borderId="5" xfId="4" applyFont="1" applyBorder="1"/>
    <xf numFmtId="164" fontId="11" fillId="0" borderId="6" xfId="4" applyNumberFormat="1" applyFont="1" applyBorder="1"/>
    <xf numFmtId="164" fontId="11" fillId="0" borderId="14" xfId="4" applyNumberFormat="1" applyFont="1" applyBorder="1"/>
    <xf numFmtId="0" fontId="11" fillId="0" borderId="7" xfId="4" applyFont="1" applyFill="1" applyBorder="1"/>
    <xf numFmtId="0" fontId="11" fillId="0" borderId="8" xfId="4" applyFont="1" applyFill="1" applyBorder="1"/>
    <xf numFmtId="0" fontId="9" fillId="0" borderId="8" xfId="4" applyFont="1" applyFill="1" applyBorder="1"/>
    <xf numFmtId="0" fontId="11" fillId="0" borderId="9" xfId="4" applyFont="1" applyFill="1" applyBorder="1"/>
    <xf numFmtId="0" fontId="10" fillId="0" borderId="3" xfId="4" applyFont="1" applyFill="1" applyBorder="1"/>
    <xf numFmtId="0" fontId="9" fillId="0" borderId="0" xfId="4" applyFont="1" applyFill="1" applyBorder="1"/>
    <xf numFmtId="0" fontId="11" fillId="0" borderId="4" xfId="4" applyFont="1" applyFill="1" applyBorder="1"/>
    <xf numFmtId="0" fontId="11" fillId="0" borderId="3" xfId="4" applyFont="1" applyFill="1" applyBorder="1"/>
    <xf numFmtId="164" fontId="11" fillId="0" borderId="0" xfId="4" applyNumberFormat="1" applyFont="1" applyFill="1" applyBorder="1"/>
    <xf numFmtId="164" fontId="11" fillId="0" borderId="4" xfId="4" applyNumberFormat="1" applyFont="1" applyFill="1" applyBorder="1"/>
    <xf numFmtId="166" fontId="11" fillId="0" borderId="4" xfId="4" applyNumberFormat="1" applyFont="1" applyFill="1" applyBorder="1"/>
    <xf numFmtId="164" fontId="13" fillId="0" borderId="25" xfId="4" applyNumberFormat="1" applyFont="1" applyFill="1" applyBorder="1"/>
    <xf numFmtId="167" fontId="9" fillId="0" borderId="0" xfId="4" applyNumberFormat="1" applyFont="1" applyFill="1" applyBorder="1"/>
    <xf numFmtId="0" fontId="11" fillId="0" borderId="11" xfId="4" applyFont="1" applyFill="1" applyBorder="1"/>
    <xf numFmtId="166" fontId="11" fillId="0" borderId="22" xfId="4" applyNumberFormat="1" applyFont="1" applyFill="1" applyBorder="1"/>
    <xf numFmtId="0" fontId="17" fillId="0" borderId="0" xfId="4" applyFont="1"/>
    <xf numFmtId="164" fontId="9" fillId="0" borderId="0" xfId="4" applyNumberFormat="1" applyFont="1"/>
    <xf numFmtId="0" fontId="9" fillId="0" borderId="7" xfId="4" applyFont="1" applyBorder="1" applyAlignment="1">
      <alignment wrapText="1"/>
    </xf>
    <xf numFmtId="0" fontId="20" fillId="0" borderId="8" xfId="4" applyFont="1" applyBorder="1" applyAlignment="1">
      <alignment horizontal="center"/>
    </xf>
    <xf numFmtId="0" fontId="20" fillId="0" borderId="9" xfId="4" applyFont="1" applyBorder="1" applyAlignment="1">
      <alignment horizontal="center" vertical="center"/>
    </xf>
    <xf numFmtId="0" fontId="21" fillId="0" borderId="3" xfId="4" applyFont="1" applyBorder="1" applyAlignment="1">
      <alignment wrapText="1"/>
    </xf>
    <xf numFmtId="164" fontId="9" fillId="0" borderId="0" xfId="4" applyNumberFormat="1" applyFont="1" applyBorder="1"/>
    <xf numFmtId="10" fontId="9" fillId="0" borderId="0" xfId="4" applyNumberFormat="1" applyFont="1" applyBorder="1" applyAlignment="1">
      <alignment horizontal="center"/>
    </xf>
    <xf numFmtId="164" fontId="9" fillId="4" borderId="4" xfId="4" applyNumberFormat="1" applyFont="1" applyFill="1" applyBorder="1" applyAlignment="1">
      <alignment horizontal="center"/>
    </xf>
    <xf numFmtId="9" fontId="9" fillId="0" borderId="0" xfId="4" applyNumberFormat="1" applyFont="1" applyFill="1" applyBorder="1"/>
    <xf numFmtId="164" fontId="11" fillId="0" borderId="22" xfId="4" applyNumberFormat="1" applyFont="1" applyFill="1" applyBorder="1"/>
    <xf numFmtId="165" fontId="9" fillId="0" borderId="0" xfId="4" applyNumberFormat="1" applyFont="1" applyBorder="1" applyAlignment="1">
      <alignment horizontal="center"/>
    </xf>
    <xf numFmtId="165" fontId="9" fillId="0" borderId="0" xfId="4" quotePrefix="1" applyNumberFormat="1" applyBorder="1" applyAlignment="1">
      <alignment horizontal="center"/>
    </xf>
    <xf numFmtId="164" fontId="9" fillId="8" borderId="4" xfId="4" applyNumberFormat="1" applyFont="1" applyFill="1" applyBorder="1" applyAlignment="1">
      <alignment horizontal="center"/>
    </xf>
    <xf numFmtId="0" fontId="11" fillId="0" borderId="5" xfId="4" applyFont="1" applyFill="1" applyBorder="1"/>
    <xf numFmtId="0" fontId="9" fillId="0" borderId="6" xfId="4" applyFont="1" applyFill="1" applyBorder="1"/>
    <xf numFmtId="164" fontId="11" fillId="0" borderId="23" xfId="4" applyNumberFormat="1" applyFont="1" applyFill="1" applyBorder="1"/>
    <xf numFmtId="0" fontId="11" fillId="0" borderId="23" xfId="4" applyFont="1" applyFill="1" applyBorder="1"/>
    <xf numFmtId="164" fontId="11" fillId="0" borderId="24" xfId="4" applyNumberFormat="1" applyFont="1" applyFill="1" applyBorder="1"/>
    <xf numFmtId="0" fontId="9" fillId="0" borderId="0" xfId="4" applyFont="1" applyBorder="1" applyAlignment="1">
      <alignment horizontal="center"/>
    </xf>
    <xf numFmtId="164" fontId="9" fillId="0" borderId="4" xfId="4" applyNumberFormat="1" applyFont="1" applyFill="1" applyBorder="1" applyAlignment="1">
      <alignment horizontal="center"/>
    </xf>
    <xf numFmtId="0" fontId="11" fillId="0" borderId="14" xfId="4" applyFont="1" applyFill="1" applyBorder="1"/>
    <xf numFmtId="0" fontId="22" fillId="0" borderId="3" xfId="4" applyFont="1" applyBorder="1" applyAlignment="1">
      <alignment wrapText="1"/>
    </xf>
    <xf numFmtId="164" fontId="9" fillId="0" borderId="4" xfId="4" applyNumberFormat="1" applyFont="1" applyFill="1" applyBorder="1" applyAlignment="1"/>
    <xf numFmtId="164" fontId="9" fillId="0" borderId="11" xfId="4" applyNumberFormat="1" applyFont="1" applyBorder="1"/>
    <xf numFmtId="165" fontId="9" fillId="0" borderId="11" xfId="4" applyNumberFormat="1" applyFont="1" applyBorder="1" applyAlignment="1">
      <alignment horizontal="center"/>
    </xf>
    <xf numFmtId="0" fontId="9" fillId="0" borderId="3" xfId="4" applyFont="1" applyBorder="1" applyAlignment="1">
      <alignment wrapText="1"/>
    </xf>
    <xf numFmtId="0" fontId="9" fillId="0" borderId="0" xfId="4" applyFill="1" applyBorder="1" applyAlignment="1">
      <alignment horizontal="right"/>
    </xf>
    <xf numFmtId="164" fontId="9" fillId="0" borderId="27" xfId="4" applyNumberFormat="1" applyFont="1" applyBorder="1"/>
    <xf numFmtId="0" fontId="17" fillId="0" borderId="3" xfId="4" applyFont="1" applyBorder="1" applyAlignment="1">
      <alignment horizontal="right" wrapText="1"/>
    </xf>
    <xf numFmtId="0" fontId="9" fillId="0" borderId="0" xfId="4" applyBorder="1" applyAlignment="1">
      <alignment horizontal="right"/>
    </xf>
    <xf numFmtId="164" fontId="9" fillId="0" borderId="22" xfId="4" applyNumberFormat="1" applyFont="1" applyBorder="1"/>
    <xf numFmtId="164" fontId="9" fillId="8" borderId="4" xfId="4" applyNumberFormat="1" applyFont="1" applyFill="1" applyBorder="1"/>
    <xf numFmtId="10" fontId="9" fillId="0" borderId="4" xfId="5" applyNumberFormat="1" applyFont="1" applyBorder="1"/>
    <xf numFmtId="0" fontId="11" fillId="0" borderId="5" xfId="4" applyFont="1" applyBorder="1" applyAlignment="1">
      <alignment wrapText="1"/>
    </xf>
    <xf numFmtId="164" fontId="9" fillId="0" borderId="6" xfId="4" applyNumberFormat="1" applyFont="1" applyBorder="1"/>
    <xf numFmtId="165" fontId="9" fillId="0" borderId="6" xfId="4" applyNumberFormat="1" applyFont="1" applyBorder="1" applyAlignment="1">
      <alignment horizontal="center"/>
    </xf>
    <xf numFmtId="44" fontId="9" fillId="4" borderId="27" xfId="4" applyNumberFormat="1" applyFont="1" applyFill="1" applyBorder="1"/>
    <xf numFmtId="0" fontId="9" fillId="0" borderId="5" xfId="4" applyBorder="1" applyAlignment="1">
      <alignment horizontal="right" wrapText="1"/>
    </xf>
    <xf numFmtId="0" fontId="9" fillId="0" borderId="6" xfId="4" applyFill="1" applyBorder="1" applyAlignment="1">
      <alignment horizontal="right"/>
    </xf>
    <xf numFmtId="44" fontId="9" fillId="0" borderId="14" xfId="4" applyNumberFormat="1" applyFont="1" applyBorder="1"/>
    <xf numFmtId="0" fontId="9" fillId="0" borderId="0" xfId="4" applyAlignment="1">
      <alignment horizontal="right"/>
    </xf>
    <xf numFmtId="0" fontId="1" fillId="0" borderId="0" xfId="6"/>
    <xf numFmtId="0" fontId="2" fillId="4" borderId="14" xfId="6" applyFont="1" applyFill="1" applyBorder="1" applyAlignment="1">
      <alignment horizontal="center"/>
    </xf>
    <xf numFmtId="0" fontId="2" fillId="4" borderId="6" xfId="6" applyFont="1" applyFill="1" applyBorder="1" applyAlignment="1">
      <alignment horizontal="center"/>
    </xf>
    <xf numFmtId="0" fontId="2" fillId="4" borderId="5" xfId="6" applyFont="1" applyFill="1" applyBorder="1" applyAlignment="1">
      <alignment horizontal="center"/>
    </xf>
    <xf numFmtId="0" fontId="2" fillId="4" borderId="4" xfId="6" applyFont="1" applyFill="1" applyBorder="1" applyAlignment="1">
      <alignment horizontal="right"/>
    </xf>
    <xf numFmtId="0" fontId="2" fillId="0" borderId="0" xfId="6" applyFont="1" applyBorder="1" applyAlignment="1">
      <alignment horizontal="right"/>
    </xf>
    <xf numFmtId="0" fontId="1" fillId="0" borderId="3" xfId="6" applyBorder="1"/>
    <xf numFmtId="164" fontId="25" fillId="4" borderId="9" xfId="2" applyNumberFormat="1" applyFont="1" applyFill="1" applyBorder="1" applyAlignment="1">
      <alignment horizontal="right"/>
    </xf>
    <xf numFmtId="164" fontId="25" fillId="0" borderId="8" xfId="2" applyNumberFormat="1" applyFont="1" applyBorder="1" applyAlignment="1">
      <alignment horizontal="right"/>
    </xf>
    <xf numFmtId="0" fontId="2" fillId="0" borderId="7" xfId="6" applyFont="1" applyBorder="1" applyAlignment="1">
      <alignment horizontal="right"/>
    </xf>
    <xf numFmtId="164" fontId="0" fillId="0" borderId="28" xfId="2" applyNumberFormat="1" applyFont="1" applyBorder="1"/>
    <xf numFmtId="0" fontId="1" fillId="0" borderId="25" xfId="6" applyBorder="1" applyAlignment="1">
      <alignment horizontal="right"/>
    </xf>
    <xf numFmtId="0" fontId="1" fillId="0" borderId="29" xfId="6" applyFont="1" applyBorder="1"/>
    <xf numFmtId="0" fontId="1" fillId="4" borderId="14" xfId="6" applyFont="1" applyFill="1" applyBorder="1" applyAlignment="1">
      <alignment horizontal="right"/>
    </xf>
    <xf numFmtId="0" fontId="2" fillId="4" borderId="6" xfId="6" applyFont="1" applyFill="1" applyBorder="1" applyAlignment="1">
      <alignment horizontal="center"/>
    </xf>
    <xf numFmtId="0" fontId="2" fillId="4" borderId="5" xfId="6" applyFont="1" applyFill="1" applyBorder="1"/>
    <xf numFmtId="0" fontId="1" fillId="0" borderId="4" xfId="6" applyFont="1" applyBorder="1" applyAlignment="1">
      <alignment horizontal="right"/>
    </xf>
    <xf numFmtId="0" fontId="2" fillId="4" borderId="0" xfId="6" applyFont="1" applyFill="1" applyBorder="1" applyAlignment="1">
      <alignment horizontal="right"/>
    </xf>
    <xf numFmtId="0" fontId="2" fillId="4" borderId="3" xfId="6" applyFont="1" applyFill="1" applyBorder="1"/>
    <xf numFmtId="164" fontId="26" fillId="0" borderId="9" xfId="2" applyNumberFormat="1" applyFont="1" applyBorder="1" applyAlignment="1">
      <alignment horizontal="right"/>
    </xf>
    <xf numFmtId="164" fontId="25" fillId="4" borderId="8" xfId="2" applyNumberFormat="1" applyFont="1" applyFill="1" applyBorder="1" applyAlignment="1">
      <alignment horizontal="right"/>
    </xf>
    <xf numFmtId="0" fontId="2" fillId="4" borderId="7" xfId="6" applyFont="1" applyFill="1" applyBorder="1" applyAlignment="1">
      <alignment horizontal="right"/>
    </xf>
    <xf numFmtId="0" fontId="2" fillId="0" borderId="30" xfId="6" applyFont="1" applyFill="1" applyBorder="1" applyAlignment="1">
      <alignment horizontal="center"/>
    </xf>
    <xf numFmtId="0" fontId="2" fillId="0" borderId="11" xfId="6" applyFont="1" applyFill="1" applyBorder="1" applyAlignment="1">
      <alignment horizontal="center"/>
    </xf>
    <xf numFmtId="0" fontId="1" fillId="0" borderId="10" xfId="6" applyBorder="1"/>
    <xf numFmtId="0" fontId="1" fillId="0" borderId="31" xfId="6" applyFont="1" applyFill="1" applyBorder="1" applyAlignment="1">
      <alignment horizontal="right"/>
    </xf>
    <xf numFmtId="0" fontId="2" fillId="0" borderId="0" xfId="6" applyFont="1" applyFill="1" applyBorder="1" applyAlignment="1">
      <alignment horizontal="right"/>
    </xf>
    <xf numFmtId="0" fontId="1" fillId="0" borderId="32" xfId="6" applyBorder="1"/>
    <xf numFmtId="164" fontId="26" fillId="0" borderId="33" xfId="2" applyNumberFormat="1" applyFont="1" applyFill="1" applyBorder="1" applyAlignment="1">
      <alignment horizontal="right"/>
    </xf>
    <xf numFmtId="164" fontId="25" fillId="0" borderId="34" xfId="2" applyNumberFormat="1" applyFont="1" applyFill="1" applyBorder="1" applyAlignment="1">
      <alignment horizontal="right"/>
    </xf>
    <xf numFmtId="0" fontId="2" fillId="0" borderId="35" xfId="6" applyFont="1" applyBorder="1" applyAlignment="1">
      <alignment horizontal="right"/>
    </xf>
    <xf numFmtId="0" fontId="1" fillId="0" borderId="0" xfId="6" applyFont="1"/>
    <xf numFmtId="166" fontId="2" fillId="0" borderId="23" xfId="6" applyNumberFormat="1" applyFont="1" applyBorder="1"/>
    <xf numFmtId="166" fontId="1" fillId="0" borderId="0" xfId="6" applyNumberFormat="1"/>
    <xf numFmtId="0" fontId="2" fillId="0" borderId="0" xfId="6" applyFont="1"/>
    <xf numFmtId="166" fontId="1" fillId="0" borderId="11" xfId="6" applyNumberFormat="1" applyBorder="1"/>
    <xf numFmtId="0" fontId="2" fillId="0" borderId="0" xfId="6" applyFont="1" applyAlignment="1">
      <alignment horizontal="left"/>
    </xf>
    <xf numFmtId="43" fontId="1" fillId="0" borderId="0" xfId="6" applyNumberFormat="1"/>
    <xf numFmtId="43" fontId="1" fillId="0" borderId="0" xfId="6" applyNumberFormat="1" applyFill="1" applyBorder="1"/>
    <xf numFmtId="165" fontId="2" fillId="0" borderId="0" xfId="6" applyNumberFormat="1" applyFont="1" applyBorder="1" applyAlignment="1">
      <alignment horizontal="center"/>
    </xf>
    <xf numFmtId="0" fontId="2" fillId="0" borderId="0" xfId="6" applyFont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2" fillId="0" borderId="6" xfId="6" applyFont="1" applyBorder="1" applyAlignment="1">
      <alignment horizontal="center"/>
    </xf>
    <xf numFmtId="0" fontId="2" fillId="0" borderId="25" xfId="6" applyFont="1" applyBorder="1" applyAlignment="1">
      <alignment horizontal="left"/>
    </xf>
    <xf numFmtId="0" fontId="1" fillId="0" borderId="0" xfId="6" applyAlignment="1">
      <alignment horizontal="left"/>
    </xf>
    <xf numFmtId="0" fontId="1" fillId="0" borderId="0" xfId="6" applyFill="1" applyAlignment="1">
      <alignment horizontal="center"/>
    </xf>
    <xf numFmtId="166" fontId="2" fillId="0" borderId="13" xfId="1" applyNumberFormat="1" applyFont="1" applyBorder="1" applyAlignment="1">
      <alignment horizontal="right"/>
    </xf>
    <xf numFmtId="9" fontId="1" fillId="0" borderId="0" xfId="7" applyFill="1" applyAlignment="1">
      <alignment horizontal="center"/>
    </xf>
    <xf numFmtId="166" fontId="1" fillId="0" borderId="0" xfId="1" applyNumberFormat="1" applyAlignment="1">
      <alignment horizontal="right"/>
    </xf>
    <xf numFmtId="166" fontId="2" fillId="0" borderId="25" xfId="1" applyNumberFormat="1" applyFont="1" applyBorder="1" applyAlignment="1">
      <alignment horizontal="right"/>
    </xf>
    <xf numFmtId="0" fontId="2" fillId="0" borderId="0" xfId="6" applyFont="1" applyAlignment="1">
      <alignment horizontal="center" wrapText="1"/>
    </xf>
    <xf numFmtId="0" fontId="2" fillId="0" borderId="0" xfId="6" applyFont="1" applyAlignment="1">
      <alignment horizontal="left" wrapText="1"/>
    </xf>
    <xf numFmtId="0" fontId="1" fillId="0" borderId="0" xfId="6" applyBorder="1"/>
    <xf numFmtId="0" fontId="2" fillId="0" borderId="0" xfId="6" applyFont="1" applyAlignment="1">
      <alignment horizontal="center"/>
    </xf>
    <xf numFmtId="0" fontId="2" fillId="0" borderId="17" xfId="6" applyFont="1" applyBorder="1" applyAlignment="1">
      <alignment horizontal="center"/>
    </xf>
    <xf numFmtId="0" fontId="2" fillId="0" borderId="16" xfId="6" applyFont="1" applyBorder="1" applyAlignment="1">
      <alignment horizontal="center"/>
    </xf>
    <xf numFmtId="0" fontId="2" fillId="0" borderId="18" xfId="6" applyFont="1" applyBorder="1" applyAlignment="1">
      <alignment horizontal="center"/>
    </xf>
    <xf numFmtId="37" fontId="0" fillId="0" borderId="0" xfId="1" applyNumberFormat="1" applyFont="1"/>
    <xf numFmtId="37" fontId="1" fillId="0" borderId="0" xfId="6" applyNumberFormat="1"/>
    <xf numFmtId="37" fontId="1" fillId="0" borderId="0" xfId="6" applyNumberFormat="1" applyBorder="1"/>
    <xf numFmtId="37" fontId="0" fillId="0" borderId="11" xfId="1" applyNumberFormat="1" applyFont="1" applyBorder="1"/>
    <xf numFmtId="37" fontId="1" fillId="0" borderId="11" xfId="6" applyNumberFormat="1" applyBorder="1"/>
    <xf numFmtId="166" fontId="0" fillId="0" borderId="0" xfId="1" applyNumberFormat="1" applyFont="1"/>
    <xf numFmtId="37" fontId="1" fillId="0" borderId="6" xfId="6" applyNumberFormat="1" applyBorder="1"/>
    <xf numFmtId="37" fontId="1" fillId="5" borderId="6" xfId="6" applyNumberFormat="1" applyFill="1" applyBorder="1"/>
    <xf numFmtId="37" fontId="1" fillId="0" borderId="13" xfId="6" applyNumberFormat="1" applyBorder="1"/>
    <xf numFmtId="37" fontId="1" fillId="5" borderId="13" xfId="6" applyNumberFormat="1" applyFill="1" applyBorder="1"/>
    <xf numFmtId="0" fontId="2" fillId="0" borderId="0" xfId="6" applyFont="1" applyAlignment="1">
      <alignment horizontal="left" indent="5"/>
    </xf>
    <xf numFmtId="166" fontId="1" fillId="0" borderId="0" xfId="1" applyNumberFormat="1" applyFont="1"/>
    <xf numFmtId="0" fontId="1" fillId="0" borderId="0" xfId="6" applyAlignment="1">
      <alignment horizontal="left" indent="5"/>
    </xf>
    <xf numFmtId="164" fontId="1" fillId="0" borderId="0" xfId="2" applyNumberFormat="1" applyFont="1"/>
    <xf numFmtId="166" fontId="1" fillId="0" borderId="11" xfId="1" applyNumberFormat="1" applyFont="1" applyBorder="1"/>
    <xf numFmtId="164" fontId="1" fillId="0" borderId="13" xfId="2" applyNumberFormat="1" applyFont="1" applyBorder="1"/>
    <xf numFmtId="43" fontId="1" fillId="0" borderId="0" xfId="1" applyFont="1"/>
    <xf numFmtId="10" fontId="1" fillId="0" borderId="11" xfId="1" applyNumberFormat="1" applyFont="1" applyBorder="1"/>
    <xf numFmtId="164" fontId="1" fillId="0" borderId="6" xfId="2" applyNumberFormat="1" applyFont="1" applyBorder="1"/>
    <xf numFmtId="0" fontId="27" fillId="0" borderId="0" xfId="6" applyFont="1" applyFill="1" applyBorder="1" applyAlignment="1">
      <alignment horizontal="center" vertical="top"/>
    </xf>
    <xf numFmtId="0" fontId="2" fillId="0" borderId="36" xfId="6" applyFont="1" applyFill="1" applyBorder="1" applyAlignment="1">
      <alignment horizontal="center"/>
    </xf>
    <xf numFmtId="0" fontId="27" fillId="0" borderId="6" xfId="6" applyFont="1" applyFill="1" applyBorder="1" applyAlignment="1">
      <alignment horizontal="center" vertical="top"/>
    </xf>
    <xf numFmtId="0" fontId="2" fillId="0" borderId="37" xfId="6" applyFont="1" applyFill="1" applyBorder="1" applyAlignment="1">
      <alignment horizontal="center"/>
    </xf>
    <xf numFmtId="0" fontId="27" fillId="0" borderId="6" xfId="6" applyFont="1" applyFill="1" applyBorder="1" applyAlignment="1">
      <alignment horizontal="center" vertical="top" wrapText="1"/>
    </xf>
    <xf numFmtId="0" fontId="2" fillId="0" borderId="6" xfId="6" applyFont="1" applyFill="1" applyBorder="1" applyAlignment="1">
      <alignment horizontal="center"/>
    </xf>
    <xf numFmtId="0" fontId="28" fillId="0" borderId="0" xfId="6" applyFont="1" applyFill="1" applyBorder="1" applyAlignment="1">
      <alignment horizontal="left" vertical="top"/>
    </xf>
    <xf numFmtId="43" fontId="1" fillId="0" borderId="38" xfId="8" applyFont="1" applyFill="1" applyBorder="1"/>
    <xf numFmtId="43" fontId="28" fillId="0" borderId="0" xfId="8" applyFont="1" applyFill="1" applyBorder="1" applyAlignment="1">
      <alignment horizontal="right" vertical="top"/>
    </xf>
    <xf numFmtId="43" fontId="1" fillId="0" borderId="0" xfId="8" applyFont="1" applyFill="1" applyBorder="1"/>
    <xf numFmtId="0" fontId="1" fillId="0" borderId="0" xfId="6" applyFont="1" applyFill="1" applyBorder="1"/>
    <xf numFmtId="43" fontId="1" fillId="0" borderId="39" xfId="8" applyFont="1" applyFill="1" applyBorder="1"/>
    <xf numFmtId="43" fontId="28" fillId="0" borderId="11" xfId="8" applyFont="1" applyFill="1" applyBorder="1" applyAlignment="1">
      <alignment horizontal="right" vertical="top"/>
    </xf>
    <xf numFmtId="165" fontId="1" fillId="0" borderId="39" xfId="9" applyNumberFormat="1" applyFont="1" applyFill="1" applyBorder="1"/>
    <xf numFmtId="165" fontId="28" fillId="0" borderId="0" xfId="9" applyNumberFormat="1" applyFont="1" applyFill="1" applyBorder="1" applyAlignment="1">
      <alignment horizontal="right" vertical="top"/>
    </xf>
    <xf numFmtId="43" fontId="1" fillId="4" borderId="40" xfId="8" applyFont="1" applyFill="1" applyBorder="1"/>
    <xf numFmtId="43" fontId="28" fillId="0" borderId="13" xfId="8" applyFont="1" applyFill="1" applyBorder="1" applyAlignment="1">
      <alignment horizontal="right" vertical="top"/>
    </xf>
    <xf numFmtId="43" fontId="1" fillId="0" borderId="13" xfId="8" applyFont="1" applyFill="1" applyBorder="1"/>
    <xf numFmtId="43" fontId="1" fillId="0" borderId="37" xfId="8" applyFont="1" applyFill="1" applyBorder="1"/>
    <xf numFmtId="0" fontId="30" fillId="0" borderId="0" xfId="6" applyFont="1" applyFill="1" applyBorder="1" applyAlignment="1">
      <alignment horizontal="left" vertical="top" wrapText="1"/>
    </xf>
  </cellXfs>
  <cellStyles count="10">
    <cellStyle name="Comma" xfId="1" builtinId="3"/>
    <cellStyle name="Comma 2" xfId="8"/>
    <cellStyle name="Currency" xfId="2" builtinId="4"/>
    <cellStyle name="Normal" xfId="0" builtinId="0"/>
    <cellStyle name="Normal 2" xfId="4"/>
    <cellStyle name="Normal 3" xfId="6"/>
    <cellStyle name="Normal_Sheet1" xfId="3"/>
    <cellStyle name="Percent 2" xfId="5"/>
    <cellStyle name="Percent 3" xfId="7"/>
    <cellStyle name="Percent 4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M%20-%20Rebuttal-Alternativ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juries%20&amp;%20Damages%20Reserve-Informatio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lement"/>
      <sheetName val="PRo Forma Adj-"/>
      <sheetName val="Budget v Actual Summaries"/>
      <sheetName val="O&amp;M_ 07 Act vs 10 budg"/>
      <sheetName val="O&amp;M_ 08 bug vs 09 budg"/>
    </sheetNames>
    <sheetDataSet>
      <sheetData sheetId="0"/>
      <sheetData sheetId="1" refreshError="1"/>
      <sheetData sheetId="2">
        <row r="6">
          <cell r="J6">
            <v>0</v>
          </cell>
          <cell r="K6">
            <v>360400</v>
          </cell>
        </row>
        <row r="10">
          <cell r="J10">
            <v>8681</v>
          </cell>
          <cell r="K10">
            <v>403860</v>
          </cell>
        </row>
        <row r="13">
          <cell r="J13">
            <v>86243</v>
          </cell>
          <cell r="K13">
            <v>185663</v>
          </cell>
        </row>
        <row r="14">
          <cell r="J14">
            <v>257151</v>
          </cell>
          <cell r="K14">
            <v>346000</v>
          </cell>
        </row>
        <row r="15">
          <cell r="J15">
            <v>112912</v>
          </cell>
          <cell r="K15">
            <v>207000</v>
          </cell>
        </row>
        <row r="16">
          <cell r="J16">
            <v>1973</v>
          </cell>
          <cell r="K16">
            <v>117000</v>
          </cell>
        </row>
        <row r="17">
          <cell r="J17">
            <v>64758</v>
          </cell>
          <cell r="K17">
            <v>68643</v>
          </cell>
        </row>
        <row r="18">
          <cell r="J18">
            <v>104596</v>
          </cell>
          <cell r="K18">
            <v>177568</v>
          </cell>
        </row>
        <row r="23">
          <cell r="J23">
            <v>0</v>
          </cell>
          <cell r="K23">
            <v>114000</v>
          </cell>
        </row>
        <row r="31">
          <cell r="J31">
            <v>62517</v>
          </cell>
          <cell r="K31">
            <v>103249</v>
          </cell>
        </row>
        <row r="32">
          <cell r="J32">
            <v>178800</v>
          </cell>
          <cell r="K32">
            <v>276526</v>
          </cell>
        </row>
        <row r="33">
          <cell r="J33">
            <v>404160</v>
          </cell>
          <cell r="K33">
            <v>472619</v>
          </cell>
        </row>
        <row r="37">
          <cell r="J37">
            <v>186600</v>
          </cell>
          <cell r="K37">
            <v>197796</v>
          </cell>
        </row>
        <row r="38">
          <cell r="J38">
            <v>16686</v>
          </cell>
          <cell r="K38">
            <v>36494</v>
          </cell>
        </row>
        <row r="42">
          <cell r="J42">
            <v>113401</v>
          </cell>
          <cell r="K42">
            <v>255429</v>
          </cell>
        </row>
        <row r="43">
          <cell r="J43">
            <v>16624</v>
          </cell>
          <cell r="K43">
            <v>26590</v>
          </cell>
        </row>
        <row r="44">
          <cell r="J44">
            <v>965023</v>
          </cell>
          <cell r="K44">
            <v>1326594</v>
          </cell>
        </row>
        <row r="45">
          <cell r="J45">
            <v>4481900</v>
          </cell>
          <cell r="K45">
            <v>6658310</v>
          </cell>
        </row>
        <row r="54">
          <cell r="J54">
            <v>105760</v>
          </cell>
          <cell r="K54">
            <v>146358</v>
          </cell>
        </row>
        <row r="55">
          <cell r="J55">
            <v>27885</v>
          </cell>
          <cell r="K55">
            <v>28323</v>
          </cell>
        </row>
        <row r="56">
          <cell r="J56">
            <v>176179</v>
          </cell>
          <cell r="K56">
            <v>186749</v>
          </cell>
        </row>
        <row r="57">
          <cell r="J57">
            <v>93749</v>
          </cell>
          <cell r="K57">
            <v>117374</v>
          </cell>
        </row>
        <row r="61">
          <cell r="J61">
            <v>102387</v>
          </cell>
          <cell r="K61">
            <v>165384</v>
          </cell>
        </row>
        <row r="62">
          <cell r="J62">
            <v>5005</v>
          </cell>
          <cell r="K62">
            <v>32347</v>
          </cell>
        </row>
        <row r="63">
          <cell r="J63">
            <v>79215</v>
          </cell>
          <cell r="K63">
            <v>83570</v>
          </cell>
        </row>
        <row r="64">
          <cell r="J64">
            <v>149235</v>
          </cell>
          <cell r="K64">
            <v>188190</v>
          </cell>
        </row>
        <row r="65">
          <cell r="J65">
            <v>94729</v>
          </cell>
          <cell r="K65">
            <v>100413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Macro1"/>
    </sheetNames>
    <sheetDataSet>
      <sheetData sheetId="0"/>
      <sheetData sheetId="1">
        <row r="56">
          <cell r="A5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opLeftCell="C40" zoomScaleNormal="100" workbookViewId="0">
      <selection activeCell="E76" sqref="E76"/>
    </sheetView>
  </sheetViews>
  <sheetFormatPr defaultRowHeight="15"/>
  <cols>
    <col min="1" max="1" width="73.7109375" style="6" customWidth="1"/>
    <col min="2" max="2" width="14.42578125" style="6" customWidth="1"/>
    <col min="3" max="3" width="14.85546875" style="6" customWidth="1"/>
    <col min="4" max="4" width="20.5703125" style="6" customWidth="1"/>
    <col min="5" max="5" width="15.5703125" style="6" bestFit="1" customWidth="1"/>
    <col min="6" max="6" width="22.85546875" style="6" customWidth="1"/>
    <col min="7" max="7" width="17.140625" style="6" customWidth="1"/>
    <col min="8" max="8" width="25.85546875" style="6" customWidth="1"/>
    <col min="9" max="9" width="15.7109375" style="6" customWidth="1"/>
    <col min="10" max="10" width="19.5703125" style="6" customWidth="1"/>
    <col min="11" max="11" width="12.28515625" style="6" bestFit="1" customWidth="1"/>
    <col min="12" max="16384" width="9.140625" style="6"/>
  </cols>
  <sheetData>
    <row r="1" spans="1:11" ht="15.75">
      <c r="A1" s="4" t="s">
        <v>60</v>
      </c>
    </row>
    <row r="2" spans="1:11" ht="15.75">
      <c r="A2" s="4" t="s">
        <v>56</v>
      </c>
    </row>
    <row r="3" spans="1:11" ht="63">
      <c r="A3" s="10" t="s">
        <v>2</v>
      </c>
      <c r="B3" s="10" t="s">
        <v>0</v>
      </c>
      <c r="C3" s="10" t="s">
        <v>1</v>
      </c>
      <c r="D3" s="10" t="s">
        <v>62</v>
      </c>
      <c r="E3" s="10" t="s">
        <v>4</v>
      </c>
      <c r="F3" s="11" t="s">
        <v>51</v>
      </c>
      <c r="G3" s="11" t="s">
        <v>57</v>
      </c>
      <c r="H3" s="11" t="s">
        <v>58</v>
      </c>
      <c r="I3" s="11" t="s">
        <v>52</v>
      </c>
      <c r="J3" s="12" t="s">
        <v>23</v>
      </c>
    </row>
    <row r="4" spans="1:11">
      <c r="A4" s="5" t="s">
        <v>13</v>
      </c>
      <c r="B4" s="13">
        <v>0</v>
      </c>
      <c r="C4" s="14">
        <v>80000</v>
      </c>
      <c r="D4" s="13">
        <v>0</v>
      </c>
      <c r="E4" s="14">
        <f t="shared" ref="E4:E19" si="0">SUM(B4:D4)</f>
        <v>80000</v>
      </c>
      <c r="F4" s="15">
        <f>E4</f>
        <v>80000</v>
      </c>
      <c r="G4" s="16">
        <v>0</v>
      </c>
      <c r="H4" s="15">
        <f>F4-(F4*G4)</f>
        <v>80000</v>
      </c>
      <c r="J4" s="17" t="s">
        <v>21</v>
      </c>
    </row>
    <row r="5" spans="1:11">
      <c r="A5" s="5" t="s">
        <v>10</v>
      </c>
      <c r="B5" s="13">
        <v>0</v>
      </c>
      <c r="C5" s="14">
        <v>160000</v>
      </c>
      <c r="D5" s="13">
        <v>0</v>
      </c>
      <c r="E5" s="14">
        <f t="shared" si="0"/>
        <v>160000</v>
      </c>
      <c r="F5" s="15">
        <v>160000</v>
      </c>
      <c r="G5" s="16">
        <v>0</v>
      </c>
      <c r="H5" s="15">
        <f t="shared" ref="H5:H18" si="1">F5-(F5*G5)</f>
        <v>160000</v>
      </c>
      <c r="I5" s="15"/>
      <c r="J5" s="17" t="s">
        <v>22</v>
      </c>
      <c r="K5" s="18" t="s">
        <v>54</v>
      </c>
    </row>
    <row r="6" spans="1:11">
      <c r="A6" s="5" t="s">
        <v>11</v>
      </c>
      <c r="B6" s="13">
        <v>0</v>
      </c>
      <c r="C6" s="14">
        <v>320000</v>
      </c>
      <c r="D6" s="13">
        <v>0</v>
      </c>
      <c r="E6" s="14">
        <f t="shared" si="0"/>
        <v>320000</v>
      </c>
      <c r="F6" s="15">
        <f>E6</f>
        <v>320000</v>
      </c>
      <c r="G6" s="16">
        <v>0</v>
      </c>
      <c r="H6" s="15">
        <f t="shared" si="1"/>
        <v>320000</v>
      </c>
      <c r="I6" s="15"/>
      <c r="J6" s="17" t="s">
        <v>22</v>
      </c>
    </row>
    <row r="7" spans="1:11">
      <c r="A7" s="5" t="s">
        <v>8</v>
      </c>
      <c r="B7" s="14">
        <v>120000</v>
      </c>
      <c r="C7" s="13">
        <v>0</v>
      </c>
      <c r="D7" s="13">
        <v>0</v>
      </c>
      <c r="E7" s="14">
        <f t="shared" si="0"/>
        <v>120000</v>
      </c>
      <c r="F7" s="15">
        <f>E7</f>
        <v>120000</v>
      </c>
      <c r="G7" s="16">
        <v>0</v>
      </c>
      <c r="H7" s="15">
        <f t="shared" si="1"/>
        <v>120000</v>
      </c>
      <c r="I7" s="15"/>
      <c r="J7" s="17" t="s">
        <v>22</v>
      </c>
    </row>
    <row r="8" spans="1:11">
      <c r="A8" s="5" t="s">
        <v>6</v>
      </c>
      <c r="B8" s="14">
        <v>331000</v>
      </c>
      <c r="C8" s="13">
        <v>0</v>
      </c>
      <c r="D8" s="13">
        <v>0</v>
      </c>
      <c r="E8" s="14">
        <f t="shared" si="0"/>
        <v>331000</v>
      </c>
      <c r="F8" s="15">
        <f>E8</f>
        <v>331000</v>
      </c>
      <c r="G8" s="16">
        <v>0</v>
      </c>
      <c r="H8" s="15">
        <f t="shared" si="1"/>
        <v>331000</v>
      </c>
      <c r="I8" s="15"/>
      <c r="J8" s="17" t="s">
        <v>22</v>
      </c>
    </row>
    <row r="9" spans="1:11">
      <c r="A9" s="5" t="s">
        <v>7</v>
      </c>
      <c r="B9" s="14">
        <v>800000</v>
      </c>
      <c r="C9" s="14">
        <v>320000</v>
      </c>
      <c r="D9" s="13">
        <v>0</v>
      </c>
      <c r="E9" s="14">
        <f t="shared" si="0"/>
        <v>1120000</v>
      </c>
      <c r="F9" s="19">
        <v>0</v>
      </c>
      <c r="G9" s="19"/>
      <c r="H9" s="15">
        <f t="shared" si="1"/>
        <v>0</v>
      </c>
      <c r="I9" s="15">
        <f>E9</f>
        <v>1120000</v>
      </c>
      <c r="J9" s="17" t="s">
        <v>22</v>
      </c>
    </row>
    <row r="10" spans="1:11">
      <c r="A10" s="5" t="s">
        <v>12</v>
      </c>
      <c r="B10" s="14">
        <v>235000</v>
      </c>
      <c r="C10" s="14">
        <v>160000</v>
      </c>
      <c r="D10" s="13">
        <v>0</v>
      </c>
      <c r="E10" s="14">
        <f t="shared" si="0"/>
        <v>395000</v>
      </c>
      <c r="F10" s="15">
        <v>395000</v>
      </c>
      <c r="G10" s="16">
        <v>0.2</v>
      </c>
      <c r="H10" s="15">
        <f t="shared" si="1"/>
        <v>316000</v>
      </c>
      <c r="J10" s="17" t="s">
        <v>25</v>
      </c>
    </row>
    <row r="11" spans="1:11">
      <c r="A11" s="5" t="s">
        <v>14</v>
      </c>
      <c r="B11" s="14">
        <v>138000</v>
      </c>
      <c r="C11" s="13">
        <v>0</v>
      </c>
      <c r="D11" s="13">
        <v>0</v>
      </c>
      <c r="E11" s="14">
        <f t="shared" si="0"/>
        <v>138000</v>
      </c>
      <c r="F11" s="15">
        <v>138000</v>
      </c>
      <c r="G11" s="16">
        <v>0</v>
      </c>
      <c r="H11" s="15">
        <f t="shared" si="1"/>
        <v>138000</v>
      </c>
      <c r="J11" s="17" t="s">
        <v>22</v>
      </c>
    </row>
    <row r="12" spans="1:11">
      <c r="A12" s="5" t="s">
        <v>16</v>
      </c>
      <c r="B12" s="14">
        <v>131000</v>
      </c>
      <c r="C12" s="13"/>
      <c r="D12" s="13"/>
      <c r="E12" s="14">
        <f t="shared" si="0"/>
        <v>131000</v>
      </c>
      <c r="F12" s="15">
        <f t="shared" ref="F12:F18" si="2">E12</f>
        <v>131000</v>
      </c>
      <c r="G12" s="16">
        <v>0</v>
      </c>
      <c r="H12" s="15">
        <f t="shared" si="1"/>
        <v>131000</v>
      </c>
      <c r="I12" s="15"/>
      <c r="J12" s="17" t="s">
        <v>22</v>
      </c>
    </row>
    <row r="13" spans="1:11">
      <c r="A13" s="5" t="s">
        <v>19</v>
      </c>
      <c r="B13" s="14">
        <v>120000</v>
      </c>
      <c r="C13" s="13"/>
      <c r="D13" s="13"/>
      <c r="E13" s="14">
        <f t="shared" si="0"/>
        <v>120000</v>
      </c>
      <c r="F13" s="15">
        <v>120000</v>
      </c>
      <c r="G13" s="16">
        <v>0</v>
      </c>
      <c r="H13" s="15">
        <f t="shared" si="1"/>
        <v>120000</v>
      </c>
      <c r="J13" s="17" t="s">
        <v>22</v>
      </c>
    </row>
    <row r="14" spans="1:11">
      <c r="A14" s="5" t="s">
        <v>17</v>
      </c>
      <c r="B14" s="14">
        <v>146000</v>
      </c>
      <c r="C14" s="13">
        <v>0</v>
      </c>
      <c r="D14" s="13">
        <v>0</v>
      </c>
      <c r="E14" s="14">
        <f t="shared" si="0"/>
        <v>146000</v>
      </c>
      <c r="F14" s="15">
        <f t="shared" si="2"/>
        <v>146000</v>
      </c>
      <c r="G14" s="16">
        <v>0</v>
      </c>
      <c r="H14" s="15">
        <f t="shared" si="1"/>
        <v>146000</v>
      </c>
      <c r="I14" s="15"/>
      <c r="J14" s="17" t="s">
        <v>22</v>
      </c>
    </row>
    <row r="15" spans="1:11">
      <c r="A15" s="5" t="s">
        <v>18</v>
      </c>
      <c r="B15" s="14">
        <v>141000</v>
      </c>
      <c r="C15" s="13">
        <v>0</v>
      </c>
      <c r="D15" s="13">
        <v>0</v>
      </c>
      <c r="E15" s="14">
        <f t="shared" si="0"/>
        <v>141000</v>
      </c>
      <c r="F15" s="15">
        <f t="shared" si="2"/>
        <v>141000</v>
      </c>
      <c r="G15" s="16">
        <v>0</v>
      </c>
      <c r="H15" s="15">
        <f t="shared" si="1"/>
        <v>141000</v>
      </c>
      <c r="I15" s="15"/>
      <c r="J15" s="17" t="s">
        <v>22</v>
      </c>
    </row>
    <row r="16" spans="1:11">
      <c r="A16" s="5" t="s">
        <v>15</v>
      </c>
      <c r="B16" s="14">
        <v>51000</v>
      </c>
      <c r="C16" s="13">
        <v>0</v>
      </c>
      <c r="D16" s="13">
        <v>0</v>
      </c>
      <c r="E16" s="14">
        <f t="shared" si="0"/>
        <v>51000</v>
      </c>
      <c r="F16" s="15">
        <f t="shared" si="2"/>
        <v>51000</v>
      </c>
      <c r="G16" s="16">
        <v>0</v>
      </c>
      <c r="H16" s="15">
        <f t="shared" si="1"/>
        <v>51000</v>
      </c>
      <c r="I16" s="15"/>
      <c r="J16" s="17" t="s">
        <v>22</v>
      </c>
    </row>
    <row r="17" spans="1:11">
      <c r="A17" s="5" t="s">
        <v>53</v>
      </c>
      <c r="B17" s="13">
        <v>0</v>
      </c>
      <c r="C17" s="13">
        <v>0</v>
      </c>
      <c r="D17" s="14">
        <v>50400</v>
      </c>
      <c r="E17" s="14">
        <f t="shared" si="0"/>
        <v>50400</v>
      </c>
      <c r="F17" s="15">
        <v>0</v>
      </c>
      <c r="G17" s="16"/>
      <c r="H17" s="15"/>
      <c r="I17" s="15"/>
      <c r="J17" s="17" t="s">
        <v>24</v>
      </c>
      <c r="K17" s="15"/>
    </row>
    <row r="18" spans="1:11">
      <c r="A18" s="5" t="s">
        <v>9</v>
      </c>
      <c r="B18" s="14">
        <v>174000</v>
      </c>
      <c r="C18" s="13">
        <v>0</v>
      </c>
      <c r="D18" s="13">
        <v>0</v>
      </c>
      <c r="E18" s="14">
        <f t="shared" si="0"/>
        <v>174000</v>
      </c>
      <c r="F18" s="15">
        <f t="shared" si="2"/>
        <v>174000</v>
      </c>
      <c r="G18" s="16">
        <v>0.2</v>
      </c>
      <c r="H18" s="15">
        <f t="shared" si="1"/>
        <v>139200</v>
      </c>
      <c r="I18" s="15"/>
      <c r="J18" s="17" t="s">
        <v>22</v>
      </c>
    </row>
    <row r="19" spans="1:11">
      <c r="A19" s="5" t="s">
        <v>5</v>
      </c>
      <c r="B19" s="13">
        <v>80000</v>
      </c>
      <c r="C19" s="14">
        <v>160000</v>
      </c>
      <c r="D19" s="13">
        <v>0</v>
      </c>
      <c r="E19" s="14">
        <f t="shared" si="0"/>
        <v>240000</v>
      </c>
      <c r="F19" s="20">
        <f>E19</f>
        <v>240000</v>
      </c>
      <c r="G19" s="54">
        <v>0</v>
      </c>
      <c r="H19" s="15">
        <f>F19</f>
        <v>240000</v>
      </c>
      <c r="I19" s="8"/>
      <c r="J19" s="17" t="s">
        <v>22</v>
      </c>
    </row>
    <row r="20" spans="1:11">
      <c r="A20" s="5"/>
      <c r="B20" s="14"/>
      <c r="C20" s="14"/>
      <c r="D20" s="13"/>
      <c r="E20" s="14"/>
      <c r="F20" s="20"/>
      <c r="G20" s="16"/>
      <c r="H20" s="15"/>
      <c r="I20" s="8"/>
      <c r="J20" s="17"/>
    </row>
    <row r="21" spans="1:11" ht="15.75">
      <c r="A21" s="7" t="s">
        <v>61</v>
      </c>
      <c r="B21" s="14"/>
      <c r="C21" s="14"/>
      <c r="D21" s="13"/>
      <c r="E21" s="14"/>
      <c r="F21" s="20">
        <v>0</v>
      </c>
      <c r="G21" s="16"/>
      <c r="H21" s="21">
        <v>-200000</v>
      </c>
      <c r="I21" s="8"/>
      <c r="J21" s="17" t="s">
        <v>22</v>
      </c>
    </row>
    <row r="22" spans="1:11">
      <c r="E22" s="22"/>
    </row>
    <row r="23" spans="1:11" ht="15.75">
      <c r="A23" s="9" t="s">
        <v>3</v>
      </c>
      <c r="B23" s="23">
        <f>SUM(B4:B22)</f>
        <v>2467000</v>
      </c>
      <c r="C23" s="24">
        <f>SUM(C4:C22)</f>
        <v>1200000</v>
      </c>
      <c r="D23" s="25">
        <f>SUM(D4:D22)</f>
        <v>50400</v>
      </c>
      <c r="E23" s="26">
        <f>SUM(B23:D23)</f>
        <v>3717400</v>
      </c>
      <c r="F23" s="25">
        <f>SUM(F4:F22)</f>
        <v>2547000</v>
      </c>
      <c r="G23" s="25"/>
      <c r="H23" s="25">
        <f>SUM(H4:H22)</f>
        <v>2233200</v>
      </c>
      <c r="I23" s="25">
        <f>SUM(I4:I22)</f>
        <v>1120000</v>
      </c>
      <c r="J23" s="27"/>
    </row>
    <row r="24" spans="1:11" ht="26.25" customHeight="1">
      <c r="A24" s="28" t="s">
        <v>55</v>
      </c>
      <c r="B24" s="17"/>
      <c r="C24" s="17"/>
      <c r="D24" s="17"/>
      <c r="E24" s="17"/>
      <c r="F24" s="17"/>
      <c r="G24" s="17"/>
      <c r="H24" s="17"/>
      <c r="I24" s="29"/>
    </row>
    <row r="25" spans="1:11" ht="33" customHeight="1">
      <c r="C25" s="30" t="s">
        <v>25</v>
      </c>
      <c r="D25" s="30" t="s">
        <v>20</v>
      </c>
      <c r="E25" s="30" t="s">
        <v>22</v>
      </c>
      <c r="F25" s="30"/>
      <c r="G25" s="31"/>
      <c r="H25" s="31"/>
      <c r="I25" s="27"/>
    </row>
    <row r="26" spans="1:11" ht="16.5" thickBot="1">
      <c r="B26" s="32" t="s">
        <v>59</v>
      </c>
      <c r="C26" s="34">
        <f>H10</f>
        <v>316000</v>
      </c>
      <c r="D26" s="34">
        <f>H4</f>
        <v>80000</v>
      </c>
      <c r="E26" s="34">
        <f>H5+H6+H7+H12+H8+H14+H15+H16+H18+H19+H20+H21+H11+H13</f>
        <v>1837200</v>
      </c>
      <c r="F26" s="34">
        <f>D26+E26+C26</f>
        <v>2233200</v>
      </c>
      <c r="G26" s="33"/>
      <c r="H26" s="33"/>
      <c r="I26" s="27"/>
    </row>
    <row r="27" spans="1:11" ht="16.5" thickTop="1">
      <c r="B27" s="32"/>
      <c r="C27" s="36" t="s">
        <v>32</v>
      </c>
      <c r="D27" s="17" t="s">
        <v>34</v>
      </c>
      <c r="E27" s="17" t="s">
        <v>33</v>
      </c>
      <c r="F27" s="35"/>
      <c r="G27" s="33"/>
      <c r="H27" s="33"/>
      <c r="I27" s="27"/>
    </row>
    <row r="28" spans="1:11" ht="24" customHeight="1">
      <c r="A28" s="37" t="s">
        <v>49</v>
      </c>
      <c r="B28" s="17"/>
      <c r="C28" s="38" t="s">
        <v>29</v>
      </c>
      <c r="D28" s="17"/>
      <c r="E28" s="17"/>
      <c r="F28" s="17"/>
      <c r="G28" s="17"/>
      <c r="H28" s="17"/>
    </row>
    <row r="29" spans="1:11" ht="15.75">
      <c r="A29" s="37" t="s">
        <v>26</v>
      </c>
      <c r="B29" s="39">
        <v>0.65097000000000005</v>
      </c>
      <c r="C29" s="40">
        <f>C26*B29</f>
        <v>205706.52000000002</v>
      </c>
      <c r="D29" s="41"/>
      <c r="E29" s="41"/>
      <c r="F29" s="17"/>
      <c r="G29" s="17"/>
      <c r="H29" s="17"/>
    </row>
    <row r="30" spans="1:11">
      <c r="A30" s="45" t="s">
        <v>27</v>
      </c>
      <c r="B30" s="39">
        <v>0.34903000000000001</v>
      </c>
      <c r="C30" s="41">
        <f>C26*B30</f>
        <v>110293.48</v>
      </c>
      <c r="D30" s="41"/>
      <c r="E30" s="41"/>
      <c r="F30" s="17"/>
      <c r="G30" s="17"/>
      <c r="H30" s="17"/>
    </row>
    <row r="31" spans="1:11" ht="15.75">
      <c r="A31" s="37" t="s">
        <v>50</v>
      </c>
      <c r="B31" s="39"/>
      <c r="C31" s="40"/>
      <c r="D31" s="41"/>
      <c r="E31" s="41"/>
      <c r="F31" s="17"/>
      <c r="G31" s="17"/>
      <c r="H31" s="17"/>
    </row>
    <row r="32" spans="1:11" ht="15.75">
      <c r="A32" s="37" t="s">
        <v>26</v>
      </c>
      <c r="B32" s="39">
        <v>0.67505000000000004</v>
      </c>
      <c r="C32" s="40"/>
      <c r="D32" s="41"/>
      <c r="E32" s="41"/>
      <c r="F32" s="17"/>
      <c r="G32" s="17"/>
      <c r="H32" s="17"/>
    </row>
    <row r="33" spans="1:8" ht="18.75" customHeight="1">
      <c r="A33" s="45" t="s">
        <v>27</v>
      </c>
      <c r="B33" s="39">
        <v>0.32495000000000002</v>
      </c>
      <c r="C33" s="40"/>
      <c r="D33" s="41"/>
      <c r="E33" s="41"/>
      <c r="F33" s="17"/>
      <c r="G33" s="17"/>
      <c r="H33" s="17"/>
    </row>
    <row r="34" spans="1:8" ht="5.25" customHeight="1">
      <c r="A34" s="42"/>
      <c r="B34" s="43"/>
      <c r="C34" s="44"/>
      <c r="D34" s="44"/>
      <c r="E34" s="44"/>
      <c r="F34" s="17"/>
      <c r="G34" s="17"/>
      <c r="H34" s="17"/>
    </row>
    <row r="35" spans="1:8" ht="15.75">
      <c r="A35" s="37" t="s">
        <v>28</v>
      </c>
      <c r="B35" s="17"/>
      <c r="C35" s="41"/>
      <c r="E35" s="41"/>
      <c r="F35" s="17"/>
      <c r="G35" s="17"/>
      <c r="H35" s="17"/>
    </row>
    <row r="36" spans="1:8">
      <c r="A36" s="45" t="s">
        <v>29</v>
      </c>
      <c r="B36" s="39">
        <v>0</v>
      </c>
      <c r="C36" s="41"/>
      <c r="D36" s="41"/>
      <c r="E36" s="41"/>
      <c r="F36" s="17"/>
      <c r="G36" s="17"/>
      <c r="H36" s="17"/>
    </row>
    <row r="37" spans="1:8">
      <c r="A37" s="45" t="s">
        <v>30</v>
      </c>
      <c r="B37" s="39">
        <v>0.68157000000000001</v>
      </c>
      <c r="C37" s="41"/>
      <c r="D37" s="46">
        <f>D26*B37</f>
        <v>54525.599999999999</v>
      </c>
      <c r="E37" s="41"/>
    </row>
    <row r="38" spans="1:8">
      <c r="A38" s="45" t="s">
        <v>31</v>
      </c>
      <c r="B38" s="39">
        <v>0.31842999999999999</v>
      </c>
      <c r="C38" s="41"/>
      <c r="D38" s="46">
        <f>D26*B38</f>
        <v>25474.399999999998</v>
      </c>
      <c r="E38" s="41"/>
    </row>
    <row r="39" spans="1:8" ht="15.75">
      <c r="A39" s="45"/>
      <c r="B39" s="39"/>
      <c r="C39" s="41"/>
      <c r="D39" s="47" t="s">
        <v>39</v>
      </c>
      <c r="E39" s="41"/>
    </row>
    <row r="40" spans="1:8" ht="15.75">
      <c r="A40" s="48"/>
      <c r="C40" s="40" t="s">
        <v>37</v>
      </c>
      <c r="D40" s="40">
        <f>D37*B32</f>
        <v>36807.506280000001</v>
      </c>
      <c r="E40" s="41"/>
    </row>
    <row r="41" spans="1:8" ht="18.75" customHeight="1">
      <c r="A41" s="48"/>
      <c r="C41" s="41" t="s">
        <v>38</v>
      </c>
      <c r="D41" s="41">
        <f>D37*B33</f>
        <v>17718.093720000001</v>
      </c>
      <c r="E41" s="41"/>
    </row>
    <row r="42" spans="1:8" ht="3.75" customHeight="1">
      <c r="A42" s="49"/>
      <c r="B42" s="50"/>
      <c r="C42" s="44"/>
      <c r="D42" s="44"/>
      <c r="E42" s="44"/>
    </row>
    <row r="43" spans="1:8" ht="15.75">
      <c r="A43" s="37" t="s">
        <v>35</v>
      </c>
      <c r="C43" s="41"/>
      <c r="D43" s="41"/>
      <c r="E43" s="41"/>
    </row>
    <row r="44" spans="1:8">
      <c r="A44" s="45" t="s">
        <v>29</v>
      </c>
      <c r="B44" s="39">
        <v>0.71960000000000002</v>
      </c>
      <c r="C44" s="41"/>
      <c r="D44" s="41"/>
      <c r="E44" s="46">
        <f>E26*B44</f>
        <v>1322049.1200000001</v>
      </c>
    </row>
    <row r="45" spans="1:8">
      <c r="A45" s="45" t="s">
        <v>30</v>
      </c>
      <c r="B45" s="39">
        <v>0.1918</v>
      </c>
      <c r="C45" s="41"/>
      <c r="D45" s="41"/>
      <c r="E45" s="46">
        <f>E26*B45</f>
        <v>352374.96</v>
      </c>
    </row>
    <row r="46" spans="1:8">
      <c r="A46" s="45" t="s">
        <v>31</v>
      </c>
      <c r="B46" s="39">
        <v>8.8599999999999998E-2</v>
      </c>
      <c r="C46" s="41"/>
      <c r="D46" s="41"/>
      <c r="E46" s="46">
        <f>E26*B46</f>
        <v>162775.91999999998</v>
      </c>
    </row>
    <row r="47" spans="1:8" ht="15.75">
      <c r="A47" s="48"/>
      <c r="C47" s="41"/>
      <c r="D47" s="40" t="s">
        <v>42</v>
      </c>
      <c r="E47" s="40">
        <f>E44*B29</f>
        <v>860614.31564640009</v>
      </c>
    </row>
    <row r="48" spans="1:8">
      <c r="A48" s="48"/>
      <c r="C48" s="41"/>
      <c r="D48" s="41" t="s">
        <v>43</v>
      </c>
      <c r="E48" s="41">
        <f>E44*B30</f>
        <v>461434.80435360008</v>
      </c>
    </row>
    <row r="49" spans="1:8" ht="15.75">
      <c r="A49" s="48"/>
      <c r="C49" s="41"/>
      <c r="D49" s="40" t="s">
        <v>37</v>
      </c>
      <c r="E49" s="40">
        <f>E45*B32</f>
        <v>237870.71674800004</v>
      </c>
    </row>
    <row r="50" spans="1:8">
      <c r="A50" s="48"/>
      <c r="C50" s="41"/>
      <c r="D50" s="41" t="s">
        <v>38</v>
      </c>
      <c r="E50" s="41">
        <f>E45*B33</f>
        <v>114504.24325200001</v>
      </c>
    </row>
    <row r="51" spans="1:8" ht="4.5" customHeight="1" thickBot="1">
      <c r="A51" s="49"/>
      <c r="B51" s="50"/>
      <c r="C51" s="44"/>
      <c r="D51" s="44"/>
      <c r="E51" s="44"/>
    </row>
    <row r="52" spans="1:8" ht="15.75" hidden="1">
      <c r="A52" s="37" t="s">
        <v>36</v>
      </c>
      <c r="C52" s="41"/>
      <c r="D52" s="41"/>
      <c r="E52" s="41"/>
    </row>
    <row r="53" spans="1:8" ht="15.75" hidden="1">
      <c r="A53" s="45" t="s">
        <v>29</v>
      </c>
      <c r="B53" s="39">
        <v>0.79122000000000003</v>
      </c>
      <c r="C53" s="41"/>
      <c r="D53" s="41"/>
      <c r="E53" s="40" t="s">
        <v>40</v>
      </c>
      <c r="F53" s="51">
        <v>0</v>
      </c>
      <c r="G53" s="51"/>
      <c r="H53" s="51"/>
    </row>
    <row r="54" spans="1:8" ht="15.75" hidden="1">
      <c r="A54" s="45" t="s">
        <v>30</v>
      </c>
      <c r="B54" s="39">
        <v>0.20877999999999999</v>
      </c>
      <c r="C54" s="41"/>
      <c r="D54" s="41"/>
      <c r="E54" s="40" t="s">
        <v>41</v>
      </c>
      <c r="F54" s="51">
        <v>0</v>
      </c>
      <c r="G54" s="51"/>
      <c r="H54" s="51"/>
    </row>
    <row r="55" spans="1:8" ht="63.75" customHeight="1" thickBot="1">
      <c r="B55" s="83" t="s">
        <v>67</v>
      </c>
      <c r="C55" s="84"/>
      <c r="D55" s="77" t="s">
        <v>65</v>
      </c>
      <c r="E55" s="78" t="s">
        <v>66</v>
      </c>
      <c r="F55" s="79" t="s">
        <v>64</v>
      </c>
      <c r="G55" s="82" t="s">
        <v>63</v>
      </c>
      <c r="H55" s="55"/>
    </row>
    <row r="56" spans="1:8" ht="18">
      <c r="B56" s="57" t="s">
        <v>45</v>
      </c>
      <c r="C56" s="58"/>
      <c r="D56" s="85">
        <f>(C29+E47)/1000</f>
        <v>1066.3208356464002</v>
      </c>
      <c r="E56" s="59">
        <f>1752387/1000</f>
        <v>1752.3869999999999</v>
      </c>
      <c r="F56" s="60">
        <f>-E56+D56</f>
        <v>-686.06616435359979</v>
      </c>
      <c r="G56" s="80">
        <f>F56*0.65/0.62195</f>
        <v>-717.0078090358387</v>
      </c>
      <c r="H56" s="1" t="s">
        <v>83</v>
      </c>
    </row>
    <row r="57" spans="1:8" ht="18">
      <c r="B57" s="61" t="s">
        <v>44</v>
      </c>
      <c r="C57" s="62"/>
      <c r="D57" s="63">
        <f>(C30+E48+F53)/1000</f>
        <v>571.72828435360009</v>
      </c>
      <c r="E57" s="64"/>
      <c r="F57" s="65"/>
      <c r="G57" s="81"/>
      <c r="H57" s="52"/>
    </row>
    <row r="58" spans="1:8" ht="18">
      <c r="B58" s="66" t="s">
        <v>46</v>
      </c>
      <c r="C58" s="67"/>
      <c r="D58" s="86">
        <f>(D40+E49)/1000</f>
        <v>274.67822302800005</v>
      </c>
      <c r="E58" s="64">
        <f>450090/1000</f>
        <v>450.09</v>
      </c>
      <c r="F58" s="68">
        <f>-E58+D58</f>
        <v>-175.41177697199993</v>
      </c>
      <c r="G58" s="80">
        <f>(F58*0.65/0.62195)+0.9</f>
        <v>-182.42286362537175</v>
      </c>
      <c r="H58" s="1" t="s">
        <v>82</v>
      </c>
    </row>
    <row r="59" spans="1:8" ht="18">
      <c r="B59" s="61" t="s">
        <v>47</v>
      </c>
      <c r="C59" s="62"/>
      <c r="D59" s="63">
        <f>(D41+E50+F54)/1000</f>
        <v>132.22233697200002</v>
      </c>
      <c r="E59" s="64"/>
      <c r="F59" s="65"/>
      <c r="G59" s="65"/>
      <c r="H59" s="52"/>
    </row>
    <row r="60" spans="1:8" ht="18">
      <c r="B60" s="69" t="s">
        <v>48</v>
      </c>
      <c r="C60" s="70"/>
      <c r="D60" s="71">
        <f>(E46+D38)/1000</f>
        <v>188.25031999999999</v>
      </c>
      <c r="E60" s="64"/>
      <c r="F60" s="65"/>
      <c r="G60" s="65"/>
      <c r="H60" s="52"/>
    </row>
    <row r="61" spans="1:8" ht="18.75" thickBot="1">
      <c r="B61" s="72"/>
      <c r="C61" s="73"/>
      <c r="D61" s="74">
        <f>SUM(D56:D60)</f>
        <v>2233.2000000000003</v>
      </c>
      <c r="E61" s="75"/>
      <c r="F61" s="76"/>
      <c r="G61" s="76"/>
      <c r="H61" s="6" t="s">
        <v>250</v>
      </c>
    </row>
    <row r="62" spans="1:8">
      <c r="H62" s="56"/>
    </row>
    <row r="63" spans="1:8">
      <c r="H63" s="56"/>
    </row>
    <row r="64" spans="1:8">
      <c r="D64" s="53"/>
      <c r="H64" s="56"/>
    </row>
    <row r="65" spans="8:8">
      <c r="H65" s="56"/>
    </row>
    <row r="66" spans="8:8">
      <c r="H66" s="56"/>
    </row>
    <row r="67" spans="8:8">
      <c r="H67" s="56"/>
    </row>
  </sheetData>
  <mergeCells count="1">
    <mergeCell ref="B55:C55"/>
  </mergeCells>
  <printOptions horizontalCentered="1"/>
  <pageMargins left="0.75" right="0.35" top="1.06" bottom="0.69" header="0.6" footer="0.5"/>
  <pageSetup scale="48" orientation="landscape" r:id="rId1"/>
  <headerFooter scaleWithDoc="0" alignWithMargins="0">
    <oddHeader>&amp;C
INFORMATION SERVICES
REVISED ADJUSTMENT INFORMATION&amp;RExhibit No.__(EMA-8)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19" sqref="I19"/>
    </sheetView>
  </sheetViews>
  <sheetFormatPr defaultRowHeight="12.75"/>
  <cols>
    <col min="1" max="1" width="38.140625" customWidth="1"/>
    <col min="2" max="2" width="11.5703125" customWidth="1"/>
    <col min="3" max="3" width="15" customWidth="1"/>
    <col min="4" max="4" width="3.28515625" customWidth="1"/>
    <col min="5" max="5" width="16.28515625" customWidth="1"/>
    <col min="6" max="6" width="3.7109375" customWidth="1"/>
    <col min="7" max="7" width="14.85546875" customWidth="1"/>
    <col min="257" max="257" width="38.140625" customWidth="1"/>
    <col min="258" max="258" width="11.5703125" customWidth="1"/>
    <col min="259" max="259" width="15" customWidth="1"/>
    <col min="260" max="260" width="3.28515625" customWidth="1"/>
    <col min="261" max="261" width="16.28515625" customWidth="1"/>
    <col min="262" max="262" width="3.7109375" customWidth="1"/>
    <col min="263" max="263" width="14.85546875" customWidth="1"/>
    <col min="513" max="513" width="38.140625" customWidth="1"/>
    <col min="514" max="514" width="11.5703125" customWidth="1"/>
    <col min="515" max="515" width="15" customWidth="1"/>
    <col min="516" max="516" width="3.28515625" customWidth="1"/>
    <col min="517" max="517" width="16.28515625" customWidth="1"/>
    <col min="518" max="518" width="3.7109375" customWidth="1"/>
    <col min="519" max="519" width="14.85546875" customWidth="1"/>
    <col min="769" max="769" width="38.140625" customWidth="1"/>
    <col min="770" max="770" width="11.5703125" customWidth="1"/>
    <col min="771" max="771" width="15" customWidth="1"/>
    <col min="772" max="772" width="3.28515625" customWidth="1"/>
    <col min="773" max="773" width="16.28515625" customWidth="1"/>
    <col min="774" max="774" width="3.7109375" customWidth="1"/>
    <col min="775" max="775" width="14.85546875" customWidth="1"/>
    <col min="1025" max="1025" width="38.140625" customWidth="1"/>
    <col min="1026" max="1026" width="11.5703125" customWidth="1"/>
    <col min="1027" max="1027" width="15" customWidth="1"/>
    <col min="1028" max="1028" width="3.28515625" customWidth="1"/>
    <col min="1029" max="1029" width="16.28515625" customWidth="1"/>
    <col min="1030" max="1030" width="3.7109375" customWidth="1"/>
    <col min="1031" max="1031" width="14.85546875" customWidth="1"/>
    <col min="1281" max="1281" width="38.140625" customWidth="1"/>
    <col min="1282" max="1282" width="11.5703125" customWidth="1"/>
    <col min="1283" max="1283" width="15" customWidth="1"/>
    <col min="1284" max="1284" width="3.28515625" customWidth="1"/>
    <col min="1285" max="1285" width="16.28515625" customWidth="1"/>
    <col min="1286" max="1286" width="3.7109375" customWidth="1"/>
    <col min="1287" max="1287" width="14.85546875" customWidth="1"/>
    <col min="1537" max="1537" width="38.140625" customWidth="1"/>
    <col min="1538" max="1538" width="11.5703125" customWidth="1"/>
    <col min="1539" max="1539" width="15" customWidth="1"/>
    <col min="1540" max="1540" width="3.28515625" customWidth="1"/>
    <col min="1541" max="1541" width="16.28515625" customWidth="1"/>
    <col min="1542" max="1542" width="3.7109375" customWidth="1"/>
    <col min="1543" max="1543" width="14.85546875" customWidth="1"/>
    <col min="1793" max="1793" width="38.140625" customWidth="1"/>
    <col min="1794" max="1794" width="11.5703125" customWidth="1"/>
    <col min="1795" max="1795" width="15" customWidth="1"/>
    <col min="1796" max="1796" width="3.28515625" customWidth="1"/>
    <col min="1797" max="1797" width="16.28515625" customWidth="1"/>
    <col min="1798" max="1798" width="3.7109375" customWidth="1"/>
    <col min="1799" max="1799" width="14.85546875" customWidth="1"/>
    <col min="2049" max="2049" width="38.140625" customWidth="1"/>
    <col min="2050" max="2050" width="11.5703125" customWidth="1"/>
    <col min="2051" max="2051" width="15" customWidth="1"/>
    <col min="2052" max="2052" width="3.28515625" customWidth="1"/>
    <col min="2053" max="2053" width="16.28515625" customWidth="1"/>
    <col min="2054" max="2054" width="3.7109375" customWidth="1"/>
    <col min="2055" max="2055" width="14.85546875" customWidth="1"/>
    <col min="2305" max="2305" width="38.140625" customWidth="1"/>
    <col min="2306" max="2306" width="11.5703125" customWidth="1"/>
    <col min="2307" max="2307" width="15" customWidth="1"/>
    <col min="2308" max="2308" width="3.28515625" customWidth="1"/>
    <col min="2309" max="2309" width="16.28515625" customWidth="1"/>
    <col min="2310" max="2310" width="3.7109375" customWidth="1"/>
    <col min="2311" max="2311" width="14.85546875" customWidth="1"/>
    <col min="2561" max="2561" width="38.140625" customWidth="1"/>
    <col min="2562" max="2562" width="11.5703125" customWidth="1"/>
    <col min="2563" max="2563" width="15" customWidth="1"/>
    <col min="2564" max="2564" width="3.28515625" customWidth="1"/>
    <col min="2565" max="2565" width="16.28515625" customWidth="1"/>
    <col min="2566" max="2566" width="3.7109375" customWidth="1"/>
    <col min="2567" max="2567" width="14.85546875" customWidth="1"/>
    <col min="2817" max="2817" width="38.140625" customWidth="1"/>
    <col min="2818" max="2818" width="11.5703125" customWidth="1"/>
    <col min="2819" max="2819" width="15" customWidth="1"/>
    <col min="2820" max="2820" width="3.28515625" customWidth="1"/>
    <col min="2821" max="2821" width="16.28515625" customWidth="1"/>
    <col min="2822" max="2822" width="3.7109375" customWidth="1"/>
    <col min="2823" max="2823" width="14.85546875" customWidth="1"/>
    <col min="3073" max="3073" width="38.140625" customWidth="1"/>
    <col min="3074" max="3074" width="11.5703125" customWidth="1"/>
    <col min="3075" max="3075" width="15" customWidth="1"/>
    <col min="3076" max="3076" width="3.28515625" customWidth="1"/>
    <col min="3077" max="3077" width="16.28515625" customWidth="1"/>
    <col min="3078" max="3078" width="3.7109375" customWidth="1"/>
    <col min="3079" max="3079" width="14.85546875" customWidth="1"/>
    <col min="3329" max="3329" width="38.140625" customWidth="1"/>
    <col min="3330" max="3330" width="11.5703125" customWidth="1"/>
    <col min="3331" max="3331" width="15" customWidth="1"/>
    <col min="3332" max="3332" width="3.28515625" customWidth="1"/>
    <col min="3333" max="3333" width="16.28515625" customWidth="1"/>
    <col min="3334" max="3334" width="3.7109375" customWidth="1"/>
    <col min="3335" max="3335" width="14.85546875" customWidth="1"/>
    <col min="3585" max="3585" width="38.140625" customWidth="1"/>
    <col min="3586" max="3586" width="11.5703125" customWidth="1"/>
    <col min="3587" max="3587" width="15" customWidth="1"/>
    <col min="3588" max="3588" width="3.28515625" customWidth="1"/>
    <col min="3589" max="3589" width="16.28515625" customWidth="1"/>
    <col min="3590" max="3590" width="3.7109375" customWidth="1"/>
    <col min="3591" max="3591" width="14.85546875" customWidth="1"/>
    <col min="3841" max="3841" width="38.140625" customWidth="1"/>
    <col min="3842" max="3842" width="11.5703125" customWidth="1"/>
    <col min="3843" max="3843" width="15" customWidth="1"/>
    <col min="3844" max="3844" width="3.28515625" customWidth="1"/>
    <col min="3845" max="3845" width="16.28515625" customWidth="1"/>
    <col min="3846" max="3846" width="3.7109375" customWidth="1"/>
    <col min="3847" max="3847" width="14.85546875" customWidth="1"/>
    <col min="4097" max="4097" width="38.140625" customWidth="1"/>
    <col min="4098" max="4098" width="11.5703125" customWidth="1"/>
    <col min="4099" max="4099" width="15" customWidth="1"/>
    <col min="4100" max="4100" width="3.28515625" customWidth="1"/>
    <col min="4101" max="4101" width="16.28515625" customWidth="1"/>
    <col min="4102" max="4102" width="3.7109375" customWidth="1"/>
    <col min="4103" max="4103" width="14.85546875" customWidth="1"/>
    <col min="4353" max="4353" width="38.140625" customWidth="1"/>
    <col min="4354" max="4354" width="11.5703125" customWidth="1"/>
    <col min="4355" max="4355" width="15" customWidth="1"/>
    <col min="4356" max="4356" width="3.28515625" customWidth="1"/>
    <col min="4357" max="4357" width="16.28515625" customWidth="1"/>
    <col min="4358" max="4358" width="3.7109375" customWidth="1"/>
    <col min="4359" max="4359" width="14.85546875" customWidth="1"/>
    <col min="4609" max="4609" width="38.140625" customWidth="1"/>
    <col min="4610" max="4610" width="11.5703125" customWidth="1"/>
    <col min="4611" max="4611" width="15" customWidth="1"/>
    <col min="4612" max="4612" width="3.28515625" customWidth="1"/>
    <col min="4613" max="4613" width="16.28515625" customWidth="1"/>
    <col min="4614" max="4614" width="3.7109375" customWidth="1"/>
    <col min="4615" max="4615" width="14.85546875" customWidth="1"/>
    <col min="4865" max="4865" width="38.140625" customWidth="1"/>
    <col min="4866" max="4866" width="11.5703125" customWidth="1"/>
    <col min="4867" max="4867" width="15" customWidth="1"/>
    <col min="4868" max="4868" width="3.28515625" customWidth="1"/>
    <col min="4869" max="4869" width="16.28515625" customWidth="1"/>
    <col min="4870" max="4870" width="3.7109375" customWidth="1"/>
    <col min="4871" max="4871" width="14.85546875" customWidth="1"/>
    <col min="5121" max="5121" width="38.140625" customWidth="1"/>
    <col min="5122" max="5122" width="11.5703125" customWidth="1"/>
    <col min="5123" max="5123" width="15" customWidth="1"/>
    <col min="5124" max="5124" width="3.28515625" customWidth="1"/>
    <col min="5125" max="5125" width="16.28515625" customWidth="1"/>
    <col min="5126" max="5126" width="3.7109375" customWidth="1"/>
    <col min="5127" max="5127" width="14.85546875" customWidth="1"/>
    <col min="5377" max="5377" width="38.140625" customWidth="1"/>
    <col min="5378" max="5378" width="11.5703125" customWidth="1"/>
    <col min="5379" max="5379" width="15" customWidth="1"/>
    <col min="5380" max="5380" width="3.28515625" customWidth="1"/>
    <col min="5381" max="5381" width="16.28515625" customWidth="1"/>
    <col min="5382" max="5382" width="3.7109375" customWidth="1"/>
    <col min="5383" max="5383" width="14.85546875" customWidth="1"/>
    <col min="5633" max="5633" width="38.140625" customWidth="1"/>
    <col min="5634" max="5634" width="11.5703125" customWidth="1"/>
    <col min="5635" max="5635" width="15" customWidth="1"/>
    <col min="5636" max="5636" width="3.28515625" customWidth="1"/>
    <col min="5637" max="5637" width="16.28515625" customWidth="1"/>
    <col min="5638" max="5638" width="3.7109375" customWidth="1"/>
    <col min="5639" max="5639" width="14.85546875" customWidth="1"/>
    <col min="5889" max="5889" width="38.140625" customWidth="1"/>
    <col min="5890" max="5890" width="11.5703125" customWidth="1"/>
    <col min="5891" max="5891" width="15" customWidth="1"/>
    <col min="5892" max="5892" width="3.28515625" customWidth="1"/>
    <col min="5893" max="5893" width="16.28515625" customWidth="1"/>
    <col min="5894" max="5894" width="3.7109375" customWidth="1"/>
    <col min="5895" max="5895" width="14.85546875" customWidth="1"/>
    <col min="6145" max="6145" width="38.140625" customWidth="1"/>
    <col min="6146" max="6146" width="11.5703125" customWidth="1"/>
    <col min="6147" max="6147" width="15" customWidth="1"/>
    <col min="6148" max="6148" width="3.28515625" customWidth="1"/>
    <col min="6149" max="6149" width="16.28515625" customWidth="1"/>
    <col min="6150" max="6150" width="3.7109375" customWidth="1"/>
    <col min="6151" max="6151" width="14.85546875" customWidth="1"/>
    <col min="6401" max="6401" width="38.140625" customWidth="1"/>
    <col min="6402" max="6402" width="11.5703125" customWidth="1"/>
    <col min="6403" max="6403" width="15" customWidth="1"/>
    <col min="6404" max="6404" width="3.28515625" customWidth="1"/>
    <col min="6405" max="6405" width="16.28515625" customWidth="1"/>
    <col min="6406" max="6406" width="3.7109375" customWidth="1"/>
    <col min="6407" max="6407" width="14.85546875" customWidth="1"/>
    <col min="6657" max="6657" width="38.140625" customWidth="1"/>
    <col min="6658" max="6658" width="11.5703125" customWidth="1"/>
    <col min="6659" max="6659" width="15" customWidth="1"/>
    <col min="6660" max="6660" width="3.28515625" customWidth="1"/>
    <col min="6661" max="6661" width="16.28515625" customWidth="1"/>
    <col min="6662" max="6662" width="3.7109375" customWidth="1"/>
    <col min="6663" max="6663" width="14.85546875" customWidth="1"/>
    <col min="6913" max="6913" width="38.140625" customWidth="1"/>
    <col min="6914" max="6914" width="11.5703125" customWidth="1"/>
    <col min="6915" max="6915" width="15" customWidth="1"/>
    <col min="6916" max="6916" width="3.28515625" customWidth="1"/>
    <col min="6917" max="6917" width="16.28515625" customWidth="1"/>
    <col min="6918" max="6918" width="3.7109375" customWidth="1"/>
    <col min="6919" max="6919" width="14.85546875" customWidth="1"/>
    <col min="7169" max="7169" width="38.140625" customWidth="1"/>
    <col min="7170" max="7170" width="11.5703125" customWidth="1"/>
    <col min="7171" max="7171" width="15" customWidth="1"/>
    <col min="7172" max="7172" width="3.28515625" customWidth="1"/>
    <col min="7173" max="7173" width="16.28515625" customWidth="1"/>
    <col min="7174" max="7174" width="3.7109375" customWidth="1"/>
    <col min="7175" max="7175" width="14.85546875" customWidth="1"/>
    <col min="7425" max="7425" width="38.140625" customWidth="1"/>
    <col min="7426" max="7426" width="11.5703125" customWidth="1"/>
    <col min="7427" max="7427" width="15" customWidth="1"/>
    <col min="7428" max="7428" width="3.28515625" customWidth="1"/>
    <col min="7429" max="7429" width="16.28515625" customWidth="1"/>
    <col min="7430" max="7430" width="3.7109375" customWidth="1"/>
    <col min="7431" max="7431" width="14.85546875" customWidth="1"/>
    <col min="7681" max="7681" width="38.140625" customWidth="1"/>
    <col min="7682" max="7682" width="11.5703125" customWidth="1"/>
    <col min="7683" max="7683" width="15" customWidth="1"/>
    <col min="7684" max="7684" width="3.28515625" customWidth="1"/>
    <col min="7685" max="7685" width="16.28515625" customWidth="1"/>
    <col min="7686" max="7686" width="3.7109375" customWidth="1"/>
    <col min="7687" max="7687" width="14.85546875" customWidth="1"/>
    <col min="7937" max="7937" width="38.140625" customWidth="1"/>
    <col min="7938" max="7938" width="11.5703125" customWidth="1"/>
    <col min="7939" max="7939" width="15" customWidth="1"/>
    <col min="7940" max="7940" width="3.28515625" customWidth="1"/>
    <col min="7941" max="7941" width="16.28515625" customWidth="1"/>
    <col min="7942" max="7942" width="3.7109375" customWidth="1"/>
    <col min="7943" max="7943" width="14.85546875" customWidth="1"/>
    <col min="8193" max="8193" width="38.140625" customWidth="1"/>
    <col min="8194" max="8194" width="11.5703125" customWidth="1"/>
    <col min="8195" max="8195" width="15" customWidth="1"/>
    <col min="8196" max="8196" width="3.28515625" customWidth="1"/>
    <col min="8197" max="8197" width="16.28515625" customWidth="1"/>
    <col min="8198" max="8198" width="3.7109375" customWidth="1"/>
    <col min="8199" max="8199" width="14.85546875" customWidth="1"/>
    <col min="8449" max="8449" width="38.140625" customWidth="1"/>
    <col min="8450" max="8450" width="11.5703125" customWidth="1"/>
    <col min="8451" max="8451" width="15" customWidth="1"/>
    <col min="8452" max="8452" width="3.28515625" customWidth="1"/>
    <col min="8453" max="8453" width="16.28515625" customWidth="1"/>
    <col min="8454" max="8454" width="3.7109375" customWidth="1"/>
    <col min="8455" max="8455" width="14.85546875" customWidth="1"/>
    <col min="8705" max="8705" width="38.140625" customWidth="1"/>
    <col min="8706" max="8706" width="11.5703125" customWidth="1"/>
    <col min="8707" max="8707" width="15" customWidth="1"/>
    <col min="8708" max="8708" width="3.28515625" customWidth="1"/>
    <col min="8709" max="8709" width="16.28515625" customWidth="1"/>
    <col min="8710" max="8710" width="3.7109375" customWidth="1"/>
    <col min="8711" max="8711" width="14.85546875" customWidth="1"/>
    <col min="8961" max="8961" width="38.140625" customWidth="1"/>
    <col min="8962" max="8962" width="11.5703125" customWidth="1"/>
    <col min="8963" max="8963" width="15" customWidth="1"/>
    <col min="8964" max="8964" width="3.28515625" customWidth="1"/>
    <col min="8965" max="8965" width="16.28515625" customWidth="1"/>
    <col min="8966" max="8966" width="3.7109375" customWidth="1"/>
    <col min="8967" max="8967" width="14.85546875" customWidth="1"/>
    <col min="9217" max="9217" width="38.140625" customWidth="1"/>
    <col min="9218" max="9218" width="11.5703125" customWidth="1"/>
    <col min="9219" max="9219" width="15" customWidth="1"/>
    <col min="9220" max="9220" width="3.28515625" customWidth="1"/>
    <col min="9221" max="9221" width="16.28515625" customWidth="1"/>
    <col min="9222" max="9222" width="3.7109375" customWidth="1"/>
    <col min="9223" max="9223" width="14.85546875" customWidth="1"/>
    <col min="9473" max="9473" width="38.140625" customWidth="1"/>
    <col min="9474" max="9474" width="11.5703125" customWidth="1"/>
    <col min="9475" max="9475" width="15" customWidth="1"/>
    <col min="9476" max="9476" width="3.28515625" customWidth="1"/>
    <col min="9477" max="9477" width="16.28515625" customWidth="1"/>
    <col min="9478" max="9478" width="3.7109375" customWidth="1"/>
    <col min="9479" max="9479" width="14.85546875" customWidth="1"/>
    <col min="9729" max="9729" width="38.140625" customWidth="1"/>
    <col min="9730" max="9730" width="11.5703125" customWidth="1"/>
    <col min="9731" max="9731" width="15" customWidth="1"/>
    <col min="9732" max="9732" width="3.28515625" customWidth="1"/>
    <col min="9733" max="9733" width="16.28515625" customWidth="1"/>
    <col min="9734" max="9734" width="3.7109375" customWidth="1"/>
    <col min="9735" max="9735" width="14.85546875" customWidth="1"/>
    <col min="9985" max="9985" width="38.140625" customWidth="1"/>
    <col min="9986" max="9986" width="11.5703125" customWidth="1"/>
    <col min="9987" max="9987" width="15" customWidth="1"/>
    <col min="9988" max="9988" width="3.28515625" customWidth="1"/>
    <col min="9989" max="9989" width="16.28515625" customWidth="1"/>
    <col min="9990" max="9990" width="3.7109375" customWidth="1"/>
    <col min="9991" max="9991" width="14.85546875" customWidth="1"/>
    <col min="10241" max="10241" width="38.140625" customWidth="1"/>
    <col min="10242" max="10242" width="11.5703125" customWidth="1"/>
    <col min="10243" max="10243" width="15" customWidth="1"/>
    <col min="10244" max="10244" width="3.28515625" customWidth="1"/>
    <col min="10245" max="10245" width="16.28515625" customWidth="1"/>
    <col min="10246" max="10246" width="3.7109375" customWidth="1"/>
    <col min="10247" max="10247" width="14.85546875" customWidth="1"/>
    <col min="10497" max="10497" width="38.140625" customWidth="1"/>
    <col min="10498" max="10498" width="11.5703125" customWidth="1"/>
    <col min="10499" max="10499" width="15" customWidth="1"/>
    <col min="10500" max="10500" width="3.28515625" customWidth="1"/>
    <col min="10501" max="10501" width="16.28515625" customWidth="1"/>
    <col min="10502" max="10502" width="3.7109375" customWidth="1"/>
    <col min="10503" max="10503" width="14.85546875" customWidth="1"/>
    <col min="10753" max="10753" width="38.140625" customWidth="1"/>
    <col min="10754" max="10754" width="11.5703125" customWidth="1"/>
    <col min="10755" max="10755" width="15" customWidth="1"/>
    <col min="10756" max="10756" width="3.28515625" customWidth="1"/>
    <col min="10757" max="10757" width="16.28515625" customWidth="1"/>
    <col min="10758" max="10758" width="3.7109375" customWidth="1"/>
    <col min="10759" max="10759" width="14.85546875" customWidth="1"/>
    <col min="11009" max="11009" width="38.140625" customWidth="1"/>
    <col min="11010" max="11010" width="11.5703125" customWidth="1"/>
    <col min="11011" max="11011" width="15" customWidth="1"/>
    <col min="11012" max="11012" width="3.28515625" customWidth="1"/>
    <col min="11013" max="11013" width="16.28515625" customWidth="1"/>
    <col min="11014" max="11014" width="3.7109375" customWidth="1"/>
    <col min="11015" max="11015" width="14.85546875" customWidth="1"/>
    <col min="11265" max="11265" width="38.140625" customWidth="1"/>
    <col min="11266" max="11266" width="11.5703125" customWidth="1"/>
    <col min="11267" max="11267" width="15" customWidth="1"/>
    <col min="11268" max="11268" width="3.28515625" customWidth="1"/>
    <col min="11269" max="11269" width="16.28515625" customWidth="1"/>
    <col min="11270" max="11270" width="3.7109375" customWidth="1"/>
    <col min="11271" max="11271" width="14.85546875" customWidth="1"/>
    <col min="11521" max="11521" width="38.140625" customWidth="1"/>
    <col min="11522" max="11522" width="11.5703125" customWidth="1"/>
    <col min="11523" max="11523" width="15" customWidth="1"/>
    <col min="11524" max="11524" width="3.28515625" customWidth="1"/>
    <col min="11525" max="11525" width="16.28515625" customWidth="1"/>
    <col min="11526" max="11526" width="3.7109375" customWidth="1"/>
    <col min="11527" max="11527" width="14.85546875" customWidth="1"/>
    <col min="11777" max="11777" width="38.140625" customWidth="1"/>
    <col min="11778" max="11778" width="11.5703125" customWidth="1"/>
    <col min="11779" max="11779" width="15" customWidth="1"/>
    <col min="11780" max="11780" width="3.28515625" customWidth="1"/>
    <col min="11781" max="11781" width="16.28515625" customWidth="1"/>
    <col min="11782" max="11782" width="3.7109375" customWidth="1"/>
    <col min="11783" max="11783" width="14.85546875" customWidth="1"/>
    <col min="12033" max="12033" width="38.140625" customWidth="1"/>
    <col min="12034" max="12034" width="11.5703125" customWidth="1"/>
    <col min="12035" max="12035" width="15" customWidth="1"/>
    <col min="12036" max="12036" width="3.28515625" customWidth="1"/>
    <col min="12037" max="12037" width="16.28515625" customWidth="1"/>
    <col min="12038" max="12038" width="3.7109375" customWidth="1"/>
    <col min="12039" max="12039" width="14.85546875" customWidth="1"/>
    <col min="12289" max="12289" width="38.140625" customWidth="1"/>
    <col min="12290" max="12290" width="11.5703125" customWidth="1"/>
    <col min="12291" max="12291" width="15" customWidth="1"/>
    <col min="12292" max="12292" width="3.28515625" customWidth="1"/>
    <col min="12293" max="12293" width="16.28515625" customWidth="1"/>
    <col min="12294" max="12294" width="3.7109375" customWidth="1"/>
    <col min="12295" max="12295" width="14.85546875" customWidth="1"/>
    <col min="12545" max="12545" width="38.140625" customWidth="1"/>
    <col min="12546" max="12546" width="11.5703125" customWidth="1"/>
    <col min="12547" max="12547" width="15" customWidth="1"/>
    <col min="12548" max="12548" width="3.28515625" customWidth="1"/>
    <col min="12549" max="12549" width="16.28515625" customWidth="1"/>
    <col min="12550" max="12550" width="3.7109375" customWidth="1"/>
    <col min="12551" max="12551" width="14.85546875" customWidth="1"/>
    <col min="12801" max="12801" width="38.140625" customWidth="1"/>
    <col min="12802" max="12802" width="11.5703125" customWidth="1"/>
    <col min="12803" max="12803" width="15" customWidth="1"/>
    <col min="12804" max="12804" width="3.28515625" customWidth="1"/>
    <col min="12805" max="12805" width="16.28515625" customWidth="1"/>
    <col min="12806" max="12806" width="3.7109375" customWidth="1"/>
    <col min="12807" max="12807" width="14.85546875" customWidth="1"/>
    <col min="13057" max="13057" width="38.140625" customWidth="1"/>
    <col min="13058" max="13058" width="11.5703125" customWidth="1"/>
    <col min="13059" max="13059" width="15" customWidth="1"/>
    <col min="13060" max="13060" width="3.28515625" customWidth="1"/>
    <col min="13061" max="13061" width="16.28515625" customWidth="1"/>
    <col min="13062" max="13062" width="3.7109375" customWidth="1"/>
    <col min="13063" max="13063" width="14.85546875" customWidth="1"/>
    <col min="13313" max="13313" width="38.140625" customWidth="1"/>
    <col min="13314" max="13314" width="11.5703125" customWidth="1"/>
    <col min="13315" max="13315" width="15" customWidth="1"/>
    <col min="13316" max="13316" width="3.28515625" customWidth="1"/>
    <col min="13317" max="13317" width="16.28515625" customWidth="1"/>
    <col min="13318" max="13318" width="3.7109375" customWidth="1"/>
    <col min="13319" max="13319" width="14.85546875" customWidth="1"/>
    <col min="13569" max="13569" width="38.140625" customWidth="1"/>
    <col min="13570" max="13570" width="11.5703125" customWidth="1"/>
    <col min="13571" max="13571" width="15" customWidth="1"/>
    <col min="13572" max="13572" width="3.28515625" customWidth="1"/>
    <col min="13573" max="13573" width="16.28515625" customWidth="1"/>
    <col min="13574" max="13574" width="3.7109375" customWidth="1"/>
    <col min="13575" max="13575" width="14.85546875" customWidth="1"/>
    <col min="13825" max="13825" width="38.140625" customWidth="1"/>
    <col min="13826" max="13826" width="11.5703125" customWidth="1"/>
    <col min="13827" max="13827" width="15" customWidth="1"/>
    <col min="13828" max="13828" width="3.28515625" customWidth="1"/>
    <col min="13829" max="13829" width="16.28515625" customWidth="1"/>
    <col min="13830" max="13830" width="3.7109375" customWidth="1"/>
    <col min="13831" max="13831" width="14.85546875" customWidth="1"/>
    <col min="14081" max="14081" width="38.140625" customWidth="1"/>
    <col min="14082" max="14082" width="11.5703125" customWidth="1"/>
    <col min="14083" max="14083" width="15" customWidth="1"/>
    <col min="14084" max="14084" width="3.28515625" customWidth="1"/>
    <col min="14085" max="14085" width="16.28515625" customWidth="1"/>
    <col min="14086" max="14086" width="3.7109375" customWidth="1"/>
    <col min="14087" max="14087" width="14.85546875" customWidth="1"/>
    <col min="14337" max="14337" width="38.140625" customWidth="1"/>
    <col min="14338" max="14338" width="11.5703125" customWidth="1"/>
    <col min="14339" max="14339" width="15" customWidth="1"/>
    <col min="14340" max="14340" width="3.28515625" customWidth="1"/>
    <col min="14341" max="14341" width="16.28515625" customWidth="1"/>
    <col min="14342" max="14342" width="3.7109375" customWidth="1"/>
    <col min="14343" max="14343" width="14.85546875" customWidth="1"/>
    <col min="14593" max="14593" width="38.140625" customWidth="1"/>
    <col min="14594" max="14594" width="11.5703125" customWidth="1"/>
    <col min="14595" max="14595" width="15" customWidth="1"/>
    <col min="14596" max="14596" width="3.28515625" customWidth="1"/>
    <col min="14597" max="14597" width="16.28515625" customWidth="1"/>
    <col min="14598" max="14598" width="3.7109375" customWidth="1"/>
    <col min="14599" max="14599" width="14.85546875" customWidth="1"/>
    <col min="14849" max="14849" width="38.140625" customWidth="1"/>
    <col min="14850" max="14850" width="11.5703125" customWidth="1"/>
    <col min="14851" max="14851" width="15" customWidth="1"/>
    <col min="14852" max="14852" width="3.28515625" customWidth="1"/>
    <col min="14853" max="14853" width="16.28515625" customWidth="1"/>
    <col min="14854" max="14854" width="3.7109375" customWidth="1"/>
    <col min="14855" max="14855" width="14.85546875" customWidth="1"/>
    <col min="15105" max="15105" width="38.140625" customWidth="1"/>
    <col min="15106" max="15106" width="11.5703125" customWidth="1"/>
    <col min="15107" max="15107" width="15" customWidth="1"/>
    <col min="15108" max="15108" width="3.28515625" customWidth="1"/>
    <col min="15109" max="15109" width="16.28515625" customWidth="1"/>
    <col min="15110" max="15110" width="3.7109375" customWidth="1"/>
    <col min="15111" max="15111" width="14.85546875" customWidth="1"/>
    <col min="15361" max="15361" width="38.140625" customWidth="1"/>
    <col min="15362" max="15362" width="11.5703125" customWidth="1"/>
    <col min="15363" max="15363" width="15" customWidth="1"/>
    <col min="15364" max="15364" width="3.28515625" customWidth="1"/>
    <col min="15365" max="15365" width="16.28515625" customWidth="1"/>
    <col min="15366" max="15366" width="3.7109375" customWidth="1"/>
    <col min="15367" max="15367" width="14.85546875" customWidth="1"/>
    <col min="15617" max="15617" width="38.140625" customWidth="1"/>
    <col min="15618" max="15618" width="11.5703125" customWidth="1"/>
    <col min="15619" max="15619" width="15" customWidth="1"/>
    <col min="15620" max="15620" width="3.28515625" customWidth="1"/>
    <col min="15621" max="15621" width="16.28515625" customWidth="1"/>
    <col min="15622" max="15622" width="3.7109375" customWidth="1"/>
    <col min="15623" max="15623" width="14.85546875" customWidth="1"/>
    <col min="15873" max="15873" width="38.140625" customWidth="1"/>
    <col min="15874" max="15874" width="11.5703125" customWidth="1"/>
    <col min="15875" max="15875" width="15" customWidth="1"/>
    <col min="15876" max="15876" width="3.28515625" customWidth="1"/>
    <col min="15877" max="15877" width="16.28515625" customWidth="1"/>
    <col min="15878" max="15878" width="3.7109375" customWidth="1"/>
    <col min="15879" max="15879" width="14.85546875" customWidth="1"/>
    <col min="16129" max="16129" width="38.140625" customWidth="1"/>
    <col min="16130" max="16130" width="11.5703125" customWidth="1"/>
    <col min="16131" max="16131" width="15" customWidth="1"/>
    <col min="16132" max="16132" width="3.28515625" customWidth="1"/>
    <col min="16133" max="16133" width="16.28515625" customWidth="1"/>
    <col min="16134" max="16134" width="3.7109375" customWidth="1"/>
    <col min="16135" max="16135" width="14.85546875" customWidth="1"/>
  </cols>
  <sheetData>
    <row r="1" spans="1:9" ht="18.75" thickBot="1">
      <c r="A1" s="87"/>
      <c r="B1" s="1"/>
    </row>
    <row r="2" spans="1:9" ht="67.5" customHeight="1">
      <c r="A2" s="88" t="s">
        <v>68</v>
      </c>
      <c r="B2" s="89"/>
      <c r="C2" s="90" t="s">
        <v>69</v>
      </c>
      <c r="D2" s="89"/>
      <c r="E2" s="90" t="s">
        <v>70</v>
      </c>
      <c r="F2" s="89"/>
      <c r="G2" s="91" t="s">
        <v>71</v>
      </c>
    </row>
    <row r="3" spans="1:9" ht="25.5" customHeight="1">
      <c r="A3" s="92" t="s">
        <v>72</v>
      </c>
      <c r="B3" s="93"/>
      <c r="C3" s="94"/>
      <c r="D3" s="95"/>
      <c r="E3" s="96">
        <v>0.64590000000000003</v>
      </c>
      <c r="F3" s="95"/>
      <c r="G3" s="97">
        <v>0.35410000000000003</v>
      </c>
    </row>
    <row r="4" spans="1:9" ht="15.75">
      <c r="A4" s="98"/>
      <c r="B4" s="93"/>
      <c r="C4" s="94"/>
      <c r="D4" s="95"/>
      <c r="E4" s="99"/>
      <c r="F4" s="95"/>
      <c r="G4" s="100"/>
    </row>
    <row r="5" spans="1:9" ht="15.75">
      <c r="A5" s="101" t="s">
        <v>73</v>
      </c>
      <c r="B5" s="93"/>
      <c r="C5" s="95"/>
      <c r="D5" s="95"/>
      <c r="E5" s="95"/>
      <c r="F5" s="95"/>
      <c r="G5" s="102"/>
    </row>
    <row r="6" spans="1:9" ht="15.75">
      <c r="A6" s="103" t="s">
        <v>74</v>
      </c>
      <c r="B6" s="104"/>
      <c r="C6" s="105">
        <v>1500000</v>
      </c>
      <c r="D6" s="104"/>
      <c r="E6" s="106">
        <f>C6*E3</f>
        <v>968850</v>
      </c>
      <c r="F6" s="107"/>
      <c r="G6" s="108">
        <f>C6*G3</f>
        <v>531150</v>
      </c>
      <c r="I6" s="1" t="s">
        <v>81</v>
      </c>
    </row>
    <row r="7" spans="1:9" ht="15">
      <c r="A7" s="103"/>
      <c r="B7" s="104"/>
      <c r="C7" s="104"/>
      <c r="D7" s="104"/>
      <c r="E7" s="104"/>
      <c r="F7" s="104"/>
      <c r="G7" s="102"/>
    </row>
    <row r="8" spans="1:9" ht="15">
      <c r="A8" s="103" t="s">
        <v>75</v>
      </c>
      <c r="B8" s="104"/>
      <c r="C8" s="105"/>
      <c r="D8" s="104"/>
      <c r="E8" s="107">
        <f>E6</f>
        <v>968850</v>
      </c>
      <c r="F8" s="107"/>
      <c r="G8" s="109">
        <f>G6</f>
        <v>531150</v>
      </c>
    </row>
    <row r="9" spans="1:9" ht="15">
      <c r="A9" s="103"/>
      <c r="B9" s="104"/>
      <c r="C9" s="104"/>
      <c r="D9" s="104"/>
      <c r="E9" s="104"/>
      <c r="F9" s="104"/>
      <c r="G9" s="102"/>
    </row>
    <row r="10" spans="1:9" ht="15">
      <c r="A10" s="103"/>
      <c r="B10" s="104"/>
      <c r="C10" s="104"/>
      <c r="D10" s="104"/>
      <c r="E10" s="104"/>
      <c r="F10" s="104"/>
      <c r="G10" s="102"/>
    </row>
    <row r="11" spans="1:9" ht="15">
      <c r="A11" s="103" t="s">
        <v>76</v>
      </c>
      <c r="B11" s="110">
        <v>1.2215999999999999E-2</v>
      </c>
      <c r="C11" s="104"/>
      <c r="D11" s="104"/>
      <c r="E11" s="111"/>
      <c r="F11" s="104"/>
      <c r="G11" s="108">
        <f>G8*B11</f>
        <v>6488.5284000000001</v>
      </c>
    </row>
    <row r="12" spans="1:9" ht="15">
      <c r="A12" s="103"/>
      <c r="B12" s="104"/>
      <c r="C12" s="104"/>
      <c r="D12" s="104"/>
      <c r="E12" s="104"/>
      <c r="F12" s="104"/>
      <c r="G12" s="102"/>
    </row>
    <row r="13" spans="1:9" ht="15">
      <c r="A13" s="103"/>
      <c r="B13" s="104"/>
      <c r="C13" s="104"/>
      <c r="D13" s="104"/>
      <c r="E13" s="104"/>
      <c r="F13" s="104"/>
      <c r="G13" s="102"/>
    </row>
    <row r="14" spans="1:9" ht="15">
      <c r="A14" s="103" t="s">
        <v>77</v>
      </c>
      <c r="B14" s="104"/>
      <c r="C14" s="104"/>
      <c r="D14" s="104"/>
      <c r="E14" s="105">
        <f>E8</f>
        <v>968850</v>
      </c>
      <c r="F14" s="104"/>
      <c r="G14" s="112">
        <f>G8-G11</f>
        <v>524661.47160000005</v>
      </c>
    </row>
    <row r="15" spans="1:9" ht="15">
      <c r="A15" s="103"/>
      <c r="B15" s="104"/>
      <c r="C15" s="104"/>
      <c r="D15" s="104"/>
      <c r="E15" s="104"/>
      <c r="F15" s="104"/>
      <c r="G15" s="102"/>
    </row>
    <row r="16" spans="1:9" ht="15">
      <c r="A16" s="103" t="s">
        <v>78</v>
      </c>
      <c r="B16" s="113">
        <v>0.35</v>
      </c>
      <c r="C16" s="104"/>
      <c r="D16" s="104"/>
      <c r="E16" s="114">
        <f>E14*B16</f>
        <v>339097.5</v>
      </c>
      <c r="F16" s="104"/>
      <c r="G16" s="115">
        <f>G14*B16</f>
        <v>183631.51506000001</v>
      </c>
    </row>
    <row r="17" spans="1:9" ht="15">
      <c r="A17" s="103"/>
      <c r="B17" s="104"/>
      <c r="C17" s="104"/>
      <c r="D17" s="104"/>
      <c r="E17" s="104"/>
      <c r="F17" s="104"/>
      <c r="G17" s="102"/>
    </row>
    <row r="18" spans="1:9" ht="15.75" thickBot="1">
      <c r="A18" s="103" t="s">
        <v>79</v>
      </c>
      <c r="B18" s="104"/>
      <c r="C18" s="104"/>
      <c r="D18" s="104"/>
      <c r="E18" s="116">
        <f>E14-E16</f>
        <v>629752.5</v>
      </c>
      <c r="F18" s="104"/>
      <c r="G18" s="117">
        <f>G14-G16</f>
        <v>341029.95654000004</v>
      </c>
    </row>
    <row r="19" spans="1:9" ht="16.5" thickTop="1" thickBot="1">
      <c r="A19" s="118"/>
      <c r="B19" s="119"/>
      <c r="C19" s="119"/>
      <c r="D19" s="119"/>
      <c r="E19" s="119"/>
      <c r="F19" s="119"/>
      <c r="G19" s="120"/>
      <c r="I19" s="6" t="s">
        <v>251</v>
      </c>
    </row>
    <row r="20" spans="1:9" ht="13.5" thickBot="1">
      <c r="A20" s="121"/>
      <c r="B20" s="121"/>
      <c r="C20" s="121"/>
      <c r="D20" s="121"/>
      <c r="E20" s="121"/>
      <c r="F20" s="121"/>
      <c r="G20" s="121"/>
    </row>
    <row r="21" spans="1:9" ht="47.25">
      <c r="A21" s="122" t="s">
        <v>80</v>
      </c>
      <c r="B21" s="123"/>
      <c r="C21" s="124" t="s">
        <v>69</v>
      </c>
      <c r="D21" s="123"/>
      <c r="E21" s="124" t="s">
        <v>70</v>
      </c>
      <c r="F21" s="123"/>
      <c r="G21" s="125" t="s">
        <v>71</v>
      </c>
    </row>
    <row r="22" spans="1:9" ht="15.75">
      <c r="A22" s="126" t="s">
        <v>72</v>
      </c>
      <c r="B22" s="127"/>
      <c r="C22" s="128"/>
      <c r="D22" s="129"/>
      <c r="E22" s="130">
        <v>0.64590000000000003</v>
      </c>
      <c r="F22" s="129"/>
      <c r="G22" s="131">
        <v>0.35410000000000003</v>
      </c>
    </row>
    <row r="23" spans="1:9" ht="15.75">
      <c r="A23" s="132"/>
      <c r="B23" s="127"/>
      <c r="C23" s="128"/>
      <c r="D23" s="129"/>
      <c r="E23" s="133"/>
      <c r="F23" s="129"/>
      <c r="G23" s="134"/>
    </row>
    <row r="24" spans="1:9" ht="15.75">
      <c r="A24" s="135" t="s">
        <v>73</v>
      </c>
      <c r="B24" s="127"/>
      <c r="C24" s="129"/>
      <c r="D24" s="129"/>
      <c r="E24" s="129"/>
      <c r="F24" s="129"/>
      <c r="G24" s="136"/>
    </row>
    <row r="25" spans="1:9" ht="15.75">
      <c r="A25" s="137" t="s">
        <v>74</v>
      </c>
      <c r="B25" s="138"/>
      <c r="C25" s="139">
        <v>2900000</v>
      </c>
      <c r="D25" s="138"/>
      <c r="E25" s="140">
        <f>C25*E22</f>
        <v>1873110</v>
      </c>
      <c r="F25" s="141"/>
      <c r="G25" s="142">
        <f>C25*G22</f>
        <v>1026890.0000000001</v>
      </c>
    </row>
    <row r="26" spans="1:9" ht="15">
      <c r="A26" s="137"/>
      <c r="B26" s="138"/>
      <c r="C26" s="138"/>
      <c r="D26" s="138"/>
      <c r="E26" s="138"/>
      <c r="F26" s="138"/>
      <c r="G26" s="136"/>
    </row>
    <row r="27" spans="1:9" ht="15">
      <c r="A27" s="137" t="s">
        <v>75</v>
      </c>
      <c r="B27" s="138"/>
      <c r="C27" s="139"/>
      <c r="D27" s="138"/>
      <c r="E27" s="141">
        <f>E25</f>
        <v>1873110</v>
      </c>
      <c r="F27" s="141"/>
      <c r="G27" s="143">
        <f>G25</f>
        <v>1026890.0000000001</v>
      </c>
    </row>
    <row r="28" spans="1:9" ht="15">
      <c r="A28" s="137"/>
      <c r="B28" s="138"/>
      <c r="C28" s="138"/>
      <c r="D28" s="138"/>
      <c r="E28" s="138"/>
      <c r="F28" s="138"/>
      <c r="G28" s="136"/>
    </row>
    <row r="29" spans="1:9" ht="15">
      <c r="A29" s="137"/>
      <c r="B29" s="138"/>
      <c r="C29" s="138"/>
      <c r="D29" s="138"/>
      <c r="E29" s="138"/>
      <c r="F29" s="138"/>
      <c r="G29" s="136"/>
    </row>
    <row r="30" spans="1:9" ht="15">
      <c r="A30" s="137" t="s">
        <v>76</v>
      </c>
      <c r="B30" s="144">
        <v>1.2215999999999999E-2</v>
      </c>
      <c r="C30" s="138"/>
      <c r="D30" s="138"/>
      <c r="E30" s="145"/>
      <c r="F30" s="138"/>
      <c r="G30" s="142">
        <f>G27*B30</f>
        <v>12544.488240000001</v>
      </c>
    </row>
    <row r="31" spans="1:9" ht="15">
      <c r="A31" s="137"/>
      <c r="B31" s="138"/>
      <c r="C31" s="138"/>
      <c r="D31" s="138"/>
      <c r="E31" s="138"/>
      <c r="F31" s="138"/>
      <c r="G31" s="136"/>
    </row>
    <row r="32" spans="1:9" ht="15">
      <c r="A32" s="137"/>
      <c r="B32" s="138"/>
      <c r="C32" s="138"/>
      <c r="D32" s="138"/>
      <c r="E32" s="138"/>
      <c r="F32" s="138"/>
      <c r="G32" s="136"/>
    </row>
    <row r="33" spans="1:7" ht="15">
      <c r="A33" s="137" t="s">
        <v>77</v>
      </c>
      <c r="B33" s="138"/>
      <c r="C33" s="138"/>
      <c r="D33" s="138"/>
      <c r="E33" s="139">
        <f>E27</f>
        <v>1873110</v>
      </c>
      <c r="F33" s="138"/>
      <c r="G33" s="146">
        <f>G27-G30</f>
        <v>1014345.5117600001</v>
      </c>
    </row>
    <row r="34" spans="1:7" ht="15">
      <c r="A34" s="137"/>
      <c r="B34" s="138"/>
      <c r="C34" s="138"/>
      <c r="D34" s="138"/>
      <c r="E34" s="138"/>
      <c r="F34" s="138"/>
      <c r="G34" s="136"/>
    </row>
    <row r="35" spans="1:7" ht="15">
      <c r="A35" s="137" t="s">
        <v>78</v>
      </c>
      <c r="B35" s="147">
        <v>0.35</v>
      </c>
      <c r="C35" s="138"/>
      <c r="D35" s="138"/>
      <c r="E35" s="148">
        <f>E33*B35</f>
        <v>655588.5</v>
      </c>
      <c r="F35" s="138"/>
      <c r="G35" s="149">
        <f>G33*B35</f>
        <v>355020.92911600001</v>
      </c>
    </row>
    <row r="36" spans="1:7" ht="15">
      <c r="A36" s="137"/>
      <c r="B36" s="138"/>
      <c r="C36" s="138"/>
      <c r="D36" s="138"/>
      <c r="E36" s="138"/>
      <c r="F36" s="138"/>
      <c r="G36" s="136"/>
    </row>
    <row r="37" spans="1:7" ht="15.75" thickBot="1">
      <c r="A37" s="137" t="s">
        <v>79</v>
      </c>
      <c r="B37" s="138"/>
      <c r="C37" s="138"/>
      <c r="D37" s="138"/>
      <c r="E37" s="150">
        <f>E33-E35</f>
        <v>1217521.5</v>
      </c>
      <c r="F37" s="138"/>
      <c r="G37" s="151">
        <f>G33-G35</f>
        <v>659324.58264400018</v>
      </c>
    </row>
    <row r="38" spans="1:7" ht="14.25" thickTop="1" thickBot="1">
      <c r="A38" s="2"/>
      <c r="B38" s="3"/>
      <c r="C38" s="3"/>
      <c r="D38" s="3"/>
      <c r="E38" s="3"/>
      <c r="F38" s="3"/>
      <c r="G38" s="152"/>
    </row>
  </sheetData>
  <pageMargins left="0.75" right="0.75" top="1" bottom="1" header="0.5" footer="0.5"/>
  <pageSetup scale="86" orientation="portrait" r:id="rId1"/>
  <headerFooter alignWithMargins="0">
    <oddHeader xml:space="preserve">&amp;C&amp;12Avista Corporation
Colstrip Mercury Emission O and M Expense Adj.
REVISED&amp;RExhibit No.__(EMA-8)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50"/>
  <sheetViews>
    <sheetView topLeftCell="A13" zoomScaleNormal="100" workbookViewId="0">
      <selection activeCell="C51" sqref="C51"/>
    </sheetView>
  </sheetViews>
  <sheetFormatPr defaultRowHeight="12.75"/>
  <cols>
    <col min="1" max="1" width="33.5703125" style="287" customWidth="1"/>
    <col min="2" max="2" width="15.140625" style="287" customWidth="1"/>
    <col min="3" max="3" width="11.42578125" style="287" customWidth="1"/>
    <col min="4" max="4" width="13.140625" style="287" customWidth="1"/>
    <col min="5" max="5" width="13.85546875" style="287" customWidth="1"/>
    <col min="6" max="6" width="16.85546875" style="287" customWidth="1"/>
    <col min="7" max="7" width="16.28515625" style="287" customWidth="1"/>
    <col min="8" max="8" width="11.28515625" style="287" bestFit="1" customWidth="1"/>
    <col min="9" max="9" width="11.85546875" style="287" bestFit="1" customWidth="1"/>
    <col min="10" max="10" width="13.42578125" style="287" bestFit="1" customWidth="1"/>
    <col min="11" max="16384" width="9.140625" style="287"/>
  </cols>
  <sheetData>
    <row r="3" spans="1:6">
      <c r="A3" s="323">
        <v>2008</v>
      </c>
    </row>
    <row r="4" spans="1:6" s="337" customFormat="1" ht="51">
      <c r="A4" s="338" t="s">
        <v>217</v>
      </c>
      <c r="B4" s="337" t="s">
        <v>216</v>
      </c>
      <c r="C4" s="337" t="s">
        <v>215</v>
      </c>
      <c r="D4" s="337" t="s">
        <v>214</v>
      </c>
      <c r="E4" s="337" t="s">
        <v>213</v>
      </c>
    </row>
    <row r="5" spans="1:6">
      <c r="A5" s="287" t="s">
        <v>212</v>
      </c>
      <c r="B5" s="334">
        <v>0.2</v>
      </c>
      <c r="C5" s="335">
        <v>230473</v>
      </c>
      <c r="D5" s="335">
        <f>B5*C5</f>
        <v>46094.600000000006</v>
      </c>
      <c r="E5" s="335">
        <f>C5-D5</f>
        <v>184378.4</v>
      </c>
    </row>
    <row r="6" spans="1:6">
      <c r="A6" s="287" t="s">
        <v>211</v>
      </c>
      <c r="B6" s="334">
        <v>0.4</v>
      </c>
      <c r="C6" s="335">
        <v>23047</v>
      </c>
      <c r="D6" s="335">
        <f>B6*C6</f>
        <v>9218.8000000000011</v>
      </c>
      <c r="E6" s="335">
        <f>C6-D6</f>
        <v>13828.199999999999</v>
      </c>
    </row>
    <row r="7" spans="1:6">
      <c r="A7" s="287" t="s">
        <v>210</v>
      </c>
      <c r="B7" s="334">
        <v>0</v>
      </c>
      <c r="C7" s="335">
        <v>5000</v>
      </c>
      <c r="D7" s="335">
        <f>B7*C7</f>
        <v>0</v>
      </c>
      <c r="E7" s="335">
        <f>C7-D7</f>
        <v>5000</v>
      </c>
    </row>
    <row r="8" spans="1:6">
      <c r="B8" s="334"/>
      <c r="C8" s="336">
        <f>SUM(C5:C7)</f>
        <v>258520</v>
      </c>
      <c r="D8" s="336">
        <f>SUM(D5:D7)</f>
        <v>55313.400000000009</v>
      </c>
      <c r="E8" s="336">
        <f>SUM(E5:E7)</f>
        <v>203206.6</v>
      </c>
      <c r="F8" s="287" t="s">
        <v>209</v>
      </c>
    </row>
    <row r="9" spans="1:6">
      <c r="B9" s="334"/>
      <c r="C9" s="335"/>
      <c r="D9" s="335"/>
      <c r="E9" s="335"/>
    </row>
    <row r="10" spans="1:6">
      <c r="A10" s="287" t="s">
        <v>208</v>
      </c>
      <c r="B10" s="334">
        <v>0</v>
      </c>
      <c r="C10" s="335">
        <f>SUM(D10:E10)</f>
        <v>5000</v>
      </c>
      <c r="D10" s="335">
        <v>0</v>
      </c>
      <c r="E10" s="335">
        <v>5000</v>
      </c>
    </row>
    <row r="11" spans="1:6">
      <c r="B11" s="334"/>
      <c r="C11" s="336">
        <f>C10</f>
        <v>5000</v>
      </c>
      <c r="D11" s="336">
        <f>D10</f>
        <v>0</v>
      </c>
      <c r="E11" s="336">
        <f>E10</f>
        <v>5000</v>
      </c>
      <c r="F11" s="287" t="s">
        <v>207</v>
      </c>
    </row>
    <row r="12" spans="1:6">
      <c r="B12" s="334"/>
      <c r="C12" s="335"/>
      <c r="D12" s="335"/>
      <c r="E12" s="335"/>
    </row>
    <row r="13" spans="1:6">
      <c r="A13" s="287" t="s">
        <v>206</v>
      </c>
      <c r="B13" s="334"/>
      <c r="C13" s="335">
        <v>7500</v>
      </c>
      <c r="D13" s="335">
        <v>7500</v>
      </c>
      <c r="E13" s="335">
        <v>0</v>
      </c>
    </row>
    <row r="14" spans="1:6" ht="13.5" thickBot="1">
      <c r="A14" s="321" t="s">
        <v>205</v>
      </c>
      <c r="B14" s="334"/>
      <c r="C14" s="333">
        <f>C8+C11+C13</f>
        <v>271020</v>
      </c>
      <c r="D14" s="333">
        <f>D8+D11+D13</f>
        <v>62813.400000000009</v>
      </c>
      <c r="E14" s="333">
        <f>E8+E11+E13</f>
        <v>208206.6</v>
      </c>
    </row>
    <row r="15" spans="1:6" ht="4.5" customHeight="1">
      <c r="B15" s="332"/>
    </row>
    <row r="16" spans="1:6">
      <c r="A16" s="331" t="s">
        <v>204</v>
      </c>
      <c r="B16" s="331"/>
      <c r="C16" s="331"/>
      <c r="D16" s="331"/>
      <c r="E16" s="331"/>
    </row>
    <row r="17" spans="1:10" ht="5.25" customHeight="1"/>
    <row r="18" spans="1:10">
      <c r="A18" s="330" t="s">
        <v>203</v>
      </c>
      <c r="B18" s="330"/>
      <c r="C18" s="330"/>
      <c r="D18" s="330"/>
      <c r="E18" s="330"/>
      <c r="F18" s="330"/>
    </row>
    <row r="20" spans="1:10">
      <c r="A20" s="323" t="s">
        <v>202</v>
      </c>
    </row>
    <row r="21" spans="1:10" ht="13.5" thickBot="1">
      <c r="B21" s="329" t="s">
        <v>201</v>
      </c>
      <c r="C21" s="329" t="s">
        <v>200</v>
      </c>
      <c r="D21" s="329" t="s">
        <v>39</v>
      </c>
      <c r="E21" s="329" t="s">
        <v>199</v>
      </c>
      <c r="F21" s="329" t="s">
        <v>198</v>
      </c>
      <c r="H21" s="328" t="s">
        <v>197</v>
      </c>
      <c r="I21" s="328" t="s">
        <v>40</v>
      </c>
    </row>
    <row r="22" spans="1:10">
      <c r="A22" s="287" t="s">
        <v>196</v>
      </c>
      <c r="B22" s="327"/>
      <c r="C22" s="326">
        <f>C23/B23</f>
        <v>0.71960143026850509</v>
      </c>
      <c r="D22" s="326">
        <f>D23/B23</f>
        <v>0.28039856973149491</v>
      </c>
      <c r="E22" s="326">
        <v>0.65097000000000005</v>
      </c>
      <c r="F22" s="326">
        <v>0.67505000000000004</v>
      </c>
      <c r="H22" s="287">
        <f>0.32495</f>
        <v>0.32495000000000002</v>
      </c>
      <c r="I22" s="287">
        <v>0.34903000000000001</v>
      </c>
    </row>
    <row r="23" spans="1:10">
      <c r="A23" s="287" t="s">
        <v>194</v>
      </c>
      <c r="B23" s="320">
        <f>SUM(C23:D23)</f>
        <v>203206.6</v>
      </c>
      <c r="C23" s="320">
        <v>146227.76</v>
      </c>
      <c r="D23" s="320">
        <v>56978.84</v>
      </c>
      <c r="E23" s="320">
        <f>E22*C23</f>
        <v>95189.884927200008</v>
      </c>
      <c r="F23" s="320">
        <f>D23*F22</f>
        <v>38463.565942000001</v>
      </c>
      <c r="H23" s="324">
        <f>H22*D23</f>
        <v>18515.274057999999</v>
      </c>
      <c r="I23" s="324">
        <f>I22*C23</f>
        <v>51037.875072800001</v>
      </c>
      <c r="J23" s="324">
        <f>SUM(E23:I23)</f>
        <v>203206.6</v>
      </c>
    </row>
    <row r="24" spans="1:10">
      <c r="B24" s="320"/>
      <c r="C24" s="320"/>
      <c r="D24" s="320"/>
      <c r="E24" s="320"/>
      <c r="F24" s="320"/>
    </row>
    <row r="25" spans="1:10">
      <c r="A25" s="287" t="s">
        <v>193</v>
      </c>
      <c r="B25" s="320">
        <f>E8</f>
        <v>203206.6</v>
      </c>
      <c r="C25" s="322">
        <v>203206.6</v>
      </c>
      <c r="D25" s="322">
        <v>0</v>
      </c>
      <c r="E25" s="322">
        <f>C25*E22</f>
        <v>132281.400402</v>
      </c>
      <c r="F25" s="322">
        <v>0</v>
      </c>
      <c r="H25" s="325">
        <v>0</v>
      </c>
      <c r="I25" s="324">
        <f>I22*C25</f>
        <v>70925.199598000007</v>
      </c>
      <c r="J25" s="324">
        <f>SUM(E25:I25)</f>
        <v>203206.6</v>
      </c>
    </row>
    <row r="26" spans="1:10">
      <c r="B26" s="320"/>
      <c r="C26" s="320"/>
      <c r="D26" s="320"/>
      <c r="E26" s="320"/>
      <c r="F26" s="320"/>
    </row>
    <row r="27" spans="1:10" ht="13.5" thickBot="1">
      <c r="A27" s="321" t="s">
        <v>192</v>
      </c>
      <c r="B27" s="320"/>
      <c r="C27" s="320"/>
      <c r="D27" s="320"/>
      <c r="E27" s="319">
        <f>E25-E23</f>
        <v>37091.515474799991</v>
      </c>
      <c r="F27" s="319">
        <f>F25-F23</f>
        <v>-38463.565942000001</v>
      </c>
      <c r="H27" s="324">
        <f>-H23</f>
        <v>-18515.274057999999</v>
      </c>
      <c r="I27" s="324">
        <f>I25-I23</f>
        <v>19887.324525200005</v>
      </c>
      <c r="J27" s="324">
        <f>SUM(E27:I27)</f>
        <v>0</v>
      </c>
    </row>
    <row r="28" spans="1:10" ht="13.5" thickTop="1">
      <c r="B28" s="320"/>
      <c r="C28" s="320"/>
      <c r="D28" s="320"/>
      <c r="E28" s="320"/>
      <c r="F28" s="320"/>
    </row>
    <row r="29" spans="1:10">
      <c r="A29" s="323" t="s">
        <v>195</v>
      </c>
      <c r="B29" s="320"/>
      <c r="C29" s="320"/>
      <c r="D29" s="320"/>
      <c r="E29" s="320"/>
      <c r="F29" s="320"/>
    </row>
    <row r="30" spans="1:10">
      <c r="A30" s="287" t="s">
        <v>194</v>
      </c>
      <c r="B30" s="320">
        <f>E11</f>
        <v>5000</v>
      </c>
      <c r="C30" s="320">
        <v>0</v>
      </c>
      <c r="D30" s="320">
        <f>B30</f>
        <v>5000</v>
      </c>
      <c r="E30" s="320">
        <v>0</v>
      </c>
      <c r="F30" s="320">
        <f>F22*D30</f>
        <v>3375.25</v>
      </c>
    </row>
    <row r="31" spans="1:10">
      <c r="B31" s="320"/>
      <c r="C31" s="320"/>
      <c r="D31" s="320"/>
      <c r="E31" s="320"/>
      <c r="F31" s="320"/>
    </row>
    <row r="32" spans="1:10">
      <c r="A32" s="287" t="s">
        <v>193</v>
      </c>
      <c r="B32" s="320">
        <f>B30</f>
        <v>5000</v>
      </c>
      <c r="C32" s="322">
        <f>B32</f>
        <v>5000</v>
      </c>
      <c r="D32" s="322">
        <v>0</v>
      </c>
      <c r="E32" s="322">
        <f>E22*C32</f>
        <v>3254.8500000000004</v>
      </c>
      <c r="F32" s="322"/>
    </row>
    <row r="33" spans="1:7">
      <c r="B33" s="320"/>
      <c r="C33" s="320"/>
      <c r="D33" s="320"/>
      <c r="E33" s="320"/>
      <c r="F33" s="320"/>
    </row>
    <row r="34" spans="1:7" ht="13.5" thickBot="1">
      <c r="A34" s="321" t="s">
        <v>192</v>
      </c>
      <c r="B34" s="320"/>
      <c r="C34" s="320"/>
      <c r="D34" s="320"/>
      <c r="E34" s="319">
        <f>E30+E32</f>
        <v>3254.8500000000004</v>
      </c>
      <c r="F34" s="319">
        <f>-F30+F32</f>
        <v>-3375.25</v>
      </c>
    </row>
    <row r="35" spans="1:7" ht="13.5" thickTop="1"/>
    <row r="36" spans="1:7" ht="15">
      <c r="A36" s="318" t="s">
        <v>191</v>
      </c>
      <c r="D36" s="317" t="s">
        <v>188</v>
      </c>
      <c r="E36" s="316">
        <f>E27+E34</f>
        <v>40346.36547479999</v>
      </c>
      <c r="F36" s="315">
        <f>F27+F34</f>
        <v>-41838.815942000001</v>
      </c>
    </row>
    <row r="37" spans="1:7">
      <c r="D37" s="314"/>
      <c r="E37" s="313" t="s">
        <v>148</v>
      </c>
      <c r="F37" s="312" t="s">
        <v>141</v>
      </c>
    </row>
    <row r="38" spans="1:7">
      <c r="D38" s="311"/>
      <c r="E38" s="310" t="s">
        <v>190</v>
      </c>
      <c r="F38" s="309"/>
    </row>
    <row r="39" spans="1:7" ht="13.5" thickBot="1"/>
    <row r="40" spans="1:7" ht="15">
      <c r="D40" s="308" t="s">
        <v>188</v>
      </c>
      <c r="E40" s="307">
        <f>E36*0.65/0.62195</f>
        <v>42165.990125604942</v>
      </c>
      <c r="F40" s="306">
        <f>F36*0.65/0.62209</f>
        <v>-43715.909855969396</v>
      </c>
      <c r="G40" s="1" t="s">
        <v>218</v>
      </c>
    </row>
    <row r="41" spans="1:7">
      <c r="D41" s="305"/>
      <c r="E41" s="304" t="s">
        <v>148</v>
      </c>
      <c r="F41" s="303" t="s">
        <v>141</v>
      </c>
    </row>
    <row r="42" spans="1:7" ht="13.5" thickBot="1">
      <c r="D42" s="302"/>
      <c r="E42" s="301" t="s">
        <v>187</v>
      </c>
      <c r="F42" s="300"/>
    </row>
    <row r="44" spans="1:7">
      <c r="D44" s="299" t="s">
        <v>189</v>
      </c>
      <c r="E44" s="298"/>
      <c r="F44" s="297">
        <f>-21432*0.65/0.62209</f>
        <v>-22393.544342458488</v>
      </c>
    </row>
    <row r="45" spans="1:7" ht="13.5" thickBot="1"/>
    <row r="46" spans="1:7" ht="15">
      <c r="D46" s="296" t="s">
        <v>188</v>
      </c>
      <c r="E46" s="295">
        <f>E40</f>
        <v>42165.990125604942</v>
      </c>
      <c r="F46" s="294">
        <f>F40+F44</f>
        <v>-66109.454198427877</v>
      </c>
      <c r="G46" s="1" t="s">
        <v>219</v>
      </c>
    </row>
    <row r="47" spans="1:7">
      <c r="D47" s="293"/>
      <c r="E47" s="292" t="s">
        <v>148</v>
      </c>
      <c r="F47" s="291" t="s">
        <v>141</v>
      </c>
    </row>
    <row r="48" spans="1:7" ht="13.5" thickBot="1">
      <c r="D48" s="290" t="s">
        <v>187</v>
      </c>
      <c r="E48" s="289"/>
      <c r="F48" s="288"/>
    </row>
    <row r="50" spans="7:7" ht="15">
      <c r="G50" s="6" t="s">
        <v>252</v>
      </c>
    </row>
  </sheetData>
  <mergeCells count="4">
    <mergeCell ref="A16:E16"/>
    <mergeCell ref="A18:F18"/>
    <mergeCell ref="E38:F38"/>
    <mergeCell ref="D48:F48"/>
  </mergeCells>
  <pageMargins left="0.75" right="0.75" top="1" bottom="1" header="0.5" footer="0.5"/>
  <pageSetup scale="72" orientation="landscape" r:id="rId1"/>
  <headerFooter scaleWithDoc="0" alignWithMargins="0">
    <oddHeader>&amp;CREVISED DUES 
INCLUDED IN RESTATEMENT ADJUSTMENT
&amp;RExhibit No.__(EMA-8)</oddHead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5"/>
  <sheetViews>
    <sheetView topLeftCell="A13" workbookViewId="0">
      <selection activeCell="G45" sqref="G45"/>
    </sheetView>
  </sheetViews>
  <sheetFormatPr defaultRowHeight="12.75"/>
  <cols>
    <col min="1" max="1" width="50.140625" style="287" customWidth="1"/>
    <col min="2" max="2" width="13" style="287" bestFit="1" customWidth="1"/>
    <col min="3" max="3" width="10.7109375" style="287" bestFit="1" customWidth="1"/>
    <col min="4" max="4" width="2.7109375" style="339" customWidth="1"/>
    <col min="5" max="6" width="10.7109375" style="287" bestFit="1" customWidth="1"/>
    <col min="7" max="7" width="9.140625" style="287"/>
    <col min="8" max="8" width="3.140625" style="287" bestFit="1" customWidth="1"/>
    <col min="9" max="256" width="9.140625" style="287"/>
    <col min="257" max="257" width="50.140625" style="287" customWidth="1"/>
    <col min="258" max="258" width="13" style="287" bestFit="1" customWidth="1"/>
    <col min="259" max="259" width="10.7109375" style="287" bestFit="1" customWidth="1"/>
    <col min="260" max="260" width="2.7109375" style="287" customWidth="1"/>
    <col min="261" max="262" width="10.7109375" style="287" bestFit="1" customWidth="1"/>
    <col min="263" max="263" width="9.140625" style="287"/>
    <col min="264" max="264" width="3.140625" style="287" bestFit="1" customWidth="1"/>
    <col min="265" max="512" width="9.140625" style="287"/>
    <col min="513" max="513" width="50.140625" style="287" customWidth="1"/>
    <col min="514" max="514" width="13" style="287" bestFit="1" customWidth="1"/>
    <col min="515" max="515" width="10.7109375" style="287" bestFit="1" customWidth="1"/>
    <col min="516" max="516" width="2.7109375" style="287" customWidth="1"/>
    <col min="517" max="518" width="10.7109375" style="287" bestFit="1" customWidth="1"/>
    <col min="519" max="519" width="9.140625" style="287"/>
    <col min="520" max="520" width="3.140625" style="287" bestFit="1" customWidth="1"/>
    <col min="521" max="768" width="9.140625" style="287"/>
    <col min="769" max="769" width="50.140625" style="287" customWidth="1"/>
    <col min="770" max="770" width="13" style="287" bestFit="1" customWidth="1"/>
    <col min="771" max="771" width="10.7109375" style="287" bestFit="1" customWidth="1"/>
    <col min="772" max="772" width="2.7109375" style="287" customWidth="1"/>
    <col min="773" max="774" width="10.7109375" style="287" bestFit="1" customWidth="1"/>
    <col min="775" max="775" width="9.140625" style="287"/>
    <col min="776" max="776" width="3.140625" style="287" bestFit="1" customWidth="1"/>
    <col min="777" max="1024" width="9.140625" style="287"/>
    <col min="1025" max="1025" width="50.140625" style="287" customWidth="1"/>
    <col min="1026" max="1026" width="13" style="287" bestFit="1" customWidth="1"/>
    <col min="1027" max="1027" width="10.7109375" style="287" bestFit="1" customWidth="1"/>
    <col min="1028" max="1028" width="2.7109375" style="287" customWidth="1"/>
    <col min="1029" max="1030" width="10.7109375" style="287" bestFit="1" customWidth="1"/>
    <col min="1031" max="1031" width="9.140625" style="287"/>
    <col min="1032" max="1032" width="3.140625" style="287" bestFit="1" customWidth="1"/>
    <col min="1033" max="1280" width="9.140625" style="287"/>
    <col min="1281" max="1281" width="50.140625" style="287" customWidth="1"/>
    <col min="1282" max="1282" width="13" style="287" bestFit="1" customWidth="1"/>
    <col min="1283" max="1283" width="10.7109375" style="287" bestFit="1" customWidth="1"/>
    <col min="1284" max="1284" width="2.7109375" style="287" customWidth="1"/>
    <col min="1285" max="1286" width="10.7109375" style="287" bestFit="1" customWidth="1"/>
    <col min="1287" max="1287" width="9.140625" style="287"/>
    <col min="1288" max="1288" width="3.140625" style="287" bestFit="1" customWidth="1"/>
    <col min="1289" max="1536" width="9.140625" style="287"/>
    <col min="1537" max="1537" width="50.140625" style="287" customWidth="1"/>
    <col min="1538" max="1538" width="13" style="287" bestFit="1" customWidth="1"/>
    <col min="1539" max="1539" width="10.7109375" style="287" bestFit="1" customWidth="1"/>
    <col min="1540" max="1540" width="2.7109375" style="287" customWidth="1"/>
    <col min="1541" max="1542" width="10.7109375" style="287" bestFit="1" customWidth="1"/>
    <col min="1543" max="1543" width="9.140625" style="287"/>
    <col min="1544" max="1544" width="3.140625" style="287" bestFit="1" customWidth="1"/>
    <col min="1545" max="1792" width="9.140625" style="287"/>
    <col min="1793" max="1793" width="50.140625" style="287" customWidth="1"/>
    <col min="1794" max="1794" width="13" style="287" bestFit="1" customWidth="1"/>
    <col min="1795" max="1795" width="10.7109375" style="287" bestFit="1" customWidth="1"/>
    <col min="1796" max="1796" width="2.7109375" style="287" customWidth="1"/>
    <col min="1797" max="1798" width="10.7109375" style="287" bestFit="1" customWidth="1"/>
    <col min="1799" max="1799" width="9.140625" style="287"/>
    <col min="1800" max="1800" width="3.140625" style="287" bestFit="1" customWidth="1"/>
    <col min="1801" max="2048" width="9.140625" style="287"/>
    <col min="2049" max="2049" width="50.140625" style="287" customWidth="1"/>
    <col min="2050" max="2050" width="13" style="287" bestFit="1" customWidth="1"/>
    <col min="2051" max="2051" width="10.7109375" style="287" bestFit="1" customWidth="1"/>
    <col min="2052" max="2052" width="2.7109375" style="287" customWidth="1"/>
    <col min="2053" max="2054" width="10.7109375" style="287" bestFit="1" customWidth="1"/>
    <col min="2055" max="2055" width="9.140625" style="287"/>
    <col min="2056" max="2056" width="3.140625" style="287" bestFit="1" customWidth="1"/>
    <col min="2057" max="2304" width="9.140625" style="287"/>
    <col min="2305" max="2305" width="50.140625" style="287" customWidth="1"/>
    <col min="2306" max="2306" width="13" style="287" bestFit="1" customWidth="1"/>
    <col min="2307" max="2307" width="10.7109375" style="287" bestFit="1" customWidth="1"/>
    <col min="2308" max="2308" width="2.7109375" style="287" customWidth="1"/>
    <col min="2309" max="2310" width="10.7109375" style="287" bestFit="1" customWidth="1"/>
    <col min="2311" max="2311" width="9.140625" style="287"/>
    <col min="2312" max="2312" width="3.140625" style="287" bestFit="1" customWidth="1"/>
    <col min="2313" max="2560" width="9.140625" style="287"/>
    <col min="2561" max="2561" width="50.140625" style="287" customWidth="1"/>
    <col min="2562" max="2562" width="13" style="287" bestFit="1" customWidth="1"/>
    <col min="2563" max="2563" width="10.7109375" style="287" bestFit="1" customWidth="1"/>
    <col min="2564" max="2564" width="2.7109375" style="287" customWidth="1"/>
    <col min="2565" max="2566" width="10.7109375" style="287" bestFit="1" customWidth="1"/>
    <col min="2567" max="2567" width="9.140625" style="287"/>
    <col min="2568" max="2568" width="3.140625" style="287" bestFit="1" customWidth="1"/>
    <col min="2569" max="2816" width="9.140625" style="287"/>
    <col min="2817" max="2817" width="50.140625" style="287" customWidth="1"/>
    <col min="2818" max="2818" width="13" style="287" bestFit="1" customWidth="1"/>
    <col min="2819" max="2819" width="10.7109375" style="287" bestFit="1" customWidth="1"/>
    <col min="2820" max="2820" width="2.7109375" style="287" customWidth="1"/>
    <col min="2821" max="2822" width="10.7109375" style="287" bestFit="1" customWidth="1"/>
    <col min="2823" max="2823" width="9.140625" style="287"/>
    <col min="2824" max="2824" width="3.140625" style="287" bestFit="1" customWidth="1"/>
    <col min="2825" max="3072" width="9.140625" style="287"/>
    <col min="3073" max="3073" width="50.140625" style="287" customWidth="1"/>
    <col min="3074" max="3074" width="13" style="287" bestFit="1" customWidth="1"/>
    <col min="3075" max="3075" width="10.7109375" style="287" bestFit="1" customWidth="1"/>
    <col min="3076" max="3076" width="2.7109375" style="287" customWidth="1"/>
    <col min="3077" max="3078" width="10.7109375" style="287" bestFit="1" customWidth="1"/>
    <col min="3079" max="3079" width="9.140625" style="287"/>
    <col min="3080" max="3080" width="3.140625" style="287" bestFit="1" customWidth="1"/>
    <col min="3081" max="3328" width="9.140625" style="287"/>
    <col min="3329" max="3329" width="50.140625" style="287" customWidth="1"/>
    <col min="3330" max="3330" width="13" style="287" bestFit="1" customWidth="1"/>
    <col min="3331" max="3331" width="10.7109375" style="287" bestFit="1" customWidth="1"/>
    <col min="3332" max="3332" width="2.7109375" style="287" customWidth="1"/>
    <col min="3333" max="3334" width="10.7109375" style="287" bestFit="1" customWidth="1"/>
    <col min="3335" max="3335" width="9.140625" style="287"/>
    <col min="3336" max="3336" width="3.140625" style="287" bestFit="1" customWidth="1"/>
    <col min="3337" max="3584" width="9.140625" style="287"/>
    <col min="3585" max="3585" width="50.140625" style="287" customWidth="1"/>
    <col min="3586" max="3586" width="13" style="287" bestFit="1" customWidth="1"/>
    <col min="3587" max="3587" width="10.7109375" style="287" bestFit="1" customWidth="1"/>
    <col min="3588" max="3588" width="2.7109375" style="287" customWidth="1"/>
    <col min="3589" max="3590" width="10.7109375" style="287" bestFit="1" customWidth="1"/>
    <col min="3591" max="3591" width="9.140625" style="287"/>
    <col min="3592" max="3592" width="3.140625" style="287" bestFit="1" customWidth="1"/>
    <col min="3593" max="3840" width="9.140625" style="287"/>
    <col min="3841" max="3841" width="50.140625" style="287" customWidth="1"/>
    <col min="3842" max="3842" width="13" style="287" bestFit="1" customWidth="1"/>
    <col min="3843" max="3843" width="10.7109375" style="287" bestFit="1" customWidth="1"/>
    <col min="3844" max="3844" width="2.7109375" style="287" customWidth="1"/>
    <col min="3845" max="3846" width="10.7109375" style="287" bestFit="1" customWidth="1"/>
    <col min="3847" max="3847" width="9.140625" style="287"/>
    <col min="3848" max="3848" width="3.140625" style="287" bestFit="1" customWidth="1"/>
    <col min="3849" max="4096" width="9.140625" style="287"/>
    <col min="4097" max="4097" width="50.140625" style="287" customWidth="1"/>
    <col min="4098" max="4098" width="13" style="287" bestFit="1" customWidth="1"/>
    <col min="4099" max="4099" width="10.7109375" style="287" bestFit="1" customWidth="1"/>
    <col min="4100" max="4100" width="2.7109375" style="287" customWidth="1"/>
    <col min="4101" max="4102" width="10.7109375" style="287" bestFit="1" customWidth="1"/>
    <col min="4103" max="4103" width="9.140625" style="287"/>
    <col min="4104" max="4104" width="3.140625" style="287" bestFit="1" customWidth="1"/>
    <col min="4105" max="4352" width="9.140625" style="287"/>
    <col min="4353" max="4353" width="50.140625" style="287" customWidth="1"/>
    <col min="4354" max="4354" width="13" style="287" bestFit="1" customWidth="1"/>
    <col min="4355" max="4355" width="10.7109375" style="287" bestFit="1" customWidth="1"/>
    <col min="4356" max="4356" width="2.7109375" style="287" customWidth="1"/>
    <col min="4357" max="4358" width="10.7109375" style="287" bestFit="1" customWidth="1"/>
    <col min="4359" max="4359" width="9.140625" style="287"/>
    <col min="4360" max="4360" width="3.140625" style="287" bestFit="1" customWidth="1"/>
    <col min="4361" max="4608" width="9.140625" style="287"/>
    <col min="4609" max="4609" width="50.140625" style="287" customWidth="1"/>
    <col min="4610" max="4610" width="13" style="287" bestFit="1" customWidth="1"/>
    <col min="4611" max="4611" width="10.7109375" style="287" bestFit="1" customWidth="1"/>
    <col min="4612" max="4612" width="2.7109375" style="287" customWidth="1"/>
    <col min="4613" max="4614" width="10.7109375" style="287" bestFit="1" customWidth="1"/>
    <col min="4615" max="4615" width="9.140625" style="287"/>
    <col min="4616" max="4616" width="3.140625" style="287" bestFit="1" customWidth="1"/>
    <col min="4617" max="4864" width="9.140625" style="287"/>
    <col min="4865" max="4865" width="50.140625" style="287" customWidth="1"/>
    <col min="4866" max="4866" width="13" style="287" bestFit="1" customWidth="1"/>
    <col min="4867" max="4867" width="10.7109375" style="287" bestFit="1" customWidth="1"/>
    <col min="4868" max="4868" width="2.7109375" style="287" customWidth="1"/>
    <col min="4869" max="4870" width="10.7109375" style="287" bestFit="1" customWidth="1"/>
    <col min="4871" max="4871" width="9.140625" style="287"/>
    <col min="4872" max="4872" width="3.140625" style="287" bestFit="1" customWidth="1"/>
    <col min="4873" max="5120" width="9.140625" style="287"/>
    <col min="5121" max="5121" width="50.140625" style="287" customWidth="1"/>
    <col min="5122" max="5122" width="13" style="287" bestFit="1" customWidth="1"/>
    <col min="5123" max="5123" width="10.7109375" style="287" bestFit="1" customWidth="1"/>
    <col min="5124" max="5124" width="2.7109375" style="287" customWidth="1"/>
    <col min="5125" max="5126" width="10.7109375" style="287" bestFit="1" customWidth="1"/>
    <col min="5127" max="5127" width="9.140625" style="287"/>
    <col min="5128" max="5128" width="3.140625" style="287" bestFit="1" customWidth="1"/>
    <col min="5129" max="5376" width="9.140625" style="287"/>
    <col min="5377" max="5377" width="50.140625" style="287" customWidth="1"/>
    <col min="5378" max="5378" width="13" style="287" bestFit="1" customWidth="1"/>
    <col min="5379" max="5379" width="10.7109375" style="287" bestFit="1" customWidth="1"/>
    <col min="5380" max="5380" width="2.7109375" style="287" customWidth="1"/>
    <col min="5381" max="5382" width="10.7109375" style="287" bestFit="1" customWidth="1"/>
    <col min="5383" max="5383" width="9.140625" style="287"/>
    <col min="5384" max="5384" width="3.140625" style="287" bestFit="1" customWidth="1"/>
    <col min="5385" max="5632" width="9.140625" style="287"/>
    <col min="5633" max="5633" width="50.140625" style="287" customWidth="1"/>
    <col min="5634" max="5634" width="13" style="287" bestFit="1" customWidth="1"/>
    <col min="5635" max="5635" width="10.7109375" style="287" bestFit="1" customWidth="1"/>
    <col min="5636" max="5636" width="2.7109375" style="287" customWidth="1"/>
    <col min="5637" max="5638" width="10.7109375" style="287" bestFit="1" customWidth="1"/>
    <col min="5639" max="5639" width="9.140625" style="287"/>
    <col min="5640" max="5640" width="3.140625" style="287" bestFit="1" customWidth="1"/>
    <col min="5641" max="5888" width="9.140625" style="287"/>
    <col min="5889" max="5889" width="50.140625" style="287" customWidth="1"/>
    <col min="5890" max="5890" width="13" style="287" bestFit="1" customWidth="1"/>
    <col min="5891" max="5891" width="10.7109375" style="287" bestFit="1" customWidth="1"/>
    <col min="5892" max="5892" width="2.7109375" style="287" customWidth="1"/>
    <col min="5893" max="5894" width="10.7109375" style="287" bestFit="1" customWidth="1"/>
    <col min="5895" max="5895" width="9.140625" style="287"/>
    <col min="5896" max="5896" width="3.140625" style="287" bestFit="1" customWidth="1"/>
    <col min="5897" max="6144" width="9.140625" style="287"/>
    <col min="6145" max="6145" width="50.140625" style="287" customWidth="1"/>
    <col min="6146" max="6146" width="13" style="287" bestFit="1" customWidth="1"/>
    <col min="6147" max="6147" width="10.7109375" style="287" bestFit="1" customWidth="1"/>
    <col min="6148" max="6148" width="2.7109375" style="287" customWidth="1"/>
    <col min="6149" max="6150" width="10.7109375" style="287" bestFit="1" customWidth="1"/>
    <col min="6151" max="6151" width="9.140625" style="287"/>
    <col min="6152" max="6152" width="3.140625" style="287" bestFit="1" customWidth="1"/>
    <col min="6153" max="6400" width="9.140625" style="287"/>
    <col min="6401" max="6401" width="50.140625" style="287" customWidth="1"/>
    <col min="6402" max="6402" width="13" style="287" bestFit="1" customWidth="1"/>
    <col min="6403" max="6403" width="10.7109375" style="287" bestFit="1" customWidth="1"/>
    <col min="6404" max="6404" width="2.7109375" style="287" customWidth="1"/>
    <col min="6405" max="6406" width="10.7109375" style="287" bestFit="1" customWidth="1"/>
    <col min="6407" max="6407" width="9.140625" style="287"/>
    <col min="6408" max="6408" width="3.140625" style="287" bestFit="1" customWidth="1"/>
    <col min="6409" max="6656" width="9.140625" style="287"/>
    <col min="6657" max="6657" width="50.140625" style="287" customWidth="1"/>
    <col min="6658" max="6658" width="13" style="287" bestFit="1" customWidth="1"/>
    <col min="6659" max="6659" width="10.7109375" style="287" bestFit="1" customWidth="1"/>
    <col min="6660" max="6660" width="2.7109375" style="287" customWidth="1"/>
    <col min="6661" max="6662" width="10.7109375" style="287" bestFit="1" customWidth="1"/>
    <col min="6663" max="6663" width="9.140625" style="287"/>
    <col min="6664" max="6664" width="3.140625" style="287" bestFit="1" customWidth="1"/>
    <col min="6665" max="6912" width="9.140625" style="287"/>
    <col min="6913" max="6913" width="50.140625" style="287" customWidth="1"/>
    <col min="6914" max="6914" width="13" style="287" bestFit="1" customWidth="1"/>
    <col min="6915" max="6915" width="10.7109375" style="287" bestFit="1" customWidth="1"/>
    <col min="6916" max="6916" width="2.7109375" style="287" customWidth="1"/>
    <col min="6917" max="6918" width="10.7109375" style="287" bestFit="1" customWidth="1"/>
    <col min="6919" max="6919" width="9.140625" style="287"/>
    <col min="6920" max="6920" width="3.140625" style="287" bestFit="1" customWidth="1"/>
    <col min="6921" max="7168" width="9.140625" style="287"/>
    <col min="7169" max="7169" width="50.140625" style="287" customWidth="1"/>
    <col min="7170" max="7170" width="13" style="287" bestFit="1" customWidth="1"/>
    <col min="7171" max="7171" width="10.7109375" style="287" bestFit="1" customWidth="1"/>
    <col min="7172" max="7172" width="2.7109375" style="287" customWidth="1"/>
    <col min="7173" max="7174" width="10.7109375" style="287" bestFit="1" customWidth="1"/>
    <col min="7175" max="7175" width="9.140625" style="287"/>
    <col min="7176" max="7176" width="3.140625" style="287" bestFit="1" customWidth="1"/>
    <col min="7177" max="7424" width="9.140625" style="287"/>
    <col min="7425" max="7425" width="50.140625" style="287" customWidth="1"/>
    <col min="7426" max="7426" width="13" style="287" bestFit="1" customWidth="1"/>
    <col min="7427" max="7427" width="10.7109375" style="287" bestFit="1" customWidth="1"/>
    <col min="7428" max="7428" width="2.7109375" style="287" customWidth="1"/>
    <col min="7429" max="7430" width="10.7109375" style="287" bestFit="1" customWidth="1"/>
    <col min="7431" max="7431" width="9.140625" style="287"/>
    <col min="7432" max="7432" width="3.140625" style="287" bestFit="1" customWidth="1"/>
    <col min="7433" max="7680" width="9.140625" style="287"/>
    <col min="7681" max="7681" width="50.140625" style="287" customWidth="1"/>
    <col min="7682" max="7682" width="13" style="287" bestFit="1" customWidth="1"/>
    <col min="7683" max="7683" width="10.7109375" style="287" bestFit="1" customWidth="1"/>
    <col min="7684" max="7684" width="2.7109375" style="287" customWidth="1"/>
    <col min="7685" max="7686" width="10.7109375" style="287" bestFit="1" customWidth="1"/>
    <col min="7687" max="7687" width="9.140625" style="287"/>
    <col min="7688" max="7688" width="3.140625" style="287" bestFit="1" customWidth="1"/>
    <col min="7689" max="7936" width="9.140625" style="287"/>
    <col min="7937" max="7937" width="50.140625" style="287" customWidth="1"/>
    <col min="7938" max="7938" width="13" style="287" bestFit="1" customWidth="1"/>
    <col min="7939" max="7939" width="10.7109375" style="287" bestFit="1" customWidth="1"/>
    <col min="7940" max="7940" width="2.7109375" style="287" customWidth="1"/>
    <col min="7941" max="7942" width="10.7109375" style="287" bestFit="1" customWidth="1"/>
    <col min="7943" max="7943" width="9.140625" style="287"/>
    <col min="7944" max="7944" width="3.140625" style="287" bestFit="1" customWidth="1"/>
    <col min="7945" max="8192" width="9.140625" style="287"/>
    <col min="8193" max="8193" width="50.140625" style="287" customWidth="1"/>
    <col min="8194" max="8194" width="13" style="287" bestFit="1" customWidth="1"/>
    <col min="8195" max="8195" width="10.7109375" style="287" bestFit="1" customWidth="1"/>
    <col min="8196" max="8196" width="2.7109375" style="287" customWidth="1"/>
    <col min="8197" max="8198" width="10.7109375" style="287" bestFit="1" customWidth="1"/>
    <col min="8199" max="8199" width="9.140625" style="287"/>
    <col min="8200" max="8200" width="3.140625" style="287" bestFit="1" customWidth="1"/>
    <col min="8201" max="8448" width="9.140625" style="287"/>
    <col min="8449" max="8449" width="50.140625" style="287" customWidth="1"/>
    <col min="8450" max="8450" width="13" style="287" bestFit="1" customWidth="1"/>
    <col min="8451" max="8451" width="10.7109375" style="287" bestFit="1" customWidth="1"/>
    <col min="8452" max="8452" width="2.7109375" style="287" customWidth="1"/>
    <col min="8453" max="8454" width="10.7109375" style="287" bestFit="1" customWidth="1"/>
    <col min="8455" max="8455" width="9.140625" style="287"/>
    <col min="8456" max="8456" width="3.140625" style="287" bestFit="1" customWidth="1"/>
    <col min="8457" max="8704" width="9.140625" style="287"/>
    <col min="8705" max="8705" width="50.140625" style="287" customWidth="1"/>
    <col min="8706" max="8706" width="13" style="287" bestFit="1" customWidth="1"/>
    <col min="8707" max="8707" width="10.7109375" style="287" bestFit="1" customWidth="1"/>
    <col min="8708" max="8708" width="2.7109375" style="287" customWidth="1"/>
    <col min="8709" max="8710" width="10.7109375" style="287" bestFit="1" customWidth="1"/>
    <col min="8711" max="8711" width="9.140625" style="287"/>
    <col min="8712" max="8712" width="3.140625" style="287" bestFit="1" customWidth="1"/>
    <col min="8713" max="8960" width="9.140625" style="287"/>
    <col min="8961" max="8961" width="50.140625" style="287" customWidth="1"/>
    <col min="8962" max="8962" width="13" style="287" bestFit="1" customWidth="1"/>
    <col min="8963" max="8963" width="10.7109375" style="287" bestFit="1" customWidth="1"/>
    <col min="8964" max="8964" width="2.7109375" style="287" customWidth="1"/>
    <col min="8965" max="8966" width="10.7109375" style="287" bestFit="1" customWidth="1"/>
    <col min="8967" max="8967" width="9.140625" style="287"/>
    <col min="8968" max="8968" width="3.140625" style="287" bestFit="1" customWidth="1"/>
    <col min="8969" max="9216" width="9.140625" style="287"/>
    <col min="9217" max="9217" width="50.140625" style="287" customWidth="1"/>
    <col min="9218" max="9218" width="13" style="287" bestFit="1" customWidth="1"/>
    <col min="9219" max="9219" width="10.7109375" style="287" bestFit="1" customWidth="1"/>
    <col min="9220" max="9220" width="2.7109375" style="287" customWidth="1"/>
    <col min="9221" max="9222" width="10.7109375" style="287" bestFit="1" customWidth="1"/>
    <col min="9223" max="9223" width="9.140625" style="287"/>
    <col min="9224" max="9224" width="3.140625" style="287" bestFit="1" customWidth="1"/>
    <col min="9225" max="9472" width="9.140625" style="287"/>
    <col min="9473" max="9473" width="50.140625" style="287" customWidth="1"/>
    <col min="9474" max="9474" width="13" style="287" bestFit="1" customWidth="1"/>
    <col min="9475" max="9475" width="10.7109375" style="287" bestFit="1" customWidth="1"/>
    <col min="9476" max="9476" width="2.7109375" style="287" customWidth="1"/>
    <col min="9477" max="9478" width="10.7109375" style="287" bestFit="1" customWidth="1"/>
    <col min="9479" max="9479" width="9.140625" style="287"/>
    <col min="9480" max="9480" width="3.140625" style="287" bestFit="1" customWidth="1"/>
    <col min="9481" max="9728" width="9.140625" style="287"/>
    <col min="9729" max="9729" width="50.140625" style="287" customWidth="1"/>
    <col min="9730" max="9730" width="13" style="287" bestFit="1" customWidth="1"/>
    <col min="9731" max="9731" width="10.7109375" style="287" bestFit="1" customWidth="1"/>
    <col min="9732" max="9732" width="2.7109375" style="287" customWidth="1"/>
    <col min="9733" max="9734" width="10.7109375" style="287" bestFit="1" customWidth="1"/>
    <col min="9735" max="9735" width="9.140625" style="287"/>
    <col min="9736" max="9736" width="3.140625" style="287" bestFit="1" customWidth="1"/>
    <col min="9737" max="9984" width="9.140625" style="287"/>
    <col min="9985" max="9985" width="50.140625" style="287" customWidth="1"/>
    <col min="9986" max="9986" width="13" style="287" bestFit="1" customWidth="1"/>
    <col min="9987" max="9987" width="10.7109375" style="287" bestFit="1" customWidth="1"/>
    <col min="9988" max="9988" width="2.7109375" style="287" customWidth="1"/>
    <col min="9989" max="9990" width="10.7109375" style="287" bestFit="1" customWidth="1"/>
    <col min="9991" max="9991" width="9.140625" style="287"/>
    <col min="9992" max="9992" width="3.140625" style="287" bestFit="1" customWidth="1"/>
    <col min="9993" max="10240" width="9.140625" style="287"/>
    <col min="10241" max="10241" width="50.140625" style="287" customWidth="1"/>
    <col min="10242" max="10242" width="13" style="287" bestFit="1" customWidth="1"/>
    <col min="10243" max="10243" width="10.7109375" style="287" bestFit="1" customWidth="1"/>
    <col min="10244" max="10244" width="2.7109375" style="287" customWidth="1"/>
    <col min="10245" max="10246" width="10.7109375" style="287" bestFit="1" customWidth="1"/>
    <col min="10247" max="10247" width="9.140625" style="287"/>
    <col min="10248" max="10248" width="3.140625" style="287" bestFit="1" customWidth="1"/>
    <col min="10249" max="10496" width="9.140625" style="287"/>
    <col min="10497" max="10497" width="50.140625" style="287" customWidth="1"/>
    <col min="10498" max="10498" width="13" style="287" bestFit="1" customWidth="1"/>
    <col min="10499" max="10499" width="10.7109375" style="287" bestFit="1" customWidth="1"/>
    <col min="10500" max="10500" width="2.7109375" style="287" customWidth="1"/>
    <col min="10501" max="10502" width="10.7109375" style="287" bestFit="1" customWidth="1"/>
    <col min="10503" max="10503" width="9.140625" style="287"/>
    <col min="10504" max="10504" width="3.140625" style="287" bestFit="1" customWidth="1"/>
    <col min="10505" max="10752" width="9.140625" style="287"/>
    <col min="10753" max="10753" width="50.140625" style="287" customWidth="1"/>
    <col min="10754" max="10754" width="13" style="287" bestFit="1" customWidth="1"/>
    <col min="10755" max="10755" width="10.7109375" style="287" bestFit="1" customWidth="1"/>
    <col min="10756" max="10756" width="2.7109375" style="287" customWidth="1"/>
    <col min="10757" max="10758" width="10.7109375" style="287" bestFit="1" customWidth="1"/>
    <col min="10759" max="10759" width="9.140625" style="287"/>
    <col min="10760" max="10760" width="3.140625" style="287" bestFit="1" customWidth="1"/>
    <col min="10761" max="11008" width="9.140625" style="287"/>
    <col min="11009" max="11009" width="50.140625" style="287" customWidth="1"/>
    <col min="11010" max="11010" width="13" style="287" bestFit="1" customWidth="1"/>
    <col min="11011" max="11011" width="10.7109375" style="287" bestFit="1" customWidth="1"/>
    <col min="11012" max="11012" width="2.7109375" style="287" customWidth="1"/>
    <col min="11013" max="11014" width="10.7109375" style="287" bestFit="1" customWidth="1"/>
    <col min="11015" max="11015" width="9.140625" style="287"/>
    <col min="11016" max="11016" width="3.140625" style="287" bestFit="1" customWidth="1"/>
    <col min="11017" max="11264" width="9.140625" style="287"/>
    <col min="11265" max="11265" width="50.140625" style="287" customWidth="1"/>
    <col min="11266" max="11266" width="13" style="287" bestFit="1" customWidth="1"/>
    <col min="11267" max="11267" width="10.7109375" style="287" bestFit="1" customWidth="1"/>
    <col min="11268" max="11268" width="2.7109375" style="287" customWidth="1"/>
    <col min="11269" max="11270" width="10.7109375" style="287" bestFit="1" customWidth="1"/>
    <col min="11271" max="11271" width="9.140625" style="287"/>
    <col min="11272" max="11272" width="3.140625" style="287" bestFit="1" customWidth="1"/>
    <col min="11273" max="11520" width="9.140625" style="287"/>
    <col min="11521" max="11521" width="50.140625" style="287" customWidth="1"/>
    <col min="11522" max="11522" width="13" style="287" bestFit="1" customWidth="1"/>
    <col min="11523" max="11523" width="10.7109375" style="287" bestFit="1" customWidth="1"/>
    <col min="11524" max="11524" width="2.7109375" style="287" customWidth="1"/>
    <col min="11525" max="11526" width="10.7109375" style="287" bestFit="1" customWidth="1"/>
    <col min="11527" max="11527" width="9.140625" style="287"/>
    <col min="11528" max="11528" width="3.140625" style="287" bestFit="1" customWidth="1"/>
    <col min="11529" max="11776" width="9.140625" style="287"/>
    <col min="11777" max="11777" width="50.140625" style="287" customWidth="1"/>
    <col min="11778" max="11778" width="13" style="287" bestFit="1" customWidth="1"/>
    <col min="11779" max="11779" width="10.7109375" style="287" bestFit="1" customWidth="1"/>
    <col min="11780" max="11780" width="2.7109375" style="287" customWidth="1"/>
    <col min="11781" max="11782" width="10.7109375" style="287" bestFit="1" customWidth="1"/>
    <col min="11783" max="11783" width="9.140625" style="287"/>
    <col min="11784" max="11784" width="3.140625" style="287" bestFit="1" customWidth="1"/>
    <col min="11785" max="12032" width="9.140625" style="287"/>
    <col min="12033" max="12033" width="50.140625" style="287" customWidth="1"/>
    <col min="12034" max="12034" width="13" style="287" bestFit="1" customWidth="1"/>
    <col min="12035" max="12035" width="10.7109375" style="287" bestFit="1" customWidth="1"/>
    <col min="12036" max="12036" width="2.7109375" style="287" customWidth="1"/>
    <col min="12037" max="12038" width="10.7109375" style="287" bestFit="1" customWidth="1"/>
    <col min="12039" max="12039" width="9.140625" style="287"/>
    <col min="12040" max="12040" width="3.140625" style="287" bestFit="1" customWidth="1"/>
    <col min="12041" max="12288" width="9.140625" style="287"/>
    <col min="12289" max="12289" width="50.140625" style="287" customWidth="1"/>
    <col min="12290" max="12290" width="13" style="287" bestFit="1" customWidth="1"/>
    <col min="12291" max="12291" width="10.7109375" style="287" bestFit="1" customWidth="1"/>
    <col min="12292" max="12292" width="2.7109375" style="287" customWidth="1"/>
    <col min="12293" max="12294" width="10.7109375" style="287" bestFit="1" customWidth="1"/>
    <col min="12295" max="12295" width="9.140625" style="287"/>
    <col min="12296" max="12296" width="3.140625" style="287" bestFit="1" customWidth="1"/>
    <col min="12297" max="12544" width="9.140625" style="287"/>
    <col min="12545" max="12545" width="50.140625" style="287" customWidth="1"/>
    <col min="12546" max="12546" width="13" style="287" bestFit="1" customWidth="1"/>
    <col min="12547" max="12547" width="10.7109375" style="287" bestFit="1" customWidth="1"/>
    <col min="12548" max="12548" width="2.7109375" style="287" customWidth="1"/>
    <col min="12549" max="12550" width="10.7109375" style="287" bestFit="1" customWidth="1"/>
    <col min="12551" max="12551" width="9.140625" style="287"/>
    <col min="12552" max="12552" width="3.140625" style="287" bestFit="1" customWidth="1"/>
    <col min="12553" max="12800" width="9.140625" style="287"/>
    <col min="12801" max="12801" width="50.140625" style="287" customWidth="1"/>
    <col min="12802" max="12802" width="13" style="287" bestFit="1" customWidth="1"/>
    <col min="12803" max="12803" width="10.7109375" style="287" bestFit="1" customWidth="1"/>
    <col min="12804" max="12804" width="2.7109375" style="287" customWidth="1"/>
    <col min="12805" max="12806" width="10.7109375" style="287" bestFit="1" customWidth="1"/>
    <col min="12807" max="12807" width="9.140625" style="287"/>
    <col min="12808" max="12808" width="3.140625" style="287" bestFit="1" customWidth="1"/>
    <col min="12809" max="13056" width="9.140625" style="287"/>
    <col min="13057" max="13057" width="50.140625" style="287" customWidth="1"/>
    <col min="13058" max="13058" width="13" style="287" bestFit="1" customWidth="1"/>
    <col min="13059" max="13059" width="10.7109375" style="287" bestFit="1" customWidth="1"/>
    <col min="13060" max="13060" width="2.7109375" style="287" customWidth="1"/>
    <col min="13061" max="13062" width="10.7109375" style="287" bestFit="1" customWidth="1"/>
    <col min="13063" max="13063" width="9.140625" style="287"/>
    <col min="13064" max="13064" width="3.140625" style="287" bestFit="1" customWidth="1"/>
    <col min="13065" max="13312" width="9.140625" style="287"/>
    <col min="13313" max="13313" width="50.140625" style="287" customWidth="1"/>
    <col min="13314" max="13314" width="13" style="287" bestFit="1" customWidth="1"/>
    <col min="13315" max="13315" width="10.7109375" style="287" bestFit="1" customWidth="1"/>
    <col min="13316" max="13316" width="2.7109375" style="287" customWidth="1"/>
    <col min="13317" max="13318" width="10.7109375" style="287" bestFit="1" customWidth="1"/>
    <col min="13319" max="13319" width="9.140625" style="287"/>
    <col min="13320" max="13320" width="3.140625" style="287" bestFit="1" customWidth="1"/>
    <col min="13321" max="13568" width="9.140625" style="287"/>
    <col min="13569" max="13569" width="50.140625" style="287" customWidth="1"/>
    <col min="13570" max="13570" width="13" style="287" bestFit="1" customWidth="1"/>
    <col min="13571" max="13571" width="10.7109375" style="287" bestFit="1" customWidth="1"/>
    <col min="13572" max="13572" width="2.7109375" style="287" customWidth="1"/>
    <col min="13573" max="13574" width="10.7109375" style="287" bestFit="1" customWidth="1"/>
    <col min="13575" max="13575" width="9.140625" style="287"/>
    <col min="13576" max="13576" width="3.140625" style="287" bestFit="1" customWidth="1"/>
    <col min="13577" max="13824" width="9.140625" style="287"/>
    <col min="13825" max="13825" width="50.140625" style="287" customWidth="1"/>
    <col min="13826" max="13826" width="13" style="287" bestFit="1" customWidth="1"/>
    <col min="13827" max="13827" width="10.7109375" style="287" bestFit="1" customWidth="1"/>
    <col min="13828" max="13828" width="2.7109375" style="287" customWidth="1"/>
    <col min="13829" max="13830" width="10.7109375" style="287" bestFit="1" customWidth="1"/>
    <col min="13831" max="13831" width="9.140625" style="287"/>
    <col min="13832" max="13832" width="3.140625" style="287" bestFit="1" customWidth="1"/>
    <col min="13833" max="14080" width="9.140625" style="287"/>
    <col min="14081" max="14081" width="50.140625" style="287" customWidth="1"/>
    <col min="14082" max="14082" width="13" style="287" bestFit="1" customWidth="1"/>
    <col min="14083" max="14083" width="10.7109375" style="287" bestFit="1" customWidth="1"/>
    <col min="14084" max="14084" width="2.7109375" style="287" customWidth="1"/>
    <col min="14085" max="14086" width="10.7109375" style="287" bestFit="1" customWidth="1"/>
    <col min="14087" max="14087" width="9.140625" style="287"/>
    <col min="14088" max="14088" width="3.140625" style="287" bestFit="1" customWidth="1"/>
    <col min="14089" max="14336" width="9.140625" style="287"/>
    <col min="14337" max="14337" width="50.140625" style="287" customWidth="1"/>
    <col min="14338" max="14338" width="13" style="287" bestFit="1" customWidth="1"/>
    <col min="14339" max="14339" width="10.7109375" style="287" bestFit="1" customWidth="1"/>
    <col min="14340" max="14340" width="2.7109375" style="287" customWidth="1"/>
    <col min="14341" max="14342" width="10.7109375" style="287" bestFit="1" customWidth="1"/>
    <col min="14343" max="14343" width="9.140625" style="287"/>
    <col min="14344" max="14344" width="3.140625" style="287" bestFit="1" customWidth="1"/>
    <col min="14345" max="14592" width="9.140625" style="287"/>
    <col min="14593" max="14593" width="50.140625" style="287" customWidth="1"/>
    <col min="14594" max="14594" width="13" style="287" bestFit="1" customWidth="1"/>
    <col min="14595" max="14595" width="10.7109375" style="287" bestFit="1" customWidth="1"/>
    <col min="14596" max="14596" width="2.7109375" style="287" customWidth="1"/>
    <col min="14597" max="14598" width="10.7109375" style="287" bestFit="1" customWidth="1"/>
    <col min="14599" max="14599" width="9.140625" style="287"/>
    <col min="14600" max="14600" width="3.140625" style="287" bestFit="1" customWidth="1"/>
    <col min="14601" max="14848" width="9.140625" style="287"/>
    <col min="14849" max="14849" width="50.140625" style="287" customWidth="1"/>
    <col min="14850" max="14850" width="13" style="287" bestFit="1" customWidth="1"/>
    <col min="14851" max="14851" width="10.7109375" style="287" bestFit="1" customWidth="1"/>
    <col min="14852" max="14852" width="2.7109375" style="287" customWidth="1"/>
    <col min="14853" max="14854" width="10.7109375" style="287" bestFit="1" customWidth="1"/>
    <col min="14855" max="14855" width="9.140625" style="287"/>
    <col min="14856" max="14856" width="3.140625" style="287" bestFit="1" customWidth="1"/>
    <col min="14857" max="15104" width="9.140625" style="287"/>
    <col min="15105" max="15105" width="50.140625" style="287" customWidth="1"/>
    <col min="15106" max="15106" width="13" style="287" bestFit="1" customWidth="1"/>
    <col min="15107" max="15107" width="10.7109375" style="287" bestFit="1" customWidth="1"/>
    <col min="15108" max="15108" width="2.7109375" style="287" customWidth="1"/>
    <col min="15109" max="15110" width="10.7109375" style="287" bestFit="1" customWidth="1"/>
    <col min="15111" max="15111" width="9.140625" style="287"/>
    <col min="15112" max="15112" width="3.140625" style="287" bestFit="1" customWidth="1"/>
    <col min="15113" max="15360" width="9.140625" style="287"/>
    <col min="15361" max="15361" width="50.140625" style="287" customWidth="1"/>
    <col min="15362" max="15362" width="13" style="287" bestFit="1" customWidth="1"/>
    <col min="15363" max="15363" width="10.7109375" style="287" bestFit="1" customWidth="1"/>
    <col min="15364" max="15364" width="2.7109375" style="287" customWidth="1"/>
    <col min="15365" max="15366" width="10.7109375" style="287" bestFit="1" customWidth="1"/>
    <col min="15367" max="15367" width="9.140625" style="287"/>
    <col min="15368" max="15368" width="3.140625" style="287" bestFit="1" customWidth="1"/>
    <col min="15369" max="15616" width="9.140625" style="287"/>
    <col min="15617" max="15617" width="50.140625" style="287" customWidth="1"/>
    <col min="15618" max="15618" width="13" style="287" bestFit="1" customWidth="1"/>
    <col min="15619" max="15619" width="10.7109375" style="287" bestFit="1" customWidth="1"/>
    <col min="15620" max="15620" width="2.7109375" style="287" customWidth="1"/>
    <col min="15621" max="15622" width="10.7109375" style="287" bestFit="1" customWidth="1"/>
    <col min="15623" max="15623" width="9.140625" style="287"/>
    <col min="15624" max="15624" width="3.140625" style="287" bestFit="1" customWidth="1"/>
    <col min="15625" max="15872" width="9.140625" style="287"/>
    <col min="15873" max="15873" width="50.140625" style="287" customWidth="1"/>
    <col min="15874" max="15874" width="13" style="287" bestFit="1" customWidth="1"/>
    <col min="15875" max="15875" width="10.7109375" style="287" bestFit="1" customWidth="1"/>
    <col min="15876" max="15876" width="2.7109375" style="287" customWidth="1"/>
    <col min="15877" max="15878" width="10.7109375" style="287" bestFit="1" customWidth="1"/>
    <col min="15879" max="15879" width="9.140625" style="287"/>
    <col min="15880" max="15880" width="3.140625" style="287" bestFit="1" customWidth="1"/>
    <col min="15881" max="16128" width="9.140625" style="287"/>
    <col min="16129" max="16129" width="50.140625" style="287" customWidth="1"/>
    <col min="16130" max="16130" width="13" style="287" bestFit="1" customWidth="1"/>
    <col min="16131" max="16131" width="10.7109375" style="287" bestFit="1" customWidth="1"/>
    <col min="16132" max="16132" width="2.7109375" style="287" customWidth="1"/>
    <col min="16133" max="16134" width="10.7109375" style="287" bestFit="1" customWidth="1"/>
    <col min="16135" max="16135" width="9.140625" style="287"/>
    <col min="16136" max="16136" width="3.140625" style="287" bestFit="1" customWidth="1"/>
    <col min="16137" max="16384" width="9.140625" style="287"/>
  </cols>
  <sheetData>
    <row r="3" spans="1:11" ht="13.5" thickBot="1"/>
    <row r="4" spans="1:11" s="340" customFormat="1" ht="13.5" thickBot="1">
      <c r="B4" s="341" t="s">
        <v>161</v>
      </c>
      <c r="C4" s="342"/>
      <c r="D4" s="327"/>
      <c r="E4" s="341" t="s">
        <v>220</v>
      </c>
      <c r="F4" s="343"/>
      <c r="G4" s="342"/>
    </row>
    <row r="5" spans="1:11" s="340" customFormat="1">
      <c r="B5" s="340" t="s">
        <v>221</v>
      </c>
      <c r="C5" s="340" t="s">
        <v>222</v>
      </c>
      <c r="D5" s="327"/>
      <c r="E5" s="340" t="s">
        <v>221</v>
      </c>
      <c r="F5" s="340" t="s">
        <v>222</v>
      </c>
      <c r="G5" s="340" t="s">
        <v>223</v>
      </c>
    </row>
    <row r="6" spans="1:11">
      <c r="A6" s="287" t="s">
        <v>224</v>
      </c>
      <c r="B6" s="344">
        <v>882598</v>
      </c>
      <c r="C6" s="345">
        <v>791300</v>
      </c>
      <c r="D6" s="346"/>
      <c r="E6" s="345">
        <v>593594</v>
      </c>
      <c r="F6" s="345">
        <v>516629</v>
      </c>
      <c r="G6" s="345">
        <f>F6-E6</f>
        <v>-76965</v>
      </c>
      <c r="H6" s="345">
        <v>-3</v>
      </c>
      <c r="I6" s="345"/>
      <c r="J6" s="345"/>
      <c r="K6" s="345"/>
    </row>
    <row r="7" spans="1:11">
      <c r="A7" s="287" t="s">
        <v>225</v>
      </c>
      <c r="B7" s="344">
        <v>2113025</v>
      </c>
      <c r="C7" s="345">
        <v>2113025</v>
      </c>
      <c r="D7" s="346"/>
      <c r="E7" s="345">
        <v>1364803</v>
      </c>
      <c r="F7" s="345">
        <v>1364803</v>
      </c>
      <c r="G7" s="345">
        <f>F7-E7</f>
        <v>0</v>
      </c>
      <c r="H7" s="345"/>
      <c r="I7" s="345"/>
      <c r="J7" s="345"/>
      <c r="K7" s="345"/>
    </row>
    <row r="8" spans="1:11">
      <c r="A8" s="287" t="s">
        <v>226</v>
      </c>
      <c r="B8" s="347">
        <v>2740558</v>
      </c>
      <c r="C8" s="348">
        <v>3303153</v>
      </c>
      <c r="D8" s="346"/>
      <c r="E8" s="348">
        <v>1677483</v>
      </c>
      <c r="F8" s="348">
        <v>2040863</v>
      </c>
      <c r="G8" s="348">
        <f>F8-E8</f>
        <v>363380</v>
      </c>
      <c r="H8" s="345">
        <v>-1</v>
      </c>
      <c r="I8" s="345"/>
      <c r="J8" s="345"/>
      <c r="K8" s="345"/>
    </row>
    <row r="9" spans="1:11">
      <c r="A9" s="349" t="s">
        <v>227</v>
      </c>
      <c r="B9" s="345">
        <f>SUM(B6:B8)</f>
        <v>5736181</v>
      </c>
      <c r="C9" s="345">
        <f>SUM(C6:C8)</f>
        <v>6207478</v>
      </c>
      <c r="D9" s="345"/>
      <c r="E9" s="345">
        <f>SUM(E6:E8)</f>
        <v>3635880</v>
      </c>
      <c r="F9" s="345">
        <f>SUM(F6:F8)</f>
        <v>3922295</v>
      </c>
      <c r="G9" s="345">
        <f>SUM(G6:G8)</f>
        <v>286415</v>
      </c>
      <c r="H9" s="345"/>
      <c r="I9" s="345"/>
      <c r="J9" s="345"/>
      <c r="K9" s="345"/>
    </row>
    <row r="10" spans="1:11">
      <c r="B10" s="345"/>
      <c r="C10" s="345"/>
      <c r="D10" s="346"/>
      <c r="E10" s="345"/>
      <c r="F10" s="345"/>
      <c r="G10" s="345"/>
      <c r="H10" s="345"/>
      <c r="I10" s="345"/>
      <c r="J10" s="345"/>
      <c r="K10" s="345"/>
    </row>
    <row r="11" spans="1:11">
      <c r="A11" s="287" t="s">
        <v>228</v>
      </c>
      <c r="B11" s="348">
        <f>B9*0.35</f>
        <v>2007663.3499999999</v>
      </c>
      <c r="C11" s="348">
        <f>C9*0.35</f>
        <v>2172617.2999999998</v>
      </c>
      <c r="D11" s="346"/>
      <c r="E11" s="348">
        <f>E9*0.35</f>
        <v>1272558</v>
      </c>
      <c r="F11" s="348">
        <f>F9*0.35</f>
        <v>1372803.25</v>
      </c>
      <c r="G11" s="348">
        <f>G9*0.35</f>
        <v>100245.25</v>
      </c>
      <c r="H11" s="345"/>
      <c r="I11" s="345"/>
      <c r="J11" s="345"/>
      <c r="K11" s="345"/>
    </row>
    <row r="12" spans="1:11">
      <c r="B12" s="345"/>
      <c r="C12" s="345"/>
      <c r="D12" s="346"/>
      <c r="E12" s="345"/>
      <c r="F12" s="345"/>
      <c r="G12" s="345"/>
      <c r="H12" s="345"/>
      <c r="I12" s="345"/>
      <c r="J12" s="345"/>
      <c r="K12" s="345"/>
    </row>
    <row r="13" spans="1:11" ht="13.5" thickBot="1">
      <c r="A13" s="287" t="s">
        <v>229</v>
      </c>
      <c r="B13" s="350">
        <f>B9-B11</f>
        <v>3728517.6500000004</v>
      </c>
      <c r="C13" s="350">
        <f>C9-C11</f>
        <v>4034860.7</v>
      </c>
      <c r="D13" s="346"/>
      <c r="E13" s="350">
        <f>E9-E11</f>
        <v>2363322</v>
      </c>
      <c r="F13" s="351">
        <f>F9-F11</f>
        <v>2549491.75</v>
      </c>
      <c r="G13" s="350">
        <f>G9-G11</f>
        <v>186169.75</v>
      </c>
      <c r="H13" s="345"/>
      <c r="I13" s="345"/>
      <c r="J13" s="345"/>
      <c r="K13" s="345"/>
    </row>
    <row r="14" spans="1:11">
      <c r="B14" s="345"/>
      <c r="C14" s="345"/>
      <c r="D14" s="346"/>
      <c r="E14" s="345"/>
      <c r="F14" s="345"/>
      <c r="G14" s="345"/>
      <c r="H14" s="345"/>
      <c r="I14" s="345"/>
      <c r="J14" s="345"/>
      <c r="K14" s="345"/>
    </row>
    <row r="15" spans="1:11">
      <c r="B15" s="345"/>
      <c r="C15" s="345"/>
      <c r="D15" s="346"/>
      <c r="E15" s="345"/>
      <c r="F15" s="345"/>
      <c r="G15" s="345"/>
      <c r="H15" s="345"/>
      <c r="I15" s="345"/>
      <c r="J15" s="345"/>
      <c r="K15" s="345"/>
    </row>
    <row r="16" spans="1:11">
      <c r="A16" s="287" t="s">
        <v>230</v>
      </c>
      <c r="B16" s="345"/>
      <c r="C16" s="345"/>
      <c r="D16" s="346"/>
      <c r="E16" s="345"/>
      <c r="F16" s="345"/>
      <c r="G16" s="345"/>
      <c r="H16" s="345"/>
      <c r="I16" s="345"/>
      <c r="J16" s="345"/>
      <c r="K16" s="345"/>
    </row>
    <row r="17" spans="1:11">
      <c r="A17" s="287" t="s">
        <v>231</v>
      </c>
      <c r="B17" s="345">
        <v>30011315</v>
      </c>
      <c r="C17" s="345">
        <v>28729338</v>
      </c>
      <c r="D17" s="346"/>
      <c r="E17" s="345">
        <v>19384308</v>
      </c>
      <c r="F17" s="345">
        <v>18556279</v>
      </c>
      <c r="G17" s="345">
        <f>F17-E17</f>
        <v>-828029</v>
      </c>
      <c r="H17" s="345">
        <v>-2</v>
      </c>
      <c r="I17" s="345"/>
      <c r="J17" s="345"/>
      <c r="K17" s="345"/>
    </row>
    <row r="18" spans="1:11">
      <c r="A18" s="287" t="s">
        <v>232</v>
      </c>
      <c r="B18" s="345">
        <v>10055000</v>
      </c>
      <c r="C18" s="345">
        <v>10555000</v>
      </c>
      <c r="D18" s="346"/>
      <c r="E18" s="345">
        <v>6494525</v>
      </c>
      <c r="F18" s="345">
        <v>6494525</v>
      </c>
      <c r="G18" s="345">
        <f>F18-E18</f>
        <v>0</v>
      </c>
      <c r="H18" s="345"/>
      <c r="I18" s="345"/>
      <c r="J18" s="345"/>
      <c r="K18" s="345"/>
    </row>
    <row r="19" spans="1:11" ht="13.5" thickBot="1">
      <c r="A19" s="287" t="s">
        <v>233</v>
      </c>
      <c r="B19" s="352">
        <f>SUM(B17:B18)</f>
        <v>40066315</v>
      </c>
      <c r="C19" s="352">
        <f>SUM(C17:C18)</f>
        <v>39284338</v>
      </c>
      <c r="D19" s="346"/>
      <c r="E19" s="352">
        <f>SUM(E17:E18)</f>
        <v>25878833</v>
      </c>
      <c r="F19" s="352">
        <f>SUM(F17:F18)</f>
        <v>25050804</v>
      </c>
      <c r="G19" s="352">
        <f>SUM(G17:G18)</f>
        <v>-828029</v>
      </c>
      <c r="H19" s="345"/>
      <c r="I19" s="345"/>
      <c r="J19" s="345"/>
      <c r="K19" s="345"/>
    </row>
    <row r="20" spans="1:11">
      <c r="B20" s="345"/>
      <c r="C20" s="345"/>
      <c r="D20" s="346"/>
      <c r="E20" s="345"/>
      <c r="F20" s="345"/>
      <c r="G20" s="345"/>
      <c r="H20" s="345"/>
      <c r="I20" s="345"/>
      <c r="J20" s="345"/>
      <c r="K20" s="345"/>
    </row>
    <row r="21" spans="1:11">
      <c r="A21" s="287" t="s">
        <v>234</v>
      </c>
      <c r="B21" s="345"/>
      <c r="C21" s="345"/>
      <c r="D21" s="346"/>
      <c r="E21" s="345"/>
      <c r="F21" s="345"/>
      <c r="G21" s="345"/>
      <c r="H21" s="345"/>
      <c r="I21" s="345"/>
      <c r="J21" s="345"/>
      <c r="K21" s="345"/>
    </row>
    <row r="22" spans="1:11">
      <c r="A22" s="287" t="s">
        <v>235</v>
      </c>
      <c r="B22" s="346"/>
      <c r="C22" s="346"/>
      <c r="D22" s="346"/>
      <c r="E22" s="345">
        <v>26702474</v>
      </c>
      <c r="F22" s="345">
        <v>25823641</v>
      </c>
      <c r="G22" s="345">
        <f>F22-E22</f>
        <v>-878833</v>
      </c>
      <c r="H22" s="345"/>
      <c r="I22" s="345"/>
      <c r="J22" s="345"/>
      <c r="K22" s="345"/>
    </row>
    <row r="23" spans="1:11">
      <c r="A23" s="287" t="s">
        <v>236</v>
      </c>
      <c r="B23" s="346"/>
      <c r="C23" s="346"/>
      <c r="D23" s="346"/>
      <c r="E23" s="345">
        <v>-560009</v>
      </c>
      <c r="F23" s="345">
        <v>-487636</v>
      </c>
      <c r="G23" s="345">
        <f>F23-E23</f>
        <v>72373</v>
      </c>
      <c r="H23" s="345"/>
      <c r="I23" s="345"/>
      <c r="J23" s="345"/>
      <c r="K23" s="345"/>
    </row>
    <row r="24" spans="1:11">
      <c r="A24" s="287" t="s">
        <v>237</v>
      </c>
      <c r="B24" s="346"/>
      <c r="C24" s="346"/>
      <c r="D24" s="346"/>
      <c r="E24" s="345">
        <v>-2817656</v>
      </c>
      <c r="F24" s="345">
        <v>-2805884</v>
      </c>
      <c r="G24" s="345">
        <f>F24-E24</f>
        <v>11772</v>
      </c>
      <c r="H24" s="345"/>
      <c r="I24" s="345"/>
      <c r="J24" s="345"/>
      <c r="K24" s="345"/>
    </row>
    <row r="25" spans="1:11" ht="13.5" thickBot="1">
      <c r="A25" s="287" t="s">
        <v>238</v>
      </c>
      <c r="B25" s="346"/>
      <c r="C25" s="346"/>
      <c r="D25" s="346"/>
      <c r="E25" s="352">
        <f>SUM(E22:E24)</f>
        <v>23324809</v>
      </c>
      <c r="F25" s="353">
        <f>SUM(F22:F24)</f>
        <v>22530121</v>
      </c>
      <c r="G25" s="353">
        <f>SUM(G22:G24)</f>
        <v>-794688</v>
      </c>
      <c r="H25" s="345"/>
      <c r="I25" s="345"/>
      <c r="J25" s="345"/>
      <c r="K25" s="345"/>
    </row>
    <row r="26" spans="1:11">
      <c r="B26" s="346"/>
      <c r="C26" s="346"/>
      <c r="D26" s="346"/>
      <c r="E26" s="345"/>
      <c r="F26" s="345"/>
      <c r="G26" s="345"/>
      <c r="H26" s="345"/>
      <c r="I26" s="345"/>
      <c r="J26" s="345"/>
      <c r="K26" s="345"/>
    </row>
    <row r="27" spans="1:11">
      <c r="B27" s="345"/>
      <c r="C27" s="345"/>
      <c r="D27" s="346"/>
      <c r="E27" s="345"/>
      <c r="F27" s="345"/>
      <c r="G27" s="345"/>
      <c r="H27" s="345"/>
      <c r="I27" s="345"/>
      <c r="J27" s="345"/>
      <c r="K27" s="345"/>
    </row>
    <row r="28" spans="1:11">
      <c r="B28" s="345"/>
      <c r="C28" s="345"/>
      <c r="D28" s="346"/>
      <c r="E28" s="345"/>
      <c r="F28" s="345"/>
      <c r="G28" s="345"/>
      <c r="H28" s="345"/>
      <c r="I28" s="345"/>
      <c r="J28" s="345"/>
      <c r="K28" s="345"/>
    </row>
    <row r="29" spans="1:11">
      <c r="A29" s="287" t="s">
        <v>239</v>
      </c>
      <c r="B29" s="345"/>
      <c r="C29" s="345"/>
      <c r="D29" s="346"/>
      <c r="E29" s="345"/>
      <c r="F29" s="345"/>
      <c r="G29" s="345"/>
      <c r="H29" s="345"/>
      <c r="I29" s="345"/>
      <c r="J29" s="345"/>
      <c r="K29" s="345"/>
    </row>
    <row r="30" spans="1:11">
      <c r="A30" s="354" t="s">
        <v>240</v>
      </c>
      <c r="B30" s="355"/>
      <c r="C30" s="345"/>
      <c r="D30" s="346"/>
      <c r="E30" s="345"/>
      <c r="F30" s="345"/>
      <c r="G30" s="345"/>
      <c r="H30" s="345"/>
      <c r="I30" s="345"/>
      <c r="J30" s="345"/>
      <c r="K30" s="345"/>
    </row>
    <row r="31" spans="1:11">
      <c r="A31" s="356">
        <v>2008</v>
      </c>
      <c r="B31" s="357">
        <v>520862.96</v>
      </c>
    </row>
    <row r="32" spans="1:11">
      <c r="A32" s="356" t="s">
        <v>241</v>
      </c>
      <c r="B32" s="358">
        <v>604327.92000000004</v>
      </c>
    </row>
    <row r="33" spans="1:7" ht="13.5" thickBot="1">
      <c r="A33" s="356" t="s">
        <v>242</v>
      </c>
      <c r="B33" s="359">
        <f>SUM(B31:B32)</f>
        <v>1125190.8800000001</v>
      </c>
    </row>
    <row r="34" spans="1:7">
      <c r="A34" s="356" t="s">
        <v>243</v>
      </c>
      <c r="B34" s="357">
        <f>B33/2</f>
        <v>562595.44000000006</v>
      </c>
    </row>
    <row r="35" spans="1:7">
      <c r="A35" s="356"/>
      <c r="B35" s="360"/>
    </row>
    <row r="36" spans="1:7">
      <c r="A36" s="356" t="s">
        <v>244</v>
      </c>
      <c r="B36" s="361">
        <f>1-35.41%</f>
        <v>0.64590000000000003</v>
      </c>
    </row>
    <row r="37" spans="1:7">
      <c r="A37" s="356"/>
      <c r="B37" s="360"/>
    </row>
    <row r="38" spans="1:7" ht="13.5" thickBot="1">
      <c r="A38" s="356" t="s">
        <v>245</v>
      </c>
      <c r="B38" s="362">
        <f>B34*B36</f>
        <v>363380.39469600003</v>
      </c>
    </row>
    <row r="40" spans="1:7">
      <c r="A40" s="287" t="s">
        <v>246</v>
      </c>
    </row>
    <row r="41" spans="1:7">
      <c r="A41" s="287" t="s">
        <v>247</v>
      </c>
    </row>
    <row r="42" spans="1:7">
      <c r="A42" s="287" t="s">
        <v>248</v>
      </c>
    </row>
    <row r="43" spans="1:7">
      <c r="A43" s="287" t="s">
        <v>249</v>
      </c>
    </row>
    <row r="45" spans="1:7" ht="15">
      <c r="G45" s="6" t="s">
        <v>253</v>
      </c>
    </row>
  </sheetData>
  <mergeCells count="2">
    <mergeCell ref="B4:C4"/>
    <mergeCell ref="E4:G4"/>
  </mergeCells>
  <pageMargins left="0.75" right="0.75" top="1" bottom="0.5" header="0.5" footer="0.5"/>
  <pageSetup scale="89" orientation="landscape" r:id="rId1"/>
  <headerFooter alignWithMargins="0">
    <oddHeader>&amp;C
&amp;"Arial,Bold"&amp;12AVISTA UTILTIES&amp;"Arial,Regular"&amp;10
SPOKANE RIVER RELICENSING REVISED ADJUSTMENT&amp;RExhibit No. ___(EMA-8)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view="pageBreakPreview" topLeftCell="C22" zoomScale="70" zoomScaleNormal="75" zoomScaleSheetLayoutView="70" workbookViewId="0">
      <selection activeCell="J62" sqref="J62"/>
    </sheetView>
  </sheetViews>
  <sheetFormatPr defaultColWidth="5.140625" defaultRowHeight="15"/>
  <cols>
    <col min="1" max="1" width="11.5703125" style="164" hidden="1" customWidth="1"/>
    <col min="2" max="2" width="10.7109375" style="164" hidden="1" customWidth="1"/>
    <col min="3" max="3" width="0.140625" style="164" customWidth="1"/>
    <col min="4" max="4" width="10.7109375" style="164" hidden="1" customWidth="1"/>
    <col min="5" max="5" width="8.7109375" style="164" customWidth="1"/>
    <col min="6" max="6" width="70.28515625" style="153" customWidth="1"/>
    <col min="7" max="7" width="6.140625" style="164" hidden="1" customWidth="1"/>
    <col min="8" max="8" width="16.140625" style="164" customWidth="1"/>
    <col min="9" max="9" width="23.42578125" style="164" customWidth="1"/>
    <col min="10" max="10" width="17.28515625" style="164" bestFit="1" customWidth="1"/>
    <col min="11" max="12" width="4.28515625" style="178" customWidth="1"/>
    <col min="13" max="13" width="11.140625" style="177" customWidth="1"/>
    <col min="14" max="14" width="40" style="177" customWidth="1"/>
    <col min="15" max="15" width="8.28515625" style="164" bestFit="1" customWidth="1"/>
    <col min="16" max="16" width="16.85546875" style="177" customWidth="1"/>
    <col min="17" max="17" width="2.28515625" style="177" customWidth="1"/>
    <col min="18" max="18" width="15.140625" style="177" customWidth="1"/>
    <col min="19" max="19" width="1.85546875" style="177" customWidth="1"/>
    <col min="20" max="20" width="15.85546875" style="177" customWidth="1"/>
    <col min="21" max="21" width="2" style="177" customWidth="1"/>
    <col min="22" max="22" width="5.140625" style="177" hidden="1" customWidth="1"/>
    <col min="23" max="23" width="5.5703125" style="177" bestFit="1" customWidth="1"/>
    <col min="24" max="24" width="37.28515625" style="164" bestFit="1" customWidth="1"/>
    <col min="25" max="25" width="8.28515625" style="164" bestFit="1" customWidth="1"/>
    <col min="26" max="26" width="12.85546875" style="164" bestFit="1" customWidth="1"/>
    <col min="27" max="27" width="5.140625" style="164" customWidth="1"/>
    <col min="28" max="28" width="11.42578125" style="164" bestFit="1" customWidth="1"/>
    <col min="29" max="29" width="5.140625" style="164" customWidth="1"/>
    <col min="30" max="30" width="11.42578125" style="164" bestFit="1" customWidth="1"/>
    <col min="31" max="16384" width="5.140625" style="164"/>
  </cols>
  <sheetData>
    <row r="1" spans="1:30" s="153" customFormat="1" ht="48" customHeight="1" thickBot="1">
      <c r="A1" s="153">
        <v>1</v>
      </c>
      <c r="B1" s="154" t="s">
        <v>84</v>
      </c>
      <c r="C1" s="154"/>
      <c r="D1" s="154"/>
      <c r="E1" s="155"/>
      <c r="F1" s="156" t="s">
        <v>85</v>
      </c>
      <c r="G1" s="156" t="s">
        <v>86</v>
      </c>
      <c r="H1" s="156" t="s">
        <v>87</v>
      </c>
      <c r="I1" s="156" t="s">
        <v>88</v>
      </c>
      <c r="J1" s="156" t="s">
        <v>89</v>
      </c>
      <c r="K1" s="157"/>
      <c r="L1" s="157"/>
      <c r="M1" s="158"/>
      <c r="N1" s="159" t="s">
        <v>90</v>
      </c>
      <c r="O1" s="160"/>
      <c r="P1" s="161" t="s">
        <v>69</v>
      </c>
      <c r="Q1" s="158"/>
      <c r="R1" s="161" t="s">
        <v>70</v>
      </c>
      <c r="S1" s="158"/>
      <c r="T1" s="161" t="s">
        <v>71</v>
      </c>
      <c r="U1" s="162"/>
      <c r="V1" s="162"/>
      <c r="W1" s="163"/>
      <c r="X1" s="164"/>
      <c r="Y1" s="164"/>
      <c r="Z1" s="164"/>
      <c r="AA1" s="164"/>
      <c r="AB1" s="164"/>
      <c r="AC1" s="164"/>
      <c r="AD1" s="164"/>
    </row>
    <row r="2" spans="1:30" s="153" customFormat="1" ht="15.75">
      <c r="B2" s="154"/>
      <c r="C2" s="154"/>
      <c r="D2" s="154"/>
      <c r="E2" s="155"/>
      <c r="F2" s="165" t="s">
        <v>91</v>
      </c>
      <c r="G2" s="156"/>
      <c r="H2" s="156"/>
      <c r="I2" s="156"/>
      <c r="J2" s="156"/>
      <c r="K2" s="157"/>
      <c r="L2" s="157"/>
      <c r="M2" s="158"/>
      <c r="N2" s="166" t="s">
        <v>72</v>
      </c>
      <c r="O2" s="167"/>
      <c r="P2" s="168"/>
      <c r="Q2" s="158"/>
      <c r="R2" s="169">
        <v>0.64590000000000003</v>
      </c>
      <c r="S2" s="158"/>
      <c r="T2" s="169">
        <v>0.35410000000000003</v>
      </c>
      <c r="U2" s="162"/>
      <c r="V2" s="162"/>
    </row>
    <row r="3" spans="1:30" ht="17.25" customHeight="1">
      <c r="A3" s="153">
        <v>2</v>
      </c>
      <c r="B3" s="164" t="s">
        <v>92</v>
      </c>
      <c r="C3" s="170" t="s">
        <v>93</v>
      </c>
      <c r="D3" s="171" t="s">
        <v>94</v>
      </c>
      <c r="E3" s="172" t="s">
        <v>95</v>
      </c>
      <c r="F3" s="173" t="s">
        <v>96</v>
      </c>
      <c r="G3" s="172">
        <v>215</v>
      </c>
      <c r="H3" s="174">
        <f>'[1]Budget v Actual Summaries'!J31</f>
        <v>62517</v>
      </c>
      <c r="I3" s="174">
        <f>'[1]Budget v Actual Summaries'!K31</f>
        <v>103249</v>
      </c>
      <c r="J3" s="174">
        <f>I3-H3</f>
        <v>40732</v>
      </c>
      <c r="K3" s="157"/>
      <c r="L3" s="157"/>
      <c r="M3" s="158"/>
      <c r="N3" s="175" t="s">
        <v>97</v>
      </c>
      <c r="O3" s="167"/>
      <c r="P3" s="168"/>
      <c r="Q3" s="158"/>
      <c r="R3" s="176">
        <v>0.66820999999999997</v>
      </c>
      <c r="S3" s="158"/>
      <c r="T3" s="176">
        <v>0.33178999999999997</v>
      </c>
    </row>
    <row r="4" spans="1:30" ht="18" customHeight="1">
      <c r="A4" s="153">
        <v>18</v>
      </c>
      <c r="B4" s="164" t="s">
        <v>98</v>
      </c>
      <c r="C4" s="170" t="s">
        <v>99</v>
      </c>
      <c r="D4" s="171" t="s">
        <v>100</v>
      </c>
      <c r="E4" s="172">
        <v>571</v>
      </c>
      <c r="F4" s="173" t="s">
        <v>101</v>
      </c>
      <c r="G4" s="172">
        <v>215</v>
      </c>
      <c r="H4" s="174">
        <f>'[1]Budget v Actual Summaries'!J32</f>
        <v>178800</v>
      </c>
      <c r="I4" s="174">
        <f>'[1]Budget v Actual Summaries'!K32</f>
        <v>276526</v>
      </c>
      <c r="J4" s="174">
        <f>I4-H4</f>
        <v>97726</v>
      </c>
      <c r="M4" s="158"/>
      <c r="N4" s="175" t="s">
        <v>102</v>
      </c>
      <c r="O4" s="167"/>
      <c r="P4" s="168"/>
      <c r="Q4" s="158"/>
      <c r="R4" s="176">
        <v>0.62019000000000002</v>
      </c>
      <c r="S4" s="158"/>
      <c r="T4" s="176">
        <v>0.37980999999999998</v>
      </c>
    </row>
    <row r="5" spans="1:30" ht="21" customHeight="1">
      <c r="A5" s="153">
        <v>26</v>
      </c>
      <c r="B5" s="164" t="s">
        <v>103</v>
      </c>
      <c r="C5" s="170" t="s">
        <v>104</v>
      </c>
      <c r="D5" s="171" t="s">
        <v>105</v>
      </c>
      <c r="E5" s="172">
        <v>583</v>
      </c>
      <c r="F5" s="173" t="s">
        <v>106</v>
      </c>
      <c r="G5" s="179">
        <v>215</v>
      </c>
      <c r="H5" s="180">
        <f>'[1]Budget v Actual Summaries'!J33</f>
        <v>404160</v>
      </c>
      <c r="I5" s="180">
        <f>'[1]Budget v Actual Summaries'!K33</f>
        <v>472619</v>
      </c>
      <c r="J5" s="180">
        <f>I5-H5</f>
        <v>68459</v>
      </c>
      <c r="M5" s="175"/>
      <c r="N5" s="181" t="s">
        <v>107</v>
      </c>
      <c r="O5" s="167"/>
      <c r="P5" s="158"/>
      <c r="Q5" s="158"/>
      <c r="R5" s="158"/>
      <c r="S5" s="158"/>
      <c r="T5" s="182"/>
    </row>
    <row r="6" spans="1:30" ht="16.5" thickBot="1">
      <c r="A6" s="153"/>
      <c r="E6" s="172"/>
      <c r="F6" s="173"/>
      <c r="G6" s="172"/>
      <c r="H6" s="174">
        <f>SUM(H3:H5)</f>
        <v>645477</v>
      </c>
      <c r="I6" s="174">
        <f>SUM(I3:I5)</f>
        <v>852394</v>
      </c>
      <c r="J6" s="183">
        <f>SUM(J3:J5)</f>
        <v>206917</v>
      </c>
      <c r="M6" s="184" t="s">
        <v>108</v>
      </c>
      <c r="N6" s="182" t="s">
        <v>109</v>
      </c>
      <c r="O6" s="185"/>
      <c r="P6" s="186">
        <f>J3+J4</f>
        <v>138458</v>
      </c>
      <c r="Q6" s="182"/>
      <c r="R6" s="187">
        <f>P6*$R$2</f>
        <v>89430.022200000007</v>
      </c>
      <c r="S6" s="188"/>
      <c r="T6" s="188">
        <f>P6*$T$2</f>
        <v>49027.977800000001</v>
      </c>
    </row>
    <row r="7" spans="1:30" ht="16.5" thickTop="1">
      <c r="A7" s="153"/>
      <c r="E7" s="172"/>
      <c r="F7" s="165" t="s">
        <v>110</v>
      </c>
      <c r="G7" s="172"/>
      <c r="H7" s="174"/>
      <c r="I7" s="174"/>
      <c r="J7" s="189"/>
      <c r="M7" s="182">
        <v>583</v>
      </c>
      <c r="N7" s="182" t="s">
        <v>111</v>
      </c>
      <c r="O7" s="185"/>
      <c r="P7" s="190">
        <f>J5</f>
        <v>68459</v>
      </c>
      <c r="Q7" s="182"/>
      <c r="R7" s="191">
        <f>P7*$R$3</f>
        <v>45744.988389999999</v>
      </c>
      <c r="S7" s="188"/>
      <c r="T7" s="192">
        <f>P7*$T$3</f>
        <v>22714.011609999998</v>
      </c>
    </row>
    <row r="8" spans="1:30" ht="20.25" customHeight="1">
      <c r="A8" s="153">
        <v>6</v>
      </c>
      <c r="B8" s="164" t="s">
        <v>112</v>
      </c>
      <c r="C8" s="170" t="s">
        <v>113</v>
      </c>
      <c r="D8" s="193" t="s">
        <v>39</v>
      </c>
      <c r="E8" s="194">
        <v>885</v>
      </c>
      <c r="F8" s="195" t="s">
        <v>39</v>
      </c>
      <c r="G8" s="194">
        <v>215</v>
      </c>
      <c r="H8" s="196">
        <f>'[1]Budget v Actual Summaries'!J42</f>
        <v>113401</v>
      </c>
      <c r="I8" s="196">
        <f>'[1]Budget v Actual Summaries'!K42</f>
        <v>255429</v>
      </c>
      <c r="J8" s="196">
        <f>I8-H8</f>
        <v>142028</v>
      </c>
      <c r="K8" s="197"/>
      <c r="L8" s="197"/>
      <c r="M8" s="182"/>
      <c r="N8" s="182"/>
      <c r="O8" s="185"/>
      <c r="P8" s="198">
        <f>SUM(P6:P7)</f>
        <v>206917</v>
      </c>
      <c r="Q8" s="199"/>
      <c r="R8" s="200">
        <f>SUM(R6:R7)</f>
        <v>135175.01059000002</v>
      </c>
      <c r="S8" s="199"/>
      <c r="T8" s="199">
        <f>SUM(T6:T7)</f>
        <v>71741.989409999995</v>
      </c>
    </row>
    <row r="9" spans="1:30" ht="25.5">
      <c r="A9" s="153">
        <v>8</v>
      </c>
      <c r="B9" s="164" t="s">
        <v>114</v>
      </c>
      <c r="C9" s="170">
        <v>563</v>
      </c>
      <c r="D9" s="193" t="s">
        <v>94</v>
      </c>
      <c r="E9" s="172">
        <v>563</v>
      </c>
      <c r="F9" s="173" t="s">
        <v>115</v>
      </c>
      <c r="G9" s="172">
        <v>215</v>
      </c>
      <c r="H9" s="174">
        <f>'[1]Budget v Actual Summaries'!J43</f>
        <v>16624</v>
      </c>
      <c r="I9" s="174">
        <f>'[1]Budget v Actual Summaries'!K43</f>
        <v>26590</v>
      </c>
      <c r="J9" s="174">
        <f>I9-H9</f>
        <v>9966</v>
      </c>
      <c r="M9" s="182"/>
      <c r="N9" s="201" t="s">
        <v>116</v>
      </c>
      <c r="O9" s="185"/>
      <c r="P9" s="182"/>
      <c r="Q9" s="182"/>
      <c r="R9" s="187"/>
      <c r="S9" s="188"/>
      <c r="T9" s="187"/>
    </row>
    <row r="10" spans="1:30" ht="25.5" customHeight="1">
      <c r="A10" s="153">
        <v>13</v>
      </c>
      <c r="B10" s="164" t="s">
        <v>114</v>
      </c>
      <c r="C10" s="170" t="s">
        <v>117</v>
      </c>
      <c r="D10" s="193" t="s">
        <v>118</v>
      </c>
      <c r="E10" s="172" t="s">
        <v>119</v>
      </c>
      <c r="F10" s="173" t="s">
        <v>120</v>
      </c>
      <c r="G10" s="172">
        <v>215</v>
      </c>
      <c r="H10" s="174">
        <f>'[1]Budget v Actual Summaries'!J44</f>
        <v>965023</v>
      </c>
      <c r="I10" s="174">
        <f>'[1]Budget v Actual Summaries'!K44</f>
        <v>1326594</v>
      </c>
      <c r="J10" s="174">
        <f>I10-H10</f>
        <v>361571</v>
      </c>
      <c r="M10" s="202">
        <v>885</v>
      </c>
      <c r="N10" s="203" t="s">
        <v>39</v>
      </c>
      <c r="O10" s="204"/>
      <c r="P10" s="205">
        <f>SUM(J8)</f>
        <v>142028</v>
      </c>
      <c r="Q10" s="203"/>
      <c r="R10" s="206">
        <f>P10*$R$4</f>
        <v>88084.345320000008</v>
      </c>
      <c r="S10" s="192"/>
      <c r="T10" s="192">
        <f>P10*$T$4</f>
        <v>53943.65468</v>
      </c>
    </row>
    <row r="11" spans="1:30" ht="21" customHeight="1" thickBot="1">
      <c r="A11" s="153">
        <v>14</v>
      </c>
      <c r="B11" s="164" t="s">
        <v>112</v>
      </c>
      <c r="C11" s="170" t="s">
        <v>121</v>
      </c>
      <c r="D11" s="207" t="s">
        <v>122</v>
      </c>
      <c r="E11" s="172" t="s">
        <v>123</v>
      </c>
      <c r="F11" s="173" t="s">
        <v>124</v>
      </c>
      <c r="G11" s="172">
        <v>215</v>
      </c>
      <c r="H11" s="180">
        <f>'[1]Budget v Actual Summaries'!J45</f>
        <v>4481900</v>
      </c>
      <c r="I11" s="180">
        <f>'[1]Budget v Actual Summaries'!K45</f>
        <v>6658310</v>
      </c>
      <c r="J11" s="174">
        <f>I11-H11</f>
        <v>2176410</v>
      </c>
      <c r="M11" s="208"/>
      <c r="N11" s="201" t="s">
        <v>125</v>
      </c>
      <c r="O11" s="209"/>
      <c r="P11" s="186"/>
      <c r="Q11" s="182"/>
      <c r="R11" s="187"/>
      <c r="S11" s="188"/>
      <c r="T11" s="188"/>
    </row>
    <row r="12" spans="1:30" ht="16.5" thickBot="1">
      <c r="A12" s="153"/>
      <c r="E12" s="172"/>
      <c r="F12" s="173"/>
      <c r="G12" s="172"/>
      <c r="H12" s="174">
        <f>SUM(H8:H11)</f>
        <v>5576948</v>
      </c>
      <c r="I12" s="174">
        <f>SUM(I8:I11)</f>
        <v>8266923</v>
      </c>
      <c r="J12" s="183">
        <f>SUM(J8:J11)</f>
        <v>2689975</v>
      </c>
      <c r="M12" s="182" t="s">
        <v>126</v>
      </c>
      <c r="N12" s="182" t="s">
        <v>127</v>
      </c>
      <c r="O12" s="185"/>
      <c r="P12" s="186">
        <f>SUM(J9:J10)</f>
        <v>371537</v>
      </c>
      <c r="Q12" s="182"/>
      <c r="R12" s="210">
        <f>P12*$R$2</f>
        <v>239975.74830000001</v>
      </c>
      <c r="S12" s="188"/>
      <c r="T12" s="188">
        <f>P12*$T$2</f>
        <v>131561.25170000002</v>
      </c>
    </row>
    <row r="13" spans="1:30" ht="15.75" thickTop="1">
      <c r="A13" s="153"/>
      <c r="E13" s="172"/>
      <c r="F13" s="173"/>
      <c r="G13" s="172"/>
      <c r="H13" s="174"/>
      <c r="I13" s="174"/>
      <c r="J13" s="174"/>
      <c r="M13" s="182" t="s">
        <v>128</v>
      </c>
      <c r="N13" s="182" t="s">
        <v>129</v>
      </c>
      <c r="O13" s="185"/>
      <c r="P13" s="190">
        <f>SUM(J11)</f>
        <v>2176410</v>
      </c>
      <c r="Q13" s="182"/>
      <c r="R13" s="206">
        <f>P13*$R$3</f>
        <v>1454298.9261</v>
      </c>
      <c r="S13" s="188"/>
      <c r="T13" s="192">
        <f>P13*$T$3</f>
        <v>722111.07389999996</v>
      </c>
    </row>
    <row r="14" spans="1:30">
      <c r="A14" s="153"/>
      <c r="E14" s="172"/>
      <c r="F14" s="173"/>
      <c r="G14" s="172"/>
      <c r="H14" s="174"/>
      <c r="I14" s="174"/>
      <c r="J14" s="174"/>
      <c r="M14" s="182"/>
      <c r="N14" s="182"/>
      <c r="O14" s="185"/>
      <c r="P14" s="198">
        <f>SUM(P12:P13)</f>
        <v>2547947</v>
      </c>
      <c r="Q14" s="182"/>
      <c r="R14" s="198">
        <f>SUM(R12:R13)</f>
        <v>1694274.6744000001</v>
      </c>
      <c r="S14" s="187"/>
      <c r="T14" s="198">
        <f>SUM(T12:T13)</f>
        <v>853672.32559999998</v>
      </c>
      <c r="V14" s="164"/>
    </row>
    <row r="15" spans="1:30" ht="16.5" thickBot="1">
      <c r="A15" s="211"/>
      <c r="B15" s="212"/>
      <c r="C15" s="212"/>
      <c r="D15" s="212"/>
      <c r="E15" s="172"/>
      <c r="F15" s="213" t="s">
        <v>130</v>
      </c>
      <c r="G15" s="172"/>
      <c r="H15" s="174"/>
      <c r="I15" s="174"/>
      <c r="J15" s="174"/>
      <c r="M15" s="214"/>
      <c r="N15" s="214"/>
      <c r="O15" s="215"/>
      <c r="P15" s="214"/>
      <c r="Q15" s="214"/>
      <c r="R15" s="216"/>
      <c r="S15" s="214"/>
      <c r="T15" s="214"/>
      <c r="V15" s="164"/>
    </row>
    <row r="16" spans="1:30">
      <c r="A16" s="153">
        <v>6</v>
      </c>
      <c r="B16" s="164" t="s">
        <v>112</v>
      </c>
      <c r="E16" s="172">
        <v>562</v>
      </c>
      <c r="F16" s="173" t="s">
        <v>131</v>
      </c>
      <c r="G16" s="172">
        <v>215</v>
      </c>
      <c r="H16" s="174">
        <f>'[1]Budget v Actual Summaries'!J37+'[1]Budget v Actual Summaries'!J55+'[1]Budget v Actual Summaries'!J13+'[1]Budget v Actual Summaries'!J14+'[1]Budget v Actual Summaries'!J16</f>
        <v>559852</v>
      </c>
      <c r="I16" s="174">
        <f>'[1]Budget v Actual Summaries'!K37+'[1]Budget v Actual Summaries'!K55+'[1]Budget v Actual Summaries'!K13+'[1]Budget v Actual Summaries'!K14+'[1]Budget v Actual Summaries'!K16</f>
        <v>874782</v>
      </c>
      <c r="J16" s="174">
        <f t="shared" ref="J16:J32" si="0">I16-H16</f>
        <v>314930</v>
      </c>
      <c r="R16" s="217"/>
      <c r="V16" s="164"/>
    </row>
    <row r="17" spans="1:30">
      <c r="A17" s="153">
        <v>8</v>
      </c>
      <c r="B17" s="164" t="s">
        <v>114</v>
      </c>
      <c r="E17" s="172">
        <v>563</v>
      </c>
      <c r="F17" s="173" t="s">
        <v>132</v>
      </c>
      <c r="G17" s="172">
        <v>215</v>
      </c>
      <c r="H17" s="174">
        <v>0</v>
      </c>
      <c r="I17" s="174">
        <v>0</v>
      </c>
      <c r="J17" s="174">
        <f t="shared" si="0"/>
        <v>0</v>
      </c>
      <c r="M17" s="182"/>
      <c r="N17" s="182"/>
      <c r="O17" s="185"/>
      <c r="P17" s="182"/>
      <c r="Q17" s="182"/>
      <c r="R17" s="208"/>
      <c r="S17" s="182"/>
      <c r="T17" s="182"/>
      <c r="V17" s="164"/>
      <c r="W17" s="164"/>
    </row>
    <row r="18" spans="1:30" s="212" customFormat="1" ht="23.25" customHeight="1">
      <c r="A18" s="153">
        <v>13</v>
      </c>
      <c r="B18" s="164" t="s">
        <v>114</v>
      </c>
      <c r="C18" s="164"/>
      <c r="D18" s="164"/>
      <c r="E18" s="172">
        <v>568</v>
      </c>
      <c r="F18" s="218" t="s">
        <v>133</v>
      </c>
      <c r="G18" s="172">
        <v>215</v>
      </c>
      <c r="H18" s="174">
        <f>'[1]Budget v Actual Summaries'!J54</f>
        <v>105760</v>
      </c>
      <c r="I18" s="174">
        <f>'[1]Budget v Actual Summaries'!K54</f>
        <v>146358</v>
      </c>
      <c r="J18" s="174">
        <f t="shared" si="0"/>
        <v>40598</v>
      </c>
      <c r="K18" s="178"/>
      <c r="L18" s="178"/>
      <c r="M18" s="208"/>
      <c r="N18" s="201" t="s">
        <v>134</v>
      </c>
      <c r="O18" s="209"/>
      <c r="P18" s="208"/>
      <c r="Q18" s="208"/>
      <c r="R18" s="187"/>
      <c r="S18" s="187"/>
      <c r="T18" s="188"/>
      <c r="U18" s="217"/>
      <c r="W18" s="164"/>
      <c r="X18" s="164"/>
      <c r="Y18" s="164"/>
      <c r="Z18" s="164"/>
      <c r="AA18" s="164"/>
      <c r="AB18" s="164"/>
      <c r="AC18" s="164"/>
      <c r="AD18" s="164"/>
    </row>
    <row r="19" spans="1:30">
      <c r="A19" s="153">
        <v>14</v>
      </c>
      <c r="B19" s="164" t="s">
        <v>112</v>
      </c>
      <c r="E19" s="172">
        <v>569</v>
      </c>
      <c r="F19" s="173" t="s">
        <v>135</v>
      </c>
      <c r="G19" s="172">
        <v>215</v>
      </c>
      <c r="H19" s="174">
        <f>'[1]Budget v Actual Summaries'!J56</f>
        <v>176179</v>
      </c>
      <c r="I19" s="174">
        <f>'[1]Budget v Actual Summaries'!K56</f>
        <v>186749</v>
      </c>
      <c r="J19" s="174">
        <f t="shared" si="0"/>
        <v>10570</v>
      </c>
      <c r="K19" s="197"/>
      <c r="L19" s="197"/>
      <c r="M19" s="182" t="s">
        <v>126</v>
      </c>
      <c r="N19" s="182" t="s">
        <v>127</v>
      </c>
      <c r="O19" s="185"/>
      <c r="P19" s="186">
        <f>SUM(J16:J21)</f>
        <v>842903</v>
      </c>
      <c r="Q19" s="182"/>
      <c r="R19" s="210">
        <f>P19*$R$2</f>
        <v>544431.0477</v>
      </c>
      <c r="S19" s="188"/>
      <c r="T19" s="188">
        <f>P19*$T$2</f>
        <v>298471.9523</v>
      </c>
      <c r="V19" s="164"/>
      <c r="W19" s="164"/>
    </row>
    <row r="20" spans="1:30">
      <c r="A20" s="153">
        <v>15</v>
      </c>
      <c r="B20" s="164" t="s">
        <v>112</v>
      </c>
      <c r="E20" s="172">
        <v>570</v>
      </c>
      <c r="F20" s="218" t="s">
        <v>136</v>
      </c>
      <c r="G20" s="172">
        <v>215</v>
      </c>
      <c r="H20" s="174">
        <f>'[1]Budget v Actual Summaries'!J38+'[1]Budget v Actual Summaries'!J57+'[1]Budget v Actual Summaries'!J18</f>
        <v>215031</v>
      </c>
      <c r="I20" s="174">
        <f>'[1]Budget v Actual Summaries'!K38+'[1]Budget v Actual Summaries'!K57+'[1]Budget v Actual Summaries'!K18</f>
        <v>331436</v>
      </c>
      <c r="J20" s="174">
        <f t="shared" si="0"/>
        <v>116405</v>
      </c>
      <c r="M20" s="182" t="s">
        <v>128</v>
      </c>
      <c r="N20" s="182" t="s">
        <v>129</v>
      </c>
      <c r="O20" s="185"/>
      <c r="P20" s="186">
        <f>SUM(J22:J32)-J24</f>
        <v>632485</v>
      </c>
      <c r="Q20" s="182"/>
      <c r="R20" s="210">
        <f>P20*$R$2</f>
        <v>408522.06150000001</v>
      </c>
      <c r="S20" s="188"/>
      <c r="T20" s="188">
        <f>P20*$T$2</f>
        <v>223962.93850000002</v>
      </c>
      <c r="V20" s="164"/>
    </row>
    <row r="21" spans="1:30">
      <c r="A21" s="153">
        <v>17</v>
      </c>
      <c r="B21" s="164" t="s">
        <v>114</v>
      </c>
      <c r="E21" s="179">
        <v>571</v>
      </c>
      <c r="F21" s="219" t="s">
        <v>101</v>
      </c>
      <c r="G21" s="172">
        <v>215</v>
      </c>
      <c r="H21" s="174">
        <f>'[1]Budget v Actual Summaries'!J6</f>
        <v>0</v>
      </c>
      <c r="I21" s="174">
        <f>'[1]Budget v Actual Summaries'!K6</f>
        <v>360400</v>
      </c>
      <c r="J21" s="174">
        <f t="shared" si="0"/>
        <v>360400</v>
      </c>
      <c r="M21" s="220">
        <v>584</v>
      </c>
      <c r="N21" s="182" t="s">
        <v>137</v>
      </c>
      <c r="O21" s="185"/>
      <c r="P21" s="190">
        <f>J24</f>
        <v>114000</v>
      </c>
      <c r="Q21" s="182"/>
      <c r="R21" s="206">
        <f>P21</f>
        <v>114000</v>
      </c>
      <c r="S21" s="188"/>
      <c r="T21" s="192">
        <v>0</v>
      </c>
      <c r="V21" s="164"/>
    </row>
    <row r="22" spans="1:30" ht="15.75" thickBot="1">
      <c r="A22" s="153">
        <v>24</v>
      </c>
      <c r="B22" s="164" t="s">
        <v>138</v>
      </c>
      <c r="E22" s="172">
        <v>582</v>
      </c>
      <c r="F22" s="173" t="s">
        <v>139</v>
      </c>
      <c r="G22" s="172">
        <v>215</v>
      </c>
      <c r="H22" s="174">
        <f>'[1]Budget v Actual Summaries'!J62+'[1]Budget v Actual Summaries'!J15</f>
        <v>117917</v>
      </c>
      <c r="I22" s="174">
        <f>'[1]Budget v Actual Summaries'!K62+'[1]Budget v Actual Summaries'!K15</f>
        <v>239347</v>
      </c>
      <c r="J22" s="174">
        <f t="shared" si="0"/>
        <v>121430</v>
      </c>
      <c r="M22" s="182"/>
      <c r="N22" s="182"/>
      <c r="O22" s="185"/>
      <c r="P22" s="198">
        <f>SUM(P19:P21)</f>
        <v>1589388</v>
      </c>
      <c r="Q22" s="182"/>
      <c r="R22" s="221">
        <f>SUM(R19:R21)</f>
        <v>1066953.1092000001</v>
      </c>
      <c r="S22" s="188"/>
      <c r="T22" s="222">
        <f>SUM(T19:T21)</f>
        <v>522434.89080000005</v>
      </c>
      <c r="V22" s="164"/>
    </row>
    <row r="23" spans="1:30" ht="15.75">
      <c r="A23" s="153">
        <v>25</v>
      </c>
      <c r="B23" s="164" t="s">
        <v>140</v>
      </c>
      <c r="E23" s="172">
        <v>583</v>
      </c>
      <c r="F23" s="173" t="s">
        <v>106</v>
      </c>
      <c r="G23" s="172">
        <v>215</v>
      </c>
      <c r="H23" s="174">
        <v>0</v>
      </c>
      <c r="I23" s="174">
        <v>0</v>
      </c>
      <c r="J23" s="174">
        <f t="shared" si="0"/>
        <v>0</v>
      </c>
      <c r="M23" s="223" t="s">
        <v>141</v>
      </c>
      <c r="N23" s="224"/>
      <c r="O23" s="225"/>
      <c r="P23" s="224"/>
      <c r="Q23" s="224"/>
      <c r="R23" s="224"/>
      <c r="S23" s="224"/>
      <c r="T23" s="226"/>
      <c r="V23" s="164"/>
    </row>
    <row r="24" spans="1:30" ht="15.75" thickBot="1">
      <c r="A24" s="153">
        <v>27</v>
      </c>
      <c r="B24" s="164" t="s">
        <v>142</v>
      </c>
      <c r="E24" s="172">
        <v>584</v>
      </c>
      <c r="F24" s="173" t="s">
        <v>143</v>
      </c>
      <c r="G24" s="172">
        <v>215</v>
      </c>
      <c r="H24" s="174">
        <f>'[1]Budget v Actual Summaries'!J23</f>
        <v>0</v>
      </c>
      <c r="I24" s="174">
        <f>'[1]Budget v Actual Summaries'!K23</f>
        <v>114000</v>
      </c>
      <c r="J24" s="174">
        <f t="shared" si="0"/>
        <v>114000</v>
      </c>
      <c r="K24" s="178" t="s">
        <v>144</v>
      </c>
      <c r="M24" s="227"/>
      <c r="N24" s="214" t="s">
        <v>145</v>
      </c>
      <c r="O24" s="215"/>
      <c r="P24" s="228">
        <f>P10</f>
        <v>142028</v>
      </c>
      <c r="Q24" s="214"/>
      <c r="R24" s="228">
        <f>R10</f>
        <v>88084.345320000008</v>
      </c>
      <c r="S24" s="214"/>
      <c r="T24" s="229">
        <f>T10</f>
        <v>53943.65468</v>
      </c>
      <c r="V24" s="164"/>
    </row>
    <row r="25" spans="1:30">
      <c r="A25" s="153">
        <v>29</v>
      </c>
      <c r="B25" s="164" t="s">
        <v>140</v>
      </c>
      <c r="E25" s="172">
        <v>586</v>
      </c>
      <c r="F25" s="173" t="s">
        <v>146</v>
      </c>
      <c r="G25" s="172">
        <v>215</v>
      </c>
      <c r="H25" s="174">
        <v>0</v>
      </c>
      <c r="I25" s="174">
        <v>0</v>
      </c>
      <c r="J25" s="174">
        <f t="shared" si="0"/>
        <v>0</v>
      </c>
      <c r="M25" s="230"/>
      <c r="N25" s="231"/>
      <c r="O25" s="232"/>
      <c r="P25" s="231"/>
      <c r="Q25" s="231"/>
      <c r="R25" s="231"/>
      <c r="S25" s="231"/>
      <c r="T25" s="233"/>
      <c r="V25" s="164"/>
    </row>
    <row r="26" spans="1:30" ht="15" customHeight="1">
      <c r="A26" s="153">
        <v>31</v>
      </c>
      <c r="B26" s="164" t="s">
        <v>140</v>
      </c>
      <c r="E26" s="172">
        <v>588</v>
      </c>
      <c r="F26" s="218" t="s">
        <v>147</v>
      </c>
      <c r="G26" s="172">
        <v>215</v>
      </c>
      <c r="H26" s="174">
        <v>0</v>
      </c>
      <c r="I26" s="174">
        <v>0</v>
      </c>
      <c r="J26" s="174">
        <f t="shared" si="0"/>
        <v>0</v>
      </c>
      <c r="M26" s="234" t="s">
        <v>148</v>
      </c>
      <c r="N26" s="208"/>
      <c r="O26" s="235"/>
      <c r="P26" s="208"/>
      <c r="Q26" s="208"/>
      <c r="R26" s="208"/>
      <c r="S26" s="208"/>
      <c r="T26" s="236"/>
      <c r="V26" s="164"/>
    </row>
    <row r="27" spans="1:30" ht="28.5">
      <c r="A27" s="153">
        <v>35</v>
      </c>
      <c r="B27" s="164" t="s">
        <v>140</v>
      </c>
      <c r="E27" s="172">
        <v>590</v>
      </c>
      <c r="F27" s="173" t="s">
        <v>149</v>
      </c>
      <c r="G27" s="172">
        <v>215</v>
      </c>
      <c r="H27" s="174">
        <f>'[1]Budget v Actual Summaries'!J61</f>
        <v>102387</v>
      </c>
      <c r="I27" s="174">
        <f>'[1]Budget v Actual Summaries'!K61</f>
        <v>165384</v>
      </c>
      <c r="J27" s="174">
        <f t="shared" si="0"/>
        <v>62997</v>
      </c>
      <c r="M27" s="237"/>
      <c r="N27" s="208" t="s">
        <v>150</v>
      </c>
      <c r="O27" s="235"/>
      <c r="P27" s="238">
        <f>P6+P19+P12</f>
        <v>1352898</v>
      </c>
      <c r="Q27" s="208"/>
      <c r="R27" s="238">
        <f>R6+R19+R12</f>
        <v>873836.81819999998</v>
      </c>
      <c r="S27" s="208"/>
      <c r="T27" s="239">
        <f>T6+T19+T12</f>
        <v>479061.18180000002</v>
      </c>
      <c r="V27" s="164"/>
    </row>
    <row r="28" spans="1:30" ht="17.25" customHeight="1">
      <c r="A28" s="153">
        <v>36</v>
      </c>
      <c r="B28" s="164" t="s">
        <v>138</v>
      </c>
      <c r="E28" s="172">
        <v>591</v>
      </c>
      <c r="F28" s="218" t="s">
        <v>151</v>
      </c>
      <c r="G28" s="172">
        <v>215</v>
      </c>
      <c r="H28" s="174">
        <f>'[1]Budget v Actual Summaries'!J63+'[1]Budget v Actual Summaries'!J17</f>
        <v>143973</v>
      </c>
      <c r="I28" s="174">
        <f>'[1]Budget v Actual Summaries'!K63+'[1]Budget v Actual Summaries'!K17</f>
        <v>152213</v>
      </c>
      <c r="J28" s="174">
        <f t="shared" si="0"/>
        <v>8240</v>
      </c>
      <c r="M28" s="237"/>
      <c r="N28" s="208" t="s">
        <v>145</v>
      </c>
      <c r="O28" s="235"/>
      <c r="P28" s="205">
        <f>P7+P20+P13+P21</f>
        <v>2991354</v>
      </c>
      <c r="Q28" s="208"/>
      <c r="R28" s="205">
        <f>R7+R20+R13+R21</f>
        <v>2022565.9759900002</v>
      </c>
      <c r="S28" s="208"/>
      <c r="T28" s="205">
        <f>T7+T20+T13+T21</f>
        <v>968788.02400999994</v>
      </c>
      <c r="V28" s="164"/>
    </row>
    <row r="29" spans="1:30">
      <c r="A29" s="153">
        <v>37</v>
      </c>
      <c r="B29" s="164" t="s">
        <v>138</v>
      </c>
      <c r="E29" s="172">
        <v>592</v>
      </c>
      <c r="F29" s="173" t="s">
        <v>152</v>
      </c>
      <c r="G29" s="172">
        <v>215</v>
      </c>
      <c r="H29" s="174">
        <f>'[1]Budget v Actual Summaries'!J64</f>
        <v>149235</v>
      </c>
      <c r="I29" s="174">
        <f>'[1]Budget v Actual Summaries'!K64</f>
        <v>188190</v>
      </c>
      <c r="J29" s="174">
        <f t="shared" si="0"/>
        <v>38955</v>
      </c>
      <c r="M29" s="237"/>
      <c r="N29" s="208" t="s">
        <v>153</v>
      </c>
      <c r="O29" s="235"/>
      <c r="P29" s="238">
        <f>SUM(P27:P28)</f>
        <v>4344252</v>
      </c>
      <c r="Q29" s="208"/>
      <c r="R29" s="187">
        <f>SUM(R27:R28)</f>
        <v>2896402.7941900003</v>
      </c>
      <c r="S29" s="187"/>
      <c r="T29" s="240">
        <f>SUM(T27:T28)</f>
        <v>1447849.20581</v>
      </c>
    </row>
    <row r="30" spans="1:30">
      <c r="A30" s="153">
        <v>39</v>
      </c>
      <c r="B30" s="164" t="s">
        <v>140</v>
      </c>
      <c r="E30" s="172">
        <v>593</v>
      </c>
      <c r="F30" s="173" t="s">
        <v>154</v>
      </c>
      <c r="G30" s="172">
        <v>215</v>
      </c>
      <c r="H30" s="174">
        <v>0</v>
      </c>
      <c r="I30" s="174">
        <v>0</v>
      </c>
      <c r="J30" s="174">
        <f t="shared" si="0"/>
        <v>0</v>
      </c>
      <c r="M30" s="237"/>
      <c r="N30" s="208"/>
      <c r="O30" s="235"/>
      <c r="P30" s="208"/>
      <c r="Q30" s="208"/>
      <c r="R30" s="208"/>
      <c r="S30" s="208"/>
      <c r="T30" s="236"/>
    </row>
    <row r="31" spans="1:30" ht="16.5" customHeight="1">
      <c r="A31" s="153">
        <v>41</v>
      </c>
      <c r="B31" s="164" t="s">
        <v>140</v>
      </c>
      <c r="E31" s="172">
        <v>594</v>
      </c>
      <c r="F31" s="173" t="s">
        <v>155</v>
      </c>
      <c r="G31" s="172">
        <v>215</v>
      </c>
      <c r="H31" s="174">
        <v>0</v>
      </c>
      <c r="I31" s="174">
        <v>0</v>
      </c>
      <c r="J31" s="174">
        <f t="shared" si="0"/>
        <v>0</v>
      </c>
      <c r="M31" s="237"/>
      <c r="N31" s="208" t="s">
        <v>156</v>
      </c>
      <c r="O31" s="235"/>
      <c r="P31" s="238">
        <f>P29</f>
        <v>4344252</v>
      </c>
      <c r="Q31" s="208"/>
      <c r="R31" s="238">
        <f>R29</f>
        <v>2896402.7941900003</v>
      </c>
      <c r="S31" s="208"/>
      <c r="T31" s="239">
        <f>T29</f>
        <v>1447849.20581</v>
      </c>
    </row>
    <row r="32" spans="1:30">
      <c r="A32" s="153">
        <v>43</v>
      </c>
      <c r="B32" s="164" t="s">
        <v>140</v>
      </c>
      <c r="E32" s="172">
        <v>595</v>
      </c>
      <c r="F32" s="173" t="s">
        <v>157</v>
      </c>
      <c r="G32" s="172">
        <v>215</v>
      </c>
      <c r="H32" s="180">
        <f>'[1]Budget v Actual Summaries'!J10+'[1]Budget v Actual Summaries'!J65</f>
        <v>103410</v>
      </c>
      <c r="I32" s="180">
        <f>'[1]Budget v Actual Summaries'!K10+'[1]Budget v Actual Summaries'!K65</f>
        <v>504273</v>
      </c>
      <c r="J32" s="180">
        <f t="shared" si="0"/>
        <v>400863</v>
      </c>
      <c r="M32" s="237"/>
      <c r="N32" s="208"/>
      <c r="O32" s="235"/>
      <c r="P32" s="208"/>
      <c r="Q32" s="208"/>
      <c r="R32" s="208"/>
      <c r="S32" s="208"/>
      <c r="T32" s="236"/>
    </row>
    <row r="33" spans="1:20" ht="15" customHeight="1" thickBot="1">
      <c r="A33" s="153"/>
      <c r="E33" s="172"/>
      <c r="F33" s="173"/>
      <c r="G33" s="172"/>
      <c r="H33" s="241">
        <f>SUM(H16:H32)</f>
        <v>1673744</v>
      </c>
      <c r="I33" s="241">
        <f>SUM(I16:I32)</f>
        <v>3263132</v>
      </c>
      <c r="J33" s="183">
        <f>SUM(J16:J32)</f>
        <v>1589388</v>
      </c>
      <c r="M33" s="237"/>
      <c r="N33" s="208" t="s">
        <v>76</v>
      </c>
      <c r="O33" s="242">
        <v>1.2215999999999999E-2</v>
      </c>
      <c r="P33" s="208"/>
      <c r="Q33" s="208"/>
      <c r="R33" s="243"/>
      <c r="S33" s="208"/>
      <c r="T33" s="244">
        <f>T31*O33</f>
        <v>17686.925898174959</v>
      </c>
    </row>
    <row r="34" spans="1:20" ht="15" customHeight="1" thickTop="1">
      <c r="A34" s="153">
        <v>57</v>
      </c>
      <c r="E34" s="172"/>
      <c r="F34" s="156"/>
      <c r="G34" s="172"/>
      <c r="H34" s="180">
        <f>H33+H6+H12</f>
        <v>7896169</v>
      </c>
      <c r="I34" s="180">
        <f>I33+I6+I12</f>
        <v>12382449</v>
      </c>
      <c r="J34" s="180">
        <f>J33+J6+J12</f>
        <v>4486280</v>
      </c>
      <c r="M34" s="237"/>
      <c r="N34" s="208"/>
      <c r="O34" s="235"/>
      <c r="P34" s="208"/>
      <c r="Q34" s="208"/>
      <c r="R34" s="208"/>
      <c r="S34" s="208"/>
      <c r="T34" s="236"/>
    </row>
    <row r="35" spans="1:20" ht="15" customHeight="1">
      <c r="H35" s="245" t="s">
        <v>158</v>
      </c>
      <c r="I35" s="245" t="s">
        <v>159</v>
      </c>
      <c r="J35" s="246">
        <f>P24+P29</f>
        <v>4486280</v>
      </c>
      <c r="K35" s="178" t="s">
        <v>160</v>
      </c>
      <c r="M35" s="237"/>
      <c r="N35" s="208"/>
      <c r="O35" s="235"/>
      <c r="P35" s="208"/>
      <c r="Q35" s="208"/>
      <c r="R35" s="208"/>
      <c r="S35" s="208"/>
      <c r="T35" s="236"/>
    </row>
    <row r="36" spans="1:20" ht="15.75" thickBot="1">
      <c r="H36" s="246">
        <f>4343864</f>
        <v>4343864</v>
      </c>
      <c r="I36" s="246">
        <f>J8</f>
        <v>142028</v>
      </c>
      <c r="J36" s="246">
        <f>H36+I36</f>
        <v>4485892</v>
      </c>
      <c r="M36" s="237"/>
      <c r="N36" s="208" t="s">
        <v>77</v>
      </c>
      <c r="O36" s="235"/>
      <c r="P36" s="208"/>
      <c r="Q36" s="208"/>
      <c r="R36" s="238">
        <f>R31-R33</f>
        <v>2896402.7941900003</v>
      </c>
      <c r="S36" s="208"/>
      <c r="T36" s="239">
        <f>T31-T33</f>
        <v>1430162.279911825</v>
      </c>
    </row>
    <row r="37" spans="1:20">
      <c r="F37" s="247"/>
      <c r="G37" s="225"/>
      <c r="H37" s="248" t="s">
        <v>161</v>
      </c>
      <c r="I37" s="248" t="s">
        <v>162</v>
      </c>
      <c r="J37" s="249" t="s">
        <v>26</v>
      </c>
      <c r="M37" s="237"/>
      <c r="N37" s="208"/>
      <c r="O37" s="235"/>
      <c r="P37" s="208"/>
      <c r="Q37" s="208"/>
      <c r="R37" s="208"/>
      <c r="S37" s="208"/>
      <c r="T37" s="236"/>
    </row>
    <row r="38" spans="1:20" ht="23.25" customHeight="1">
      <c r="F38" s="250" t="s">
        <v>163</v>
      </c>
      <c r="G38" s="185"/>
      <c r="H38" s="251">
        <f>J9+J10</f>
        <v>371537</v>
      </c>
      <c r="I38" s="252">
        <f>R2</f>
        <v>0.64590000000000003</v>
      </c>
      <c r="J38" s="253">
        <f>H38*I38</f>
        <v>239975.74830000001</v>
      </c>
      <c r="M38" s="237"/>
      <c r="N38" s="208" t="s">
        <v>78</v>
      </c>
      <c r="O38" s="254">
        <v>0.35</v>
      </c>
      <c r="P38" s="208"/>
      <c r="Q38" s="208"/>
      <c r="R38" s="205">
        <f>R36*O38</f>
        <v>1013740.9779665</v>
      </c>
      <c r="S38" s="208"/>
      <c r="T38" s="255">
        <f>T36*O38</f>
        <v>500556.79796913872</v>
      </c>
    </row>
    <row r="39" spans="1:20" ht="30">
      <c r="F39" s="250" t="s">
        <v>164</v>
      </c>
      <c r="G39" s="185"/>
      <c r="H39" s="251">
        <f>J11</f>
        <v>2176410</v>
      </c>
      <c r="I39" s="256">
        <f>R3</f>
        <v>0.66820999999999997</v>
      </c>
      <c r="J39" s="253">
        <f>H39*I39</f>
        <v>1454298.9261</v>
      </c>
      <c r="M39" s="237"/>
      <c r="N39" s="208"/>
      <c r="O39" s="235"/>
      <c r="P39" s="208"/>
      <c r="Q39" s="208"/>
      <c r="R39" s="208"/>
      <c r="S39" s="208"/>
      <c r="T39" s="236"/>
    </row>
    <row r="40" spans="1:20" ht="30.75" thickBot="1">
      <c r="F40" s="250" t="s">
        <v>165</v>
      </c>
      <c r="G40" s="185"/>
      <c r="H40" s="251">
        <f>J6</f>
        <v>206917</v>
      </c>
      <c r="I40" s="257" t="s">
        <v>166</v>
      </c>
      <c r="J40" s="258">
        <f>R8</f>
        <v>135175.01059000002</v>
      </c>
      <c r="M40" s="259"/>
      <c r="N40" s="216" t="s">
        <v>79</v>
      </c>
      <c r="O40" s="260"/>
      <c r="P40" s="216"/>
      <c r="Q40" s="216"/>
      <c r="R40" s="261">
        <f>R36-R38</f>
        <v>1882661.8162235003</v>
      </c>
      <c r="S40" s="262"/>
      <c r="T40" s="263">
        <f>T36-T38</f>
        <v>929605.48194268625</v>
      </c>
    </row>
    <row r="41" spans="1:20" ht="3" customHeight="1" thickBot="1">
      <c r="F41" s="250"/>
      <c r="G41" s="185"/>
      <c r="H41" s="185"/>
      <c r="I41" s="264"/>
      <c r="J41" s="265"/>
      <c r="M41" s="259"/>
      <c r="N41" s="216"/>
      <c r="O41" s="260"/>
      <c r="P41" s="216"/>
      <c r="Q41" s="216"/>
      <c r="R41" s="216"/>
      <c r="S41" s="216"/>
      <c r="T41" s="266"/>
    </row>
    <row r="42" spans="1:20" hidden="1">
      <c r="F42" s="250"/>
      <c r="G42" s="185"/>
      <c r="H42" s="185"/>
      <c r="I42" s="264"/>
      <c r="J42" s="265"/>
      <c r="M42" s="217"/>
      <c r="N42" s="217"/>
      <c r="O42" s="212"/>
      <c r="P42" s="217"/>
      <c r="Q42" s="217"/>
      <c r="R42" s="217"/>
      <c r="S42" s="217"/>
      <c r="T42" s="217"/>
    </row>
    <row r="43" spans="1:20" ht="15.75" thickBot="1">
      <c r="F43" s="250" t="s">
        <v>167</v>
      </c>
      <c r="G43" s="185"/>
      <c r="H43" s="251"/>
      <c r="I43" s="264"/>
      <c r="J43" s="265"/>
      <c r="M43" s="216"/>
      <c r="N43" s="216"/>
      <c r="O43" s="260"/>
      <c r="P43" s="216"/>
      <c r="Q43" s="216"/>
      <c r="R43" s="216"/>
      <c r="S43" s="216"/>
      <c r="T43" s="216"/>
    </row>
    <row r="44" spans="1:20" ht="31.5">
      <c r="F44" s="267" t="s">
        <v>168</v>
      </c>
      <c r="G44" s="185"/>
      <c r="H44" s="185"/>
      <c r="I44" s="264"/>
      <c r="J44" s="268"/>
      <c r="M44" s="234" t="s">
        <v>39</v>
      </c>
      <c r="N44" s="208"/>
      <c r="O44" s="235"/>
      <c r="P44" s="208"/>
      <c r="Q44" s="208"/>
      <c r="R44" s="208"/>
      <c r="S44" s="208"/>
      <c r="T44" s="236"/>
    </row>
    <row r="45" spans="1:20" ht="30.75">
      <c r="F45" s="250" t="s">
        <v>169</v>
      </c>
      <c r="G45" s="185"/>
      <c r="H45" s="251">
        <v>616000</v>
      </c>
      <c r="I45" s="256">
        <f>I39</f>
        <v>0.66820999999999997</v>
      </c>
      <c r="J45" s="253">
        <f t="shared" ref="J45:J47" si="1">H45*I45</f>
        <v>411617.36</v>
      </c>
      <c r="M45" s="237"/>
      <c r="N45" s="208" t="s">
        <v>145</v>
      </c>
      <c r="O45" s="235"/>
      <c r="P45" s="205">
        <f>P24</f>
        <v>142028</v>
      </c>
      <c r="Q45" s="208"/>
      <c r="R45" s="205">
        <f>R24</f>
        <v>88084.345320000008</v>
      </c>
      <c r="S45" s="208"/>
      <c r="T45" s="205">
        <f>T24</f>
        <v>53943.65468</v>
      </c>
    </row>
    <row r="46" spans="1:20">
      <c r="F46" s="250" t="s">
        <v>170</v>
      </c>
      <c r="G46" s="185"/>
      <c r="H46" s="251">
        <f>H45*-20%</f>
        <v>-123200</v>
      </c>
      <c r="I46" s="256">
        <f>I45</f>
        <v>0.66820999999999997</v>
      </c>
      <c r="J46" s="258">
        <f t="shared" si="1"/>
        <v>-82323.471999999994</v>
      </c>
      <c r="M46" s="237"/>
      <c r="N46" s="208" t="s">
        <v>153</v>
      </c>
      <c r="O46" s="235"/>
      <c r="P46" s="238">
        <f>SUM(P45:P45)</f>
        <v>142028</v>
      </c>
      <c r="Q46" s="208"/>
      <c r="R46" s="187">
        <f>SUM(R45:R45)</f>
        <v>88084.345320000008</v>
      </c>
      <c r="S46" s="187"/>
      <c r="T46" s="240">
        <f>SUM(T45:T45)</f>
        <v>53943.65468</v>
      </c>
    </row>
    <row r="47" spans="1:20" ht="30.75">
      <c r="F47" s="250" t="s">
        <v>171</v>
      </c>
      <c r="G47" s="185"/>
      <c r="H47" s="251">
        <v>458000</v>
      </c>
      <c r="I47" s="256">
        <f>I46</f>
        <v>0.66820999999999997</v>
      </c>
      <c r="J47" s="253">
        <f t="shared" si="1"/>
        <v>306040.18</v>
      </c>
      <c r="M47" s="237"/>
      <c r="N47" s="208"/>
      <c r="O47" s="235"/>
      <c r="P47" s="208"/>
      <c r="Q47" s="208"/>
      <c r="R47" s="208"/>
      <c r="S47" s="208"/>
      <c r="T47" s="236"/>
    </row>
    <row r="48" spans="1:20">
      <c r="F48" s="250" t="s">
        <v>172</v>
      </c>
      <c r="G48" s="185"/>
      <c r="H48" s="251">
        <v>-44000</v>
      </c>
      <c r="I48" s="256">
        <f>I39</f>
        <v>0.66820999999999997</v>
      </c>
      <c r="J48" s="258">
        <f>H48*I48</f>
        <v>-29401.239999999998</v>
      </c>
      <c r="M48" s="237"/>
      <c r="N48" s="208" t="s">
        <v>156</v>
      </c>
      <c r="O48" s="235"/>
      <c r="P48" s="238">
        <f>P46</f>
        <v>142028</v>
      </c>
      <c r="Q48" s="208"/>
      <c r="R48" s="238">
        <f>R46</f>
        <v>88084.345320000008</v>
      </c>
      <c r="S48" s="208"/>
      <c r="T48" s="239">
        <f>T46</f>
        <v>53943.65468</v>
      </c>
    </row>
    <row r="49" spans="6:20" ht="30">
      <c r="F49" s="250" t="s">
        <v>173</v>
      </c>
      <c r="G49" s="185"/>
      <c r="H49" s="251">
        <f>(H47-H48)*-20%</f>
        <v>-100400</v>
      </c>
      <c r="I49" s="256">
        <f>I39</f>
        <v>0.66820999999999997</v>
      </c>
      <c r="J49" s="258">
        <f>H49*I49</f>
        <v>-67088.284</v>
      </c>
      <c r="M49" s="237"/>
      <c r="N49" s="208"/>
      <c r="O49" s="235"/>
      <c r="P49" s="208"/>
      <c r="Q49" s="208"/>
      <c r="R49" s="208"/>
      <c r="S49" s="208"/>
      <c r="T49" s="236"/>
    </row>
    <row r="50" spans="6:20" ht="15.75">
      <c r="F50" s="250" t="s">
        <v>174</v>
      </c>
      <c r="G50" s="185"/>
      <c r="H50" s="251">
        <v>401000</v>
      </c>
      <c r="I50" s="256">
        <f>I38</f>
        <v>0.64590000000000003</v>
      </c>
      <c r="J50" s="253">
        <f>H50*I50</f>
        <v>259005.90000000002</v>
      </c>
      <c r="M50" s="237"/>
      <c r="N50" s="208" t="s">
        <v>76</v>
      </c>
      <c r="O50" s="242">
        <v>1.2215999999999999E-2</v>
      </c>
      <c r="P50" s="208"/>
      <c r="Q50" s="208"/>
      <c r="R50" s="243"/>
      <c r="S50" s="208"/>
      <c r="T50" s="244">
        <f>T48*O50</f>
        <v>658.97568557087993</v>
      </c>
    </row>
    <row r="51" spans="6:20" ht="30">
      <c r="F51" s="250" t="s">
        <v>175</v>
      </c>
      <c r="G51" s="185"/>
      <c r="H51" s="251">
        <f>H50*-20%</f>
        <v>-80200</v>
      </c>
      <c r="I51" s="256">
        <f>R2</f>
        <v>0.64590000000000003</v>
      </c>
      <c r="J51" s="258">
        <f>H51*I51</f>
        <v>-51801.18</v>
      </c>
      <c r="M51" s="237"/>
      <c r="N51" s="208"/>
      <c r="O51" s="235"/>
      <c r="P51" s="208"/>
      <c r="Q51" s="208"/>
      <c r="R51" s="208"/>
      <c r="S51" s="208"/>
      <c r="T51" s="236"/>
    </row>
    <row r="52" spans="6:20" ht="31.5" thickBot="1">
      <c r="F52" s="250" t="s">
        <v>176</v>
      </c>
      <c r="G52" s="185"/>
      <c r="H52" s="269">
        <v>114000</v>
      </c>
      <c r="I52" s="270">
        <v>1</v>
      </c>
      <c r="J52" s="253">
        <f>H52*I52</f>
        <v>114000</v>
      </c>
      <c r="M52" s="237"/>
      <c r="N52" s="208"/>
      <c r="O52" s="235"/>
      <c r="P52" s="208"/>
      <c r="Q52" s="208"/>
      <c r="R52" s="208"/>
      <c r="S52" s="208"/>
      <c r="T52" s="236"/>
    </row>
    <row r="53" spans="6:20" ht="15.75" thickBot="1">
      <c r="F53" s="271"/>
      <c r="G53" s="185"/>
      <c r="H53" s="269">
        <f>SUM(H38:H52)</f>
        <v>3996064</v>
      </c>
      <c r="I53" s="272" t="s">
        <v>177</v>
      </c>
      <c r="J53" s="273">
        <f>SUM(J38:J52)</f>
        <v>2689498.9489899999</v>
      </c>
      <c r="M53" s="237"/>
      <c r="N53" s="208" t="s">
        <v>77</v>
      </c>
      <c r="O53" s="235"/>
      <c r="P53" s="208"/>
      <c r="Q53" s="208"/>
      <c r="R53" s="238">
        <f>R48-R50</f>
        <v>88084.345320000008</v>
      </c>
      <c r="S53" s="208"/>
      <c r="T53" s="239">
        <f>T48-T50</f>
        <v>53284.678994429123</v>
      </c>
    </row>
    <row r="54" spans="6:20">
      <c r="F54" s="274" t="s">
        <v>178</v>
      </c>
      <c r="G54" s="185"/>
      <c r="H54" s="269">
        <f>H38+H39+H40+H45+H47+H52+H50</f>
        <v>4343864</v>
      </c>
      <c r="I54" s="275" t="s">
        <v>179</v>
      </c>
      <c r="J54" s="276">
        <f>J38+J39+J40+J45+J47+J52+J50</f>
        <v>2920113.1249900004</v>
      </c>
      <c r="M54" s="237"/>
      <c r="N54" s="208"/>
      <c r="O54" s="235"/>
      <c r="P54" s="208"/>
      <c r="Q54" s="208"/>
      <c r="R54" s="208"/>
      <c r="S54" s="208"/>
      <c r="T54" s="236"/>
    </row>
    <row r="55" spans="6:20">
      <c r="F55" s="271"/>
      <c r="G55" s="185"/>
      <c r="H55" s="185"/>
      <c r="I55" s="275" t="s">
        <v>180</v>
      </c>
      <c r="J55" s="277">
        <f>J53-J54</f>
        <v>-230614.17600000044</v>
      </c>
      <c r="M55" s="237"/>
      <c r="N55" s="208" t="s">
        <v>78</v>
      </c>
      <c r="O55" s="254">
        <v>0.35</v>
      </c>
      <c r="P55" s="208"/>
      <c r="Q55" s="208"/>
      <c r="R55" s="205">
        <f>R53*O55</f>
        <v>30829.520862000001</v>
      </c>
      <c r="S55" s="208"/>
      <c r="T55" s="255">
        <f>T53*O55</f>
        <v>18649.637648050193</v>
      </c>
    </row>
    <row r="56" spans="6:20" ht="15.75" thickBot="1">
      <c r="F56" s="271"/>
      <c r="G56" s="185"/>
      <c r="H56" s="185"/>
      <c r="I56" s="275" t="s">
        <v>181</v>
      </c>
      <c r="J56" s="278">
        <f>J55/(J45+J47+J50+J52)</f>
        <v>-0.21144394094662278</v>
      </c>
      <c r="M56" s="237"/>
      <c r="N56" s="208"/>
      <c r="O56" s="235"/>
      <c r="P56" s="208"/>
      <c r="Q56" s="208"/>
      <c r="R56" s="208"/>
      <c r="S56" s="208"/>
      <c r="T56" s="236"/>
    </row>
    <row r="57" spans="6:20" ht="31.5" thickBot="1">
      <c r="F57" s="279" t="s">
        <v>182</v>
      </c>
      <c r="G57" s="215"/>
      <c r="H57" s="280">
        <f>J8</f>
        <v>142028</v>
      </c>
      <c r="I57" s="281">
        <f>R4</f>
        <v>0.62019000000000002</v>
      </c>
      <c r="J57" s="282">
        <f>H57*I57</f>
        <v>88084.345320000008</v>
      </c>
      <c r="M57" s="237"/>
      <c r="N57" s="208" t="s">
        <v>79</v>
      </c>
      <c r="O57" s="235"/>
      <c r="P57" s="208"/>
      <c r="Q57" s="208"/>
      <c r="R57" s="261">
        <f>R53-R55</f>
        <v>57254.824458000003</v>
      </c>
      <c r="S57" s="208"/>
      <c r="T57" s="263">
        <f>T53-T55</f>
        <v>34635.04134637893</v>
      </c>
    </row>
    <row r="58" spans="6:20" ht="15.75" thickBot="1">
      <c r="F58" s="283" t="s">
        <v>183</v>
      </c>
      <c r="G58" s="215"/>
      <c r="H58" s="280">
        <f>H54+H57</f>
        <v>4485892</v>
      </c>
      <c r="I58" s="284" t="s">
        <v>184</v>
      </c>
      <c r="J58" s="285">
        <f>J53+J57</f>
        <v>2777583.2943099998</v>
      </c>
      <c r="M58" s="259"/>
      <c r="N58" s="216"/>
      <c r="O58" s="260"/>
      <c r="P58" s="216"/>
      <c r="Q58" s="216"/>
      <c r="R58" s="216"/>
      <c r="S58" s="216"/>
      <c r="T58" s="266"/>
    </row>
    <row r="59" spans="6:20">
      <c r="J59" s="286" t="s">
        <v>185</v>
      </c>
    </row>
    <row r="60" spans="6:20">
      <c r="J60" s="286" t="s">
        <v>186</v>
      </c>
    </row>
    <row r="62" spans="6:20">
      <c r="J62" s="6" t="s">
        <v>254</v>
      </c>
    </row>
  </sheetData>
  <pageMargins left="0.5" right="0.5" top="1.1299999999999999" bottom="1" header="0.65" footer="0.5"/>
  <pageSetup scale="95" orientation="landscape" r:id="rId1"/>
  <headerFooter scaleWithDoc="0" alignWithMargins="0">
    <oddHeader xml:space="preserve">&amp;CASSET MANAGEMENT
(ALTERNATIVE) FOR INFORMATION PURPOSES ONLY&amp;RExhibit No.__(EMA-8)
</oddHeader>
  </headerFooter>
  <colBreaks count="3" manualBreakCount="3">
    <brk id="10" max="57" man="1"/>
    <brk id="11" max="57" man="1"/>
    <brk id="20" max="57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="60" zoomScaleNormal="100" workbookViewId="0">
      <selection activeCell="E45" sqref="E45"/>
    </sheetView>
  </sheetViews>
  <sheetFormatPr defaultColWidth="12.5703125" defaultRowHeight="12.75"/>
  <cols>
    <col min="1" max="1" width="17.5703125" style="373" bestFit="1" customWidth="1"/>
    <col min="2" max="2" width="9.5703125" style="373" bestFit="1" customWidth="1"/>
    <col min="3" max="3" width="11.42578125" style="373" bestFit="1" customWidth="1"/>
    <col min="4" max="4" width="19.85546875" style="373" customWidth="1"/>
    <col min="5" max="5" width="15.5703125" style="373" bestFit="1" customWidth="1"/>
    <col min="6" max="6" width="14.85546875" style="373" bestFit="1" customWidth="1"/>
    <col min="7" max="8" width="15" style="373" bestFit="1" customWidth="1"/>
    <col min="9" max="9" width="14.42578125" style="373" bestFit="1" customWidth="1"/>
    <col min="10" max="10" width="15" style="373" bestFit="1" customWidth="1"/>
    <col min="11" max="11" width="15.28515625" style="373" bestFit="1" customWidth="1"/>
    <col min="12" max="12" width="15.140625" style="373" bestFit="1" customWidth="1"/>
    <col min="13" max="13" width="15.7109375" style="373" bestFit="1" customWidth="1"/>
    <col min="14" max="14" width="15" style="373" bestFit="1" customWidth="1"/>
    <col min="15" max="15" width="14.7109375" style="373" bestFit="1" customWidth="1"/>
    <col min="16" max="16" width="15" style="373" bestFit="1" customWidth="1"/>
    <col min="17" max="17" width="17.140625" style="373" customWidth="1"/>
    <col min="18" max="256" width="12.5703125" style="373"/>
    <col min="257" max="257" width="17.5703125" style="373" bestFit="1" customWidth="1"/>
    <col min="258" max="258" width="9.42578125" style="373" bestFit="1" customWidth="1"/>
    <col min="259" max="259" width="11.42578125" style="373" bestFit="1" customWidth="1"/>
    <col min="260" max="260" width="19.85546875" style="373" customWidth="1"/>
    <col min="261" max="261" width="15.42578125" style="373" bestFit="1" customWidth="1"/>
    <col min="262" max="262" width="14.7109375" style="373" bestFit="1" customWidth="1"/>
    <col min="263" max="264" width="14.85546875" style="373" bestFit="1" customWidth="1"/>
    <col min="265" max="265" width="14.140625" style="373" bestFit="1" customWidth="1"/>
    <col min="266" max="266" width="14.85546875" style="373" bestFit="1" customWidth="1"/>
    <col min="267" max="267" width="15.140625" style="373" bestFit="1" customWidth="1"/>
    <col min="268" max="268" width="14.7109375" style="373" bestFit="1" customWidth="1"/>
    <col min="269" max="269" width="15.5703125" style="373" bestFit="1" customWidth="1"/>
    <col min="270" max="270" width="14.85546875" style="373" bestFit="1" customWidth="1"/>
    <col min="271" max="271" width="14" style="373" bestFit="1" customWidth="1"/>
    <col min="272" max="272" width="14.85546875" style="373" bestFit="1" customWidth="1"/>
    <col min="273" max="273" width="14.7109375" style="373" bestFit="1" customWidth="1"/>
    <col min="274" max="512" width="12.5703125" style="373"/>
    <col min="513" max="513" width="17.5703125" style="373" bestFit="1" customWidth="1"/>
    <col min="514" max="514" width="9.42578125" style="373" bestFit="1" customWidth="1"/>
    <col min="515" max="515" width="11.42578125" style="373" bestFit="1" customWidth="1"/>
    <col min="516" max="516" width="19.85546875" style="373" customWidth="1"/>
    <col min="517" max="517" width="15.42578125" style="373" bestFit="1" customWidth="1"/>
    <col min="518" max="518" width="14.7109375" style="373" bestFit="1" customWidth="1"/>
    <col min="519" max="520" width="14.85546875" style="373" bestFit="1" customWidth="1"/>
    <col min="521" max="521" width="14.140625" style="373" bestFit="1" customWidth="1"/>
    <col min="522" max="522" width="14.85546875" style="373" bestFit="1" customWidth="1"/>
    <col min="523" max="523" width="15.140625" style="373" bestFit="1" customWidth="1"/>
    <col min="524" max="524" width="14.7109375" style="373" bestFit="1" customWidth="1"/>
    <col min="525" max="525" width="15.5703125" style="373" bestFit="1" customWidth="1"/>
    <col min="526" max="526" width="14.85546875" style="373" bestFit="1" customWidth="1"/>
    <col min="527" max="527" width="14" style="373" bestFit="1" customWidth="1"/>
    <col min="528" max="528" width="14.85546875" style="373" bestFit="1" customWidth="1"/>
    <col min="529" max="529" width="14.7109375" style="373" bestFit="1" customWidth="1"/>
    <col min="530" max="768" width="12.5703125" style="373"/>
    <col min="769" max="769" width="17.5703125" style="373" bestFit="1" customWidth="1"/>
    <col min="770" max="770" width="9.42578125" style="373" bestFit="1" customWidth="1"/>
    <col min="771" max="771" width="11.42578125" style="373" bestFit="1" customWidth="1"/>
    <col min="772" max="772" width="19.85546875" style="373" customWidth="1"/>
    <col min="773" max="773" width="15.42578125" style="373" bestFit="1" customWidth="1"/>
    <col min="774" max="774" width="14.7109375" style="373" bestFit="1" customWidth="1"/>
    <col min="775" max="776" width="14.85546875" style="373" bestFit="1" customWidth="1"/>
    <col min="777" max="777" width="14.140625" style="373" bestFit="1" customWidth="1"/>
    <col min="778" max="778" width="14.85546875" style="373" bestFit="1" customWidth="1"/>
    <col min="779" max="779" width="15.140625" style="373" bestFit="1" customWidth="1"/>
    <col min="780" max="780" width="14.7109375" style="373" bestFit="1" customWidth="1"/>
    <col min="781" max="781" width="15.5703125" style="373" bestFit="1" customWidth="1"/>
    <col min="782" max="782" width="14.85546875" style="373" bestFit="1" customWidth="1"/>
    <col min="783" max="783" width="14" style="373" bestFit="1" customWidth="1"/>
    <col min="784" max="784" width="14.85546875" style="373" bestFit="1" customWidth="1"/>
    <col min="785" max="785" width="14.7109375" style="373" bestFit="1" customWidth="1"/>
    <col min="786" max="1024" width="12.5703125" style="373"/>
    <col min="1025" max="1025" width="17.5703125" style="373" bestFit="1" customWidth="1"/>
    <col min="1026" max="1026" width="9.42578125" style="373" bestFit="1" customWidth="1"/>
    <col min="1027" max="1027" width="11.42578125" style="373" bestFit="1" customWidth="1"/>
    <col min="1028" max="1028" width="19.85546875" style="373" customWidth="1"/>
    <col min="1029" max="1029" width="15.42578125" style="373" bestFit="1" customWidth="1"/>
    <col min="1030" max="1030" width="14.7109375" style="373" bestFit="1" customWidth="1"/>
    <col min="1031" max="1032" width="14.85546875" style="373" bestFit="1" customWidth="1"/>
    <col min="1033" max="1033" width="14.140625" style="373" bestFit="1" customWidth="1"/>
    <col min="1034" max="1034" width="14.85546875" style="373" bestFit="1" customWidth="1"/>
    <col min="1035" max="1035" width="15.140625" style="373" bestFit="1" customWidth="1"/>
    <col min="1036" max="1036" width="14.7109375" style="373" bestFit="1" customWidth="1"/>
    <col min="1037" max="1037" width="15.5703125" style="373" bestFit="1" customWidth="1"/>
    <col min="1038" max="1038" width="14.85546875" style="373" bestFit="1" customWidth="1"/>
    <col min="1039" max="1039" width="14" style="373" bestFit="1" customWidth="1"/>
    <col min="1040" max="1040" width="14.85546875" style="373" bestFit="1" customWidth="1"/>
    <col min="1041" max="1041" width="14.7109375" style="373" bestFit="1" customWidth="1"/>
    <col min="1042" max="1280" width="12.5703125" style="373"/>
    <col min="1281" max="1281" width="17.5703125" style="373" bestFit="1" customWidth="1"/>
    <col min="1282" max="1282" width="9.42578125" style="373" bestFit="1" customWidth="1"/>
    <col min="1283" max="1283" width="11.42578125" style="373" bestFit="1" customWidth="1"/>
    <col min="1284" max="1284" width="19.85546875" style="373" customWidth="1"/>
    <col min="1285" max="1285" width="15.42578125" style="373" bestFit="1" customWidth="1"/>
    <col min="1286" max="1286" width="14.7109375" style="373" bestFit="1" customWidth="1"/>
    <col min="1287" max="1288" width="14.85546875" style="373" bestFit="1" customWidth="1"/>
    <col min="1289" max="1289" width="14.140625" style="373" bestFit="1" customWidth="1"/>
    <col min="1290" max="1290" width="14.85546875" style="373" bestFit="1" customWidth="1"/>
    <col min="1291" max="1291" width="15.140625" style="373" bestFit="1" customWidth="1"/>
    <col min="1292" max="1292" width="14.7109375" style="373" bestFit="1" customWidth="1"/>
    <col min="1293" max="1293" width="15.5703125" style="373" bestFit="1" customWidth="1"/>
    <col min="1294" max="1294" width="14.85546875" style="373" bestFit="1" customWidth="1"/>
    <col min="1295" max="1295" width="14" style="373" bestFit="1" customWidth="1"/>
    <col min="1296" max="1296" width="14.85546875" style="373" bestFit="1" customWidth="1"/>
    <col min="1297" max="1297" width="14.7109375" style="373" bestFit="1" customWidth="1"/>
    <col min="1298" max="1536" width="12.5703125" style="373"/>
    <col min="1537" max="1537" width="17.5703125" style="373" bestFit="1" customWidth="1"/>
    <col min="1538" max="1538" width="9.42578125" style="373" bestFit="1" customWidth="1"/>
    <col min="1539" max="1539" width="11.42578125" style="373" bestFit="1" customWidth="1"/>
    <col min="1540" max="1540" width="19.85546875" style="373" customWidth="1"/>
    <col min="1541" max="1541" width="15.42578125" style="373" bestFit="1" customWidth="1"/>
    <col min="1542" max="1542" width="14.7109375" style="373" bestFit="1" customWidth="1"/>
    <col min="1543" max="1544" width="14.85546875" style="373" bestFit="1" customWidth="1"/>
    <col min="1545" max="1545" width="14.140625" style="373" bestFit="1" customWidth="1"/>
    <col min="1546" max="1546" width="14.85546875" style="373" bestFit="1" customWidth="1"/>
    <col min="1547" max="1547" width="15.140625" style="373" bestFit="1" customWidth="1"/>
    <col min="1548" max="1548" width="14.7109375" style="373" bestFit="1" customWidth="1"/>
    <col min="1549" max="1549" width="15.5703125" style="373" bestFit="1" customWidth="1"/>
    <col min="1550" max="1550" width="14.85546875" style="373" bestFit="1" customWidth="1"/>
    <col min="1551" max="1551" width="14" style="373" bestFit="1" customWidth="1"/>
    <col min="1552" max="1552" width="14.85546875" style="373" bestFit="1" customWidth="1"/>
    <col min="1553" max="1553" width="14.7109375" style="373" bestFit="1" customWidth="1"/>
    <col min="1554" max="1792" width="12.5703125" style="373"/>
    <col min="1793" max="1793" width="17.5703125" style="373" bestFit="1" customWidth="1"/>
    <col min="1794" max="1794" width="9.42578125" style="373" bestFit="1" customWidth="1"/>
    <col min="1795" max="1795" width="11.42578125" style="373" bestFit="1" customWidth="1"/>
    <col min="1796" max="1796" width="19.85546875" style="373" customWidth="1"/>
    <col min="1797" max="1797" width="15.42578125" style="373" bestFit="1" customWidth="1"/>
    <col min="1798" max="1798" width="14.7109375" style="373" bestFit="1" customWidth="1"/>
    <col min="1799" max="1800" width="14.85546875" style="373" bestFit="1" customWidth="1"/>
    <col min="1801" max="1801" width="14.140625" style="373" bestFit="1" customWidth="1"/>
    <col min="1802" max="1802" width="14.85546875" style="373" bestFit="1" customWidth="1"/>
    <col min="1803" max="1803" width="15.140625" style="373" bestFit="1" customWidth="1"/>
    <col min="1804" max="1804" width="14.7109375" style="373" bestFit="1" customWidth="1"/>
    <col min="1805" max="1805" width="15.5703125" style="373" bestFit="1" customWidth="1"/>
    <col min="1806" max="1806" width="14.85546875" style="373" bestFit="1" customWidth="1"/>
    <col min="1807" max="1807" width="14" style="373" bestFit="1" customWidth="1"/>
    <col min="1808" max="1808" width="14.85546875" style="373" bestFit="1" customWidth="1"/>
    <col min="1809" max="1809" width="14.7109375" style="373" bestFit="1" customWidth="1"/>
    <col min="1810" max="2048" width="12.5703125" style="373"/>
    <col min="2049" max="2049" width="17.5703125" style="373" bestFit="1" customWidth="1"/>
    <col min="2050" max="2050" width="9.42578125" style="373" bestFit="1" customWidth="1"/>
    <col min="2051" max="2051" width="11.42578125" style="373" bestFit="1" customWidth="1"/>
    <col min="2052" max="2052" width="19.85546875" style="373" customWidth="1"/>
    <col min="2053" max="2053" width="15.42578125" style="373" bestFit="1" customWidth="1"/>
    <col min="2054" max="2054" width="14.7109375" style="373" bestFit="1" customWidth="1"/>
    <col min="2055" max="2056" width="14.85546875" style="373" bestFit="1" customWidth="1"/>
    <col min="2057" max="2057" width="14.140625" style="373" bestFit="1" customWidth="1"/>
    <col min="2058" max="2058" width="14.85546875" style="373" bestFit="1" customWidth="1"/>
    <col min="2059" max="2059" width="15.140625" style="373" bestFit="1" customWidth="1"/>
    <col min="2060" max="2060" width="14.7109375" style="373" bestFit="1" customWidth="1"/>
    <col min="2061" max="2061" width="15.5703125" style="373" bestFit="1" customWidth="1"/>
    <col min="2062" max="2062" width="14.85546875" style="373" bestFit="1" customWidth="1"/>
    <col min="2063" max="2063" width="14" style="373" bestFit="1" customWidth="1"/>
    <col min="2064" max="2064" width="14.85546875" style="373" bestFit="1" customWidth="1"/>
    <col min="2065" max="2065" width="14.7109375" style="373" bestFit="1" customWidth="1"/>
    <col min="2066" max="2304" width="12.5703125" style="373"/>
    <col min="2305" max="2305" width="17.5703125" style="373" bestFit="1" customWidth="1"/>
    <col min="2306" max="2306" width="9.42578125" style="373" bestFit="1" customWidth="1"/>
    <col min="2307" max="2307" width="11.42578125" style="373" bestFit="1" customWidth="1"/>
    <col min="2308" max="2308" width="19.85546875" style="373" customWidth="1"/>
    <col min="2309" max="2309" width="15.42578125" style="373" bestFit="1" customWidth="1"/>
    <col min="2310" max="2310" width="14.7109375" style="373" bestFit="1" customWidth="1"/>
    <col min="2311" max="2312" width="14.85546875" style="373" bestFit="1" customWidth="1"/>
    <col min="2313" max="2313" width="14.140625" style="373" bestFit="1" customWidth="1"/>
    <col min="2314" max="2314" width="14.85546875" style="373" bestFit="1" customWidth="1"/>
    <col min="2315" max="2315" width="15.140625" style="373" bestFit="1" customWidth="1"/>
    <col min="2316" max="2316" width="14.7109375" style="373" bestFit="1" customWidth="1"/>
    <col min="2317" max="2317" width="15.5703125" style="373" bestFit="1" customWidth="1"/>
    <col min="2318" max="2318" width="14.85546875" style="373" bestFit="1" customWidth="1"/>
    <col min="2319" max="2319" width="14" style="373" bestFit="1" customWidth="1"/>
    <col min="2320" max="2320" width="14.85546875" style="373" bestFit="1" customWidth="1"/>
    <col min="2321" max="2321" width="14.7109375" style="373" bestFit="1" customWidth="1"/>
    <col min="2322" max="2560" width="12.5703125" style="373"/>
    <col min="2561" max="2561" width="17.5703125" style="373" bestFit="1" customWidth="1"/>
    <col min="2562" max="2562" width="9.42578125" style="373" bestFit="1" customWidth="1"/>
    <col min="2563" max="2563" width="11.42578125" style="373" bestFit="1" customWidth="1"/>
    <col min="2564" max="2564" width="19.85546875" style="373" customWidth="1"/>
    <col min="2565" max="2565" width="15.42578125" style="373" bestFit="1" customWidth="1"/>
    <col min="2566" max="2566" width="14.7109375" style="373" bestFit="1" customWidth="1"/>
    <col min="2567" max="2568" width="14.85546875" style="373" bestFit="1" customWidth="1"/>
    <col min="2569" max="2569" width="14.140625" style="373" bestFit="1" customWidth="1"/>
    <col min="2570" max="2570" width="14.85546875" style="373" bestFit="1" customWidth="1"/>
    <col min="2571" max="2571" width="15.140625" style="373" bestFit="1" customWidth="1"/>
    <col min="2572" max="2572" width="14.7109375" style="373" bestFit="1" customWidth="1"/>
    <col min="2573" max="2573" width="15.5703125" style="373" bestFit="1" customWidth="1"/>
    <col min="2574" max="2574" width="14.85546875" style="373" bestFit="1" customWidth="1"/>
    <col min="2575" max="2575" width="14" style="373" bestFit="1" customWidth="1"/>
    <col min="2576" max="2576" width="14.85546875" style="373" bestFit="1" customWidth="1"/>
    <col min="2577" max="2577" width="14.7109375" style="373" bestFit="1" customWidth="1"/>
    <col min="2578" max="2816" width="12.5703125" style="373"/>
    <col min="2817" max="2817" width="17.5703125" style="373" bestFit="1" customWidth="1"/>
    <col min="2818" max="2818" width="9.42578125" style="373" bestFit="1" customWidth="1"/>
    <col min="2819" max="2819" width="11.42578125" style="373" bestFit="1" customWidth="1"/>
    <col min="2820" max="2820" width="19.85546875" style="373" customWidth="1"/>
    <col min="2821" max="2821" width="15.42578125" style="373" bestFit="1" customWidth="1"/>
    <col min="2822" max="2822" width="14.7109375" style="373" bestFit="1" customWidth="1"/>
    <col min="2823" max="2824" width="14.85546875" style="373" bestFit="1" customWidth="1"/>
    <col min="2825" max="2825" width="14.140625" style="373" bestFit="1" customWidth="1"/>
    <col min="2826" max="2826" width="14.85546875" style="373" bestFit="1" customWidth="1"/>
    <col min="2827" max="2827" width="15.140625" style="373" bestFit="1" customWidth="1"/>
    <col min="2828" max="2828" width="14.7109375" style="373" bestFit="1" customWidth="1"/>
    <col min="2829" max="2829" width="15.5703125" style="373" bestFit="1" customWidth="1"/>
    <col min="2830" max="2830" width="14.85546875" style="373" bestFit="1" customWidth="1"/>
    <col min="2831" max="2831" width="14" style="373" bestFit="1" customWidth="1"/>
    <col min="2832" max="2832" width="14.85546875" style="373" bestFit="1" customWidth="1"/>
    <col min="2833" max="2833" width="14.7109375" style="373" bestFit="1" customWidth="1"/>
    <col min="2834" max="3072" width="12.5703125" style="373"/>
    <col min="3073" max="3073" width="17.5703125" style="373" bestFit="1" customWidth="1"/>
    <col min="3074" max="3074" width="9.42578125" style="373" bestFit="1" customWidth="1"/>
    <col min="3075" max="3075" width="11.42578125" style="373" bestFit="1" customWidth="1"/>
    <col min="3076" max="3076" width="19.85546875" style="373" customWidth="1"/>
    <col min="3077" max="3077" width="15.42578125" style="373" bestFit="1" customWidth="1"/>
    <col min="3078" max="3078" width="14.7109375" style="373" bestFit="1" customWidth="1"/>
    <col min="3079" max="3080" width="14.85546875" style="373" bestFit="1" customWidth="1"/>
    <col min="3081" max="3081" width="14.140625" style="373" bestFit="1" customWidth="1"/>
    <col min="3082" max="3082" width="14.85546875" style="373" bestFit="1" customWidth="1"/>
    <col min="3083" max="3083" width="15.140625" style="373" bestFit="1" customWidth="1"/>
    <col min="3084" max="3084" width="14.7109375" style="373" bestFit="1" customWidth="1"/>
    <col min="3085" max="3085" width="15.5703125" style="373" bestFit="1" customWidth="1"/>
    <col min="3086" max="3086" width="14.85546875" style="373" bestFit="1" customWidth="1"/>
    <col min="3087" max="3087" width="14" style="373" bestFit="1" customWidth="1"/>
    <col min="3088" max="3088" width="14.85546875" style="373" bestFit="1" customWidth="1"/>
    <col min="3089" max="3089" width="14.7109375" style="373" bestFit="1" customWidth="1"/>
    <col min="3090" max="3328" width="12.5703125" style="373"/>
    <col min="3329" max="3329" width="17.5703125" style="373" bestFit="1" customWidth="1"/>
    <col min="3330" max="3330" width="9.42578125" style="373" bestFit="1" customWidth="1"/>
    <col min="3331" max="3331" width="11.42578125" style="373" bestFit="1" customWidth="1"/>
    <col min="3332" max="3332" width="19.85546875" style="373" customWidth="1"/>
    <col min="3333" max="3333" width="15.42578125" style="373" bestFit="1" customWidth="1"/>
    <col min="3334" max="3334" width="14.7109375" style="373" bestFit="1" customWidth="1"/>
    <col min="3335" max="3336" width="14.85546875" style="373" bestFit="1" customWidth="1"/>
    <col min="3337" max="3337" width="14.140625" style="373" bestFit="1" customWidth="1"/>
    <col min="3338" max="3338" width="14.85546875" style="373" bestFit="1" customWidth="1"/>
    <col min="3339" max="3339" width="15.140625" style="373" bestFit="1" customWidth="1"/>
    <col min="3340" max="3340" width="14.7109375" style="373" bestFit="1" customWidth="1"/>
    <col min="3341" max="3341" width="15.5703125" style="373" bestFit="1" customWidth="1"/>
    <col min="3342" max="3342" width="14.85546875" style="373" bestFit="1" customWidth="1"/>
    <col min="3343" max="3343" width="14" style="373" bestFit="1" customWidth="1"/>
    <col min="3344" max="3344" width="14.85546875" style="373" bestFit="1" customWidth="1"/>
    <col min="3345" max="3345" width="14.7109375" style="373" bestFit="1" customWidth="1"/>
    <col min="3346" max="3584" width="12.5703125" style="373"/>
    <col min="3585" max="3585" width="17.5703125" style="373" bestFit="1" customWidth="1"/>
    <col min="3586" max="3586" width="9.42578125" style="373" bestFit="1" customWidth="1"/>
    <col min="3587" max="3587" width="11.42578125" style="373" bestFit="1" customWidth="1"/>
    <col min="3588" max="3588" width="19.85546875" style="373" customWidth="1"/>
    <col min="3589" max="3589" width="15.42578125" style="373" bestFit="1" customWidth="1"/>
    <col min="3590" max="3590" width="14.7109375" style="373" bestFit="1" customWidth="1"/>
    <col min="3591" max="3592" width="14.85546875" style="373" bestFit="1" customWidth="1"/>
    <col min="3593" max="3593" width="14.140625" style="373" bestFit="1" customWidth="1"/>
    <col min="3594" max="3594" width="14.85546875" style="373" bestFit="1" customWidth="1"/>
    <col min="3595" max="3595" width="15.140625" style="373" bestFit="1" customWidth="1"/>
    <col min="3596" max="3596" width="14.7109375" style="373" bestFit="1" customWidth="1"/>
    <col min="3597" max="3597" width="15.5703125" style="373" bestFit="1" customWidth="1"/>
    <col min="3598" max="3598" width="14.85546875" style="373" bestFit="1" customWidth="1"/>
    <col min="3599" max="3599" width="14" style="373" bestFit="1" customWidth="1"/>
    <col min="3600" max="3600" width="14.85546875" style="373" bestFit="1" customWidth="1"/>
    <col min="3601" max="3601" width="14.7109375" style="373" bestFit="1" customWidth="1"/>
    <col min="3602" max="3840" width="12.5703125" style="373"/>
    <col min="3841" max="3841" width="17.5703125" style="373" bestFit="1" customWidth="1"/>
    <col min="3842" max="3842" width="9.42578125" style="373" bestFit="1" customWidth="1"/>
    <col min="3843" max="3843" width="11.42578125" style="373" bestFit="1" customWidth="1"/>
    <col min="3844" max="3844" width="19.85546875" style="373" customWidth="1"/>
    <col min="3845" max="3845" width="15.42578125" style="373" bestFit="1" customWidth="1"/>
    <col min="3846" max="3846" width="14.7109375" style="373" bestFit="1" customWidth="1"/>
    <col min="3847" max="3848" width="14.85546875" style="373" bestFit="1" customWidth="1"/>
    <col min="3849" max="3849" width="14.140625" style="373" bestFit="1" customWidth="1"/>
    <col min="3850" max="3850" width="14.85546875" style="373" bestFit="1" customWidth="1"/>
    <col min="3851" max="3851" width="15.140625" style="373" bestFit="1" customWidth="1"/>
    <col min="3852" max="3852" width="14.7109375" style="373" bestFit="1" customWidth="1"/>
    <col min="3853" max="3853" width="15.5703125" style="373" bestFit="1" customWidth="1"/>
    <col min="3854" max="3854" width="14.85546875" style="373" bestFit="1" customWidth="1"/>
    <col min="3855" max="3855" width="14" style="373" bestFit="1" customWidth="1"/>
    <col min="3856" max="3856" width="14.85546875" style="373" bestFit="1" customWidth="1"/>
    <col min="3857" max="3857" width="14.7109375" style="373" bestFit="1" customWidth="1"/>
    <col min="3858" max="4096" width="12.5703125" style="373"/>
    <col min="4097" max="4097" width="17.5703125" style="373" bestFit="1" customWidth="1"/>
    <col min="4098" max="4098" width="9.42578125" style="373" bestFit="1" customWidth="1"/>
    <col min="4099" max="4099" width="11.42578125" style="373" bestFit="1" customWidth="1"/>
    <col min="4100" max="4100" width="19.85546875" style="373" customWidth="1"/>
    <col min="4101" max="4101" width="15.42578125" style="373" bestFit="1" customWidth="1"/>
    <col min="4102" max="4102" width="14.7109375" style="373" bestFit="1" customWidth="1"/>
    <col min="4103" max="4104" width="14.85546875" style="373" bestFit="1" customWidth="1"/>
    <col min="4105" max="4105" width="14.140625" style="373" bestFit="1" customWidth="1"/>
    <col min="4106" max="4106" width="14.85546875" style="373" bestFit="1" customWidth="1"/>
    <col min="4107" max="4107" width="15.140625" style="373" bestFit="1" customWidth="1"/>
    <col min="4108" max="4108" width="14.7109375" style="373" bestFit="1" customWidth="1"/>
    <col min="4109" max="4109" width="15.5703125" style="373" bestFit="1" customWidth="1"/>
    <col min="4110" max="4110" width="14.85546875" style="373" bestFit="1" customWidth="1"/>
    <col min="4111" max="4111" width="14" style="373" bestFit="1" customWidth="1"/>
    <col min="4112" max="4112" width="14.85546875" style="373" bestFit="1" customWidth="1"/>
    <col min="4113" max="4113" width="14.7109375" style="373" bestFit="1" customWidth="1"/>
    <col min="4114" max="4352" width="12.5703125" style="373"/>
    <col min="4353" max="4353" width="17.5703125" style="373" bestFit="1" customWidth="1"/>
    <col min="4354" max="4354" width="9.42578125" style="373" bestFit="1" customWidth="1"/>
    <col min="4355" max="4355" width="11.42578125" style="373" bestFit="1" customWidth="1"/>
    <col min="4356" max="4356" width="19.85546875" style="373" customWidth="1"/>
    <col min="4357" max="4357" width="15.42578125" style="373" bestFit="1" customWidth="1"/>
    <col min="4358" max="4358" width="14.7109375" style="373" bestFit="1" customWidth="1"/>
    <col min="4359" max="4360" width="14.85546875" style="373" bestFit="1" customWidth="1"/>
    <col min="4361" max="4361" width="14.140625" style="373" bestFit="1" customWidth="1"/>
    <col min="4362" max="4362" width="14.85546875" style="373" bestFit="1" customWidth="1"/>
    <col min="4363" max="4363" width="15.140625" style="373" bestFit="1" customWidth="1"/>
    <col min="4364" max="4364" width="14.7109375" style="373" bestFit="1" customWidth="1"/>
    <col min="4365" max="4365" width="15.5703125" style="373" bestFit="1" customWidth="1"/>
    <col min="4366" max="4366" width="14.85546875" style="373" bestFit="1" customWidth="1"/>
    <col min="4367" max="4367" width="14" style="373" bestFit="1" customWidth="1"/>
    <col min="4368" max="4368" width="14.85546875" style="373" bestFit="1" customWidth="1"/>
    <col min="4369" max="4369" width="14.7109375" style="373" bestFit="1" customWidth="1"/>
    <col min="4370" max="4608" width="12.5703125" style="373"/>
    <col min="4609" max="4609" width="17.5703125" style="373" bestFit="1" customWidth="1"/>
    <col min="4610" max="4610" width="9.42578125" style="373" bestFit="1" customWidth="1"/>
    <col min="4611" max="4611" width="11.42578125" style="373" bestFit="1" customWidth="1"/>
    <col min="4612" max="4612" width="19.85546875" style="373" customWidth="1"/>
    <col min="4613" max="4613" width="15.42578125" style="373" bestFit="1" customWidth="1"/>
    <col min="4614" max="4614" width="14.7109375" style="373" bestFit="1" customWidth="1"/>
    <col min="4615" max="4616" width="14.85546875" style="373" bestFit="1" customWidth="1"/>
    <col min="4617" max="4617" width="14.140625" style="373" bestFit="1" customWidth="1"/>
    <col min="4618" max="4618" width="14.85546875" style="373" bestFit="1" customWidth="1"/>
    <col min="4619" max="4619" width="15.140625" style="373" bestFit="1" customWidth="1"/>
    <col min="4620" max="4620" width="14.7109375" style="373" bestFit="1" customWidth="1"/>
    <col min="4621" max="4621" width="15.5703125" style="373" bestFit="1" customWidth="1"/>
    <col min="4622" max="4622" width="14.85546875" style="373" bestFit="1" customWidth="1"/>
    <col min="4623" max="4623" width="14" style="373" bestFit="1" customWidth="1"/>
    <col min="4624" max="4624" width="14.85546875" style="373" bestFit="1" customWidth="1"/>
    <col min="4625" max="4625" width="14.7109375" style="373" bestFit="1" customWidth="1"/>
    <col min="4626" max="4864" width="12.5703125" style="373"/>
    <col min="4865" max="4865" width="17.5703125" style="373" bestFit="1" customWidth="1"/>
    <col min="4866" max="4866" width="9.42578125" style="373" bestFit="1" customWidth="1"/>
    <col min="4867" max="4867" width="11.42578125" style="373" bestFit="1" customWidth="1"/>
    <col min="4868" max="4868" width="19.85546875" style="373" customWidth="1"/>
    <col min="4869" max="4869" width="15.42578125" style="373" bestFit="1" customWidth="1"/>
    <col min="4870" max="4870" width="14.7109375" style="373" bestFit="1" customWidth="1"/>
    <col min="4871" max="4872" width="14.85546875" style="373" bestFit="1" customWidth="1"/>
    <col min="4873" max="4873" width="14.140625" style="373" bestFit="1" customWidth="1"/>
    <col min="4874" max="4874" width="14.85546875" style="373" bestFit="1" customWidth="1"/>
    <col min="4875" max="4875" width="15.140625" style="373" bestFit="1" customWidth="1"/>
    <col min="4876" max="4876" width="14.7109375" style="373" bestFit="1" customWidth="1"/>
    <col min="4877" max="4877" width="15.5703125" style="373" bestFit="1" customWidth="1"/>
    <col min="4878" max="4878" width="14.85546875" style="373" bestFit="1" customWidth="1"/>
    <col min="4879" max="4879" width="14" style="373" bestFit="1" customWidth="1"/>
    <col min="4880" max="4880" width="14.85546875" style="373" bestFit="1" customWidth="1"/>
    <col min="4881" max="4881" width="14.7109375" style="373" bestFit="1" customWidth="1"/>
    <col min="4882" max="5120" width="12.5703125" style="373"/>
    <col min="5121" max="5121" width="17.5703125" style="373" bestFit="1" customWidth="1"/>
    <col min="5122" max="5122" width="9.42578125" style="373" bestFit="1" customWidth="1"/>
    <col min="5123" max="5123" width="11.42578125" style="373" bestFit="1" customWidth="1"/>
    <col min="5124" max="5124" width="19.85546875" style="373" customWidth="1"/>
    <col min="5125" max="5125" width="15.42578125" style="373" bestFit="1" customWidth="1"/>
    <col min="5126" max="5126" width="14.7109375" style="373" bestFit="1" customWidth="1"/>
    <col min="5127" max="5128" width="14.85546875" style="373" bestFit="1" customWidth="1"/>
    <col min="5129" max="5129" width="14.140625" style="373" bestFit="1" customWidth="1"/>
    <col min="5130" max="5130" width="14.85546875" style="373" bestFit="1" customWidth="1"/>
    <col min="5131" max="5131" width="15.140625" style="373" bestFit="1" customWidth="1"/>
    <col min="5132" max="5132" width="14.7109375" style="373" bestFit="1" customWidth="1"/>
    <col min="5133" max="5133" width="15.5703125" style="373" bestFit="1" customWidth="1"/>
    <col min="5134" max="5134" width="14.85546875" style="373" bestFit="1" customWidth="1"/>
    <col min="5135" max="5135" width="14" style="373" bestFit="1" customWidth="1"/>
    <col min="5136" max="5136" width="14.85546875" style="373" bestFit="1" customWidth="1"/>
    <col min="5137" max="5137" width="14.7109375" style="373" bestFit="1" customWidth="1"/>
    <col min="5138" max="5376" width="12.5703125" style="373"/>
    <col min="5377" max="5377" width="17.5703125" style="373" bestFit="1" customWidth="1"/>
    <col min="5378" max="5378" width="9.42578125" style="373" bestFit="1" customWidth="1"/>
    <col min="5379" max="5379" width="11.42578125" style="373" bestFit="1" customWidth="1"/>
    <col min="5380" max="5380" width="19.85546875" style="373" customWidth="1"/>
    <col min="5381" max="5381" width="15.42578125" style="373" bestFit="1" customWidth="1"/>
    <col min="5382" max="5382" width="14.7109375" style="373" bestFit="1" customWidth="1"/>
    <col min="5383" max="5384" width="14.85546875" style="373" bestFit="1" customWidth="1"/>
    <col min="5385" max="5385" width="14.140625" style="373" bestFit="1" customWidth="1"/>
    <col min="5386" max="5386" width="14.85546875" style="373" bestFit="1" customWidth="1"/>
    <col min="5387" max="5387" width="15.140625" style="373" bestFit="1" customWidth="1"/>
    <col min="5388" max="5388" width="14.7109375" style="373" bestFit="1" customWidth="1"/>
    <col min="5389" max="5389" width="15.5703125" style="373" bestFit="1" customWidth="1"/>
    <col min="5390" max="5390" width="14.85546875" style="373" bestFit="1" customWidth="1"/>
    <col min="5391" max="5391" width="14" style="373" bestFit="1" customWidth="1"/>
    <col min="5392" max="5392" width="14.85546875" style="373" bestFit="1" customWidth="1"/>
    <col min="5393" max="5393" width="14.7109375" style="373" bestFit="1" customWidth="1"/>
    <col min="5394" max="5632" width="12.5703125" style="373"/>
    <col min="5633" max="5633" width="17.5703125" style="373" bestFit="1" customWidth="1"/>
    <col min="5634" max="5634" width="9.42578125" style="373" bestFit="1" customWidth="1"/>
    <col min="5635" max="5635" width="11.42578125" style="373" bestFit="1" customWidth="1"/>
    <col min="5636" max="5636" width="19.85546875" style="373" customWidth="1"/>
    <col min="5637" max="5637" width="15.42578125" style="373" bestFit="1" customWidth="1"/>
    <col min="5638" max="5638" width="14.7109375" style="373" bestFit="1" customWidth="1"/>
    <col min="5639" max="5640" width="14.85546875" style="373" bestFit="1" customWidth="1"/>
    <col min="5641" max="5641" width="14.140625" style="373" bestFit="1" customWidth="1"/>
    <col min="5642" max="5642" width="14.85546875" style="373" bestFit="1" customWidth="1"/>
    <col min="5643" max="5643" width="15.140625" style="373" bestFit="1" customWidth="1"/>
    <col min="5644" max="5644" width="14.7109375" style="373" bestFit="1" customWidth="1"/>
    <col min="5645" max="5645" width="15.5703125" style="373" bestFit="1" customWidth="1"/>
    <col min="5646" max="5646" width="14.85546875" style="373" bestFit="1" customWidth="1"/>
    <col min="5647" max="5647" width="14" style="373" bestFit="1" customWidth="1"/>
    <col min="5648" max="5648" width="14.85546875" style="373" bestFit="1" customWidth="1"/>
    <col min="5649" max="5649" width="14.7109375" style="373" bestFit="1" customWidth="1"/>
    <col min="5650" max="5888" width="12.5703125" style="373"/>
    <col min="5889" max="5889" width="17.5703125" style="373" bestFit="1" customWidth="1"/>
    <col min="5890" max="5890" width="9.42578125" style="373" bestFit="1" customWidth="1"/>
    <col min="5891" max="5891" width="11.42578125" style="373" bestFit="1" customWidth="1"/>
    <col min="5892" max="5892" width="19.85546875" style="373" customWidth="1"/>
    <col min="5893" max="5893" width="15.42578125" style="373" bestFit="1" customWidth="1"/>
    <col min="5894" max="5894" width="14.7109375" style="373" bestFit="1" customWidth="1"/>
    <col min="5895" max="5896" width="14.85546875" style="373" bestFit="1" customWidth="1"/>
    <col min="5897" max="5897" width="14.140625" style="373" bestFit="1" customWidth="1"/>
    <col min="5898" max="5898" width="14.85546875" style="373" bestFit="1" customWidth="1"/>
    <col min="5899" max="5899" width="15.140625" style="373" bestFit="1" customWidth="1"/>
    <col min="5900" max="5900" width="14.7109375" style="373" bestFit="1" customWidth="1"/>
    <col min="5901" max="5901" width="15.5703125" style="373" bestFit="1" customWidth="1"/>
    <col min="5902" max="5902" width="14.85546875" style="373" bestFit="1" customWidth="1"/>
    <col min="5903" max="5903" width="14" style="373" bestFit="1" customWidth="1"/>
    <col min="5904" max="5904" width="14.85546875" style="373" bestFit="1" customWidth="1"/>
    <col min="5905" max="5905" width="14.7109375" style="373" bestFit="1" customWidth="1"/>
    <col min="5906" max="6144" width="12.5703125" style="373"/>
    <col min="6145" max="6145" width="17.5703125" style="373" bestFit="1" customWidth="1"/>
    <col min="6146" max="6146" width="9.42578125" style="373" bestFit="1" customWidth="1"/>
    <col min="6147" max="6147" width="11.42578125" style="373" bestFit="1" customWidth="1"/>
    <col min="6148" max="6148" width="19.85546875" style="373" customWidth="1"/>
    <col min="6149" max="6149" width="15.42578125" style="373" bestFit="1" customWidth="1"/>
    <col min="6150" max="6150" width="14.7109375" style="373" bestFit="1" customWidth="1"/>
    <col min="6151" max="6152" width="14.85546875" style="373" bestFit="1" customWidth="1"/>
    <col min="6153" max="6153" width="14.140625" style="373" bestFit="1" customWidth="1"/>
    <col min="6154" max="6154" width="14.85546875" style="373" bestFit="1" customWidth="1"/>
    <col min="6155" max="6155" width="15.140625" style="373" bestFit="1" customWidth="1"/>
    <col min="6156" max="6156" width="14.7109375" style="373" bestFit="1" customWidth="1"/>
    <col min="6157" max="6157" width="15.5703125" style="373" bestFit="1" customWidth="1"/>
    <col min="6158" max="6158" width="14.85546875" style="373" bestFit="1" customWidth="1"/>
    <col min="6159" max="6159" width="14" style="373" bestFit="1" customWidth="1"/>
    <col min="6160" max="6160" width="14.85546875" style="373" bestFit="1" customWidth="1"/>
    <col min="6161" max="6161" width="14.7109375" style="373" bestFit="1" customWidth="1"/>
    <col min="6162" max="6400" width="12.5703125" style="373"/>
    <col min="6401" max="6401" width="17.5703125" style="373" bestFit="1" customWidth="1"/>
    <col min="6402" max="6402" width="9.42578125" style="373" bestFit="1" customWidth="1"/>
    <col min="6403" max="6403" width="11.42578125" style="373" bestFit="1" customWidth="1"/>
    <col min="6404" max="6404" width="19.85546875" style="373" customWidth="1"/>
    <col min="6405" max="6405" width="15.42578125" style="373" bestFit="1" customWidth="1"/>
    <col min="6406" max="6406" width="14.7109375" style="373" bestFit="1" customWidth="1"/>
    <col min="6407" max="6408" width="14.85546875" style="373" bestFit="1" customWidth="1"/>
    <col min="6409" max="6409" width="14.140625" style="373" bestFit="1" customWidth="1"/>
    <col min="6410" max="6410" width="14.85546875" style="373" bestFit="1" customWidth="1"/>
    <col min="6411" max="6411" width="15.140625" style="373" bestFit="1" customWidth="1"/>
    <col min="6412" max="6412" width="14.7109375" style="373" bestFit="1" customWidth="1"/>
    <col min="6413" max="6413" width="15.5703125" style="373" bestFit="1" customWidth="1"/>
    <col min="6414" max="6414" width="14.85546875" style="373" bestFit="1" customWidth="1"/>
    <col min="6415" max="6415" width="14" style="373" bestFit="1" customWidth="1"/>
    <col min="6416" max="6416" width="14.85546875" style="373" bestFit="1" customWidth="1"/>
    <col min="6417" max="6417" width="14.7109375" style="373" bestFit="1" customWidth="1"/>
    <col min="6418" max="6656" width="12.5703125" style="373"/>
    <col min="6657" max="6657" width="17.5703125" style="373" bestFit="1" customWidth="1"/>
    <col min="6658" max="6658" width="9.42578125" style="373" bestFit="1" customWidth="1"/>
    <col min="6659" max="6659" width="11.42578125" style="373" bestFit="1" customWidth="1"/>
    <col min="6660" max="6660" width="19.85546875" style="373" customWidth="1"/>
    <col min="6661" max="6661" width="15.42578125" style="373" bestFit="1" customWidth="1"/>
    <col min="6662" max="6662" width="14.7109375" style="373" bestFit="1" customWidth="1"/>
    <col min="6663" max="6664" width="14.85546875" style="373" bestFit="1" customWidth="1"/>
    <col min="6665" max="6665" width="14.140625" style="373" bestFit="1" customWidth="1"/>
    <col min="6666" max="6666" width="14.85546875" style="373" bestFit="1" customWidth="1"/>
    <col min="6667" max="6667" width="15.140625" style="373" bestFit="1" customWidth="1"/>
    <col min="6668" max="6668" width="14.7109375" style="373" bestFit="1" customWidth="1"/>
    <col min="6669" max="6669" width="15.5703125" style="373" bestFit="1" customWidth="1"/>
    <col min="6670" max="6670" width="14.85546875" style="373" bestFit="1" customWidth="1"/>
    <col min="6671" max="6671" width="14" style="373" bestFit="1" customWidth="1"/>
    <col min="6672" max="6672" width="14.85546875" style="373" bestFit="1" customWidth="1"/>
    <col min="6673" max="6673" width="14.7109375" style="373" bestFit="1" customWidth="1"/>
    <col min="6674" max="6912" width="12.5703125" style="373"/>
    <col min="6913" max="6913" width="17.5703125" style="373" bestFit="1" customWidth="1"/>
    <col min="6914" max="6914" width="9.42578125" style="373" bestFit="1" customWidth="1"/>
    <col min="6915" max="6915" width="11.42578125" style="373" bestFit="1" customWidth="1"/>
    <col min="6916" max="6916" width="19.85546875" style="373" customWidth="1"/>
    <col min="6917" max="6917" width="15.42578125" style="373" bestFit="1" customWidth="1"/>
    <col min="6918" max="6918" width="14.7109375" style="373" bestFit="1" customWidth="1"/>
    <col min="6919" max="6920" width="14.85546875" style="373" bestFit="1" customWidth="1"/>
    <col min="6921" max="6921" width="14.140625" style="373" bestFit="1" customWidth="1"/>
    <col min="6922" max="6922" width="14.85546875" style="373" bestFit="1" customWidth="1"/>
    <col min="6923" max="6923" width="15.140625" style="373" bestFit="1" customWidth="1"/>
    <col min="6924" max="6924" width="14.7109375" style="373" bestFit="1" customWidth="1"/>
    <col min="6925" max="6925" width="15.5703125" style="373" bestFit="1" customWidth="1"/>
    <col min="6926" max="6926" width="14.85546875" style="373" bestFit="1" customWidth="1"/>
    <col min="6927" max="6927" width="14" style="373" bestFit="1" customWidth="1"/>
    <col min="6928" max="6928" width="14.85546875" style="373" bestFit="1" customWidth="1"/>
    <col min="6929" max="6929" width="14.7109375" style="373" bestFit="1" customWidth="1"/>
    <col min="6930" max="7168" width="12.5703125" style="373"/>
    <col min="7169" max="7169" width="17.5703125" style="373" bestFit="1" customWidth="1"/>
    <col min="7170" max="7170" width="9.42578125" style="373" bestFit="1" customWidth="1"/>
    <col min="7171" max="7171" width="11.42578125" style="373" bestFit="1" customWidth="1"/>
    <col min="7172" max="7172" width="19.85546875" style="373" customWidth="1"/>
    <col min="7173" max="7173" width="15.42578125" style="373" bestFit="1" customWidth="1"/>
    <col min="7174" max="7174" width="14.7109375" style="373" bestFit="1" customWidth="1"/>
    <col min="7175" max="7176" width="14.85546875" style="373" bestFit="1" customWidth="1"/>
    <col min="7177" max="7177" width="14.140625" style="373" bestFit="1" customWidth="1"/>
    <col min="7178" max="7178" width="14.85546875" style="373" bestFit="1" customWidth="1"/>
    <col min="7179" max="7179" width="15.140625" style="373" bestFit="1" customWidth="1"/>
    <col min="7180" max="7180" width="14.7109375" style="373" bestFit="1" customWidth="1"/>
    <col min="7181" max="7181" width="15.5703125" style="373" bestFit="1" customWidth="1"/>
    <col min="7182" max="7182" width="14.85546875" style="373" bestFit="1" customWidth="1"/>
    <col min="7183" max="7183" width="14" style="373" bestFit="1" customWidth="1"/>
    <col min="7184" max="7184" width="14.85546875" style="373" bestFit="1" customWidth="1"/>
    <col min="7185" max="7185" width="14.7109375" style="373" bestFit="1" customWidth="1"/>
    <col min="7186" max="7424" width="12.5703125" style="373"/>
    <col min="7425" max="7425" width="17.5703125" style="373" bestFit="1" customWidth="1"/>
    <col min="7426" max="7426" width="9.42578125" style="373" bestFit="1" customWidth="1"/>
    <col min="7427" max="7427" width="11.42578125" style="373" bestFit="1" customWidth="1"/>
    <col min="7428" max="7428" width="19.85546875" style="373" customWidth="1"/>
    <col min="7429" max="7429" width="15.42578125" style="373" bestFit="1" customWidth="1"/>
    <col min="7430" max="7430" width="14.7109375" style="373" bestFit="1" customWidth="1"/>
    <col min="7431" max="7432" width="14.85546875" style="373" bestFit="1" customWidth="1"/>
    <col min="7433" max="7433" width="14.140625" style="373" bestFit="1" customWidth="1"/>
    <col min="7434" max="7434" width="14.85546875" style="373" bestFit="1" customWidth="1"/>
    <col min="7435" max="7435" width="15.140625" style="373" bestFit="1" customWidth="1"/>
    <col min="7436" max="7436" width="14.7109375" style="373" bestFit="1" customWidth="1"/>
    <col min="7437" max="7437" width="15.5703125" style="373" bestFit="1" customWidth="1"/>
    <col min="7438" max="7438" width="14.85546875" style="373" bestFit="1" customWidth="1"/>
    <col min="7439" max="7439" width="14" style="373" bestFit="1" customWidth="1"/>
    <col min="7440" max="7440" width="14.85546875" style="373" bestFit="1" customWidth="1"/>
    <col min="7441" max="7441" width="14.7109375" style="373" bestFit="1" customWidth="1"/>
    <col min="7442" max="7680" width="12.5703125" style="373"/>
    <col min="7681" max="7681" width="17.5703125" style="373" bestFit="1" customWidth="1"/>
    <col min="7682" max="7682" width="9.42578125" style="373" bestFit="1" customWidth="1"/>
    <col min="7683" max="7683" width="11.42578125" style="373" bestFit="1" customWidth="1"/>
    <col min="7684" max="7684" width="19.85546875" style="373" customWidth="1"/>
    <col min="7685" max="7685" width="15.42578125" style="373" bestFit="1" customWidth="1"/>
    <col min="7686" max="7686" width="14.7109375" style="373" bestFit="1" customWidth="1"/>
    <col min="7687" max="7688" width="14.85546875" style="373" bestFit="1" customWidth="1"/>
    <col min="7689" max="7689" width="14.140625" style="373" bestFit="1" customWidth="1"/>
    <col min="7690" max="7690" width="14.85546875" style="373" bestFit="1" customWidth="1"/>
    <col min="7691" max="7691" width="15.140625" style="373" bestFit="1" customWidth="1"/>
    <col min="7692" max="7692" width="14.7109375" style="373" bestFit="1" customWidth="1"/>
    <col min="7693" max="7693" width="15.5703125" style="373" bestFit="1" customWidth="1"/>
    <col min="7694" max="7694" width="14.85546875" style="373" bestFit="1" customWidth="1"/>
    <col min="7695" max="7695" width="14" style="373" bestFit="1" customWidth="1"/>
    <col min="7696" max="7696" width="14.85546875" style="373" bestFit="1" customWidth="1"/>
    <col min="7697" max="7697" width="14.7109375" style="373" bestFit="1" customWidth="1"/>
    <col min="7698" max="7936" width="12.5703125" style="373"/>
    <col min="7937" max="7937" width="17.5703125" style="373" bestFit="1" customWidth="1"/>
    <col min="7938" max="7938" width="9.42578125" style="373" bestFit="1" customWidth="1"/>
    <col min="7939" max="7939" width="11.42578125" style="373" bestFit="1" customWidth="1"/>
    <col min="7940" max="7940" width="19.85546875" style="373" customWidth="1"/>
    <col min="7941" max="7941" width="15.42578125" style="373" bestFit="1" customWidth="1"/>
    <col min="7942" max="7942" width="14.7109375" style="373" bestFit="1" customWidth="1"/>
    <col min="7943" max="7944" width="14.85546875" style="373" bestFit="1" customWidth="1"/>
    <col min="7945" max="7945" width="14.140625" style="373" bestFit="1" customWidth="1"/>
    <col min="7946" max="7946" width="14.85546875" style="373" bestFit="1" customWidth="1"/>
    <col min="7947" max="7947" width="15.140625" style="373" bestFit="1" customWidth="1"/>
    <col min="7948" max="7948" width="14.7109375" style="373" bestFit="1" customWidth="1"/>
    <col min="7949" max="7949" width="15.5703125" style="373" bestFit="1" customWidth="1"/>
    <col min="7950" max="7950" width="14.85546875" style="373" bestFit="1" customWidth="1"/>
    <col min="7951" max="7951" width="14" style="373" bestFit="1" customWidth="1"/>
    <col min="7952" max="7952" width="14.85546875" style="373" bestFit="1" customWidth="1"/>
    <col min="7953" max="7953" width="14.7109375" style="373" bestFit="1" customWidth="1"/>
    <col min="7954" max="8192" width="12.5703125" style="373"/>
    <col min="8193" max="8193" width="17.5703125" style="373" bestFit="1" customWidth="1"/>
    <col min="8194" max="8194" width="9.42578125" style="373" bestFit="1" customWidth="1"/>
    <col min="8195" max="8195" width="11.42578125" style="373" bestFit="1" customWidth="1"/>
    <col min="8196" max="8196" width="19.85546875" style="373" customWidth="1"/>
    <col min="8197" max="8197" width="15.42578125" style="373" bestFit="1" customWidth="1"/>
    <col min="8198" max="8198" width="14.7109375" style="373" bestFit="1" customWidth="1"/>
    <col min="8199" max="8200" width="14.85546875" style="373" bestFit="1" customWidth="1"/>
    <col min="8201" max="8201" width="14.140625" style="373" bestFit="1" customWidth="1"/>
    <col min="8202" max="8202" width="14.85546875" style="373" bestFit="1" customWidth="1"/>
    <col min="8203" max="8203" width="15.140625" style="373" bestFit="1" customWidth="1"/>
    <col min="8204" max="8204" width="14.7109375" style="373" bestFit="1" customWidth="1"/>
    <col min="8205" max="8205" width="15.5703125" style="373" bestFit="1" customWidth="1"/>
    <col min="8206" max="8206" width="14.85546875" style="373" bestFit="1" customWidth="1"/>
    <col min="8207" max="8207" width="14" style="373" bestFit="1" customWidth="1"/>
    <col min="8208" max="8208" width="14.85546875" style="373" bestFit="1" customWidth="1"/>
    <col min="8209" max="8209" width="14.7109375" style="373" bestFit="1" customWidth="1"/>
    <col min="8210" max="8448" width="12.5703125" style="373"/>
    <col min="8449" max="8449" width="17.5703125" style="373" bestFit="1" customWidth="1"/>
    <col min="8450" max="8450" width="9.42578125" style="373" bestFit="1" customWidth="1"/>
    <col min="8451" max="8451" width="11.42578125" style="373" bestFit="1" customWidth="1"/>
    <col min="8452" max="8452" width="19.85546875" style="373" customWidth="1"/>
    <col min="8453" max="8453" width="15.42578125" style="373" bestFit="1" customWidth="1"/>
    <col min="8454" max="8454" width="14.7109375" style="373" bestFit="1" customWidth="1"/>
    <col min="8455" max="8456" width="14.85546875" style="373" bestFit="1" customWidth="1"/>
    <col min="8457" max="8457" width="14.140625" style="373" bestFit="1" customWidth="1"/>
    <col min="8458" max="8458" width="14.85546875" style="373" bestFit="1" customWidth="1"/>
    <col min="8459" max="8459" width="15.140625" style="373" bestFit="1" customWidth="1"/>
    <col min="8460" max="8460" width="14.7109375" style="373" bestFit="1" customWidth="1"/>
    <col min="8461" max="8461" width="15.5703125" style="373" bestFit="1" customWidth="1"/>
    <col min="8462" max="8462" width="14.85546875" style="373" bestFit="1" customWidth="1"/>
    <col min="8463" max="8463" width="14" style="373" bestFit="1" customWidth="1"/>
    <col min="8464" max="8464" width="14.85546875" style="373" bestFit="1" customWidth="1"/>
    <col min="8465" max="8465" width="14.7109375" style="373" bestFit="1" customWidth="1"/>
    <col min="8466" max="8704" width="12.5703125" style="373"/>
    <col min="8705" max="8705" width="17.5703125" style="373" bestFit="1" customWidth="1"/>
    <col min="8706" max="8706" width="9.42578125" style="373" bestFit="1" customWidth="1"/>
    <col min="8707" max="8707" width="11.42578125" style="373" bestFit="1" customWidth="1"/>
    <col min="8708" max="8708" width="19.85546875" style="373" customWidth="1"/>
    <col min="8709" max="8709" width="15.42578125" style="373" bestFit="1" customWidth="1"/>
    <col min="8710" max="8710" width="14.7109375" style="373" bestFit="1" customWidth="1"/>
    <col min="8711" max="8712" width="14.85546875" style="373" bestFit="1" customWidth="1"/>
    <col min="8713" max="8713" width="14.140625" style="373" bestFit="1" customWidth="1"/>
    <col min="8714" max="8714" width="14.85546875" style="373" bestFit="1" customWidth="1"/>
    <col min="8715" max="8715" width="15.140625" style="373" bestFit="1" customWidth="1"/>
    <col min="8716" max="8716" width="14.7109375" style="373" bestFit="1" customWidth="1"/>
    <col min="8717" max="8717" width="15.5703125" style="373" bestFit="1" customWidth="1"/>
    <col min="8718" max="8718" width="14.85546875" style="373" bestFit="1" customWidth="1"/>
    <col min="8719" max="8719" width="14" style="373" bestFit="1" customWidth="1"/>
    <col min="8720" max="8720" width="14.85546875" style="373" bestFit="1" customWidth="1"/>
    <col min="8721" max="8721" width="14.7109375" style="373" bestFit="1" customWidth="1"/>
    <col min="8722" max="8960" width="12.5703125" style="373"/>
    <col min="8961" max="8961" width="17.5703125" style="373" bestFit="1" customWidth="1"/>
    <col min="8962" max="8962" width="9.42578125" style="373" bestFit="1" customWidth="1"/>
    <col min="8963" max="8963" width="11.42578125" style="373" bestFit="1" customWidth="1"/>
    <col min="8964" max="8964" width="19.85546875" style="373" customWidth="1"/>
    <col min="8965" max="8965" width="15.42578125" style="373" bestFit="1" customWidth="1"/>
    <col min="8966" max="8966" width="14.7109375" style="373" bestFit="1" customWidth="1"/>
    <col min="8967" max="8968" width="14.85546875" style="373" bestFit="1" customWidth="1"/>
    <col min="8969" max="8969" width="14.140625" style="373" bestFit="1" customWidth="1"/>
    <col min="8970" max="8970" width="14.85546875" style="373" bestFit="1" customWidth="1"/>
    <col min="8971" max="8971" width="15.140625" style="373" bestFit="1" customWidth="1"/>
    <col min="8972" max="8972" width="14.7109375" style="373" bestFit="1" customWidth="1"/>
    <col min="8973" max="8973" width="15.5703125" style="373" bestFit="1" customWidth="1"/>
    <col min="8974" max="8974" width="14.85546875" style="373" bestFit="1" customWidth="1"/>
    <col min="8975" max="8975" width="14" style="373" bestFit="1" customWidth="1"/>
    <col min="8976" max="8976" width="14.85546875" style="373" bestFit="1" customWidth="1"/>
    <col min="8977" max="8977" width="14.7109375" style="373" bestFit="1" customWidth="1"/>
    <col min="8978" max="9216" width="12.5703125" style="373"/>
    <col min="9217" max="9217" width="17.5703125" style="373" bestFit="1" customWidth="1"/>
    <col min="9218" max="9218" width="9.42578125" style="373" bestFit="1" customWidth="1"/>
    <col min="9219" max="9219" width="11.42578125" style="373" bestFit="1" customWidth="1"/>
    <col min="9220" max="9220" width="19.85546875" style="373" customWidth="1"/>
    <col min="9221" max="9221" width="15.42578125" style="373" bestFit="1" customWidth="1"/>
    <col min="9222" max="9222" width="14.7109375" style="373" bestFit="1" customWidth="1"/>
    <col min="9223" max="9224" width="14.85546875" style="373" bestFit="1" customWidth="1"/>
    <col min="9225" max="9225" width="14.140625" style="373" bestFit="1" customWidth="1"/>
    <col min="9226" max="9226" width="14.85546875" style="373" bestFit="1" customWidth="1"/>
    <col min="9227" max="9227" width="15.140625" style="373" bestFit="1" customWidth="1"/>
    <col min="9228" max="9228" width="14.7109375" style="373" bestFit="1" customWidth="1"/>
    <col min="9229" max="9229" width="15.5703125" style="373" bestFit="1" customWidth="1"/>
    <col min="9230" max="9230" width="14.85546875" style="373" bestFit="1" customWidth="1"/>
    <col min="9231" max="9231" width="14" style="373" bestFit="1" customWidth="1"/>
    <col min="9232" max="9232" width="14.85546875" style="373" bestFit="1" customWidth="1"/>
    <col min="9233" max="9233" width="14.7109375" style="373" bestFit="1" customWidth="1"/>
    <col min="9234" max="9472" width="12.5703125" style="373"/>
    <col min="9473" max="9473" width="17.5703125" style="373" bestFit="1" customWidth="1"/>
    <col min="9474" max="9474" width="9.42578125" style="373" bestFit="1" customWidth="1"/>
    <col min="9475" max="9475" width="11.42578125" style="373" bestFit="1" customWidth="1"/>
    <col min="9476" max="9476" width="19.85546875" style="373" customWidth="1"/>
    <col min="9477" max="9477" width="15.42578125" style="373" bestFit="1" customWidth="1"/>
    <col min="9478" max="9478" width="14.7109375" style="373" bestFit="1" customWidth="1"/>
    <col min="9479" max="9480" width="14.85546875" style="373" bestFit="1" customWidth="1"/>
    <col min="9481" max="9481" width="14.140625" style="373" bestFit="1" customWidth="1"/>
    <col min="9482" max="9482" width="14.85546875" style="373" bestFit="1" customWidth="1"/>
    <col min="9483" max="9483" width="15.140625" style="373" bestFit="1" customWidth="1"/>
    <col min="9484" max="9484" width="14.7109375" style="373" bestFit="1" customWidth="1"/>
    <col min="9485" max="9485" width="15.5703125" style="373" bestFit="1" customWidth="1"/>
    <col min="9486" max="9486" width="14.85546875" style="373" bestFit="1" customWidth="1"/>
    <col min="9487" max="9487" width="14" style="373" bestFit="1" customWidth="1"/>
    <col min="9488" max="9488" width="14.85546875" style="373" bestFit="1" customWidth="1"/>
    <col min="9489" max="9489" width="14.7109375" style="373" bestFit="1" customWidth="1"/>
    <col min="9490" max="9728" width="12.5703125" style="373"/>
    <col min="9729" max="9729" width="17.5703125" style="373" bestFit="1" customWidth="1"/>
    <col min="9730" max="9730" width="9.42578125" style="373" bestFit="1" customWidth="1"/>
    <col min="9731" max="9731" width="11.42578125" style="373" bestFit="1" customWidth="1"/>
    <col min="9732" max="9732" width="19.85546875" style="373" customWidth="1"/>
    <col min="9733" max="9733" width="15.42578125" style="373" bestFit="1" customWidth="1"/>
    <col min="9734" max="9734" width="14.7109375" style="373" bestFit="1" customWidth="1"/>
    <col min="9735" max="9736" width="14.85546875" style="373" bestFit="1" customWidth="1"/>
    <col min="9737" max="9737" width="14.140625" style="373" bestFit="1" customWidth="1"/>
    <col min="9738" max="9738" width="14.85546875" style="373" bestFit="1" customWidth="1"/>
    <col min="9739" max="9739" width="15.140625" style="373" bestFit="1" customWidth="1"/>
    <col min="9740" max="9740" width="14.7109375" style="373" bestFit="1" customWidth="1"/>
    <col min="9741" max="9741" width="15.5703125" style="373" bestFit="1" customWidth="1"/>
    <col min="9742" max="9742" width="14.85546875" style="373" bestFit="1" customWidth="1"/>
    <col min="9743" max="9743" width="14" style="373" bestFit="1" customWidth="1"/>
    <col min="9744" max="9744" width="14.85546875" style="373" bestFit="1" customWidth="1"/>
    <col min="9745" max="9745" width="14.7109375" style="373" bestFit="1" customWidth="1"/>
    <col min="9746" max="9984" width="12.5703125" style="373"/>
    <col min="9985" max="9985" width="17.5703125" style="373" bestFit="1" customWidth="1"/>
    <col min="9986" max="9986" width="9.42578125" style="373" bestFit="1" customWidth="1"/>
    <col min="9987" max="9987" width="11.42578125" style="373" bestFit="1" customWidth="1"/>
    <col min="9988" max="9988" width="19.85546875" style="373" customWidth="1"/>
    <col min="9989" max="9989" width="15.42578125" style="373" bestFit="1" customWidth="1"/>
    <col min="9990" max="9990" width="14.7109375" style="373" bestFit="1" customWidth="1"/>
    <col min="9991" max="9992" width="14.85546875" style="373" bestFit="1" customWidth="1"/>
    <col min="9993" max="9993" width="14.140625" style="373" bestFit="1" customWidth="1"/>
    <col min="9994" max="9994" width="14.85546875" style="373" bestFit="1" customWidth="1"/>
    <col min="9995" max="9995" width="15.140625" style="373" bestFit="1" customWidth="1"/>
    <col min="9996" max="9996" width="14.7109375" style="373" bestFit="1" customWidth="1"/>
    <col min="9997" max="9997" width="15.5703125" style="373" bestFit="1" customWidth="1"/>
    <col min="9998" max="9998" width="14.85546875" style="373" bestFit="1" customWidth="1"/>
    <col min="9999" max="9999" width="14" style="373" bestFit="1" customWidth="1"/>
    <col min="10000" max="10000" width="14.85546875" style="373" bestFit="1" customWidth="1"/>
    <col min="10001" max="10001" width="14.7109375" style="373" bestFit="1" customWidth="1"/>
    <col min="10002" max="10240" width="12.5703125" style="373"/>
    <col min="10241" max="10241" width="17.5703125" style="373" bestFit="1" customWidth="1"/>
    <col min="10242" max="10242" width="9.42578125" style="373" bestFit="1" customWidth="1"/>
    <col min="10243" max="10243" width="11.42578125" style="373" bestFit="1" customWidth="1"/>
    <col min="10244" max="10244" width="19.85546875" style="373" customWidth="1"/>
    <col min="10245" max="10245" width="15.42578125" style="373" bestFit="1" customWidth="1"/>
    <col min="10246" max="10246" width="14.7109375" style="373" bestFit="1" customWidth="1"/>
    <col min="10247" max="10248" width="14.85546875" style="373" bestFit="1" customWidth="1"/>
    <col min="10249" max="10249" width="14.140625" style="373" bestFit="1" customWidth="1"/>
    <col min="10250" max="10250" width="14.85546875" style="373" bestFit="1" customWidth="1"/>
    <col min="10251" max="10251" width="15.140625" style="373" bestFit="1" customWidth="1"/>
    <col min="10252" max="10252" width="14.7109375" style="373" bestFit="1" customWidth="1"/>
    <col min="10253" max="10253" width="15.5703125" style="373" bestFit="1" customWidth="1"/>
    <col min="10254" max="10254" width="14.85546875" style="373" bestFit="1" customWidth="1"/>
    <col min="10255" max="10255" width="14" style="373" bestFit="1" customWidth="1"/>
    <col min="10256" max="10256" width="14.85546875" style="373" bestFit="1" customWidth="1"/>
    <col min="10257" max="10257" width="14.7109375" style="373" bestFit="1" customWidth="1"/>
    <col min="10258" max="10496" width="12.5703125" style="373"/>
    <col min="10497" max="10497" width="17.5703125" style="373" bestFit="1" customWidth="1"/>
    <col min="10498" max="10498" width="9.42578125" style="373" bestFit="1" customWidth="1"/>
    <col min="10499" max="10499" width="11.42578125" style="373" bestFit="1" customWidth="1"/>
    <col min="10500" max="10500" width="19.85546875" style="373" customWidth="1"/>
    <col min="10501" max="10501" width="15.42578125" style="373" bestFit="1" customWidth="1"/>
    <col min="10502" max="10502" width="14.7109375" style="373" bestFit="1" customWidth="1"/>
    <col min="10503" max="10504" width="14.85546875" style="373" bestFit="1" customWidth="1"/>
    <col min="10505" max="10505" width="14.140625" style="373" bestFit="1" customWidth="1"/>
    <col min="10506" max="10506" width="14.85546875" style="373" bestFit="1" customWidth="1"/>
    <col min="10507" max="10507" width="15.140625" style="373" bestFit="1" customWidth="1"/>
    <col min="10508" max="10508" width="14.7109375" style="373" bestFit="1" customWidth="1"/>
    <col min="10509" max="10509" width="15.5703125" style="373" bestFit="1" customWidth="1"/>
    <col min="10510" max="10510" width="14.85546875" style="373" bestFit="1" customWidth="1"/>
    <col min="10511" max="10511" width="14" style="373" bestFit="1" customWidth="1"/>
    <col min="10512" max="10512" width="14.85546875" style="373" bestFit="1" customWidth="1"/>
    <col min="10513" max="10513" width="14.7109375" style="373" bestFit="1" customWidth="1"/>
    <col min="10514" max="10752" width="12.5703125" style="373"/>
    <col min="10753" max="10753" width="17.5703125" style="373" bestFit="1" customWidth="1"/>
    <col min="10754" max="10754" width="9.42578125" style="373" bestFit="1" customWidth="1"/>
    <col min="10755" max="10755" width="11.42578125" style="373" bestFit="1" customWidth="1"/>
    <col min="10756" max="10756" width="19.85546875" style="373" customWidth="1"/>
    <col min="10757" max="10757" width="15.42578125" style="373" bestFit="1" customWidth="1"/>
    <col min="10758" max="10758" width="14.7109375" style="373" bestFit="1" customWidth="1"/>
    <col min="10759" max="10760" width="14.85546875" style="373" bestFit="1" customWidth="1"/>
    <col min="10761" max="10761" width="14.140625" style="373" bestFit="1" customWidth="1"/>
    <col min="10762" max="10762" width="14.85546875" style="373" bestFit="1" customWidth="1"/>
    <col min="10763" max="10763" width="15.140625" style="373" bestFit="1" customWidth="1"/>
    <col min="10764" max="10764" width="14.7109375" style="373" bestFit="1" customWidth="1"/>
    <col min="10765" max="10765" width="15.5703125" style="373" bestFit="1" customWidth="1"/>
    <col min="10766" max="10766" width="14.85546875" style="373" bestFit="1" customWidth="1"/>
    <col min="10767" max="10767" width="14" style="373" bestFit="1" customWidth="1"/>
    <col min="10768" max="10768" width="14.85546875" style="373" bestFit="1" customWidth="1"/>
    <col min="10769" max="10769" width="14.7109375" style="373" bestFit="1" customWidth="1"/>
    <col min="10770" max="11008" width="12.5703125" style="373"/>
    <col min="11009" max="11009" width="17.5703125" style="373" bestFit="1" customWidth="1"/>
    <col min="11010" max="11010" width="9.42578125" style="373" bestFit="1" customWidth="1"/>
    <col min="11011" max="11011" width="11.42578125" style="373" bestFit="1" customWidth="1"/>
    <col min="11012" max="11012" width="19.85546875" style="373" customWidth="1"/>
    <col min="11013" max="11013" width="15.42578125" style="373" bestFit="1" customWidth="1"/>
    <col min="11014" max="11014" width="14.7109375" style="373" bestFit="1" customWidth="1"/>
    <col min="11015" max="11016" width="14.85546875" style="373" bestFit="1" customWidth="1"/>
    <col min="11017" max="11017" width="14.140625" style="373" bestFit="1" customWidth="1"/>
    <col min="11018" max="11018" width="14.85546875" style="373" bestFit="1" customWidth="1"/>
    <col min="11019" max="11019" width="15.140625" style="373" bestFit="1" customWidth="1"/>
    <col min="11020" max="11020" width="14.7109375" style="373" bestFit="1" customWidth="1"/>
    <col min="11021" max="11021" width="15.5703125" style="373" bestFit="1" customWidth="1"/>
    <col min="11022" max="11022" width="14.85546875" style="373" bestFit="1" customWidth="1"/>
    <col min="11023" max="11023" width="14" style="373" bestFit="1" customWidth="1"/>
    <col min="11024" max="11024" width="14.85546875" style="373" bestFit="1" customWidth="1"/>
    <col min="11025" max="11025" width="14.7109375" style="373" bestFit="1" customWidth="1"/>
    <col min="11026" max="11264" width="12.5703125" style="373"/>
    <col min="11265" max="11265" width="17.5703125" style="373" bestFit="1" customWidth="1"/>
    <col min="11266" max="11266" width="9.42578125" style="373" bestFit="1" customWidth="1"/>
    <col min="11267" max="11267" width="11.42578125" style="373" bestFit="1" customWidth="1"/>
    <col min="11268" max="11268" width="19.85546875" style="373" customWidth="1"/>
    <col min="11269" max="11269" width="15.42578125" style="373" bestFit="1" customWidth="1"/>
    <col min="11270" max="11270" width="14.7109375" style="373" bestFit="1" customWidth="1"/>
    <col min="11271" max="11272" width="14.85546875" style="373" bestFit="1" customWidth="1"/>
    <col min="11273" max="11273" width="14.140625" style="373" bestFit="1" customWidth="1"/>
    <col min="11274" max="11274" width="14.85546875" style="373" bestFit="1" customWidth="1"/>
    <col min="11275" max="11275" width="15.140625" style="373" bestFit="1" customWidth="1"/>
    <col min="11276" max="11276" width="14.7109375" style="373" bestFit="1" customWidth="1"/>
    <col min="11277" max="11277" width="15.5703125" style="373" bestFit="1" customWidth="1"/>
    <col min="11278" max="11278" width="14.85546875" style="373" bestFit="1" customWidth="1"/>
    <col min="11279" max="11279" width="14" style="373" bestFit="1" customWidth="1"/>
    <col min="11280" max="11280" width="14.85546875" style="373" bestFit="1" customWidth="1"/>
    <col min="11281" max="11281" width="14.7109375" style="373" bestFit="1" customWidth="1"/>
    <col min="11282" max="11520" width="12.5703125" style="373"/>
    <col min="11521" max="11521" width="17.5703125" style="373" bestFit="1" customWidth="1"/>
    <col min="11522" max="11522" width="9.42578125" style="373" bestFit="1" customWidth="1"/>
    <col min="11523" max="11523" width="11.42578125" style="373" bestFit="1" customWidth="1"/>
    <col min="11524" max="11524" width="19.85546875" style="373" customWidth="1"/>
    <col min="11525" max="11525" width="15.42578125" style="373" bestFit="1" customWidth="1"/>
    <col min="11526" max="11526" width="14.7109375" style="373" bestFit="1" customWidth="1"/>
    <col min="11527" max="11528" width="14.85546875" style="373" bestFit="1" customWidth="1"/>
    <col min="11529" max="11529" width="14.140625" style="373" bestFit="1" customWidth="1"/>
    <col min="11530" max="11530" width="14.85546875" style="373" bestFit="1" customWidth="1"/>
    <col min="11531" max="11531" width="15.140625" style="373" bestFit="1" customWidth="1"/>
    <col min="11532" max="11532" width="14.7109375" style="373" bestFit="1" customWidth="1"/>
    <col min="11533" max="11533" width="15.5703125" style="373" bestFit="1" customWidth="1"/>
    <col min="11534" max="11534" width="14.85546875" style="373" bestFit="1" customWidth="1"/>
    <col min="11535" max="11535" width="14" style="373" bestFit="1" customWidth="1"/>
    <col min="11536" max="11536" width="14.85546875" style="373" bestFit="1" customWidth="1"/>
    <col min="11537" max="11537" width="14.7109375" style="373" bestFit="1" customWidth="1"/>
    <col min="11538" max="11776" width="12.5703125" style="373"/>
    <col min="11777" max="11777" width="17.5703125" style="373" bestFit="1" customWidth="1"/>
    <col min="11778" max="11778" width="9.42578125" style="373" bestFit="1" customWidth="1"/>
    <col min="11779" max="11779" width="11.42578125" style="373" bestFit="1" customWidth="1"/>
    <col min="11780" max="11780" width="19.85546875" style="373" customWidth="1"/>
    <col min="11781" max="11781" width="15.42578125" style="373" bestFit="1" customWidth="1"/>
    <col min="11782" max="11782" width="14.7109375" style="373" bestFit="1" customWidth="1"/>
    <col min="11783" max="11784" width="14.85546875" style="373" bestFit="1" customWidth="1"/>
    <col min="11785" max="11785" width="14.140625" style="373" bestFit="1" customWidth="1"/>
    <col min="11786" max="11786" width="14.85546875" style="373" bestFit="1" customWidth="1"/>
    <col min="11787" max="11787" width="15.140625" style="373" bestFit="1" customWidth="1"/>
    <col min="11788" max="11788" width="14.7109375" style="373" bestFit="1" customWidth="1"/>
    <col min="11789" max="11789" width="15.5703125" style="373" bestFit="1" customWidth="1"/>
    <col min="11790" max="11790" width="14.85546875" style="373" bestFit="1" customWidth="1"/>
    <col min="11791" max="11791" width="14" style="373" bestFit="1" customWidth="1"/>
    <col min="11792" max="11792" width="14.85546875" style="373" bestFit="1" customWidth="1"/>
    <col min="11793" max="11793" width="14.7109375" style="373" bestFit="1" customWidth="1"/>
    <col min="11794" max="12032" width="12.5703125" style="373"/>
    <col min="12033" max="12033" width="17.5703125" style="373" bestFit="1" customWidth="1"/>
    <col min="12034" max="12034" width="9.42578125" style="373" bestFit="1" customWidth="1"/>
    <col min="12035" max="12035" width="11.42578125" style="373" bestFit="1" customWidth="1"/>
    <col min="12036" max="12036" width="19.85546875" style="373" customWidth="1"/>
    <col min="12037" max="12037" width="15.42578125" style="373" bestFit="1" customWidth="1"/>
    <col min="12038" max="12038" width="14.7109375" style="373" bestFit="1" customWidth="1"/>
    <col min="12039" max="12040" width="14.85546875" style="373" bestFit="1" customWidth="1"/>
    <col min="12041" max="12041" width="14.140625" style="373" bestFit="1" customWidth="1"/>
    <col min="12042" max="12042" width="14.85546875" style="373" bestFit="1" customWidth="1"/>
    <col min="12043" max="12043" width="15.140625" style="373" bestFit="1" customWidth="1"/>
    <col min="12044" max="12044" width="14.7109375" style="373" bestFit="1" customWidth="1"/>
    <col min="12045" max="12045" width="15.5703125" style="373" bestFit="1" customWidth="1"/>
    <col min="12046" max="12046" width="14.85546875" style="373" bestFit="1" customWidth="1"/>
    <col min="12047" max="12047" width="14" style="373" bestFit="1" customWidth="1"/>
    <col min="12048" max="12048" width="14.85546875" style="373" bestFit="1" customWidth="1"/>
    <col min="12049" max="12049" width="14.7109375" style="373" bestFit="1" customWidth="1"/>
    <col min="12050" max="12288" width="12.5703125" style="373"/>
    <col min="12289" max="12289" width="17.5703125" style="373" bestFit="1" customWidth="1"/>
    <col min="12290" max="12290" width="9.42578125" style="373" bestFit="1" customWidth="1"/>
    <col min="12291" max="12291" width="11.42578125" style="373" bestFit="1" customWidth="1"/>
    <col min="12292" max="12292" width="19.85546875" style="373" customWidth="1"/>
    <col min="12293" max="12293" width="15.42578125" style="373" bestFit="1" customWidth="1"/>
    <col min="12294" max="12294" width="14.7109375" style="373" bestFit="1" customWidth="1"/>
    <col min="12295" max="12296" width="14.85546875" style="373" bestFit="1" customWidth="1"/>
    <col min="12297" max="12297" width="14.140625" style="373" bestFit="1" customWidth="1"/>
    <col min="12298" max="12298" width="14.85546875" style="373" bestFit="1" customWidth="1"/>
    <col min="12299" max="12299" width="15.140625" style="373" bestFit="1" customWidth="1"/>
    <col min="12300" max="12300" width="14.7109375" style="373" bestFit="1" customWidth="1"/>
    <col min="12301" max="12301" width="15.5703125" style="373" bestFit="1" customWidth="1"/>
    <col min="12302" max="12302" width="14.85546875" style="373" bestFit="1" customWidth="1"/>
    <col min="12303" max="12303" width="14" style="373" bestFit="1" customWidth="1"/>
    <col min="12304" max="12304" width="14.85546875" style="373" bestFit="1" customWidth="1"/>
    <col min="12305" max="12305" width="14.7109375" style="373" bestFit="1" customWidth="1"/>
    <col min="12306" max="12544" width="12.5703125" style="373"/>
    <col min="12545" max="12545" width="17.5703125" style="373" bestFit="1" customWidth="1"/>
    <col min="12546" max="12546" width="9.42578125" style="373" bestFit="1" customWidth="1"/>
    <col min="12547" max="12547" width="11.42578125" style="373" bestFit="1" customWidth="1"/>
    <col min="12548" max="12548" width="19.85546875" style="373" customWidth="1"/>
    <col min="12549" max="12549" width="15.42578125" style="373" bestFit="1" customWidth="1"/>
    <col min="12550" max="12550" width="14.7109375" style="373" bestFit="1" customWidth="1"/>
    <col min="12551" max="12552" width="14.85546875" style="373" bestFit="1" customWidth="1"/>
    <col min="12553" max="12553" width="14.140625" style="373" bestFit="1" customWidth="1"/>
    <col min="12554" max="12554" width="14.85546875" style="373" bestFit="1" customWidth="1"/>
    <col min="12555" max="12555" width="15.140625" style="373" bestFit="1" customWidth="1"/>
    <col min="12556" max="12556" width="14.7109375" style="373" bestFit="1" customWidth="1"/>
    <col min="12557" max="12557" width="15.5703125" style="373" bestFit="1" customWidth="1"/>
    <col min="12558" max="12558" width="14.85546875" style="373" bestFit="1" customWidth="1"/>
    <col min="12559" max="12559" width="14" style="373" bestFit="1" customWidth="1"/>
    <col min="12560" max="12560" width="14.85546875" style="373" bestFit="1" customWidth="1"/>
    <col min="12561" max="12561" width="14.7109375" style="373" bestFit="1" customWidth="1"/>
    <col min="12562" max="12800" width="12.5703125" style="373"/>
    <col min="12801" max="12801" width="17.5703125" style="373" bestFit="1" customWidth="1"/>
    <col min="12802" max="12802" width="9.42578125" style="373" bestFit="1" customWidth="1"/>
    <col min="12803" max="12803" width="11.42578125" style="373" bestFit="1" customWidth="1"/>
    <col min="12804" max="12804" width="19.85546875" style="373" customWidth="1"/>
    <col min="12805" max="12805" width="15.42578125" style="373" bestFit="1" customWidth="1"/>
    <col min="12806" max="12806" width="14.7109375" style="373" bestFit="1" customWidth="1"/>
    <col min="12807" max="12808" width="14.85546875" style="373" bestFit="1" customWidth="1"/>
    <col min="12809" max="12809" width="14.140625" style="373" bestFit="1" customWidth="1"/>
    <col min="12810" max="12810" width="14.85546875" style="373" bestFit="1" customWidth="1"/>
    <col min="12811" max="12811" width="15.140625" style="373" bestFit="1" customWidth="1"/>
    <col min="12812" max="12812" width="14.7109375" style="373" bestFit="1" customWidth="1"/>
    <col min="12813" max="12813" width="15.5703125" style="373" bestFit="1" customWidth="1"/>
    <col min="12814" max="12814" width="14.85546875" style="373" bestFit="1" customWidth="1"/>
    <col min="12815" max="12815" width="14" style="373" bestFit="1" customWidth="1"/>
    <col min="12816" max="12816" width="14.85546875" style="373" bestFit="1" customWidth="1"/>
    <col min="12817" max="12817" width="14.7109375" style="373" bestFit="1" customWidth="1"/>
    <col min="12818" max="13056" width="12.5703125" style="373"/>
    <col min="13057" max="13057" width="17.5703125" style="373" bestFit="1" customWidth="1"/>
    <col min="13058" max="13058" width="9.42578125" style="373" bestFit="1" customWidth="1"/>
    <col min="13059" max="13059" width="11.42578125" style="373" bestFit="1" customWidth="1"/>
    <col min="13060" max="13060" width="19.85546875" style="373" customWidth="1"/>
    <col min="13061" max="13061" width="15.42578125" style="373" bestFit="1" customWidth="1"/>
    <col min="13062" max="13062" width="14.7109375" style="373" bestFit="1" customWidth="1"/>
    <col min="13063" max="13064" width="14.85546875" style="373" bestFit="1" customWidth="1"/>
    <col min="13065" max="13065" width="14.140625" style="373" bestFit="1" customWidth="1"/>
    <col min="13066" max="13066" width="14.85546875" style="373" bestFit="1" customWidth="1"/>
    <col min="13067" max="13067" width="15.140625" style="373" bestFit="1" customWidth="1"/>
    <col min="13068" max="13068" width="14.7109375" style="373" bestFit="1" customWidth="1"/>
    <col min="13069" max="13069" width="15.5703125" style="373" bestFit="1" customWidth="1"/>
    <col min="13070" max="13070" width="14.85546875" style="373" bestFit="1" customWidth="1"/>
    <col min="13071" max="13071" width="14" style="373" bestFit="1" customWidth="1"/>
    <col min="13072" max="13072" width="14.85546875" style="373" bestFit="1" customWidth="1"/>
    <col min="13073" max="13073" width="14.7109375" style="373" bestFit="1" customWidth="1"/>
    <col min="13074" max="13312" width="12.5703125" style="373"/>
    <col min="13313" max="13313" width="17.5703125" style="373" bestFit="1" customWidth="1"/>
    <col min="13314" max="13314" width="9.42578125" style="373" bestFit="1" customWidth="1"/>
    <col min="13315" max="13315" width="11.42578125" style="373" bestFit="1" customWidth="1"/>
    <col min="13316" max="13316" width="19.85546875" style="373" customWidth="1"/>
    <col min="13317" max="13317" width="15.42578125" style="373" bestFit="1" customWidth="1"/>
    <col min="13318" max="13318" width="14.7109375" style="373" bestFit="1" customWidth="1"/>
    <col min="13319" max="13320" width="14.85546875" style="373" bestFit="1" customWidth="1"/>
    <col min="13321" max="13321" width="14.140625" style="373" bestFit="1" customWidth="1"/>
    <col min="13322" max="13322" width="14.85546875" style="373" bestFit="1" customWidth="1"/>
    <col min="13323" max="13323" width="15.140625" style="373" bestFit="1" customWidth="1"/>
    <col min="13324" max="13324" width="14.7109375" style="373" bestFit="1" customWidth="1"/>
    <col min="13325" max="13325" width="15.5703125" style="373" bestFit="1" customWidth="1"/>
    <col min="13326" max="13326" width="14.85546875" style="373" bestFit="1" customWidth="1"/>
    <col min="13327" max="13327" width="14" style="373" bestFit="1" customWidth="1"/>
    <col min="13328" max="13328" width="14.85546875" style="373" bestFit="1" customWidth="1"/>
    <col min="13329" max="13329" width="14.7109375" style="373" bestFit="1" customWidth="1"/>
    <col min="13330" max="13568" width="12.5703125" style="373"/>
    <col min="13569" max="13569" width="17.5703125" style="373" bestFit="1" customWidth="1"/>
    <col min="13570" max="13570" width="9.42578125" style="373" bestFit="1" customWidth="1"/>
    <col min="13571" max="13571" width="11.42578125" style="373" bestFit="1" customWidth="1"/>
    <col min="13572" max="13572" width="19.85546875" style="373" customWidth="1"/>
    <col min="13573" max="13573" width="15.42578125" style="373" bestFit="1" customWidth="1"/>
    <col min="13574" max="13574" width="14.7109375" style="373" bestFit="1" customWidth="1"/>
    <col min="13575" max="13576" width="14.85546875" style="373" bestFit="1" customWidth="1"/>
    <col min="13577" max="13577" width="14.140625" style="373" bestFit="1" customWidth="1"/>
    <col min="13578" max="13578" width="14.85546875" style="373" bestFit="1" customWidth="1"/>
    <col min="13579" max="13579" width="15.140625" style="373" bestFit="1" customWidth="1"/>
    <col min="13580" max="13580" width="14.7109375" style="373" bestFit="1" customWidth="1"/>
    <col min="13581" max="13581" width="15.5703125" style="373" bestFit="1" customWidth="1"/>
    <col min="13582" max="13582" width="14.85546875" style="373" bestFit="1" customWidth="1"/>
    <col min="13583" max="13583" width="14" style="373" bestFit="1" customWidth="1"/>
    <col min="13584" max="13584" width="14.85546875" style="373" bestFit="1" customWidth="1"/>
    <col min="13585" max="13585" width="14.7109375" style="373" bestFit="1" customWidth="1"/>
    <col min="13586" max="13824" width="12.5703125" style="373"/>
    <col min="13825" max="13825" width="17.5703125" style="373" bestFit="1" customWidth="1"/>
    <col min="13826" max="13826" width="9.42578125" style="373" bestFit="1" customWidth="1"/>
    <col min="13827" max="13827" width="11.42578125" style="373" bestFit="1" customWidth="1"/>
    <col min="13828" max="13828" width="19.85546875" style="373" customWidth="1"/>
    <col min="13829" max="13829" width="15.42578125" style="373" bestFit="1" customWidth="1"/>
    <col min="13830" max="13830" width="14.7109375" style="373" bestFit="1" customWidth="1"/>
    <col min="13831" max="13832" width="14.85546875" style="373" bestFit="1" customWidth="1"/>
    <col min="13833" max="13833" width="14.140625" style="373" bestFit="1" customWidth="1"/>
    <col min="13834" max="13834" width="14.85546875" style="373" bestFit="1" customWidth="1"/>
    <col min="13835" max="13835" width="15.140625" style="373" bestFit="1" customWidth="1"/>
    <col min="13836" max="13836" width="14.7109375" style="373" bestFit="1" customWidth="1"/>
    <col min="13837" max="13837" width="15.5703125" style="373" bestFit="1" customWidth="1"/>
    <col min="13838" max="13838" width="14.85546875" style="373" bestFit="1" customWidth="1"/>
    <col min="13839" max="13839" width="14" style="373" bestFit="1" customWidth="1"/>
    <col min="13840" max="13840" width="14.85546875" style="373" bestFit="1" customWidth="1"/>
    <col min="13841" max="13841" width="14.7109375" style="373" bestFit="1" customWidth="1"/>
    <col min="13842" max="14080" width="12.5703125" style="373"/>
    <col min="14081" max="14081" width="17.5703125" style="373" bestFit="1" customWidth="1"/>
    <col min="14082" max="14082" width="9.42578125" style="373" bestFit="1" customWidth="1"/>
    <col min="14083" max="14083" width="11.42578125" style="373" bestFit="1" customWidth="1"/>
    <col min="14084" max="14084" width="19.85546875" style="373" customWidth="1"/>
    <col min="14085" max="14085" width="15.42578125" style="373" bestFit="1" customWidth="1"/>
    <col min="14086" max="14086" width="14.7109375" style="373" bestFit="1" customWidth="1"/>
    <col min="14087" max="14088" width="14.85546875" style="373" bestFit="1" customWidth="1"/>
    <col min="14089" max="14089" width="14.140625" style="373" bestFit="1" customWidth="1"/>
    <col min="14090" max="14090" width="14.85546875" style="373" bestFit="1" customWidth="1"/>
    <col min="14091" max="14091" width="15.140625" style="373" bestFit="1" customWidth="1"/>
    <col min="14092" max="14092" width="14.7109375" style="373" bestFit="1" customWidth="1"/>
    <col min="14093" max="14093" width="15.5703125" style="373" bestFit="1" customWidth="1"/>
    <col min="14094" max="14094" width="14.85546875" style="373" bestFit="1" customWidth="1"/>
    <col min="14095" max="14095" width="14" style="373" bestFit="1" customWidth="1"/>
    <col min="14096" max="14096" width="14.85546875" style="373" bestFit="1" customWidth="1"/>
    <col min="14097" max="14097" width="14.7109375" style="373" bestFit="1" customWidth="1"/>
    <col min="14098" max="14336" width="12.5703125" style="373"/>
    <col min="14337" max="14337" width="17.5703125" style="373" bestFit="1" customWidth="1"/>
    <col min="14338" max="14338" width="9.42578125" style="373" bestFit="1" customWidth="1"/>
    <col min="14339" max="14339" width="11.42578125" style="373" bestFit="1" customWidth="1"/>
    <col min="14340" max="14340" width="19.85546875" style="373" customWidth="1"/>
    <col min="14341" max="14341" width="15.42578125" style="373" bestFit="1" customWidth="1"/>
    <col min="14342" max="14342" width="14.7109375" style="373" bestFit="1" customWidth="1"/>
    <col min="14343" max="14344" width="14.85546875" style="373" bestFit="1" customWidth="1"/>
    <col min="14345" max="14345" width="14.140625" style="373" bestFit="1" customWidth="1"/>
    <col min="14346" max="14346" width="14.85546875" style="373" bestFit="1" customWidth="1"/>
    <col min="14347" max="14347" width="15.140625" style="373" bestFit="1" customWidth="1"/>
    <col min="14348" max="14348" width="14.7109375" style="373" bestFit="1" customWidth="1"/>
    <col min="14349" max="14349" width="15.5703125" style="373" bestFit="1" customWidth="1"/>
    <col min="14350" max="14350" width="14.85546875" style="373" bestFit="1" customWidth="1"/>
    <col min="14351" max="14351" width="14" style="373" bestFit="1" customWidth="1"/>
    <col min="14352" max="14352" width="14.85546875" style="373" bestFit="1" customWidth="1"/>
    <col min="14353" max="14353" width="14.7109375" style="373" bestFit="1" customWidth="1"/>
    <col min="14354" max="14592" width="12.5703125" style="373"/>
    <col min="14593" max="14593" width="17.5703125" style="373" bestFit="1" customWidth="1"/>
    <col min="14594" max="14594" width="9.42578125" style="373" bestFit="1" customWidth="1"/>
    <col min="14595" max="14595" width="11.42578125" style="373" bestFit="1" customWidth="1"/>
    <col min="14596" max="14596" width="19.85546875" style="373" customWidth="1"/>
    <col min="14597" max="14597" width="15.42578125" style="373" bestFit="1" customWidth="1"/>
    <col min="14598" max="14598" width="14.7109375" style="373" bestFit="1" customWidth="1"/>
    <col min="14599" max="14600" width="14.85546875" style="373" bestFit="1" customWidth="1"/>
    <col min="14601" max="14601" width="14.140625" style="373" bestFit="1" customWidth="1"/>
    <col min="14602" max="14602" width="14.85546875" style="373" bestFit="1" customWidth="1"/>
    <col min="14603" max="14603" width="15.140625" style="373" bestFit="1" customWidth="1"/>
    <col min="14604" max="14604" width="14.7109375" style="373" bestFit="1" customWidth="1"/>
    <col min="14605" max="14605" width="15.5703125" style="373" bestFit="1" customWidth="1"/>
    <col min="14606" max="14606" width="14.85546875" style="373" bestFit="1" customWidth="1"/>
    <col min="14607" max="14607" width="14" style="373" bestFit="1" customWidth="1"/>
    <col min="14608" max="14608" width="14.85546875" style="373" bestFit="1" customWidth="1"/>
    <col min="14609" max="14609" width="14.7109375" style="373" bestFit="1" customWidth="1"/>
    <col min="14610" max="14848" width="12.5703125" style="373"/>
    <col min="14849" max="14849" width="17.5703125" style="373" bestFit="1" customWidth="1"/>
    <col min="14850" max="14850" width="9.42578125" style="373" bestFit="1" customWidth="1"/>
    <col min="14851" max="14851" width="11.42578125" style="373" bestFit="1" customWidth="1"/>
    <col min="14852" max="14852" width="19.85546875" style="373" customWidth="1"/>
    <col min="14853" max="14853" width="15.42578125" style="373" bestFit="1" customWidth="1"/>
    <col min="14854" max="14854" width="14.7109375" style="373" bestFit="1" customWidth="1"/>
    <col min="14855" max="14856" width="14.85546875" style="373" bestFit="1" customWidth="1"/>
    <col min="14857" max="14857" width="14.140625" style="373" bestFit="1" customWidth="1"/>
    <col min="14858" max="14858" width="14.85546875" style="373" bestFit="1" customWidth="1"/>
    <col min="14859" max="14859" width="15.140625" style="373" bestFit="1" customWidth="1"/>
    <col min="14860" max="14860" width="14.7109375" style="373" bestFit="1" customWidth="1"/>
    <col min="14861" max="14861" width="15.5703125" style="373" bestFit="1" customWidth="1"/>
    <col min="14862" max="14862" width="14.85546875" style="373" bestFit="1" customWidth="1"/>
    <col min="14863" max="14863" width="14" style="373" bestFit="1" customWidth="1"/>
    <col min="14864" max="14864" width="14.85546875" style="373" bestFit="1" customWidth="1"/>
    <col min="14865" max="14865" width="14.7109375" style="373" bestFit="1" customWidth="1"/>
    <col min="14866" max="15104" width="12.5703125" style="373"/>
    <col min="15105" max="15105" width="17.5703125" style="373" bestFit="1" customWidth="1"/>
    <col min="15106" max="15106" width="9.42578125" style="373" bestFit="1" customWidth="1"/>
    <col min="15107" max="15107" width="11.42578125" style="373" bestFit="1" customWidth="1"/>
    <col min="15108" max="15108" width="19.85546875" style="373" customWidth="1"/>
    <col min="15109" max="15109" width="15.42578125" style="373" bestFit="1" customWidth="1"/>
    <col min="15110" max="15110" width="14.7109375" style="373" bestFit="1" customWidth="1"/>
    <col min="15111" max="15112" width="14.85546875" style="373" bestFit="1" customWidth="1"/>
    <col min="15113" max="15113" width="14.140625" style="373" bestFit="1" customWidth="1"/>
    <col min="15114" max="15114" width="14.85546875" style="373" bestFit="1" customWidth="1"/>
    <col min="15115" max="15115" width="15.140625" style="373" bestFit="1" customWidth="1"/>
    <col min="15116" max="15116" width="14.7109375" style="373" bestFit="1" customWidth="1"/>
    <col min="15117" max="15117" width="15.5703125" style="373" bestFit="1" customWidth="1"/>
    <col min="15118" max="15118" width="14.85546875" style="373" bestFit="1" customWidth="1"/>
    <col min="15119" max="15119" width="14" style="373" bestFit="1" customWidth="1"/>
    <col min="15120" max="15120" width="14.85546875" style="373" bestFit="1" customWidth="1"/>
    <col min="15121" max="15121" width="14.7109375" style="373" bestFit="1" customWidth="1"/>
    <col min="15122" max="15360" width="12.5703125" style="373"/>
    <col min="15361" max="15361" width="17.5703125" style="373" bestFit="1" customWidth="1"/>
    <col min="15362" max="15362" width="9.42578125" style="373" bestFit="1" customWidth="1"/>
    <col min="15363" max="15363" width="11.42578125" style="373" bestFit="1" customWidth="1"/>
    <col min="15364" max="15364" width="19.85546875" style="373" customWidth="1"/>
    <col min="15365" max="15365" width="15.42578125" style="373" bestFit="1" customWidth="1"/>
    <col min="15366" max="15366" width="14.7109375" style="373" bestFit="1" customWidth="1"/>
    <col min="15367" max="15368" width="14.85546875" style="373" bestFit="1" customWidth="1"/>
    <col min="15369" max="15369" width="14.140625" style="373" bestFit="1" customWidth="1"/>
    <col min="15370" max="15370" width="14.85546875" style="373" bestFit="1" customWidth="1"/>
    <col min="15371" max="15371" width="15.140625" style="373" bestFit="1" customWidth="1"/>
    <col min="15372" max="15372" width="14.7109375" style="373" bestFit="1" customWidth="1"/>
    <col min="15373" max="15373" width="15.5703125" style="373" bestFit="1" customWidth="1"/>
    <col min="15374" max="15374" width="14.85546875" style="373" bestFit="1" customWidth="1"/>
    <col min="15375" max="15375" width="14" style="373" bestFit="1" customWidth="1"/>
    <col min="15376" max="15376" width="14.85546875" style="373" bestFit="1" customWidth="1"/>
    <col min="15377" max="15377" width="14.7109375" style="373" bestFit="1" customWidth="1"/>
    <col min="15378" max="15616" width="12.5703125" style="373"/>
    <col min="15617" max="15617" width="17.5703125" style="373" bestFit="1" customWidth="1"/>
    <col min="15618" max="15618" width="9.42578125" style="373" bestFit="1" customWidth="1"/>
    <col min="15619" max="15619" width="11.42578125" style="373" bestFit="1" customWidth="1"/>
    <col min="15620" max="15620" width="19.85546875" style="373" customWidth="1"/>
    <col min="15621" max="15621" width="15.42578125" style="373" bestFit="1" customWidth="1"/>
    <col min="15622" max="15622" width="14.7109375" style="373" bestFit="1" customWidth="1"/>
    <col min="15623" max="15624" width="14.85546875" style="373" bestFit="1" customWidth="1"/>
    <col min="15625" max="15625" width="14.140625" style="373" bestFit="1" customWidth="1"/>
    <col min="15626" max="15626" width="14.85546875" style="373" bestFit="1" customWidth="1"/>
    <col min="15627" max="15627" width="15.140625" style="373" bestFit="1" customWidth="1"/>
    <col min="15628" max="15628" width="14.7109375" style="373" bestFit="1" customWidth="1"/>
    <col min="15629" max="15629" width="15.5703125" style="373" bestFit="1" customWidth="1"/>
    <col min="15630" max="15630" width="14.85546875" style="373" bestFit="1" customWidth="1"/>
    <col min="15631" max="15631" width="14" style="373" bestFit="1" customWidth="1"/>
    <col min="15632" max="15632" width="14.85546875" style="373" bestFit="1" customWidth="1"/>
    <col min="15633" max="15633" width="14.7109375" style="373" bestFit="1" customWidth="1"/>
    <col min="15634" max="15872" width="12.5703125" style="373"/>
    <col min="15873" max="15873" width="17.5703125" style="373" bestFit="1" customWidth="1"/>
    <col min="15874" max="15874" width="9.42578125" style="373" bestFit="1" customWidth="1"/>
    <col min="15875" max="15875" width="11.42578125" style="373" bestFit="1" customWidth="1"/>
    <col min="15876" max="15876" width="19.85546875" style="373" customWidth="1"/>
    <col min="15877" max="15877" width="15.42578125" style="373" bestFit="1" customWidth="1"/>
    <col min="15878" max="15878" width="14.7109375" style="373" bestFit="1" customWidth="1"/>
    <col min="15879" max="15880" width="14.85546875" style="373" bestFit="1" customWidth="1"/>
    <col min="15881" max="15881" width="14.140625" style="373" bestFit="1" customWidth="1"/>
    <col min="15882" max="15882" width="14.85546875" style="373" bestFit="1" customWidth="1"/>
    <col min="15883" max="15883" width="15.140625" style="373" bestFit="1" customWidth="1"/>
    <col min="15884" max="15884" width="14.7109375" style="373" bestFit="1" customWidth="1"/>
    <col min="15885" max="15885" width="15.5703125" style="373" bestFit="1" customWidth="1"/>
    <col min="15886" max="15886" width="14.85546875" style="373" bestFit="1" customWidth="1"/>
    <col min="15887" max="15887" width="14" style="373" bestFit="1" customWidth="1"/>
    <col min="15888" max="15888" width="14.85546875" style="373" bestFit="1" customWidth="1"/>
    <col min="15889" max="15889" width="14.7109375" style="373" bestFit="1" customWidth="1"/>
    <col min="15890" max="16128" width="12.5703125" style="373"/>
    <col min="16129" max="16129" width="17.5703125" style="373" bestFit="1" customWidth="1"/>
    <col min="16130" max="16130" width="9.42578125" style="373" bestFit="1" customWidth="1"/>
    <col min="16131" max="16131" width="11.42578125" style="373" bestFit="1" customWidth="1"/>
    <col min="16132" max="16132" width="19.85546875" style="373" customWidth="1"/>
    <col min="16133" max="16133" width="15.42578125" style="373" bestFit="1" customWidth="1"/>
    <col min="16134" max="16134" width="14.7109375" style="373" bestFit="1" customWidth="1"/>
    <col min="16135" max="16136" width="14.85546875" style="373" bestFit="1" customWidth="1"/>
    <col min="16137" max="16137" width="14.140625" style="373" bestFit="1" customWidth="1"/>
    <col min="16138" max="16138" width="14.85546875" style="373" bestFit="1" customWidth="1"/>
    <col min="16139" max="16139" width="15.140625" style="373" bestFit="1" customWidth="1"/>
    <col min="16140" max="16140" width="14.7109375" style="373" bestFit="1" customWidth="1"/>
    <col min="16141" max="16141" width="15.5703125" style="373" bestFit="1" customWidth="1"/>
    <col min="16142" max="16142" width="14.85546875" style="373" bestFit="1" customWidth="1"/>
    <col min="16143" max="16143" width="14" style="373" bestFit="1" customWidth="1"/>
    <col min="16144" max="16144" width="14.85546875" style="373" bestFit="1" customWidth="1"/>
    <col min="16145" max="16145" width="14.7109375" style="373" bestFit="1" customWidth="1"/>
    <col min="16146" max="16384" width="12.5703125" style="373"/>
  </cols>
  <sheetData>
    <row r="1" spans="1:19" s="328" customFormat="1">
      <c r="A1" s="363"/>
      <c r="B1" s="363"/>
      <c r="C1" s="363"/>
      <c r="D1" s="364"/>
      <c r="E1" s="363" t="s">
        <v>255</v>
      </c>
      <c r="F1" s="363" t="s">
        <v>256</v>
      </c>
      <c r="G1" s="363" t="s">
        <v>257</v>
      </c>
      <c r="H1" s="363" t="s">
        <v>258</v>
      </c>
      <c r="I1" s="363" t="s">
        <v>259</v>
      </c>
      <c r="J1" s="363" t="s">
        <v>260</v>
      </c>
      <c r="K1" s="363" t="s">
        <v>261</v>
      </c>
      <c r="L1" s="363" t="s">
        <v>262</v>
      </c>
      <c r="M1" s="363" t="s">
        <v>263</v>
      </c>
      <c r="N1" s="363" t="s">
        <v>264</v>
      </c>
      <c r="O1" s="363" t="s">
        <v>265</v>
      </c>
      <c r="P1" s="363" t="s">
        <v>266</v>
      </c>
      <c r="Q1" s="363" t="s">
        <v>267</v>
      </c>
    </row>
    <row r="2" spans="1:19" s="368" customFormat="1" ht="37.5" customHeight="1" thickBot="1">
      <c r="A2" s="365" t="s">
        <v>268</v>
      </c>
      <c r="B2" s="365" t="s">
        <v>269</v>
      </c>
      <c r="C2" s="365" t="s">
        <v>270</v>
      </c>
      <c r="D2" s="366" t="s">
        <v>271</v>
      </c>
      <c r="E2" s="367" t="s">
        <v>272</v>
      </c>
      <c r="F2" s="367" t="s">
        <v>272</v>
      </c>
      <c r="G2" s="367" t="s">
        <v>272</v>
      </c>
      <c r="H2" s="367" t="s">
        <v>272</v>
      </c>
      <c r="I2" s="367" t="s">
        <v>272</v>
      </c>
      <c r="J2" s="367" t="s">
        <v>272</v>
      </c>
      <c r="K2" s="367" t="s">
        <v>272</v>
      </c>
      <c r="L2" s="367" t="s">
        <v>272</v>
      </c>
      <c r="M2" s="367" t="s">
        <v>272</v>
      </c>
      <c r="N2" s="367" t="s">
        <v>272</v>
      </c>
      <c r="O2" s="367" t="s">
        <v>272</v>
      </c>
      <c r="P2" s="367" t="s">
        <v>272</v>
      </c>
      <c r="Q2" s="367" t="s">
        <v>272</v>
      </c>
    </row>
    <row r="3" spans="1:19" ht="12.75" customHeight="1">
      <c r="A3" s="369" t="s">
        <v>273</v>
      </c>
      <c r="B3" s="369" t="s">
        <v>274</v>
      </c>
      <c r="C3" s="369" t="s">
        <v>275</v>
      </c>
      <c r="D3" s="370">
        <f t="shared" ref="D3:D8" si="0">(((E3+Q3)/2)+F3+G3+H3+I3+J3+K3+L3+M3+N3+O3+P3)/12</f>
        <v>-7625605.4658333333</v>
      </c>
      <c r="E3" s="371">
        <v>-7534344.6600000001</v>
      </c>
      <c r="F3" s="371">
        <v>-7541293.7400000002</v>
      </c>
      <c r="G3" s="371">
        <v>-7543679.79</v>
      </c>
      <c r="H3" s="371">
        <v>-7556839.3700000001</v>
      </c>
      <c r="I3" s="371">
        <v>-7559779.75</v>
      </c>
      <c r="J3" s="371">
        <v>-7570365.9400000004</v>
      </c>
      <c r="K3" s="371">
        <v>-7628522.4500000002</v>
      </c>
      <c r="L3" s="371">
        <v>-7636118.0800000001</v>
      </c>
      <c r="M3" s="371">
        <v>-7646930.2999999998</v>
      </c>
      <c r="N3" s="371">
        <v>-7703788.6699999999</v>
      </c>
      <c r="O3" s="371">
        <v>-7719918.71</v>
      </c>
      <c r="P3" s="371">
        <v>-7735586.9000000004</v>
      </c>
      <c r="Q3" s="371">
        <v>-7794539.1200000001</v>
      </c>
      <c r="R3" s="372"/>
      <c r="S3" s="372"/>
    </row>
    <row r="4" spans="1:19">
      <c r="A4" s="369"/>
      <c r="B4" s="369" t="s">
        <v>276</v>
      </c>
      <c r="C4" s="369" t="s">
        <v>27</v>
      </c>
      <c r="D4" s="370">
        <f t="shared" si="0"/>
        <v>2136208.2062500003</v>
      </c>
      <c r="E4" s="371">
        <v>2107831.5499999998</v>
      </c>
      <c r="F4" s="371">
        <v>2111998.42</v>
      </c>
      <c r="G4" s="371">
        <v>2126274.91</v>
      </c>
      <c r="H4" s="371">
        <v>2131294.21</v>
      </c>
      <c r="I4" s="371">
        <v>2131294.21</v>
      </c>
      <c r="J4" s="371">
        <v>2133152.0499999998</v>
      </c>
      <c r="K4" s="371">
        <v>2134860.5699999998</v>
      </c>
      <c r="L4" s="371">
        <v>2142456.2000000002</v>
      </c>
      <c r="M4" s="371">
        <v>2146113.5299999998</v>
      </c>
      <c r="N4" s="371">
        <v>2146736.41</v>
      </c>
      <c r="O4" s="371">
        <v>2148798.5</v>
      </c>
      <c r="P4" s="371">
        <v>2149837.27</v>
      </c>
      <c r="Q4" s="371">
        <v>2155532.84</v>
      </c>
      <c r="R4" s="372"/>
      <c r="S4" s="372"/>
    </row>
    <row r="5" spans="1:19">
      <c r="A5" s="369"/>
      <c r="B5" s="369">
        <v>228210</v>
      </c>
      <c r="C5" s="369" t="s">
        <v>144</v>
      </c>
      <c r="D5" s="374">
        <f t="shared" si="0"/>
        <v>5236494.05375</v>
      </c>
      <c r="E5" s="375">
        <v>5204313.1100000003</v>
      </c>
      <c r="F5" s="375">
        <v>5207095.32</v>
      </c>
      <c r="G5" s="375">
        <v>5220204.88</v>
      </c>
      <c r="H5" s="375">
        <v>5228345.16</v>
      </c>
      <c r="I5" s="375">
        <v>5231285.54</v>
      </c>
      <c r="J5" s="375">
        <v>5237225.42</v>
      </c>
      <c r="K5" s="375">
        <v>5238461.88</v>
      </c>
      <c r="L5" s="375">
        <v>5238461.88</v>
      </c>
      <c r="M5" s="375">
        <v>5245666.7699999996</v>
      </c>
      <c r="N5" s="375">
        <v>5251902.26</v>
      </c>
      <c r="O5" s="375">
        <v>5255920.21</v>
      </c>
      <c r="P5" s="375">
        <v>5253049.63</v>
      </c>
      <c r="Q5" s="375">
        <v>5256306.28</v>
      </c>
      <c r="R5" s="372"/>
      <c r="S5" s="372"/>
    </row>
    <row r="6" spans="1:19">
      <c r="A6" s="369" t="s">
        <v>277</v>
      </c>
      <c r="B6" s="369"/>
      <c r="C6" s="369"/>
      <c r="D6" s="370">
        <f t="shared" si="0"/>
        <v>-252903.20583333354</v>
      </c>
      <c r="E6" s="371">
        <f>SUM(E3:E5)</f>
        <v>-222200</v>
      </c>
      <c r="F6" s="371">
        <f t="shared" ref="F6:Q6" si="1">SUM(F3:F5)</f>
        <v>-222200</v>
      </c>
      <c r="G6" s="371">
        <f t="shared" si="1"/>
        <v>-197200</v>
      </c>
      <c r="H6" s="371">
        <f t="shared" si="1"/>
        <v>-197200</v>
      </c>
      <c r="I6" s="371">
        <f t="shared" si="1"/>
        <v>-197200</v>
      </c>
      <c r="J6" s="371">
        <f t="shared" si="1"/>
        <v>-199988.47000000067</v>
      </c>
      <c r="K6" s="371">
        <f t="shared" si="1"/>
        <v>-255200.00000000093</v>
      </c>
      <c r="L6" s="371">
        <f t="shared" si="1"/>
        <v>-255200</v>
      </c>
      <c r="M6" s="371">
        <f t="shared" si="1"/>
        <v>-255150</v>
      </c>
      <c r="N6" s="371">
        <f t="shared" si="1"/>
        <v>-305150</v>
      </c>
      <c r="O6" s="371">
        <f t="shared" si="1"/>
        <v>-315200</v>
      </c>
      <c r="P6" s="371">
        <f t="shared" si="1"/>
        <v>-332700.00000000093</v>
      </c>
      <c r="Q6" s="371">
        <f t="shared" si="1"/>
        <v>-382700</v>
      </c>
      <c r="R6" s="372"/>
      <c r="S6" s="372"/>
    </row>
    <row r="7" spans="1:19">
      <c r="A7" s="369" t="s">
        <v>278</v>
      </c>
      <c r="B7" s="369"/>
      <c r="C7" s="369"/>
      <c r="D7" s="376">
        <f t="shared" si="0"/>
        <v>0.65097000000000005</v>
      </c>
      <c r="E7" s="377">
        <v>0.65097000000000005</v>
      </c>
      <c r="F7" s="377">
        <v>0.65097000000000005</v>
      </c>
      <c r="G7" s="377">
        <v>0.65097000000000005</v>
      </c>
      <c r="H7" s="377">
        <v>0.65097000000000005</v>
      </c>
      <c r="I7" s="377">
        <v>0.65097000000000005</v>
      </c>
      <c r="J7" s="377">
        <v>0.65097000000000005</v>
      </c>
      <c r="K7" s="377">
        <v>0.65097000000000005</v>
      </c>
      <c r="L7" s="377">
        <v>0.65097000000000005</v>
      </c>
      <c r="M7" s="377">
        <v>0.65097000000000005</v>
      </c>
      <c r="N7" s="377">
        <v>0.65097000000000005</v>
      </c>
      <c r="O7" s="377">
        <v>0.65097000000000005</v>
      </c>
      <c r="P7" s="377">
        <v>0.65097000000000005</v>
      </c>
      <c r="Q7" s="377">
        <v>0.65097000000000005</v>
      </c>
      <c r="R7" s="372"/>
      <c r="S7" s="372"/>
    </row>
    <row r="8" spans="1:19" ht="13.5" thickBot="1">
      <c r="A8" s="369" t="s">
        <v>279</v>
      </c>
      <c r="B8" s="369"/>
      <c r="C8" s="369"/>
      <c r="D8" s="378">
        <f t="shared" si="0"/>
        <v>-164632.39990132512</v>
      </c>
      <c r="E8" s="379">
        <f>E6*E7</f>
        <v>-144645.53400000001</v>
      </c>
      <c r="F8" s="379">
        <f t="shared" ref="F8:Q8" si="2">F6*F7</f>
        <v>-144645.53400000001</v>
      </c>
      <c r="G8" s="379">
        <f t="shared" si="2"/>
        <v>-128371.28400000001</v>
      </c>
      <c r="H8" s="379">
        <f t="shared" si="2"/>
        <v>-128371.28400000001</v>
      </c>
      <c r="I8" s="379">
        <f t="shared" si="2"/>
        <v>-128371.28400000001</v>
      </c>
      <c r="J8" s="379">
        <f t="shared" si="2"/>
        <v>-130186.49431590045</v>
      </c>
      <c r="K8" s="379">
        <f t="shared" si="2"/>
        <v>-166127.54400000061</v>
      </c>
      <c r="L8" s="379">
        <f t="shared" si="2"/>
        <v>-166127.54400000002</v>
      </c>
      <c r="M8" s="379">
        <f t="shared" si="2"/>
        <v>-166094.99550000002</v>
      </c>
      <c r="N8" s="379">
        <f t="shared" si="2"/>
        <v>-198643.49550000002</v>
      </c>
      <c r="O8" s="379">
        <f t="shared" si="2"/>
        <v>-205185.74400000001</v>
      </c>
      <c r="P8" s="379">
        <f t="shared" si="2"/>
        <v>-216577.71900000062</v>
      </c>
      <c r="Q8" s="379">
        <f t="shared" si="2"/>
        <v>-249126.21900000001</v>
      </c>
      <c r="R8" s="372"/>
      <c r="S8" s="372"/>
    </row>
    <row r="9" spans="1:19">
      <c r="A9" s="369"/>
      <c r="B9" s="369"/>
      <c r="C9" s="369"/>
      <c r="D9" s="370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2"/>
      <c r="S9" s="372"/>
    </row>
    <row r="10" spans="1:19">
      <c r="A10" s="369"/>
      <c r="B10" s="369"/>
      <c r="C10" s="369"/>
      <c r="D10" s="370"/>
      <c r="E10" s="371"/>
      <c r="F10" s="371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2"/>
      <c r="S10" s="372"/>
    </row>
    <row r="11" spans="1:19">
      <c r="A11" s="369"/>
      <c r="B11" s="369"/>
      <c r="C11" s="369"/>
      <c r="D11" s="370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2"/>
      <c r="S11" s="372"/>
    </row>
    <row r="12" spans="1:19">
      <c r="A12" s="369"/>
      <c r="B12" s="369"/>
      <c r="C12" s="369"/>
      <c r="D12" s="370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2"/>
      <c r="S12" s="372"/>
    </row>
    <row r="13" spans="1:19">
      <c r="A13" s="369" t="s">
        <v>280</v>
      </c>
      <c r="B13" s="369" t="s">
        <v>274</v>
      </c>
      <c r="C13" s="369" t="s">
        <v>275</v>
      </c>
      <c r="D13" s="370">
        <f t="shared" ref="D13:D18" si="3">(((E13+Q13)/2)+F13+G13+H13+I13+J13+K13+L13+M13+N13+O13+P13)/12</f>
        <v>-1215878.3683333334</v>
      </c>
      <c r="E13" s="371">
        <v>-1107174.6599999999</v>
      </c>
      <c r="F13" s="371">
        <v>-1108256.6000000001</v>
      </c>
      <c r="G13" s="371">
        <v>-1146430.53</v>
      </c>
      <c r="H13" s="371">
        <v>-1202233.1100000001</v>
      </c>
      <c r="I13" s="371">
        <v>-1202233.1100000001</v>
      </c>
      <c r="J13" s="371">
        <v>-1210355.22</v>
      </c>
      <c r="K13" s="371">
        <v>-1242832.51</v>
      </c>
      <c r="L13" s="371">
        <v>-1247669.92</v>
      </c>
      <c r="M13" s="371">
        <v>-1248876.05</v>
      </c>
      <c r="N13" s="371">
        <v>-1250150.6000000001</v>
      </c>
      <c r="O13" s="371">
        <v>-1251693.94</v>
      </c>
      <c r="P13" s="371">
        <v>-1283119.81</v>
      </c>
      <c r="Q13" s="371">
        <v>-1286203.3799999999</v>
      </c>
      <c r="R13" s="372"/>
      <c r="S13" s="372"/>
    </row>
    <row r="14" spans="1:19">
      <c r="A14" s="369"/>
      <c r="B14" s="369">
        <v>228210</v>
      </c>
      <c r="C14" s="369" t="s">
        <v>27</v>
      </c>
      <c r="D14" s="370">
        <f t="shared" si="3"/>
        <v>548473.49791666667</v>
      </c>
      <c r="E14" s="371">
        <v>446636.35</v>
      </c>
      <c r="F14" s="371">
        <v>447497.02</v>
      </c>
      <c r="G14" s="371">
        <v>485349.77</v>
      </c>
      <c r="H14" s="371">
        <v>541065.47</v>
      </c>
      <c r="I14" s="371">
        <v>541065.47</v>
      </c>
      <c r="J14" s="371">
        <v>547808.18999999994</v>
      </c>
      <c r="K14" s="371">
        <v>579952.6</v>
      </c>
      <c r="L14" s="371">
        <v>583479.23</v>
      </c>
      <c r="M14" s="371">
        <v>583915.42000000004</v>
      </c>
      <c r="N14" s="371">
        <v>584715.42000000004</v>
      </c>
      <c r="O14" s="371">
        <v>585083.75</v>
      </c>
      <c r="P14" s="371">
        <v>585233.61</v>
      </c>
      <c r="Q14" s="371">
        <v>586395.69999999995</v>
      </c>
      <c r="R14" s="372"/>
      <c r="S14" s="372"/>
    </row>
    <row r="15" spans="1:19">
      <c r="A15" s="369"/>
      <c r="B15" s="369">
        <v>228210</v>
      </c>
      <c r="C15" s="369" t="s">
        <v>144</v>
      </c>
      <c r="D15" s="374">
        <f t="shared" si="3"/>
        <v>538340.62041666673</v>
      </c>
      <c r="E15" s="375">
        <v>534908.31000000006</v>
      </c>
      <c r="F15" s="375">
        <v>535559.57999999996</v>
      </c>
      <c r="G15" s="375">
        <v>535880.76</v>
      </c>
      <c r="H15" s="375">
        <v>535967.64</v>
      </c>
      <c r="I15" s="375">
        <v>535967.64</v>
      </c>
      <c r="J15" s="375">
        <v>536191.03</v>
      </c>
      <c r="K15" s="375">
        <v>537679.91</v>
      </c>
      <c r="L15" s="375">
        <v>538990.68999999994</v>
      </c>
      <c r="M15" s="375">
        <v>539760.63</v>
      </c>
      <c r="N15" s="375">
        <v>540235.18000000005</v>
      </c>
      <c r="O15" s="375">
        <v>541410.18999999994</v>
      </c>
      <c r="P15" s="375">
        <v>542686.19999999995</v>
      </c>
      <c r="Q15" s="375">
        <v>544607.68000000005</v>
      </c>
      <c r="R15" s="372"/>
      <c r="S15" s="372"/>
    </row>
    <row r="16" spans="1:19">
      <c r="A16" s="373" t="s">
        <v>277</v>
      </c>
      <c r="D16" s="370">
        <f t="shared" si="3"/>
        <v>-129064.25000000004</v>
      </c>
      <c r="E16" s="372">
        <f>SUM(E13:E15)</f>
        <v>-125629.99999999988</v>
      </c>
      <c r="F16" s="372">
        <f t="shared" ref="F16:Q16" si="4">SUM(F13:F15)</f>
        <v>-125200.00000000012</v>
      </c>
      <c r="G16" s="372">
        <f t="shared" si="4"/>
        <v>-125200</v>
      </c>
      <c r="H16" s="372">
        <f t="shared" si="4"/>
        <v>-125200.00000000012</v>
      </c>
      <c r="I16" s="372">
        <f t="shared" si="4"/>
        <v>-125200.00000000012</v>
      </c>
      <c r="J16" s="372">
        <f t="shared" si="4"/>
        <v>-126356</v>
      </c>
      <c r="K16" s="372">
        <f t="shared" si="4"/>
        <v>-125200</v>
      </c>
      <c r="L16" s="372">
        <f t="shared" si="4"/>
        <v>-125200</v>
      </c>
      <c r="M16" s="372">
        <f t="shared" si="4"/>
        <v>-125200</v>
      </c>
      <c r="N16" s="372">
        <f t="shared" si="4"/>
        <v>-125200</v>
      </c>
      <c r="O16" s="372">
        <f t="shared" si="4"/>
        <v>-125200</v>
      </c>
      <c r="P16" s="372">
        <f t="shared" si="4"/>
        <v>-155200.00000000012</v>
      </c>
      <c r="Q16" s="372">
        <f t="shared" si="4"/>
        <v>-155199.99999999988</v>
      </c>
      <c r="R16" s="372"/>
      <c r="S16" s="372"/>
    </row>
    <row r="17" spans="1:19">
      <c r="A17" s="369" t="s">
        <v>278</v>
      </c>
      <c r="B17" s="369"/>
      <c r="C17" s="369"/>
      <c r="D17" s="376">
        <f t="shared" si="3"/>
        <v>0.67504999999999982</v>
      </c>
      <c r="E17" s="377">
        <v>0.67505000000000004</v>
      </c>
      <c r="F17" s="377">
        <v>0.67505000000000004</v>
      </c>
      <c r="G17" s="377">
        <v>0.67505000000000004</v>
      </c>
      <c r="H17" s="377">
        <v>0.67505000000000004</v>
      </c>
      <c r="I17" s="377">
        <v>0.67505000000000004</v>
      </c>
      <c r="J17" s="377">
        <v>0.67505000000000004</v>
      </c>
      <c r="K17" s="377">
        <v>0.67505000000000004</v>
      </c>
      <c r="L17" s="377">
        <v>0.67505000000000004</v>
      </c>
      <c r="M17" s="377">
        <v>0.67505000000000004</v>
      </c>
      <c r="N17" s="377">
        <v>0.67505000000000004</v>
      </c>
      <c r="O17" s="377">
        <v>0.67505000000000004</v>
      </c>
      <c r="P17" s="377">
        <v>0.67505000000000004</v>
      </c>
      <c r="Q17" s="377">
        <v>0.67505000000000004</v>
      </c>
      <c r="R17" s="372"/>
      <c r="S17" s="372"/>
    </row>
    <row r="18" spans="1:19" ht="13.5" thickBot="1">
      <c r="A18" s="369" t="s">
        <v>279</v>
      </c>
      <c r="D18" s="378">
        <f t="shared" si="3"/>
        <v>-87124.821962500035</v>
      </c>
      <c r="E18" s="380">
        <f>E16*E17</f>
        <v>-84806.531499999925</v>
      </c>
      <c r="F18" s="380">
        <f t="shared" ref="F18:Q18" si="5">F16*F17</f>
        <v>-84516.260000000082</v>
      </c>
      <c r="G18" s="380">
        <f t="shared" si="5"/>
        <v>-84516.260000000009</v>
      </c>
      <c r="H18" s="380">
        <f t="shared" si="5"/>
        <v>-84516.260000000082</v>
      </c>
      <c r="I18" s="380">
        <f t="shared" si="5"/>
        <v>-84516.260000000082</v>
      </c>
      <c r="J18" s="380">
        <f t="shared" si="5"/>
        <v>-85296.617800000007</v>
      </c>
      <c r="K18" s="380">
        <f t="shared" si="5"/>
        <v>-84516.260000000009</v>
      </c>
      <c r="L18" s="380">
        <f t="shared" si="5"/>
        <v>-84516.260000000009</v>
      </c>
      <c r="M18" s="380">
        <f t="shared" si="5"/>
        <v>-84516.260000000009</v>
      </c>
      <c r="N18" s="380">
        <f t="shared" si="5"/>
        <v>-84516.260000000009</v>
      </c>
      <c r="O18" s="380">
        <f t="shared" si="5"/>
        <v>-84516.260000000009</v>
      </c>
      <c r="P18" s="380">
        <f t="shared" si="5"/>
        <v>-104767.76000000008</v>
      </c>
      <c r="Q18" s="380">
        <f t="shared" si="5"/>
        <v>-104767.75999999992</v>
      </c>
      <c r="R18" s="372"/>
      <c r="S18" s="372"/>
    </row>
    <row r="19" spans="1:19" ht="13.5" thickBot="1">
      <c r="D19" s="381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</row>
    <row r="20" spans="1:19"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</row>
    <row r="21" spans="1:19">
      <c r="D21" s="372"/>
      <c r="E21" s="372"/>
      <c r="F21" s="372"/>
      <c r="G21" s="372"/>
      <c r="H21" s="372"/>
      <c r="I21" s="372"/>
      <c r="J21" s="372"/>
      <c r="K21" s="372"/>
      <c r="L21" s="372"/>
      <c r="M21" s="372"/>
      <c r="N21" s="372"/>
      <c r="O21" s="372"/>
      <c r="P21" s="372"/>
      <c r="Q21" s="372"/>
      <c r="R21" s="372"/>
      <c r="S21" s="372"/>
    </row>
    <row r="22" spans="1:19" ht="25.5" customHeight="1">
      <c r="A22" s="382" t="s">
        <v>281</v>
      </c>
      <c r="B22" s="382"/>
      <c r="C22" s="382"/>
    </row>
    <row r="23" spans="1:19" ht="15">
      <c r="J23" s="6" t="s">
        <v>283</v>
      </c>
      <c r="Q23" s="6" t="s">
        <v>282</v>
      </c>
    </row>
  </sheetData>
  <mergeCells count="1">
    <mergeCell ref="A22:C22"/>
  </mergeCells>
  <pageMargins left="0.25" right="0.25" top="1.36" bottom="1" header="0.5" footer="0.5"/>
  <pageSetup scale="90" fitToWidth="2" orientation="landscape" r:id="rId1"/>
  <headerFooter scaleWithDoc="0" alignWithMargins="0">
    <oddHeader>&amp;CINJURIES &amp; DAMAGES RESERVE
PROVIDED FOR INFORMATIONAL PURPOSES ONLY
&amp;RExhibit No.__(EMA-8)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2009-09-30T07:00:00+00:00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8CC652-B167-4E4F-862D-9BFEC618F063}"/>
</file>

<file path=customXml/itemProps2.xml><?xml version="1.0" encoding="utf-8"?>
<ds:datastoreItem xmlns:ds="http://schemas.openxmlformats.org/officeDocument/2006/customXml" ds:itemID="{979FA578-B7C3-41DF-ABCD-59C443BE2675}"/>
</file>

<file path=customXml/itemProps3.xml><?xml version="1.0" encoding="utf-8"?>
<ds:datastoreItem xmlns:ds="http://schemas.openxmlformats.org/officeDocument/2006/customXml" ds:itemID="{E6876814-CE28-4B4C-9085-A92B2AB95849}"/>
</file>

<file path=customXml/itemProps4.xml><?xml version="1.0" encoding="utf-8"?>
<ds:datastoreItem xmlns:ds="http://schemas.openxmlformats.org/officeDocument/2006/customXml" ds:itemID="{7E2AB484-F6BB-460E-98CD-94AB6B6C30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Exhibit No.__(EMA-8) page 9</vt:lpstr>
      <vt:lpstr>Exhibit No.__(EMA-8) page 10</vt:lpstr>
      <vt:lpstr>Exhibit No.__(EMA-8) page 11</vt:lpstr>
      <vt:lpstr>Exhibit No.__(EMA-8) page 12</vt:lpstr>
      <vt:lpstr>Exhibit No.__(EMA-8) page 13</vt:lpstr>
      <vt:lpstr>Exhibit No.__(EMA-8) page 14-15</vt:lpstr>
      <vt:lpstr>'Exhibit No.__(EMA-8) page 10'!Print_Area</vt:lpstr>
      <vt:lpstr>'Exhibit No.__(EMA-8) page 11'!Print_Area</vt:lpstr>
      <vt:lpstr>'Exhibit No.__(EMA-8) page 13'!Print_Area</vt:lpstr>
      <vt:lpstr>'Exhibit No.__(EMA-8) page 14-15'!Print_Area</vt:lpstr>
      <vt:lpstr>'Exhibit No.__(EMA-8) page 9'!Print_Area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gzd93m</dc:creator>
  <cp:lastModifiedBy>rzk7kq</cp:lastModifiedBy>
  <cp:lastPrinted>2009-09-28T17:46:46Z</cp:lastPrinted>
  <dcterms:created xsi:type="dcterms:W3CDTF">2008-12-16T15:30:55Z</dcterms:created>
  <dcterms:modified xsi:type="dcterms:W3CDTF">2009-09-28T17:47:50Z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