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3640" windowHeight="9525"/>
  </bookViews>
  <sheets>
    <sheet name="Summary" sheetId="1" r:id="rId1"/>
    <sheet name="Rev Norm" sheetId="8" r:id="rId2"/>
    <sheet name="DFIT" sheetId="2" r:id="rId3"/>
    <sheet name="STIP" sheetId="18" r:id="rId4"/>
    <sheet name="Perf Excel" sheetId="5" r:id="rId5"/>
    <sheet name="Discretionary" sheetId="11" r:id="rId6"/>
    <sheet name="Dues &amp; Don'ts" sheetId="12" r:id="rId7"/>
    <sheet name="Advertising DSM" sheetId="13" r:id="rId8"/>
    <sheet name="Aircraft" sheetId="14" r:id="rId9"/>
    <sheet name="Audit" sheetId="15" r:id="rId10"/>
    <sheet name="BOD Stock" sheetId="22" r:id="rId11"/>
    <sheet name="BOD Retainer" sheetId="21" r:id="rId12"/>
    <sheet name="Officer Benefits" sheetId="20" r:id="rId13"/>
    <sheet name="Comp Study" sheetId="19" r:id="rId14"/>
    <sheet name="Labor" sheetId="7" r:id="rId15"/>
    <sheet name="Exec Labor" sheetId="16" r:id="rId16"/>
    <sheet name="Insur" sheetId="17" r:id="rId17"/>
    <sheet name="Prop Tax" sheetId="4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7">'Advertising DSM'!$A$1:$L$35</definedName>
    <definedName name="_xlnm.Print_Area" localSheetId="8">Aircraft!$A$1:$L$34</definedName>
    <definedName name="_xlnm.Print_Area" localSheetId="9">Audit!$A$1:$L$41</definedName>
    <definedName name="_xlnm.Print_Area" localSheetId="2">DFIT!$A$1:$L$22</definedName>
    <definedName name="_xlnm.Print_Area" localSheetId="5">Discretionary!$A$1:$L$35</definedName>
    <definedName name="_xlnm.Print_Area" localSheetId="6">'Dues &amp; Don''ts'!$A$1:$L$37</definedName>
    <definedName name="_xlnm.Print_Area" localSheetId="14">Labor!$A$1:$L$38</definedName>
    <definedName name="_xlnm.Print_Area" localSheetId="4">'Perf Excel'!$A$1:$L$31</definedName>
    <definedName name="_xlnm.Print_Area" localSheetId="17">'Prop Tax'!$A$1:$L$35</definedName>
    <definedName name="_xlnm.Print_Area" localSheetId="1">'Rev Norm'!$A$1:$L$35</definedName>
    <definedName name="_xlnm.Print_Area" localSheetId="0">Summary!$C$1:$AB$54</definedName>
  </definedNames>
  <calcPr calcId="125725"/>
</workbook>
</file>

<file path=xl/calcChain.xml><?xml version="1.0" encoding="utf-8"?>
<calcChain xmlns="http://schemas.openxmlformats.org/spreadsheetml/2006/main">
  <c r="I23" i="5"/>
  <c r="I19"/>
  <c r="J20" i="20" s="1"/>
  <c r="J24" s="1"/>
  <c r="T37" i="1" s="1"/>
  <c r="V37" s="1"/>
  <c r="Z37" s="1"/>
  <c r="J15" i="21"/>
  <c r="J19" s="1"/>
  <c r="J23" s="1"/>
  <c r="T36" i="1" s="1"/>
  <c r="V36" s="1"/>
  <c r="Z36" s="1"/>
  <c r="J15" i="22"/>
  <c r="J19" s="1"/>
  <c r="J23" s="1"/>
  <c r="T35" i="1" s="1"/>
  <c r="V35" s="1"/>
  <c r="Z35" s="1"/>
  <c r="J21" i="19"/>
  <c r="J25" s="1"/>
  <c r="T38" i="1" s="1"/>
  <c r="V38" s="1"/>
  <c r="Z38" s="1"/>
  <c r="R39"/>
  <c r="P39"/>
  <c r="N39"/>
  <c r="L39"/>
  <c r="I17" i="18" l="1"/>
  <c r="I21"/>
  <c r="I25" l="1"/>
  <c r="I29" s="1"/>
  <c r="T27" i="1" s="1"/>
  <c r="I15" i="17"/>
  <c r="I19" s="1"/>
  <c r="I23" s="1"/>
  <c r="T43" i="1" s="1"/>
  <c r="V43" s="1"/>
  <c r="Z43" s="1"/>
  <c r="V27" l="1"/>
  <c r="I25" i="16"/>
  <c r="I24"/>
  <c r="I23"/>
  <c r="I22"/>
  <c r="I21"/>
  <c r="I20"/>
  <c r="I19"/>
  <c r="Z27" i="1" l="1"/>
  <c r="I27" i="16"/>
  <c r="I31" s="1"/>
  <c r="I35" s="1"/>
  <c r="T41" i="1" s="1"/>
  <c r="V41" s="1"/>
  <c r="Z41" s="1"/>
  <c r="I17" i="13" l="1"/>
  <c r="R47" i="1"/>
  <c r="R50" s="1"/>
  <c r="R53" s="1"/>
  <c r="P47"/>
  <c r="I13" i="12" l="1"/>
  <c r="I16" i="15"/>
  <c r="O18"/>
  <c r="I29" l="1"/>
  <c r="I18"/>
  <c r="I23" s="1"/>
  <c r="I31" l="1"/>
  <c r="I35" s="1"/>
  <c r="I39" s="1"/>
  <c r="T34" i="1" s="1"/>
  <c r="V34" s="1"/>
  <c r="Z34" s="1"/>
  <c r="I18" i="14"/>
  <c r="I15"/>
  <c r="I20" i="13"/>
  <c r="I22" l="1"/>
  <c r="I27" s="1"/>
  <c r="I32" s="1"/>
  <c r="T32" i="1" s="1"/>
  <c r="V32" s="1"/>
  <c r="Z32" s="1"/>
  <c r="I20" i="14"/>
  <c r="I25" s="1"/>
  <c r="I29" s="1"/>
  <c r="T33" i="1" s="1"/>
  <c r="V33" s="1"/>
  <c r="Z33" s="1"/>
  <c r="T29"/>
  <c r="V29" s="1"/>
  <c r="Z29" s="1"/>
  <c r="I22" i="12"/>
  <c r="I20"/>
  <c r="I18"/>
  <c r="I16"/>
  <c r="I20" i="11"/>
  <c r="I18"/>
  <c r="I16"/>
  <c r="I14"/>
  <c r="I12"/>
  <c r="I26" i="12" l="1"/>
  <c r="I30" s="1"/>
  <c r="I34" s="1"/>
  <c r="T31" i="1" s="1"/>
  <c r="V31" s="1"/>
  <c r="Z31" s="1"/>
  <c r="I24" i="11"/>
  <c r="I28" l="1"/>
  <c r="I15" i="5"/>
  <c r="I32" i="11" l="1"/>
  <c r="T30" i="1" s="1"/>
  <c r="V30" s="1"/>
  <c r="Z30" s="1"/>
  <c r="AC49"/>
  <c r="AC45"/>
  <c r="AC42"/>
  <c r="AC40"/>
  <c r="I25" i="7"/>
  <c r="I24"/>
  <c r="I23"/>
  <c r="I22"/>
  <c r="I21"/>
  <c r="I20"/>
  <c r="I19"/>
  <c r="V46" i="1"/>
  <c r="I20" i="4"/>
  <c r="I18"/>
  <c r="I16"/>
  <c r="I27" i="7" l="1"/>
  <c r="I15" i="8" l="1"/>
  <c r="I22" l="1"/>
  <c r="I24" s="1"/>
  <c r="I28" l="1"/>
  <c r="I31" s="1"/>
  <c r="T16" i="1" s="1"/>
  <c r="V16" l="1"/>
  <c r="I15" i="2"/>
  <c r="T21" i="1" s="1"/>
  <c r="T39" s="1"/>
  <c r="P52"/>
  <c r="P51"/>
  <c r="P49"/>
  <c r="Z49" s="1"/>
  <c r="P48"/>
  <c r="Z48" s="1"/>
  <c r="P46"/>
  <c r="P45"/>
  <c r="P44"/>
  <c r="P43"/>
  <c r="P42"/>
  <c r="P41"/>
  <c r="P28"/>
  <c r="P27"/>
  <c r="P26"/>
  <c r="P25"/>
  <c r="P24"/>
  <c r="P23"/>
  <c r="P22"/>
  <c r="P21"/>
  <c r="P20"/>
  <c r="P19"/>
  <c r="P18"/>
  <c r="P17"/>
  <c r="P16"/>
  <c r="Z16" s="1"/>
  <c r="P15"/>
  <c r="P14"/>
  <c r="P13"/>
  <c r="N47"/>
  <c r="L47"/>
  <c r="I31" i="7" l="1"/>
  <c r="I34" s="1"/>
  <c r="T40" i="1" s="1"/>
  <c r="V40" s="1"/>
  <c r="I23" i="4"/>
  <c r="I27" s="1"/>
  <c r="I30" s="1"/>
  <c r="T44" i="1" s="1"/>
  <c r="V44" s="1"/>
  <c r="Z44" s="1"/>
  <c r="T47" l="1"/>
  <c r="T50" s="1"/>
  <c r="T53" s="1"/>
  <c r="V21"/>
  <c r="V39" s="1"/>
  <c r="P40"/>
  <c r="Z40" s="1"/>
  <c r="Z21" l="1"/>
  <c r="Z39" s="1"/>
  <c r="Z47" s="1"/>
  <c r="Z50" s="1"/>
  <c r="V47"/>
  <c r="V50" s="1"/>
  <c r="V53" s="1"/>
  <c r="P50"/>
  <c r="P53" s="1"/>
  <c r="L50"/>
  <c r="L53" s="1"/>
  <c r="N50"/>
  <c r="N53" s="1"/>
  <c r="C49"/>
  <c r="C51" s="1"/>
  <c r="C52" s="1"/>
  <c r="C17"/>
  <c r="C18" s="1"/>
  <c r="C19" s="1"/>
  <c r="C20" s="1"/>
  <c r="C21" s="1"/>
  <c r="C22" s="1"/>
  <c r="C23" s="1"/>
  <c r="C24" s="1"/>
  <c r="C25" s="1"/>
  <c r="C26" s="1"/>
  <c r="C27" s="1"/>
  <c r="C28" s="1"/>
  <c r="C41" s="1"/>
  <c r="C42" s="1"/>
  <c r="C43" s="1"/>
  <c r="C44" s="1"/>
  <c r="C45" s="1"/>
  <c r="C46" s="1"/>
  <c r="C14"/>
  <c r="C15" s="1"/>
  <c r="Z53" l="1"/>
</calcChain>
</file>

<file path=xl/sharedStrings.xml><?xml version="1.0" encoding="utf-8"?>
<sst xmlns="http://schemas.openxmlformats.org/spreadsheetml/2006/main" count="780" uniqueCount="384">
  <si>
    <t>Results of Operations</t>
  </si>
  <si>
    <t>Deferred FIT Rate Base</t>
  </si>
  <si>
    <t>Deferred Debits and Credits</t>
  </si>
  <si>
    <t>Eliminate B&amp;O Taxes</t>
  </si>
  <si>
    <t>Uncollectible Expense</t>
  </si>
  <si>
    <t>Regulatory Expense</t>
  </si>
  <si>
    <t>Injuries and Damages</t>
  </si>
  <si>
    <t>Eliminate Accounts Rec. Expenses</t>
  </si>
  <si>
    <t>Office Space Chg'd to Subsidiaries</t>
  </si>
  <si>
    <t>Restate Excise Taxes</t>
  </si>
  <si>
    <t>Net Gains/Losses</t>
  </si>
  <si>
    <t>Miscellaneous Restating</t>
  </si>
  <si>
    <t>Restate Incentives</t>
  </si>
  <si>
    <t>Restate Debt Interest</t>
  </si>
  <si>
    <t>Pro Forma Labor Executive</t>
  </si>
  <si>
    <t>Pro forma Labor Non-Executive</t>
  </si>
  <si>
    <t>Pro Forma Employee Benefits</t>
  </si>
  <si>
    <t>Pro Forma Insurance</t>
  </si>
  <si>
    <t>Pro Forma Property Tax</t>
  </si>
  <si>
    <t>Restate 2011 Capital</t>
  </si>
  <si>
    <t>Pro Forma Subtotal</t>
  </si>
  <si>
    <t>Alternative - Planned Capital Add 2012</t>
  </si>
  <si>
    <t>Alternative - Planned Capital Add 2013</t>
  </si>
  <si>
    <t>Attrition Adjusted Total</t>
  </si>
  <si>
    <t>Depreciation Study</t>
  </si>
  <si>
    <t>O&amp;M Offset</t>
  </si>
  <si>
    <t>Designation</t>
  </si>
  <si>
    <t>Public</t>
  </si>
  <si>
    <t>Counsel</t>
  </si>
  <si>
    <t>Adjustment Description</t>
  </si>
  <si>
    <t>Final Total</t>
  </si>
  <si>
    <t>Rate Base</t>
  </si>
  <si>
    <t>NOI</t>
  </si>
  <si>
    <t>Rev Req't</t>
  </si>
  <si>
    <t>ROR</t>
  </si>
  <si>
    <t>Tax factor</t>
  </si>
  <si>
    <t>Avista</t>
  </si>
  <si>
    <t>Adj't. No.</t>
  </si>
  <si>
    <t>Public Counsel Position</t>
  </si>
  <si>
    <t>Line</t>
  </si>
  <si>
    <t>No.</t>
  </si>
  <si>
    <t>Description</t>
  </si>
  <si>
    <t>Revised FIT Adustment Recalculated by Avista to</t>
  </si>
  <si>
    <t>Properly Synchronize Test Year Deferred Income Tax</t>
  </si>
  <si>
    <t>Expense with Test Year Temporary Schedule M</t>
  </si>
  <si>
    <t>Amounts</t>
  </si>
  <si>
    <t>Amount</t>
  </si>
  <si>
    <t>Reference</t>
  </si>
  <si>
    <t>Response</t>
  </si>
  <si>
    <t>to PC Data</t>
  </si>
  <si>
    <t>Request No.</t>
  </si>
  <si>
    <t>152-Revised</t>
  </si>
  <si>
    <t>Avista Corporation</t>
  </si>
  <si>
    <t>Adjustment to Restate FIT/DFIT/ITC/PTC Expense</t>
  </si>
  <si>
    <t>Federal Income Tax Rate</t>
  </si>
  <si>
    <t>Adjust Property Tax Expense to Synchronize with 2011 End of Test Year Plant in Service</t>
  </si>
  <si>
    <t>Total Washington Jurisdiction Proforma Property Tax</t>
  </si>
  <si>
    <t>Expense Synchronized with 2011 End of Test Year</t>
  </si>
  <si>
    <t>Actual Plant in Service:</t>
  </si>
  <si>
    <t>Production/Transmission Function</t>
  </si>
  <si>
    <t>Distribution Function</t>
  </si>
  <si>
    <t>General</t>
  </si>
  <si>
    <t>Total Proforma Washington Jurisdictional</t>
  </si>
  <si>
    <t>Property Tax Expense</t>
  </si>
  <si>
    <t>Confidential Attch</t>
  </si>
  <si>
    <t>A PC Property</t>
  </si>
  <si>
    <t>Tax Adj't.xlsx</t>
  </si>
  <si>
    <t>Staff_DR-333C</t>
  </si>
  <si>
    <t>Decrease in Related Federal Income Taxes</t>
  </si>
  <si>
    <t>Sum Lines  4, 6, 8</t>
  </si>
  <si>
    <t>Line 10 x Line 11</t>
  </si>
  <si>
    <t>Line 12 - Line 10</t>
  </si>
  <si>
    <t>Adjust Non-Executive Labor for 2012 Wage Increases</t>
  </si>
  <si>
    <t>Expense Adjustment to Reflect Wage Increases</t>
  </si>
  <si>
    <t>Awarded in Early 2012</t>
  </si>
  <si>
    <t xml:space="preserve">Washington Jurisdictional Adjustment by Function to </t>
  </si>
  <si>
    <t>Annualize Wages for Increases Granted in 2011 and</t>
  </si>
  <si>
    <t>Early 2012</t>
  </si>
  <si>
    <t>Customer Accounts</t>
  </si>
  <si>
    <t>Sales &amp; Marketing</t>
  </si>
  <si>
    <t>Labor</t>
  </si>
  <si>
    <t>Adj't 3.02.xlxs</t>
  </si>
  <si>
    <t>Sum Lines 7 - 13</t>
  </si>
  <si>
    <t>Line 14 x Line 15</t>
  </si>
  <si>
    <t>Adjustment to Normalize and Annualize Revenues for Year End Numbers of Customers</t>
  </si>
  <si>
    <t>Amount (000s)</t>
  </si>
  <si>
    <t>Washington Jurisdictional Increase to Net Operating</t>
  </si>
  <si>
    <t>Gas Inventory &amp; JP Restating</t>
  </si>
  <si>
    <t>Revenue Norm. &amp; Gas Cost Adjustment</t>
  </si>
  <si>
    <t>FIT/DFIT Expense</t>
  </si>
  <si>
    <t>Pro Forma Atmospheric Testing</t>
  </si>
  <si>
    <t>Adjustment to Puchased Gas Expense Calculated</t>
  </si>
  <si>
    <t>Using Company's Workpaper WA Gas Rev Norm</t>
  </si>
  <si>
    <t>Purchases With Annualized Year End</t>
  </si>
  <si>
    <t>Customer Sales</t>
  </si>
  <si>
    <t>Adjustment to Gas Revenues Calculated Using</t>
  </si>
  <si>
    <t xml:space="preserve">Company's Workpaper "WA-Gas Rev-Norm </t>
  </si>
  <si>
    <t>Adj 1.xlsxm" Modified to Reflect Usage With Year</t>
  </si>
  <si>
    <t>End Numbers of Customers</t>
  </si>
  <si>
    <t>Increase in Operating Income Before Tax</t>
  </si>
  <si>
    <t>WA Gas Rev</t>
  </si>
  <si>
    <t>Norm Adj-1 w</t>
  </si>
  <si>
    <t>Dittmer edits.xlsm</t>
  </si>
  <si>
    <t>Line 4 - Line 9</t>
  </si>
  <si>
    <t>Line 10 X Line 11</t>
  </si>
  <si>
    <t>Line 10 + Line 12</t>
  </si>
  <si>
    <t>Total Production</t>
  </si>
  <si>
    <t>Total Underground Storage</t>
  </si>
  <si>
    <t>Total Distribution</t>
  </si>
  <si>
    <t>Cust Service &amp; Info</t>
  </si>
  <si>
    <t>Total Admin&amp; General</t>
  </si>
  <si>
    <t>Restating Subtotal</t>
  </si>
  <si>
    <t>PC G 2.06</t>
  </si>
  <si>
    <t>PC G 3.04</t>
  </si>
  <si>
    <t>PC G 3.00</t>
  </si>
  <si>
    <t>PC G 2.01</t>
  </si>
  <si>
    <t>Gas Docket No. UG-120437</t>
  </si>
  <si>
    <t>Adjustment to Eliminate Non-recurring Booz &amp;</t>
  </si>
  <si>
    <t>Response to</t>
  </si>
  <si>
    <t>Company Performance Excellence Costs Allocated</t>
  </si>
  <si>
    <t>Public Counsel</t>
  </si>
  <si>
    <t>Data Request</t>
  </si>
  <si>
    <t>Expense in the 2011 Historic Test Period</t>
  </si>
  <si>
    <t>Line 4 x Line 5</t>
  </si>
  <si>
    <t>Income Resulting from Eliminating Non-recurring</t>
  </si>
  <si>
    <t>Performance Excellence Costs</t>
  </si>
  <si>
    <t>Line 4 - Line 6</t>
  </si>
  <si>
    <t xml:space="preserve">to Washington Gas Jurisdictional Operating </t>
  </si>
  <si>
    <t>Eliminate Non-Recurring Booz &amp; Company Performance Excellence Initiative Cost</t>
  </si>
  <si>
    <t>Eliminate Performance Excellence Cost</t>
  </si>
  <si>
    <t>PC G 2.14</t>
  </si>
  <si>
    <t>Eliminate Cost of Various Employee Functions, Awards, and Discretionary Gifts</t>
  </si>
  <si>
    <t>Trailblazer Service Appreciation Banquet</t>
  </si>
  <si>
    <t>Workpaper</t>
  </si>
  <si>
    <t>"PC Misc</t>
  </si>
  <si>
    <t>Discretionary Employee Service Awards</t>
  </si>
  <si>
    <t xml:space="preserve">Proprietary </t>
  </si>
  <si>
    <t>Disallowances.</t>
  </si>
  <si>
    <t>Eliminate 100% of Employee Picnic Costs</t>
  </si>
  <si>
    <t>xlsx"</t>
  </si>
  <si>
    <t>Worksheet tabs</t>
  </si>
  <si>
    <t>Thank-you Gifts for Attending WEI</t>
  </si>
  <si>
    <t>"Employee Meals,</t>
  </si>
  <si>
    <t>Gifts, Awards" &amp;</t>
  </si>
  <si>
    <t>Discretionary Gifts to Customers</t>
  </si>
  <si>
    <t>"Gift Certificates"</t>
  </si>
  <si>
    <t xml:space="preserve">Total Washington Electric Jurisdictional Adjustment to </t>
  </si>
  <si>
    <t>Remove Discretionay Employee Awards/Picnics/</t>
  </si>
  <si>
    <t>Eliminate Miscellaneous Membership Dues and Contributions</t>
  </si>
  <si>
    <t>Eliminate Membership Dues Charged Above the Line</t>
  </si>
  <si>
    <t>(Co. had recorded only 50% to non-utility operations)</t>
  </si>
  <si>
    <t>"Dues and Fees"</t>
  </si>
  <si>
    <t>&amp; "Charitable</t>
  </si>
  <si>
    <t>Charitable Contributions Booked to Utility Operations</t>
  </si>
  <si>
    <t>Contributions"</t>
  </si>
  <si>
    <t>in Error</t>
  </si>
  <si>
    <t>Deer Park Chamber of Commerce Lunch</t>
  </si>
  <si>
    <t>School Fund Raiser Contribution</t>
  </si>
  <si>
    <t>Remove Membership Dues and Various Charitable</t>
  </si>
  <si>
    <t>Contributions</t>
  </si>
  <si>
    <t>Eliminate Dues and Charitable Contributions</t>
  </si>
  <si>
    <t>Eliminate Discretionary Awards and Gifts</t>
  </si>
  <si>
    <t>Income Resulting from Eliminating Discretionary</t>
  </si>
  <si>
    <t>PC Incremental</t>
  </si>
  <si>
    <t>PC G 2.15</t>
  </si>
  <si>
    <t>PC G 2.16</t>
  </si>
  <si>
    <t>PC G 2.17</t>
  </si>
  <si>
    <t>Eliminate Promotional Advertising and Energy Efficiency Expense</t>
  </si>
  <si>
    <t>"Advertising" &amp;</t>
  </si>
  <si>
    <t>"Watson and</t>
  </si>
  <si>
    <t>DSM Costs"</t>
  </si>
  <si>
    <t xml:space="preserve">Eliminate Energy Efficiency Expense Recovered </t>
  </si>
  <si>
    <t>Through Tracker</t>
  </si>
  <si>
    <t>Advertising</t>
  </si>
  <si>
    <t>Eliminate "Go Green by Going Blue" Promotional</t>
  </si>
  <si>
    <t>Eliminate Promo and DSM Ads</t>
  </si>
  <si>
    <t>Eliminate Corporate Aircraft Costs Associated with</t>
  </si>
  <si>
    <t>a Legislative Agenda</t>
  </si>
  <si>
    <t>Attending American Red Cross Recognition Event</t>
  </si>
  <si>
    <t>Worksheet tab</t>
  </si>
  <si>
    <t>"Aircraft"</t>
  </si>
  <si>
    <t>Total Adjustment to Eliminate Corporate Aircraft Costs</t>
  </si>
  <si>
    <t>Line 4 + Line 6</t>
  </si>
  <si>
    <t>Line 7 x Line 9</t>
  </si>
  <si>
    <t>Line 7 - Line 10</t>
  </si>
  <si>
    <t>PC G 2.18</t>
  </si>
  <si>
    <t>Eliminate Corporate Aircraft Costs</t>
  </si>
  <si>
    <t>Eliminate Estimated Impact of Non-Utility Costs Recorded as Utility Operating Expense</t>
  </si>
  <si>
    <t>Total Dollar Value of Sample Entries Audited from</t>
  </si>
  <si>
    <t>FERC Accounts 900-935</t>
  </si>
  <si>
    <t>Dollar Value of Non-Utility Errors Identified in Sample</t>
  </si>
  <si>
    <t>of FERC Accounts 900-935 Reviewed</t>
  </si>
  <si>
    <t>Non-Utility Errors as a % of Sample</t>
  </si>
  <si>
    <t>Dollar Value of FERC Accounts 900-935 Sampled</t>
  </si>
  <si>
    <t>for Accounting Entry Errors</t>
  </si>
  <si>
    <t>Total System Adjustment</t>
  </si>
  <si>
    <t>Allocated on the Basis of Account 930:</t>
  </si>
  <si>
    <t>Allocate to Washington</t>
  </si>
  <si>
    <t>Allocate to Gas Operations</t>
  </si>
  <si>
    <t>Composite WA Gas Allocator</t>
  </si>
  <si>
    <t>Eliminate Estimate of Non-Utility</t>
  </si>
  <si>
    <t>PC G 2.19</t>
  </si>
  <si>
    <t xml:space="preserve">Response to </t>
  </si>
  <si>
    <t>PC DR No. 11</t>
  </si>
  <si>
    <t>Andrews</t>
  </si>
  <si>
    <t>Exhibit EMA-4</t>
  </si>
  <si>
    <t>Line 4 / Line 2</t>
  </si>
  <si>
    <t>Line 5 X Line 7</t>
  </si>
  <si>
    <t>Line 8 X Line 13</t>
  </si>
  <si>
    <t>Line 13 X Line 14</t>
  </si>
  <si>
    <t>Line 13 - Line 15</t>
  </si>
  <si>
    <t>PC Modidied</t>
  </si>
  <si>
    <t>PC Neutal in Direct</t>
  </si>
  <si>
    <t>PC incremental</t>
  </si>
  <si>
    <t>PC Oppose</t>
  </si>
  <si>
    <t>PC Support</t>
  </si>
  <si>
    <t>Schedule No. 1</t>
  </si>
  <si>
    <t>Requirement</t>
  </si>
  <si>
    <t>Impact</t>
  </si>
  <si>
    <t>Diffference</t>
  </si>
  <si>
    <t>Schedule No. 2</t>
  </si>
  <si>
    <t>AND COMPARISON TO AVISTA'S DIRECT FILING GAS ADJUSTMENTS</t>
  </si>
  <si>
    <t>Schedule No. 3</t>
  </si>
  <si>
    <t>Schedule No. 4</t>
  </si>
  <si>
    <t>Schedule No. 5</t>
  </si>
  <si>
    <t>Schedule No. 6</t>
  </si>
  <si>
    <t>Schedule No. 7</t>
  </si>
  <si>
    <t>Schedule No. 8</t>
  </si>
  <si>
    <t>Schedule No. 9</t>
  </si>
  <si>
    <t>Schedule No. 10</t>
  </si>
  <si>
    <t>Schedule No. 11</t>
  </si>
  <si>
    <t>Avista Adjustments- Original Filing</t>
  </si>
  <si>
    <t>Pubic Counsel Adjustment</t>
  </si>
  <si>
    <t>Relative to the Company's</t>
  </si>
  <si>
    <t>Original Filed Position</t>
  </si>
  <si>
    <t>Adj 1.xlsm" but Modifed to Synchronize Therm</t>
  </si>
  <si>
    <t>Banquets and Other Discretionary Gifts</t>
  </si>
  <si>
    <t>Employee Functions, Awards, and Gifts</t>
  </si>
  <si>
    <t>Sum Lines 2 - 7</t>
  </si>
  <si>
    <t>Line 10 - Line 12</t>
  </si>
  <si>
    <t>Line 8 x Line 10</t>
  </si>
  <si>
    <t>Line 8 - Line 11</t>
  </si>
  <si>
    <t>Washington Jurisdictional Increase to NOI</t>
  </si>
  <si>
    <t>Resulting from Eliminating Corporate Aircraft Costs</t>
  </si>
  <si>
    <t>Incurred for Below-the-Line Activities</t>
  </si>
  <si>
    <t>Resulting From Eliminating an Estimate of Costs</t>
  </si>
  <si>
    <t>Erroneously Booked Above-the-Line</t>
  </si>
  <si>
    <t xml:space="preserve">Resulting From Eliminating Membership Dues </t>
  </si>
  <si>
    <t>and Charitable Contributions</t>
  </si>
  <si>
    <t>Washington Jurisdictional Increase to NOI to Normalize</t>
  </si>
  <si>
    <t>Revenues Associated with Year End Customers</t>
  </si>
  <si>
    <t>Total Washington Jurisdictional Non-executive Labor</t>
  </si>
  <si>
    <t>Line 14 - Line 16</t>
  </si>
  <si>
    <t>Washington Jurisdictional Reduction to NOI</t>
  </si>
  <si>
    <t>Resulting from Property Tax Adjustment</t>
  </si>
  <si>
    <t>Washington Jurisdictional Increase to NOI Resulting</t>
  </si>
  <si>
    <t>from Eliminating Expenses Recovered Through Energy</t>
  </si>
  <si>
    <t>Efficiency Tracker as well as Promotional</t>
  </si>
  <si>
    <t>Advertising Expense</t>
  </si>
  <si>
    <t xml:space="preserve">Washington Jurisdictional Reduction to NOI to </t>
  </si>
  <si>
    <t>Washington State Community Weatherization Sponsorship</t>
  </si>
  <si>
    <t>No. 305</t>
  </si>
  <si>
    <t>Schedule No. 15</t>
  </si>
  <si>
    <t>Adjust Executive Labor Expense</t>
  </si>
  <si>
    <t>"WA PF -2012</t>
  </si>
  <si>
    <t>Labor &amp;</t>
  </si>
  <si>
    <t>Benefit Total-</t>
  </si>
  <si>
    <t>With Revised</t>
  </si>
  <si>
    <t>Salary &amp;</t>
  </si>
  <si>
    <t>Alloc.xlsx"</t>
  </si>
  <si>
    <t>Total Non-Executive Labor Adjustment</t>
  </si>
  <si>
    <t>Washington Jurisdictional Increase to NOI to Reflect</t>
  </si>
  <si>
    <t>Executive Labor Costs and Allocations as Proposed</t>
  </si>
  <si>
    <t>by PC Witness S. Coppola</t>
  </si>
  <si>
    <t>Total Washington Jurisdictional Executive Labor</t>
  </si>
  <si>
    <t>Expense Adjustment to Reflect Compensation</t>
  </si>
  <si>
    <t>Levels and Allocations Proposed by Public Counsel</t>
  </si>
  <si>
    <t>Reflect Compensation Levels and Allocations</t>
  </si>
  <si>
    <t>Proposed by Seb Coppola</t>
  </si>
  <si>
    <t>Proforma Insurance Expense - Reflects 50% Allocation of D&amp;O to Non-Utility Operations</t>
  </si>
  <si>
    <t>2012 Insurance</t>
  </si>
  <si>
    <t xml:space="preserve">Proforma Insurance Expense - Includes 50% Allocation </t>
  </si>
  <si>
    <t>Adjustment with</t>
  </si>
  <si>
    <t>of Directors and Officer's Insurance to Non-Utility</t>
  </si>
  <si>
    <t>50 Percent Alloc</t>
  </si>
  <si>
    <t>Operations</t>
  </si>
  <si>
    <t>to N-Utility.xlsx</t>
  </si>
  <si>
    <t>Insurance Expense and Allocations as Proposed</t>
  </si>
  <si>
    <t>PC G 3.03</t>
  </si>
  <si>
    <t>PC G 2.12</t>
  </si>
  <si>
    <t>Adjustment to Restate Short Term Incentive Compensation - and Remove Officer STIP</t>
  </si>
  <si>
    <t>WA Jurisdictional</t>
  </si>
  <si>
    <t>Restating Adjustment for Short Term Incentive</t>
  </si>
  <si>
    <t>Avista Adj't</t>
  </si>
  <si>
    <t>Compensation as Proposed by Avista</t>
  </si>
  <si>
    <t>Exhibit SC-10C</t>
  </si>
  <si>
    <t xml:space="preserve">of Short Term Incentive Compensation Included </t>
  </si>
  <si>
    <t>Executive STIP</t>
  </si>
  <si>
    <t>Within Avista's Restating Adjustment 2.15</t>
  </si>
  <si>
    <t>Adjustment.xlsx</t>
  </si>
  <si>
    <t>Compensation as Proposed by Public Counsel</t>
  </si>
  <si>
    <t>Witness Seb Coppola</t>
  </si>
  <si>
    <t>Line 2 + Line 5</t>
  </si>
  <si>
    <t>Line 8 x Line 9</t>
  </si>
  <si>
    <t>Washington Jurisdictional Decrease to NOI Resulting</t>
  </si>
  <si>
    <t>from Public Counsel's Adjustment to Restate</t>
  </si>
  <si>
    <t>Short Term Incentive Compensatin Expense</t>
  </si>
  <si>
    <t>Line 8 - Line 10</t>
  </si>
  <si>
    <t>No. 2.16</t>
  </si>
  <si>
    <t>PC G 2.20</t>
  </si>
  <si>
    <t>PC G 2.21</t>
  </si>
  <si>
    <t>PC G 2.22</t>
  </si>
  <si>
    <t>PC G 2.23</t>
  </si>
  <si>
    <t>Board of Directors - Stock Comp</t>
  </si>
  <si>
    <t>Board of Directors - Retainers</t>
  </si>
  <si>
    <t>Remove Compensation Study Costs</t>
  </si>
  <si>
    <t>Schedule No. 14</t>
  </si>
  <si>
    <t>Board of Directors - Stock Compensation</t>
  </si>
  <si>
    <t>Exhibit SC 13 &amp;</t>
  </si>
  <si>
    <t>Adjust Washington Jurisdictional Board of Directors</t>
  </si>
  <si>
    <t>14 Board of</t>
  </si>
  <si>
    <t>Stock Compensation Expense as Proposed by Public</t>
  </si>
  <si>
    <t>Directors Fees</t>
  </si>
  <si>
    <t>Counsel Witness Seb Coppola</t>
  </si>
  <si>
    <t>Increase in Related Federal Income Taxes</t>
  </si>
  <si>
    <t>Line 5 x Line 6</t>
  </si>
  <si>
    <t>Income Resulting from Board of Directors - Stock</t>
  </si>
  <si>
    <t>Compensation Expense Adjustment</t>
  </si>
  <si>
    <t>Line 5 - Line 7</t>
  </si>
  <si>
    <t>Exhibit SC 8C &amp;</t>
  </si>
  <si>
    <t>9C &amp;16 Recal-</t>
  </si>
  <si>
    <t xml:space="preserve">Adjust Washington Jurisdictional Officers' </t>
  </si>
  <si>
    <t xml:space="preserve">culation of </t>
  </si>
  <si>
    <t>Officers Utility</t>
  </si>
  <si>
    <t>&amp; Other Adj.xlsx</t>
  </si>
  <si>
    <t xml:space="preserve">Remove Cost of Compensation Study as Proposed </t>
  </si>
  <si>
    <t>by Public Counsel Witness Seb Coppola</t>
  </si>
  <si>
    <t>Schedule No. 12</t>
  </si>
  <si>
    <t>Schedule No. 13</t>
  </si>
  <si>
    <t>Schedule No. 16</t>
  </si>
  <si>
    <t>Schedule No. 18</t>
  </si>
  <si>
    <t>PC G 3.01</t>
  </si>
  <si>
    <t>Incremental Adjustment Proposed to Eliminate 100%</t>
  </si>
  <si>
    <t>Retainer Fees Expense as Proposed by Public</t>
  </si>
  <si>
    <t>Income Resulting from Board of Directors - Retainer</t>
  </si>
  <si>
    <t>Fees Expense Adjustment</t>
  </si>
  <si>
    <t>Adjustment Proposed by Public Counsel</t>
  </si>
  <si>
    <t xml:space="preserve">Income Resulting from Removal of Cost of </t>
  </si>
  <si>
    <t>Compensation Study</t>
  </si>
  <si>
    <t>Reflect 2012 Non-Executive Labor Costs</t>
  </si>
  <si>
    <t>Officer's Benefits</t>
  </si>
  <si>
    <t>Officers' Benefits Adjustment</t>
  </si>
  <si>
    <t>Benefits Expense as Proposed by Public</t>
  </si>
  <si>
    <t>Income Resulting from Officers' Benefits Expense</t>
  </si>
  <si>
    <t>PC Neutral in Direct</t>
  </si>
  <si>
    <t>Increase in Adjusted Test Year O&amp;M Expense</t>
  </si>
  <si>
    <t>PC Modified</t>
  </si>
  <si>
    <t>Docket No. UE-120436 et. al.</t>
  </si>
  <si>
    <t>Exhibit No. JRD-3</t>
  </si>
  <si>
    <t>Page 1 of</t>
  </si>
  <si>
    <t>Page 1 of 18</t>
  </si>
  <si>
    <t>Docket No. UE-120436 et. al</t>
  </si>
  <si>
    <t>Page 2 of 18</t>
  </si>
  <si>
    <t>SUMMARY OF PUBLIC COUNSEL GAS ADJUSTMENTS</t>
  </si>
  <si>
    <t>Page 3 of 18</t>
  </si>
  <si>
    <t>Page 4 of 18</t>
  </si>
  <si>
    <t>Page 5 of 18</t>
  </si>
  <si>
    <t>Page 6 of 18</t>
  </si>
  <si>
    <t>Page 7 of 18</t>
  </si>
  <si>
    <t>Page 8 of 18</t>
  </si>
  <si>
    <t>Page 9 of 18</t>
  </si>
  <si>
    <t>Page 10 of 18</t>
  </si>
  <si>
    <t>Page 11 of 18</t>
  </si>
  <si>
    <t>Page 12 of 18</t>
  </si>
  <si>
    <t>Page 13 of 18</t>
  </si>
  <si>
    <t>Page 14 of 18</t>
  </si>
  <si>
    <t>Page 15 of 18</t>
  </si>
  <si>
    <t>Page 16 of 18</t>
  </si>
  <si>
    <t>Page 17 of 18</t>
  </si>
  <si>
    <t>Schedule 17</t>
  </si>
  <si>
    <t>Page 18 of 18</t>
  </si>
  <si>
    <t>Revenue</t>
  </si>
  <si>
    <t>Eliminate Certain Corporate Aircraft Costs</t>
  </si>
  <si>
    <t>Washington Gas Jurisdictional Adjustment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</si>
</sst>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_);_(* \(#,##0.0000\);_(* &quot;-&quot;??_);_(@_)"/>
    <numFmt numFmtId="167" formatCode="0.0%"/>
    <numFmt numFmtId="168" formatCode="0.000%"/>
  </numFmts>
  <fonts count="19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10"/>
      <name val="Times New Roman"/>
      <family val="1"/>
    </font>
    <font>
      <sz val="12"/>
      <name val="Times New Roman"/>
      <family val="1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0"/>
      <color theme="1"/>
      <name val="Tahoma"/>
      <family val="2"/>
    </font>
    <font>
      <sz val="10"/>
      <name val="Geneva"/>
    </font>
    <font>
      <u/>
      <sz val="10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8" fillId="2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41" fontId="6" fillId="0" borderId="0" xfId="13" applyNumberFormat="1" applyFont="1"/>
    <xf numFmtId="0" fontId="9" fillId="0" borderId="0" xfId="0" applyFont="1"/>
    <xf numFmtId="41" fontId="6" fillId="0" borderId="0" xfId="13" applyNumberFormat="1" applyFont="1" applyFill="1"/>
    <xf numFmtId="41" fontId="6" fillId="0" borderId="1" xfId="13" applyNumberFormat="1" applyFont="1" applyFill="1" applyBorder="1"/>
    <xf numFmtId="41" fontId="10" fillId="0" borderId="0" xfId="13" applyNumberFormat="1" applyFont="1"/>
    <xf numFmtId="164" fontId="9" fillId="0" borderId="0" xfId="1" applyNumberFormat="1" applyFont="1"/>
    <xf numFmtId="164" fontId="0" fillId="0" borderId="0" xfId="1" applyNumberFormat="1" applyFont="1"/>
    <xf numFmtId="164" fontId="9" fillId="0" borderId="1" xfId="1" applyNumberFormat="1" applyFont="1" applyBorder="1"/>
    <xf numFmtId="164" fontId="0" fillId="0" borderId="1" xfId="1" applyNumberFormat="1" applyFont="1" applyBorder="1"/>
    <xf numFmtId="0" fontId="0" fillId="0" borderId="0" xfId="0" applyAlignment="1">
      <alignment horizontal="center"/>
    </xf>
    <xf numFmtId="41" fontId="6" fillId="0" borderId="0" xfId="13" applyNumberFormat="1" applyFont="1" applyFill="1" applyBorder="1"/>
    <xf numFmtId="0" fontId="9" fillId="0" borderId="0" xfId="0" applyFont="1" applyBorder="1"/>
    <xf numFmtId="164" fontId="0" fillId="0" borderId="0" xfId="1" applyNumberFormat="1" applyFont="1" applyBorder="1"/>
    <xf numFmtId="165" fontId="0" fillId="0" borderId="0" xfId="0" applyNumberFormat="1" applyBorder="1"/>
    <xf numFmtId="10" fontId="0" fillId="0" borderId="0" xfId="3" applyNumberFormat="1" applyFont="1" applyBorder="1"/>
    <xf numFmtId="10" fontId="0" fillId="0" borderId="1" xfId="3" applyNumberFormat="1" applyFont="1" applyBorder="1"/>
    <xf numFmtId="165" fontId="0" fillId="0" borderId="0" xfId="2" applyNumberFormat="1" applyFont="1" applyBorder="1"/>
    <xf numFmtId="165" fontId="0" fillId="0" borderId="3" xfId="2" applyNumberFormat="1" applyFont="1" applyBorder="1"/>
    <xf numFmtId="0" fontId="0" fillId="0" borderId="0" xfId="0" quotePrefix="1" applyBorder="1"/>
    <xf numFmtId="0" fontId="0" fillId="0" borderId="0" xfId="0" applyFill="1" applyBorder="1"/>
    <xf numFmtId="3" fontId="0" fillId="0" borderId="0" xfId="0" applyNumberFormat="1" applyBorder="1"/>
    <xf numFmtId="165" fontId="0" fillId="0" borderId="4" xfId="0" applyNumberFormat="1" applyBorder="1"/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9" fillId="0" borderId="0" xfId="1" applyNumberFormat="1" applyFont="1" applyFill="1"/>
    <xf numFmtId="0" fontId="2" fillId="0" borderId="0" xfId="4"/>
    <xf numFmtId="3" fontId="14" fillId="0" borderId="0" xfId="20" applyNumberFormat="1" applyFont="1" applyFill="1"/>
    <xf numFmtId="4" fontId="14" fillId="0" borderId="0" xfId="20" applyNumberFormat="1" applyFont="1" applyFill="1"/>
    <xf numFmtId="41" fontId="10" fillId="0" borderId="4" xfId="13" applyNumberFormat="1" applyFont="1" applyBorder="1"/>
    <xf numFmtId="0" fontId="5" fillId="0" borderId="0" xfId="0" applyFont="1" applyFill="1" applyAlignment="1">
      <alignment horizontal="left"/>
    </xf>
    <xf numFmtId="164" fontId="9" fillId="0" borderId="1" xfId="1" applyNumberFormat="1" applyFont="1" applyFill="1" applyBorder="1"/>
    <xf numFmtId="3" fontId="14" fillId="0" borderId="0" xfId="20" applyNumberFormat="1" applyFont="1" applyFill="1"/>
    <xf numFmtId="3" fontId="15" fillId="0" borderId="0" xfId="21" applyNumberFormat="1" applyFont="1" applyFill="1"/>
    <xf numFmtId="3" fontId="15" fillId="0" borderId="0" xfId="20" applyNumberFormat="1" applyFont="1" applyFill="1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Fill="1" applyBorder="1" applyAlignment="1">
      <alignment wrapText="1"/>
    </xf>
    <xf numFmtId="168" fontId="0" fillId="0" borderId="0" xfId="3" applyNumberFormat="1" applyFont="1" applyFill="1"/>
    <xf numFmtId="0" fontId="0" fillId="0" borderId="0" xfId="0" applyFill="1"/>
    <xf numFmtId="0" fontId="0" fillId="0" borderId="0" xfId="0" applyFill="1" applyAlignment="1"/>
    <xf numFmtId="0" fontId="5" fillId="0" borderId="0" xfId="0" applyFont="1" applyBorder="1"/>
    <xf numFmtId="0" fontId="5" fillId="0" borderId="0" xfId="0" applyFont="1" applyFill="1" applyBorder="1" applyAlignment="1">
      <alignment horizontal="left"/>
    </xf>
    <xf numFmtId="168" fontId="0" fillId="0" borderId="0" xfId="3" applyNumberFormat="1" applyFont="1" applyFill="1" applyBorder="1"/>
    <xf numFmtId="0" fontId="0" fillId="0" borderId="0" xfId="0" applyFill="1" applyBorder="1" applyAlignment="1"/>
    <xf numFmtId="164" fontId="9" fillId="0" borderId="0" xfId="1" applyNumberFormat="1" applyFon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165" fontId="0" fillId="0" borderId="0" xfId="0" applyNumberFormat="1" applyBorder="1"/>
    <xf numFmtId="10" fontId="0" fillId="0" borderId="0" xfId="3" applyNumberFormat="1" applyFont="1" applyBorder="1"/>
    <xf numFmtId="10" fontId="0" fillId="0" borderId="1" xfId="3" applyNumberFormat="1" applyFont="1" applyBorder="1"/>
    <xf numFmtId="165" fontId="0" fillId="0" borderId="0" xfId="2" applyNumberFormat="1" applyFont="1" applyBorder="1"/>
    <xf numFmtId="0" fontId="0" fillId="0" borderId="0" xfId="0" applyFill="1" applyBorder="1"/>
    <xf numFmtId="165" fontId="0" fillId="0" borderId="4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8" fontId="0" fillId="0" borderId="1" xfId="3" applyNumberFormat="1" applyFont="1" applyFill="1" applyBorder="1"/>
    <xf numFmtId="165" fontId="16" fillId="0" borderId="0" xfId="2" applyNumberFormat="1" applyFont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0" xfId="0" applyBorder="1"/>
    <xf numFmtId="0" fontId="9" fillId="0" borderId="0" xfId="0" applyFont="1"/>
    <xf numFmtId="164" fontId="9" fillId="0" borderId="0" xfId="1" applyNumberFormat="1" applyFont="1"/>
    <xf numFmtId="164" fontId="0" fillId="0" borderId="0" xfId="1" applyNumberFormat="1" applyFont="1"/>
    <xf numFmtId="165" fontId="0" fillId="0" borderId="0" xfId="2" applyNumberFormat="1" applyFont="1"/>
    <xf numFmtId="164" fontId="0" fillId="0" borderId="1" xfId="1" applyNumberFormat="1" applyFont="1" applyBorder="1"/>
    <xf numFmtId="164" fontId="9" fillId="0" borderId="0" xfId="1" applyNumberFormat="1" applyFont="1" applyBorder="1"/>
    <xf numFmtId="164" fontId="0" fillId="0" borderId="0" xfId="1" applyNumberFormat="1" applyFont="1" applyBorder="1"/>
    <xf numFmtId="10" fontId="0" fillId="0" borderId="0" xfId="3" applyNumberFormat="1" applyFont="1" applyBorder="1"/>
    <xf numFmtId="10" fontId="0" fillId="0" borderId="1" xfId="3" applyNumberFormat="1" applyFont="1" applyBorder="1"/>
    <xf numFmtId="165" fontId="0" fillId="0" borderId="0" xfId="2" applyNumberFormat="1" applyFont="1" applyBorder="1"/>
    <xf numFmtId="0" fontId="0" fillId="0" borderId="0" xfId="0" applyFill="1" applyBorder="1"/>
    <xf numFmtId="165" fontId="0" fillId="0" borderId="4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right"/>
    </xf>
    <xf numFmtId="41" fontId="10" fillId="0" borderId="0" xfId="13" applyNumberFormat="1" applyFont="1" applyBorder="1"/>
    <xf numFmtId="0" fontId="17" fillId="0" borderId="0" xfId="0" applyFont="1" applyBorder="1"/>
    <xf numFmtId="41" fontId="10" fillId="0" borderId="5" xfId="13" applyNumberFormat="1" applyFont="1" applyBorder="1"/>
    <xf numFmtId="164" fontId="17" fillId="0" borderId="0" xfId="1" applyNumberFormat="1" applyFont="1"/>
    <xf numFmtId="41" fontId="10" fillId="0" borderId="5" xfId="13" applyNumberFormat="1" applyFont="1" applyFill="1" applyBorder="1"/>
    <xf numFmtId="0" fontId="17" fillId="0" borderId="0" xfId="0" applyFont="1"/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43" fontId="16" fillId="0" borderId="1" xfId="1" applyFont="1" applyBorder="1"/>
    <xf numFmtId="167" fontId="0" fillId="0" borderId="0" xfId="3" applyNumberFormat="1" applyFont="1" applyBorder="1"/>
    <xf numFmtId="0" fontId="0" fillId="0" borderId="0" xfId="0" applyAlignment="1">
      <alignment horizontal="center"/>
    </xf>
    <xf numFmtId="0" fontId="6" fillId="0" borderId="0" xfId="26" applyFont="1"/>
    <xf numFmtId="0" fontId="6" fillId="0" borderId="0" xfId="26" applyFont="1" applyAlignment="1">
      <alignment horizontal="left"/>
    </xf>
    <xf numFmtId="0" fontId="6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</cellXfs>
  <cellStyles count="28">
    <cellStyle name="Comma" xfId="1" builtinId="3"/>
    <cellStyle name="Comma 2" xfId="5"/>
    <cellStyle name="Comma 3" xfId="19"/>
    <cellStyle name="Currency" xfId="2" builtinId="4"/>
    <cellStyle name="Currency 2" xfId="7"/>
    <cellStyle name="Currency 3" xfId="6"/>
    <cellStyle name="Followed Hyperlink" xfId="8" builtinId="9" customBuiltin="1"/>
    <cellStyle name="Followed Hyperlink 2" xfId="24"/>
    <cellStyle name="Followed Hyperlink 3" xfId="23"/>
    <cellStyle name="Hyperlink" xfId="9" builtinId="8" customBuiltin="1"/>
    <cellStyle name="Hyperlink 2" xfId="25"/>
    <cellStyle name="Hyperlink 3" xfId="22"/>
    <cellStyle name="Manual-Input" xfId="17"/>
    <cellStyle name="Normal" xfId="0" builtinId="0"/>
    <cellStyle name="Normal 2" xfId="16"/>
    <cellStyle name="Normal 2 2" xfId="10"/>
    <cellStyle name="Normal 2 3" xfId="11"/>
    <cellStyle name="Normal 3" xfId="4"/>
    <cellStyle name="Normal 3 2" xfId="27"/>
    <cellStyle name="Normal 4" xfId="18"/>
    <cellStyle name="Normal 6" xfId="12"/>
    <cellStyle name="Normal_1296GasLabor$" xfId="26"/>
    <cellStyle name="Normal_WAElec6_97" xfId="13"/>
    <cellStyle name="Normal_WAElec6_97 2" xfId="20"/>
    <cellStyle name="Normal_WAGas6_97" xfId="21"/>
    <cellStyle name="Percent" xfId="3" builtinId="5"/>
    <cellStyle name="Percent 2" xfId="15"/>
    <cellStyle name="Percent 3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Workpapers\WA%20Gas%20Rev%20Norm%20Adj-1%20w%20Dittmer%20edi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Coppola%20Testimony%20and%20Exhibits\Coppola%20Workpapers\Exhibit%20SC-10C%20Executive%20STIP%20Adjust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Lea's%20Adjustments\PC%20Misc%20Proprietary%20Disallowan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Coppola%20Testimony%20and%20Exhibits\Coppola%20Workpapers\Exhibit%20SC-13%20&amp;%2014%20Board%20of%20Directors%20Fees%20Adjustmen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Workpapers\Public%20Counsel%20Labor%20Adjt%203.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Coppola%20Testimony%20and%20Exhibits\Coppola%20Workpapers\WA%20PF%20-%202012%20Labor%20&amp;%20Benefit%20Total%20-%20with%20Revised%20Salary%20&amp;%20Allo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Coppola%20Testimony%20and%20Exhibits\Coppola%20Workpapers\2012%20Insurance%20Adjustment%20with%2050%20Percet%20to%20N-Utilit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Workpapers\Staff_DR_333C%20Confidential%20Attch%20A%20PC%20Prop%20Tax%20Adj'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1"/>
      <sheetName val="2011 Component Analysis"/>
      <sheetName val="2010"/>
      <sheetName val="2009"/>
      <sheetName val="2008"/>
      <sheetName val="2007"/>
      <sheetName val="2006"/>
    </sheetNames>
    <sheetDataSet>
      <sheetData sheetId="0">
        <row r="22">
          <cell r="H22">
            <v>-112221.289</v>
          </cell>
        </row>
        <row r="38">
          <cell r="H38">
            <v>-114993.414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h SC10C"/>
      <sheetName val="Sheet2"/>
      <sheetName val="Sheet3"/>
    </sheetNames>
    <sheetDataSet>
      <sheetData sheetId="0">
        <row r="17">
          <cell r="J17">
            <v>-279801</v>
          </cell>
          <cell r="K17">
            <v>-75923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mployee Meals, Gifts, Awards"/>
      <sheetName val="Gift Certificates"/>
      <sheetName val="Dues and Fees"/>
      <sheetName val="Charitable Contributions"/>
      <sheetName val="Advertising"/>
      <sheetName val="Wattson and DSM Costs"/>
      <sheetName val="Aircraft"/>
      <sheetName val="Audit"/>
    </sheetNames>
    <sheetDataSet>
      <sheetData sheetId="0">
        <row r="2">
          <cell r="D2">
            <v>12792</v>
          </cell>
          <cell r="E2">
            <v>3471</v>
          </cell>
        </row>
        <row r="3">
          <cell r="E3">
            <v>4200</v>
          </cell>
        </row>
        <row r="4">
          <cell r="E4">
            <v>5160</v>
          </cell>
        </row>
        <row r="5">
          <cell r="E5">
            <v>1459.5</v>
          </cell>
        </row>
      </sheetData>
      <sheetData sheetId="1">
        <row r="2">
          <cell r="D2">
            <v>4718</v>
          </cell>
          <cell r="E2">
            <v>1280</v>
          </cell>
        </row>
      </sheetData>
      <sheetData sheetId="2">
        <row r="240">
          <cell r="N240">
            <v>83291.936649308045</v>
          </cell>
        </row>
        <row r="244">
          <cell r="N244">
            <v>22598.981929912636</v>
          </cell>
        </row>
      </sheetData>
      <sheetData sheetId="3">
        <row r="2">
          <cell r="D2">
            <v>689.63</v>
          </cell>
          <cell r="E2">
            <v>134.01</v>
          </cell>
        </row>
        <row r="3">
          <cell r="E3">
            <v>65.819599949999997</v>
          </cell>
        </row>
        <row r="4">
          <cell r="E4">
            <v>38.200000000000003</v>
          </cell>
        </row>
        <row r="5">
          <cell r="E5">
            <v>20.78</v>
          </cell>
        </row>
      </sheetData>
      <sheetData sheetId="4">
        <row r="15">
          <cell r="D15">
            <v>2035.5308015981941</v>
          </cell>
          <cell r="E15">
            <v>547.6736555548581</v>
          </cell>
        </row>
        <row r="17">
          <cell r="E17">
            <v>15596</v>
          </cell>
        </row>
      </sheetData>
      <sheetData sheetId="5">
        <row r="10">
          <cell r="D10">
            <v>639.343005925645</v>
          </cell>
          <cell r="E10">
            <v>172.921780098265</v>
          </cell>
        </row>
      </sheetData>
      <sheetData sheetId="6">
        <row r="3">
          <cell r="D3">
            <v>4077</v>
          </cell>
          <cell r="E3">
            <v>1087</v>
          </cell>
        </row>
        <row r="4">
          <cell r="E4">
            <v>165</v>
          </cell>
        </row>
      </sheetData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xh SC13"/>
      <sheetName val="Exh SC14"/>
      <sheetName val="SC14WP"/>
    </sheetNames>
    <sheetDataSet>
      <sheetData sheetId="0">
        <row r="13">
          <cell r="O13">
            <v>-255587</v>
          </cell>
        </row>
        <row r="15">
          <cell r="O15">
            <v>-69347</v>
          </cell>
        </row>
      </sheetData>
      <sheetData sheetId="1">
        <row r="18">
          <cell r="R18">
            <v>-177832.89743590041</v>
          </cell>
        </row>
        <row r="21">
          <cell r="R21">
            <v>-48250.077947146718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mpare Avista vs PC"/>
      <sheetName val="Summary"/>
      <sheetName val="PLN "/>
      <sheetName val="E-PLN-1"/>
      <sheetName val="PLE-1"/>
      <sheetName val="E-PLN-5"/>
      <sheetName val="PLE-2"/>
      <sheetName val="E-PLN-6"/>
      <sheetName val="PLE-4"/>
      <sheetName val="PLE-3"/>
      <sheetName val="G-WA-ADJ"/>
      <sheetName val="E-ID-ADJ"/>
      <sheetName val="G-ID-ADJ"/>
      <sheetName val="G-OR-ADJ"/>
      <sheetName val="G-PLN-1"/>
      <sheetName val="G-PLN-2"/>
      <sheetName val="PEB-1"/>
      <sheetName val="PEB-2"/>
      <sheetName val="PEB-3"/>
      <sheetName val="G-PLN-3"/>
      <sheetName val="G-PLN-4"/>
      <sheetName val="Sheet1"/>
    </sheetNames>
    <sheetDataSet>
      <sheetData sheetId="0"/>
      <sheetData sheetId="1">
        <row r="9">
          <cell r="E9">
            <v>357593</v>
          </cell>
        </row>
        <row r="55">
          <cell r="E55">
            <v>16220</v>
          </cell>
        </row>
        <row r="57">
          <cell r="E57">
            <v>165</v>
          </cell>
        </row>
        <row r="59">
          <cell r="E59">
            <v>155008</v>
          </cell>
        </row>
        <row r="61">
          <cell r="E61">
            <v>91919</v>
          </cell>
        </row>
        <row r="62">
          <cell r="E62">
            <v>7966</v>
          </cell>
        </row>
        <row r="63">
          <cell r="E63">
            <v>13</v>
          </cell>
        </row>
        <row r="65">
          <cell r="E65">
            <v>88426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PLN "/>
      <sheetName val="E-PLN-1"/>
      <sheetName val="PLE-1"/>
      <sheetName val="E-PLN-5"/>
      <sheetName val="PLE-2"/>
      <sheetName val="E-PLN-6"/>
      <sheetName val="PLE-4"/>
      <sheetName val="PLE-3"/>
      <sheetName val="G-WA-ADJ"/>
      <sheetName val="E-ID-ADJ"/>
      <sheetName val="G-ID-ADJ"/>
      <sheetName val="G-OR-ADJ"/>
      <sheetName val="G-PLN-1"/>
      <sheetName val="G-PLN-2"/>
      <sheetName val="PEB-1"/>
      <sheetName val="PEB-2"/>
      <sheetName val="PEB-3"/>
      <sheetName val="G-PLN-3"/>
      <sheetName val="G-PLN-4"/>
      <sheetName val="Sheet1"/>
    </sheetNames>
    <sheetDataSet>
      <sheetData sheetId="0">
        <row r="9">
          <cell r="F9">
            <v>-4385</v>
          </cell>
        </row>
        <row r="55">
          <cell r="F55">
            <v>-760</v>
          </cell>
        </row>
        <row r="57">
          <cell r="F57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5">
          <cell r="F65">
            <v>-86748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PI-1"/>
      <sheetName val="EPI-2"/>
    </sheetNames>
    <sheetDataSet>
      <sheetData sheetId="0">
        <row r="18">
          <cell r="E18">
            <v>-308372</v>
          </cell>
        </row>
        <row r="22">
          <cell r="E22">
            <v>-85687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-PT"/>
      <sheetName val="C-PT-1"/>
      <sheetName val="HPA-1"/>
    </sheetNames>
    <sheetDataSet>
      <sheetData sheetId="0"/>
      <sheetData sheetId="1">
        <row r="12">
          <cell r="F12">
            <v>799546</v>
          </cell>
          <cell r="O12">
            <v>12909</v>
          </cell>
        </row>
        <row r="14">
          <cell r="O14">
            <v>193551</v>
          </cell>
        </row>
        <row r="16">
          <cell r="O16">
            <v>2613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AF86"/>
  <sheetViews>
    <sheetView tabSelected="1" topLeftCell="K1" zoomScaleNormal="100" workbookViewId="0">
      <selection activeCell="Z1" sqref="Z1:Z4"/>
    </sheetView>
  </sheetViews>
  <sheetFormatPr defaultRowHeight="15.75"/>
  <cols>
    <col min="4" max="4" width="1.625" customWidth="1"/>
    <col min="6" max="6" width="1.625" customWidth="1"/>
    <col min="10" max="10" width="5.625" customWidth="1"/>
    <col min="11" max="11" width="3.625" customWidth="1"/>
    <col min="12" max="12" width="10.125" bestFit="1" customWidth="1"/>
    <col min="13" max="13" width="1.625" customWidth="1"/>
    <col min="14" max="14" width="9.125" bestFit="1" customWidth="1"/>
    <col min="15" max="15" width="1.625" customWidth="1"/>
    <col min="16" max="16" width="10.125" bestFit="1" customWidth="1"/>
    <col min="18" max="18" width="10.125" bestFit="1" customWidth="1"/>
    <col min="19" max="19" width="1.625" customWidth="1"/>
    <col min="21" max="21" width="1.625" customWidth="1"/>
    <col min="22" max="22" width="10.125" bestFit="1" customWidth="1"/>
    <col min="23" max="23" width="2.625" customWidth="1"/>
    <col min="24" max="24" width="19" bestFit="1" customWidth="1"/>
    <col min="25" max="25" width="2.625" style="67" customWidth="1"/>
    <col min="26" max="26" width="10.375" bestFit="1" customWidth="1"/>
    <col min="29" max="29" width="12.625" bestFit="1" customWidth="1"/>
  </cols>
  <sheetData>
    <row r="1" spans="3:32" ht="20.25">
      <c r="L1" s="87" t="s">
        <v>363</v>
      </c>
      <c r="Z1" s="107" t="s">
        <v>357</v>
      </c>
      <c r="AD1" t="s">
        <v>34</v>
      </c>
      <c r="AF1">
        <v>8.2500000000000004E-2</v>
      </c>
    </row>
    <row r="2" spans="3:32" ht="20.25">
      <c r="L2" s="87" t="s">
        <v>221</v>
      </c>
      <c r="X2" s="67"/>
      <c r="Z2" s="107" t="s">
        <v>358</v>
      </c>
      <c r="AD2" t="s">
        <v>35</v>
      </c>
      <c r="AF2">
        <v>0.62095</v>
      </c>
    </row>
    <row r="3" spans="3:32" s="67" customFormat="1" ht="20.25">
      <c r="I3" s="87"/>
      <c r="Z3" s="107" t="s">
        <v>360</v>
      </c>
    </row>
    <row r="4" spans="3:32" s="67" customFormat="1" ht="20.25">
      <c r="I4" s="87"/>
      <c r="Z4" s="108" t="s">
        <v>216</v>
      </c>
    </row>
    <row r="5" spans="3:32" s="67" customFormat="1" ht="6" customHeight="1">
      <c r="I5" s="87"/>
      <c r="Z5" s="106"/>
    </row>
    <row r="6" spans="3:32">
      <c r="E6" s="1" t="s">
        <v>27</v>
      </c>
      <c r="Z6" s="85" t="s">
        <v>381</v>
      </c>
    </row>
    <row r="7" spans="3:32">
      <c r="C7" s="1" t="s">
        <v>36</v>
      </c>
      <c r="D7" s="1"/>
      <c r="E7" s="1" t="s">
        <v>28</v>
      </c>
      <c r="X7" s="96" t="s">
        <v>38</v>
      </c>
      <c r="Z7" s="85" t="s">
        <v>217</v>
      </c>
    </row>
    <row r="8" spans="3:32">
      <c r="C8" s="1" t="s">
        <v>37</v>
      </c>
      <c r="D8" s="1"/>
      <c r="E8" s="1" t="s">
        <v>37</v>
      </c>
      <c r="L8" s="4"/>
      <c r="M8" s="4"/>
      <c r="N8" s="69" t="s">
        <v>231</v>
      </c>
      <c r="O8" s="4"/>
      <c r="P8" s="4"/>
      <c r="R8" s="4"/>
      <c r="S8" s="4"/>
      <c r="T8" s="69" t="s">
        <v>232</v>
      </c>
      <c r="U8" s="4"/>
      <c r="V8" s="4"/>
      <c r="X8" s="96" t="s">
        <v>233</v>
      </c>
      <c r="Z8" s="85" t="s">
        <v>218</v>
      </c>
    </row>
    <row r="9" spans="3:32">
      <c r="C9" s="2" t="s">
        <v>26</v>
      </c>
      <c r="D9" s="1"/>
      <c r="E9" s="2" t="s">
        <v>26</v>
      </c>
      <c r="G9" s="4" t="s">
        <v>29</v>
      </c>
      <c r="H9" s="4"/>
      <c r="I9" s="4"/>
      <c r="J9" s="4"/>
      <c r="K9" s="5"/>
      <c r="L9" s="6" t="s">
        <v>31</v>
      </c>
      <c r="M9" s="1"/>
      <c r="N9" s="6" t="s">
        <v>32</v>
      </c>
      <c r="O9" s="1"/>
      <c r="P9" s="6" t="s">
        <v>33</v>
      </c>
      <c r="R9" s="6" t="s">
        <v>31</v>
      </c>
      <c r="S9" s="1"/>
      <c r="T9" s="6" t="s">
        <v>32</v>
      </c>
      <c r="U9" s="1"/>
      <c r="V9" s="6" t="s">
        <v>33</v>
      </c>
      <c r="X9" s="69" t="s">
        <v>234</v>
      </c>
      <c r="Y9" s="71"/>
      <c r="Z9" s="69" t="s">
        <v>219</v>
      </c>
    </row>
    <row r="10" spans="3:32">
      <c r="C10" s="3"/>
      <c r="D10" s="3"/>
      <c r="E10" s="3"/>
      <c r="AC10" s="67" t="s">
        <v>211</v>
      </c>
    </row>
    <row r="11" spans="3:32">
      <c r="C11" s="3">
        <v>1</v>
      </c>
      <c r="D11" s="3"/>
      <c r="E11" s="3"/>
      <c r="G11" t="s">
        <v>0</v>
      </c>
      <c r="L11" s="9">
        <v>196579</v>
      </c>
      <c r="M11" s="8"/>
      <c r="N11" s="9">
        <v>12580</v>
      </c>
      <c r="O11" s="8"/>
      <c r="P11" s="12">
        <v>5858.3903700000001</v>
      </c>
      <c r="Q11" s="34"/>
      <c r="R11" s="13"/>
      <c r="S11" s="13"/>
      <c r="T11" s="13"/>
      <c r="U11" s="13"/>
      <c r="V11" s="13"/>
      <c r="AC11" s="67" t="s">
        <v>212</v>
      </c>
    </row>
    <row r="12" spans="3:32">
      <c r="C12" s="3"/>
      <c r="D12" s="3"/>
      <c r="E12" s="3"/>
      <c r="L12" s="8"/>
      <c r="M12" s="8"/>
      <c r="N12" s="8"/>
      <c r="O12" s="8"/>
      <c r="P12" s="12"/>
      <c r="Q12" s="35"/>
      <c r="R12" s="13"/>
      <c r="S12" s="13"/>
      <c r="T12" s="13"/>
      <c r="U12" s="13"/>
      <c r="V12" s="13"/>
      <c r="AC12" s="67" t="s">
        <v>213</v>
      </c>
    </row>
    <row r="13" spans="3:32">
      <c r="C13" s="3">
        <v>1.01</v>
      </c>
      <c r="D13" s="3"/>
      <c r="E13" s="3"/>
      <c r="G13" t="s">
        <v>1</v>
      </c>
      <c r="L13" s="32">
        <v>-297</v>
      </c>
      <c r="M13" s="8"/>
      <c r="N13" s="32">
        <v>-3.0873149999999998</v>
      </c>
      <c r="O13" s="8"/>
      <c r="P13" s="12">
        <f t="shared" ref="P13:P28" si="0">(+L13*$AF$1-N13)/$AF$2</f>
        <v>-34.487776793622679</v>
      </c>
      <c r="Q13" s="39"/>
      <c r="R13" s="13"/>
      <c r="S13" s="13"/>
      <c r="T13" s="13"/>
      <c r="U13" s="13"/>
      <c r="V13" s="13"/>
      <c r="X13" s="67" t="s">
        <v>354</v>
      </c>
      <c r="Z13" s="75"/>
      <c r="AC13" s="67" t="s">
        <v>214</v>
      </c>
    </row>
    <row r="14" spans="3:32">
      <c r="C14" s="3">
        <f>+C13+0.01</f>
        <v>1.02</v>
      </c>
      <c r="D14" s="3"/>
      <c r="E14" s="3"/>
      <c r="G14" t="s">
        <v>2</v>
      </c>
      <c r="L14" s="32">
        <v>12</v>
      </c>
      <c r="M14" s="8"/>
      <c r="N14" s="32">
        <v>-29.125260000000004</v>
      </c>
      <c r="O14" s="8"/>
      <c r="P14" s="12">
        <f t="shared" si="0"/>
        <v>48.498687494967392</v>
      </c>
      <c r="Q14" s="39"/>
      <c r="R14" s="13"/>
      <c r="S14" s="13"/>
      <c r="T14" s="13"/>
      <c r="U14" s="13"/>
      <c r="V14" s="13"/>
      <c r="X14" s="67" t="s">
        <v>354</v>
      </c>
      <c r="Z14" s="75"/>
    </row>
    <row r="15" spans="3:32">
      <c r="C15" s="3">
        <f>+C14+0.01</f>
        <v>1.03</v>
      </c>
      <c r="D15" s="3"/>
      <c r="E15" s="3"/>
      <c r="G15" t="s">
        <v>87</v>
      </c>
      <c r="L15" s="32">
        <v>649</v>
      </c>
      <c r="M15" s="8"/>
      <c r="N15" s="32">
        <v>-123.25364500000001</v>
      </c>
      <c r="O15" s="8"/>
      <c r="P15" s="12">
        <f t="shared" si="0"/>
        <v>284.71880988807476</v>
      </c>
      <c r="Q15" s="39"/>
      <c r="R15" s="13"/>
      <c r="S15" s="13"/>
      <c r="T15" s="13"/>
      <c r="U15" s="13"/>
      <c r="V15" s="13"/>
      <c r="X15" s="67" t="s">
        <v>354</v>
      </c>
      <c r="Z15" s="75"/>
    </row>
    <row r="16" spans="3:32">
      <c r="C16" s="3">
        <v>2.0099999999999998</v>
      </c>
      <c r="D16" s="3"/>
      <c r="E16" s="3" t="s">
        <v>115</v>
      </c>
      <c r="G16" t="s">
        <v>88</v>
      </c>
      <c r="L16" s="32">
        <v>0</v>
      </c>
      <c r="M16" s="8"/>
      <c r="N16" s="32">
        <v>1540.5</v>
      </c>
      <c r="O16" s="8"/>
      <c r="P16" s="12">
        <f t="shared" si="0"/>
        <v>-2480.8760769788228</v>
      </c>
      <c r="Q16" s="39"/>
      <c r="R16" s="13"/>
      <c r="S16" s="13"/>
      <c r="T16" s="13">
        <f>+'Rev Norm'!I31</f>
        <v>1801.8812499999999</v>
      </c>
      <c r="U16" s="13"/>
      <c r="V16" s="12">
        <f>(+R15*$AF$1-T16)/$AF$2</f>
        <v>-2901.8137531202187</v>
      </c>
      <c r="X16" s="67" t="s">
        <v>356</v>
      </c>
      <c r="Z16" s="75">
        <f>+V16-P16</f>
        <v>-420.93767614139597</v>
      </c>
    </row>
    <row r="17" spans="3:29">
      <c r="C17" s="3">
        <f t="shared" ref="C17:C46" si="1">+C16+0.01</f>
        <v>2.0199999999999996</v>
      </c>
      <c r="D17" s="3"/>
      <c r="E17" s="3"/>
      <c r="G17" t="s">
        <v>3</v>
      </c>
      <c r="L17" s="32">
        <v>0</v>
      </c>
      <c r="M17" s="8"/>
      <c r="N17" s="32">
        <v>-4.5500000000000007</v>
      </c>
      <c r="O17" s="8"/>
      <c r="P17" s="12">
        <f t="shared" si="0"/>
        <v>7.3274820839036972</v>
      </c>
      <c r="Q17" s="39"/>
      <c r="R17" s="13"/>
      <c r="S17" s="13"/>
      <c r="T17" s="13"/>
      <c r="U17" s="13"/>
      <c r="V17" s="13"/>
      <c r="X17" s="67" t="s">
        <v>354</v>
      </c>
      <c r="Z17" s="75"/>
    </row>
    <row r="18" spans="3:29">
      <c r="C18" s="3">
        <f t="shared" si="1"/>
        <v>2.0299999999999994</v>
      </c>
      <c r="D18" s="3"/>
      <c r="E18" s="3"/>
      <c r="G18" t="s">
        <v>4</v>
      </c>
      <c r="L18" s="32">
        <v>0</v>
      </c>
      <c r="M18" s="8"/>
      <c r="N18" s="32">
        <v>237.25</v>
      </c>
      <c r="O18" s="8"/>
      <c r="P18" s="12">
        <f t="shared" si="0"/>
        <v>-382.07585151783559</v>
      </c>
      <c r="Q18" s="39"/>
      <c r="R18" s="13"/>
      <c r="S18" s="13"/>
      <c r="T18" s="13"/>
      <c r="U18" s="13"/>
      <c r="V18" s="13"/>
      <c r="X18" s="67" t="s">
        <v>354</v>
      </c>
      <c r="Z18" s="75"/>
    </row>
    <row r="19" spans="3:29">
      <c r="C19" s="3">
        <f t="shared" si="1"/>
        <v>2.0399999999999991</v>
      </c>
      <c r="D19" s="3"/>
      <c r="E19" s="3"/>
      <c r="G19" t="s">
        <v>5</v>
      </c>
      <c r="L19" s="32">
        <v>0</v>
      </c>
      <c r="M19" s="8"/>
      <c r="N19" s="32">
        <v>-28.6</v>
      </c>
      <c r="O19" s="8"/>
      <c r="P19" s="12">
        <f t="shared" si="0"/>
        <v>46.058458813108949</v>
      </c>
      <c r="Q19" s="39"/>
      <c r="R19" s="13"/>
      <c r="S19" s="13"/>
      <c r="T19" s="13"/>
      <c r="U19" s="13"/>
      <c r="V19" s="13"/>
      <c r="X19" s="67" t="s">
        <v>354</v>
      </c>
      <c r="Z19" s="75"/>
    </row>
    <row r="20" spans="3:29">
      <c r="C20" s="3">
        <f t="shared" si="1"/>
        <v>2.0499999999999989</v>
      </c>
      <c r="D20" s="3"/>
      <c r="G20" t="s">
        <v>6</v>
      </c>
      <c r="L20" s="32">
        <v>0</v>
      </c>
      <c r="M20" s="8"/>
      <c r="N20" s="32">
        <v>-120.9</v>
      </c>
      <c r="O20" s="8"/>
      <c r="P20" s="12">
        <f t="shared" si="0"/>
        <v>194.70166680086965</v>
      </c>
      <c r="Q20" s="39"/>
      <c r="R20" s="13"/>
      <c r="S20" s="13"/>
      <c r="X20" s="67" t="s">
        <v>354</v>
      </c>
      <c r="Z20" s="75"/>
    </row>
    <row r="21" spans="3:29">
      <c r="C21" s="3">
        <f t="shared" si="1"/>
        <v>2.0599999999999987</v>
      </c>
      <c r="D21" s="3"/>
      <c r="E21" s="3" t="s">
        <v>112</v>
      </c>
      <c r="G21" t="s">
        <v>89</v>
      </c>
      <c r="L21" s="32">
        <v>0</v>
      </c>
      <c r="M21" s="8"/>
      <c r="N21" s="32">
        <v>10</v>
      </c>
      <c r="O21" s="8"/>
      <c r="P21" s="12">
        <f t="shared" si="0"/>
        <v>-16.104356228359773</v>
      </c>
      <c r="Q21" s="39"/>
      <c r="R21" s="13"/>
      <c r="S21" s="13"/>
      <c r="T21" s="7">
        <f>-DFIT!I15/1000</f>
        <v>30.431000000000001</v>
      </c>
      <c r="U21" s="8"/>
      <c r="V21" s="12">
        <f>(+R20*$AF$1-T21)/$AF$2</f>
        <v>-49.007166438521622</v>
      </c>
      <c r="X21" s="67" t="s">
        <v>356</v>
      </c>
      <c r="Z21" s="75">
        <f>+V21-P21</f>
        <v>-32.902810210161846</v>
      </c>
    </row>
    <row r="22" spans="3:29">
      <c r="C22" s="3">
        <f t="shared" si="1"/>
        <v>2.0699999999999985</v>
      </c>
      <c r="D22" s="3"/>
      <c r="E22" s="3"/>
      <c r="G22" t="s">
        <v>10</v>
      </c>
      <c r="L22" s="32">
        <v>0</v>
      </c>
      <c r="M22" s="8"/>
      <c r="N22" s="32">
        <v>1.9500000000000002</v>
      </c>
      <c r="O22" s="8"/>
      <c r="P22" s="12">
        <f t="shared" si="0"/>
        <v>-3.1403494645301557</v>
      </c>
      <c r="Q22" s="39"/>
      <c r="R22" s="13"/>
      <c r="S22" s="13"/>
      <c r="T22" s="13"/>
      <c r="U22" s="13"/>
      <c r="V22" s="13"/>
      <c r="X22" s="67" t="s">
        <v>354</v>
      </c>
      <c r="Z22" s="75"/>
    </row>
    <row r="23" spans="3:29">
      <c r="C23" s="3">
        <f t="shared" si="1"/>
        <v>2.0799999999999983</v>
      </c>
      <c r="D23" s="3"/>
      <c r="E23" s="3"/>
      <c r="G23" t="s">
        <v>7</v>
      </c>
      <c r="L23" s="32">
        <v>0</v>
      </c>
      <c r="M23" s="8"/>
      <c r="N23" s="32">
        <v>0</v>
      </c>
      <c r="O23" s="8"/>
      <c r="P23" s="12">
        <f t="shared" si="0"/>
        <v>0</v>
      </c>
      <c r="Q23" s="39"/>
      <c r="R23" s="13"/>
      <c r="S23" s="13"/>
      <c r="T23" s="13"/>
      <c r="U23" s="13"/>
      <c r="V23" s="13"/>
      <c r="X23" s="67" t="s">
        <v>354</v>
      </c>
      <c r="Z23" s="75"/>
    </row>
    <row r="24" spans="3:29">
      <c r="C24" s="3">
        <f t="shared" si="1"/>
        <v>2.0899999999999981</v>
      </c>
      <c r="D24" s="3"/>
      <c r="E24" s="3"/>
      <c r="G24" t="s">
        <v>8</v>
      </c>
      <c r="L24" s="32">
        <v>0</v>
      </c>
      <c r="M24" s="8"/>
      <c r="N24" s="32">
        <v>0.65</v>
      </c>
      <c r="O24" s="8"/>
      <c r="P24" s="12">
        <f t="shared" si="0"/>
        <v>-1.0467831548433852</v>
      </c>
      <c r="Q24" s="39"/>
      <c r="R24" s="13"/>
      <c r="S24" s="13"/>
      <c r="T24" s="13"/>
      <c r="U24" s="13"/>
      <c r="V24" s="13"/>
      <c r="X24" s="67" t="s">
        <v>354</v>
      </c>
      <c r="Z24" s="75"/>
    </row>
    <row r="25" spans="3:29">
      <c r="C25" s="3">
        <f t="shared" si="1"/>
        <v>2.0999999999999979</v>
      </c>
      <c r="D25" s="3"/>
      <c r="E25" s="3"/>
      <c r="G25" t="s">
        <v>9</v>
      </c>
      <c r="L25" s="32">
        <v>0</v>
      </c>
      <c r="M25" s="8"/>
      <c r="N25" s="32">
        <v>-1.3</v>
      </c>
      <c r="O25" s="8"/>
      <c r="P25" s="12">
        <f t="shared" si="0"/>
        <v>2.0935663096867705</v>
      </c>
      <c r="Q25" s="39"/>
      <c r="R25" s="13"/>
      <c r="S25" s="13"/>
      <c r="T25" s="13"/>
      <c r="U25" s="13"/>
      <c r="V25" s="13"/>
      <c r="X25" s="67" t="s">
        <v>354</v>
      </c>
      <c r="Z25" s="75"/>
    </row>
    <row r="26" spans="3:29">
      <c r="C26" s="3">
        <f t="shared" si="1"/>
        <v>2.1099999999999977</v>
      </c>
      <c r="D26" s="3"/>
      <c r="E26" s="3"/>
      <c r="G26" t="s">
        <v>11</v>
      </c>
      <c r="L26" s="32">
        <v>0</v>
      </c>
      <c r="M26" s="8"/>
      <c r="N26" s="32">
        <v>16.25</v>
      </c>
      <c r="O26" s="8"/>
      <c r="P26" s="12">
        <f t="shared" si="0"/>
        <v>-26.169578871084628</v>
      </c>
      <c r="Q26" s="39"/>
      <c r="R26" s="13"/>
      <c r="S26" s="13"/>
      <c r="T26" s="13"/>
      <c r="U26" s="13"/>
      <c r="V26" s="13"/>
      <c r="X26" s="67" t="s">
        <v>354</v>
      </c>
      <c r="Z26" s="75"/>
      <c r="AC26" s="3">
        <v>45000</v>
      </c>
    </row>
    <row r="27" spans="3:29">
      <c r="C27" s="3">
        <f t="shared" si="1"/>
        <v>2.1199999999999974</v>
      </c>
      <c r="D27" s="3"/>
      <c r="E27" s="70" t="s">
        <v>289</v>
      </c>
      <c r="G27" t="s">
        <v>12</v>
      </c>
      <c r="L27" s="32">
        <v>0</v>
      </c>
      <c r="M27" s="8"/>
      <c r="N27" s="32">
        <v>-131.94999999999999</v>
      </c>
      <c r="O27" s="8"/>
      <c r="P27" s="12">
        <f t="shared" si="0"/>
        <v>212.49698043320717</v>
      </c>
      <c r="Q27" s="39"/>
      <c r="R27" s="13"/>
      <c r="S27" s="13"/>
      <c r="T27" s="75">
        <f>+STIP!I29/1000</f>
        <v>-82.730700000000013</v>
      </c>
      <c r="U27" s="13"/>
      <c r="V27" s="74">
        <f>(+R26*$AF$1-T27)/$AF$2</f>
        <v>133.23246638215639</v>
      </c>
      <c r="X27" s="67" t="s">
        <v>356</v>
      </c>
      <c r="Z27" s="75">
        <f>+V27-P27</f>
        <v>-79.264514051050782</v>
      </c>
      <c r="AC27" s="3"/>
    </row>
    <row r="28" spans="3:29">
      <c r="C28" s="3">
        <f t="shared" si="1"/>
        <v>2.1299999999999972</v>
      </c>
      <c r="D28" s="3"/>
      <c r="E28" s="3"/>
      <c r="G28" t="s">
        <v>13</v>
      </c>
      <c r="L28" s="52">
        <v>0</v>
      </c>
      <c r="M28" s="8"/>
      <c r="N28" s="32">
        <v>22</v>
      </c>
      <c r="O28" s="8"/>
      <c r="P28" s="78">
        <f t="shared" si="0"/>
        <v>-35.429583702391497</v>
      </c>
      <c r="Q28" s="39"/>
      <c r="R28" s="13"/>
      <c r="S28" s="13"/>
      <c r="T28" s="13"/>
      <c r="U28" s="13"/>
      <c r="V28" s="13"/>
      <c r="X28" s="67" t="s">
        <v>354</v>
      </c>
      <c r="Z28" s="75"/>
      <c r="AC28" s="3">
        <v>25000</v>
      </c>
    </row>
    <row r="29" spans="3:29" s="67" customFormat="1">
      <c r="C29" s="70"/>
      <c r="D29" s="70"/>
      <c r="E29" s="70" t="s">
        <v>130</v>
      </c>
      <c r="G29" s="67" t="s">
        <v>129</v>
      </c>
      <c r="L29" s="52"/>
      <c r="M29" s="73"/>
      <c r="N29" s="32"/>
      <c r="O29" s="73"/>
      <c r="P29" s="78"/>
      <c r="Q29" s="39"/>
      <c r="R29" s="75"/>
      <c r="S29" s="75"/>
      <c r="T29" s="75">
        <f>+'Perf Excel'!I23/1000</f>
        <v>199.31925000000001</v>
      </c>
      <c r="U29" s="75"/>
      <c r="V29" s="74">
        <f t="shared" ref="V29:V38" si="2">(+R28*$AF$1-T29)/$AF$2</f>
        <v>-320.99082051694984</v>
      </c>
      <c r="X29" s="67" t="s">
        <v>163</v>
      </c>
      <c r="Z29" s="75">
        <f t="shared" ref="Z29:Z38" si="3">+V29-P29</f>
        <v>-320.99082051694984</v>
      </c>
      <c r="AC29" s="70"/>
    </row>
    <row r="30" spans="3:29" s="67" customFormat="1">
      <c r="C30" s="70"/>
      <c r="D30" s="70"/>
      <c r="E30" s="70" t="s">
        <v>164</v>
      </c>
      <c r="G30" s="67" t="s">
        <v>161</v>
      </c>
      <c r="L30" s="52"/>
      <c r="M30" s="73"/>
      <c r="N30" s="32"/>
      <c r="O30" s="73"/>
      <c r="P30" s="78"/>
      <c r="Q30" s="39"/>
      <c r="R30" s="75"/>
      <c r="S30" s="75"/>
      <c r="T30" s="75">
        <f>+Discretionary!I32/1000</f>
        <v>10.120825</v>
      </c>
      <c r="U30" s="75"/>
      <c r="V30" s="74">
        <f t="shared" si="2"/>
        <v>-16.298937112488929</v>
      </c>
      <c r="X30" s="67" t="s">
        <v>163</v>
      </c>
      <c r="Z30" s="75">
        <f t="shared" si="3"/>
        <v>-16.298937112488929</v>
      </c>
      <c r="AC30" s="70"/>
    </row>
    <row r="31" spans="3:29" s="67" customFormat="1">
      <c r="C31" s="70"/>
      <c r="D31" s="70"/>
      <c r="E31" s="70" t="s">
        <v>165</v>
      </c>
      <c r="G31" s="67" t="s">
        <v>160</v>
      </c>
      <c r="L31" s="52"/>
      <c r="M31" s="73"/>
      <c r="N31" s="32"/>
      <c r="O31" s="73"/>
      <c r="P31" s="78"/>
      <c r="Q31" s="39"/>
      <c r="R31" s="75"/>
      <c r="S31" s="75"/>
      <c r="T31" s="75">
        <f>+'Dues &amp; Don''ts'!I34/1000</f>
        <v>14.857564494410711</v>
      </c>
      <c r="U31" s="75"/>
      <c r="V31" s="74">
        <f t="shared" si="2"/>
        <v>-23.927151130382015</v>
      </c>
      <c r="X31" s="67" t="s">
        <v>163</v>
      </c>
      <c r="Z31" s="75">
        <f t="shared" si="3"/>
        <v>-23.927151130382015</v>
      </c>
      <c r="AC31" s="70"/>
    </row>
    <row r="32" spans="3:29" s="67" customFormat="1">
      <c r="C32" s="70"/>
      <c r="D32" s="70"/>
      <c r="E32" s="70" t="s">
        <v>166</v>
      </c>
      <c r="G32" s="67" t="s">
        <v>175</v>
      </c>
      <c r="L32" s="52"/>
      <c r="M32" s="73"/>
      <c r="N32" s="32"/>
      <c r="O32" s="73"/>
      <c r="P32" s="78"/>
      <c r="Q32" s="39"/>
      <c r="R32" s="75"/>
      <c r="S32" s="75"/>
      <c r="T32" s="75">
        <f>+'Advertising DSM'!I32/1000</f>
        <v>10.605787033174531</v>
      </c>
      <c r="U32" s="75"/>
      <c r="V32" s="74">
        <f t="shared" si="2"/>
        <v>-17.079937246436156</v>
      </c>
      <c r="X32" s="67" t="s">
        <v>163</v>
      </c>
      <c r="Z32" s="75">
        <f t="shared" si="3"/>
        <v>-17.079937246436156</v>
      </c>
      <c r="AC32" s="70"/>
    </row>
    <row r="33" spans="3:29" s="67" customFormat="1">
      <c r="C33" s="70"/>
      <c r="D33" s="70"/>
      <c r="E33" s="70" t="s">
        <v>185</v>
      </c>
      <c r="G33" s="67" t="s">
        <v>186</v>
      </c>
      <c r="L33" s="52"/>
      <c r="M33" s="73"/>
      <c r="N33" s="32"/>
      <c r="O33" s="73"/>
      <c r="P33" s="78"/>
      <c r="Q33" s="39"/>
      <c r="R33" s="75"/>
      <c r="S33" s="75"/>
      <c r="T33" s="75">
        <f>+Aircraft!I29/1000</f>
        <v>0.81379999999999997</v>
      </c>
      <c r="U33" s="75"/>
      <c r="V33" s="74">
        <f t="shared" si="2"/>
        <v>-1.310572509863918</v>
      </c>
      <c r="X33" s="67" t="s">
        <v>163</v>
      </c>
      <c r="Z33" s="75">
        <f t="shared" si="3"/>
        <v>-1.310572509863918</v>
      </c>
      <c r="AC33" s="70"/>
    </row>
    <row r="34" spans="3:29" s="67" customFormat="1">
      <c r="C34" s="70"/>
      <c r="D34" s="70"/>
      <c r="E34" s="70" t="s">
        <v>201</v>
      </c>
      <c r="G34" s="67" t="s">
        <v>200</v>
      </c>
      <c r="L34" s="52"/>
      <c r="M34" s="73"/>
      <c r="N34" s="32"/>
      <c r="O34" s="73"/>
      <c r="P34" s="78"/>
      <c r="Q34" s="39"/>
      <c r="R34" s="75"/>
      <c r="S34" s="75"/>
      <c r="T34" s="75">
        <f>+Audit!I39/1000</f>
        <v>3.0117678382886517</v>
      </c>
      <c r="U34" s="75"/>
      <c r="V34" s="74">
        <f t="shared" si="2"/>
        <v>-4.850258214491749</v>
      </c>
      <c r="X34" s="67" t="s">
        <v>163</v>
      </c>
      <c r="Z34" s="75">
        <f t="shared" si="3"/>
        <v>-4.850258214491749</v>
      </c>
      <c r="AC34" s="70"/>
    </row>
    <row r="35" spans="3:29" s="67" customFormat="1">
      <c r="C35" s="70"/>
      <c r="D35" s="70"/>
      <c r="E35" s="70" t="s">
        <v>309</v>
      </c>
      <c r="G35" s="67" t="s">
        <v>313</v>
      </c>
      <c r="L35" s="52"/>
      <c r="M35" s="73"/>
      <c r="N35" s="32"/>
      <c r="O35" s="73"/>
      <c r="P35" s="78"/>
      <c r="Q35" s="39"/>
      <c r="R35" s="75"/>
      <c r="S35" s="75"/>
      <c r="T35" s="75">
        <f>+'BOD Stock'!J23/1000</f>
        <v>45.07555</v>
      </c>
      <c r="U35" s="75"/>
      <c r="V35" s="74">
        <f t="shared" si="2"/>
        <v>-72.591271438924224</v>
      </c>
      <c r="X35" s="67" t="s">
        <v>163</v>
      </c>
      <c r="Z35" s="75">
        <f t="shared" si="3"/>
        <v>-72.591271438924224</v>
      </c>
      <c r="AC35" s="70"/>
    </row>
    <row r="36" spans="3:29" s="67" customFormat="1">
      <c r="C36" s="70"/>
      <c r="D36" s="70"/>
      <c r="E36" s="70" t="s">
        <v>310</v>
      </c>
      <c r="G36" s="67" t="s">
        <v>314</v>
      </c>
      <c r="L36" s="52"/>
      <c r="M36" s="73"/>
      <c r="N36" s="32"/>
      <c r="O36" s="73"/>
      <c r="P36" s="78"/>
      <c r="Q36" s="39"/>
      <c r="R36" s="75"/>
      <c r="S36" s="75"/>
      <c r="T36" s="75">
        <f>+'BOD Retainer'!J23/1000</f>
        <v>31.362550665645369</v>
      </c>
      <c r="U36" s="75"/>
      <c r="V36" s="74">
        <f t="shared" si="2"/>
        <v>-50.507368814953487</v>
      </c>
      <c r="X36" s="67" t="s">
        <v>163</v>
      </c>
      <c r="Z36" s="75">
        <f t="shared" si="3"/>
        <v>-50.507368814953487</v>
      </c>
      <c r="AC36" s="70"/>
    </row>
    <row r="37" spans="3:29" s="67" customFormat="1">
      <c r="C37" s="70"/>
      <c r="D37" s="70"/>
      <c r="E37" s="70" t="s">
        <v>311</v>
      </c>
      <c r="G37" s="67" t="s">
        <v>350</v>
      </c>
      <c r="L37" s="52"/>
      <c r="M37" s="73"/>
      <c r="N37" s="32"/>
      <c r="O37" s="73"/>
      <c r="P37" s="78"/>
      <c r="Q37" s="39"/>
      <c r="R37" s="75"/>
      <c r="S37" s="75"/>
      <c r="T37" s="75">
        <f>+'Officer Benefits'!J24/1000</f>
        <v>54.264960213583265</v>
      </c>
      <c r="U37" s="75"/>
      <c r="V37" s="74">
        <f t="shared" si="2"/>
        <v>-87.390224999731487</v>
      </c>
      <c r="X37" s="67" t="s">
        <v>163</v>
      </c>
      <c r="Z37" s="75">
        <f t="shared" si="3"/>
        <v>-87.390224999731487</v>
      </c>
      <c r="AC37" s="70"/>
    </row>
    <row r="38" spans="3:29" s="67" customFormat="1">
      <c r="C38" s="70"/>
      <c r="D38" s="70"/>
      <c r="E38" s="70" t="s">
        <v>312</v>
      </c>
      <c r="G38" s="67" t="s">
        <v>315</v>
      </c>
      <c r="L38" s="52"/>
      <c r="M38" s="73"/>
      <c r="N38" s="32"/>
      <c r="O38" s="73"/>
      <c r="P38" s="78"/>
      <c r="Q38" s="39"/>
      <c r="R38" s="75"/>
      <c r="S38" s="75"/>
      <c r="T38" s="75">
        <f>+'Comp Study'!J25/1000</f>
        <v>0.85540000000000005</v>
      </c>
      <c r="U38" s="75"/>
      <c r="V38" s="74">
        <f t="shared" si="2"/>
        <v>-1.3775666317738948</v>
      </c>
      <c r="X38" s="67" t="s">
        <v>163</v>
      </c>
      <c r="Z38" s="75">
        <f t="shared" si="3"/>
        <v>-1.3775666317738948</v>
      </c>
      <c r="AC38" s="70"/>
    </row>
    <row r="39" spans="3:29">
      <c r="C39" s="3"/>
      <c r="D39" s="3"/>
      <c r="E39" s="3"/>
      <c r="G39" s="94" t="s">
        <v>111</v>
      </c>
      <c r="L39" s="93">
        <f>SUM(L11:L38)</f>
        <v>196943</v>
      </c>
      <c r="M39" s="94"/>
      <c r="N39" s="93">
        <f>SUM(N11:N38)</f>
        <v>13965.833779999999</v>
      </c>
      <c r="O39" s="94"/>
      <c r="P39" s="93">
        <f>SUM(P11:P38)</f>
        <v>3674.9556651123289</v>
      </c>
      <c r="Q39" s="40"/>
      <c r="R39" s="93">
        <f>SUM(R11:R38)</f>
        <v>0</v>
      </c>
      <c r="S39" s="92"/>
      <c r="T39" s="93">
        <f>SUM(T11:T38)</f>
        <v>2119.8690052451025</v>
      </c>
      <c r="U39" s="92"/>
      <c r="V39" s="93">
        <f>SUM(V11:V38)</f>
        <v>-3413.9125617925797</v>
      </c>
      <c r="X39" s="67"/>
      <c r="Z39" s="93">
        <f>SUM(Z11:Z38)</f>
        <v>-1129.4291090186043</v>
      </c>
      <c r="AC39" s="3">
        <v>30.5</v>
      </c>
    </row>
    <row r="40" spans="3:29">
      <c r="C40" s="3">
        <v>3</v>
      </c>
      <c r="D40" s="3"/>
      <c r="E40" s="3" t="s">
        <v>114</v>
      </c>
      <c r="G40" t="s">
        <v>15</v>
      </c>
      <c r="L40" s="9">
        <v>0</v>
      </c>
      <c r="M40" s="8"/>
      <c r="N40" s="32">
        <v>-381.55</v>
      </c>
      <c r="O40" s="8"/>
      <c r="P40" s="12">
        <f t="shared" ref="P40:P46" si="4">(+L40*$AF$1-N40)/$AF$2</f>
        <v>614.4617118930671</v>
      </c>
      <c r="Q40" s="39"/>
      <c r="R40" s="13"/>
      <c r="S40" s="13"/>
      <c r="T40" s="13">
        <f>+Labor!I34/1000</f>
        <v>-233.81604999999999</v>
      </c>
      <c r="U40" s="13"/>
      <c r="V40" s="12">
        <f>(+R39*$AF$1-T40)/$AF$2</f>
        <v>376.54569611079796</v>
      </c>
      <c r="X40" s="67" t="s">
        <v>356</v>
      </c>
      <c r="Z40" s="75">
        <f>+V40-P40</f>
        <v>-237.91601578226914</v>
      </c>
      <c r="AC40" s="3">
        <f>+AC28*AC39</f>
        <v>762500</v>
      </c>
    </row>
    <row r="41" spans="3:29">
      <c r="C41" s="3">
        <f t="shared" si="1"/>
        <v>3.01</v>
      </c>
      <c r="D41" s="3"/>
      <c r="E41" s="70" t="s">
        <v>341</v>
      </c>
      <c r="G41" t="s">
        <v>14</v>
      </c>
      <c r="L41" s="9">
        <v>0</v>
      </c>
      <c r="M41" s="8"/>
      <c r="N41" s="32">
        <v>7.8000000000000007</v>
      </c>
      <c r="O41" s="8"/>
      <c r="P41" s="12">
        <f t="shared" si="4"/>
        <v>-12.561397858120623</v>
      </c>
      <c r="Q41" s="39"/>
      <c r="R41" s="13"/>
      <c r="S41" s="13"/>
      <c r="T41" s="13">
        <f>+'Exec Labor'!I35/1000</f>
        <v>56.880199999999995</v>
      </c>
      <c r="U41" s="13"/>
      <c r="V41" s="74">
        <f>(+R40*$AF$1-T41)/$AF$2</f>
        <v>-91.601900314034935</v>
      </c>
      <c r="X41" s="67" t="s">
        <v>356</v>
      </c>
      <c r="Z41" s="75">
        <f>+V41-P41</f>
        <v>-79.040502455914307</v>
      </c>
    </row>
    <row r="42" spans="3:29">
      <c r="C42" s="3">
        <f t="shared" si="1"/>
        <v>3.0199999999999996</v>
      </c>
      <c r="D42" s="3"/>
      <c r="E42" s="3"/>
      <c r="G42" t="s">
        <v>16</v>
      </c>
      <c r="L42" s="17">
        <v>0</v>
      </c>
      <c r="M42" s="18"/>
      <c r="N42" s="32">
        <v>-596.70000000000005</v>
      </c>
      <c r="O42" s="18"/>
      <c r="P42" s="12">
        <f t="shared" si="4"/>
        <v>960.94693614622759</v>
      </c>
      <c r="Q42" s="39"/>
      <c r="R42" s="13"/>
      <c r="S42" s="13"/>
      <c r="T42" s="13"/>
      <c r="U42" s="13"/>
      <c r="V42" s="13"/>
      <c r="X42" s="67" t="s">
        <v>354</v>
      </c>
      <c r="Z42" s="75"/>
      <c r="AC42" s="43">
        <f>+AC26/AC40</f>
        <v>5.9016393442622953E-2</v>
      </c>
    </row>
    <row r="43" spans="3:29">
      <c r="C43" s="3">
        <f t="shared" si="1"/>
        <v>3.0299999999999994</v>
      </c>
      <c r="D43" s="3"/>
      <c r="E43" s="70" t="s">
        <v>288</v>
      </c>
      <c r="G43" t="s">
        <v>17</v>
      </c>
      <c r="L43" s="17"/>
      <c r="M43" s="18"/>
      <c r="N43" s="32">
        <v>18.200000000000003</v>
      </c>
      <c r="O43" s="18"/>
      <c r="P43" s="12">
        <f t="shared" si="4"/>
        <v>-29.309928335614789</v>
      </c>
      <c r="Q43" s="39"/>
      <c r="R43" s="13"/>
      <c r="S43" s="13"/>
      <c r="T43" s="13">
        <f>+Insur!I23/1000</f>
        <v>55.696550000000002</v>
      </c>
      <c r="U43" s="13"/>
      <c r="V43" s="74">
        <f>(+R42*$AF$1-T43)/$AF$2</f>
        <v>-89.695708189065144</v>
      </c>
      <c r="X43" s="67" t="s">
        <v>356</v>
      </c>
      <c r="Z43" s="75">
        <f>+V43-P43</f>
        <v>-60.385779853450359</v>
      </c>
    </row>
    <row r="44" spans="3:29">
      <c r="C44" s="3">
        <f t="shared" si="1"/>
        <v>3.0399999999999991</v>
      </c>
      <c r="D44" s="3"/>
      <c r="E44" s="3" t="s">
        <v>113</v>
      </c>
      <c r="G44" t="s">
        <v>18</v>
      </c>
      <c r="L44" s="17"/>
      <c r="M44" s="18"/>
      <c r="N44" s="32">
        <v>-182</v>
      </c>
      <c r="O44" s="18"/>
      <c r="P44" s="12">
        <f t="shared" si="4"/>
        <v>293.09928335614785</v>
      </c>
      <c r="Q44" s="39"/>
      <c r="R44" s="13"/>
      <c r="S44" s="13"/>
      <c r="T44" s="13">
        <f>+'Prop Tax'!I30/1000</f>
        <v>-135.89745000000002</v>
      </c>
      <c r="U44" s="13"/>
      <c r="V44" s="12">
        <f>(+R43*$AF$1-T44)/$AF$2</f>
        <v>218.85409453257108</v>
      </c>
      <c r="X44" s="67" t="s">
        <v>356</v>
      </c>
      <c r="Z44" s="75">
        <f>+V44-P44</f>
        <v>-74.245188823576768</v>
      </c>
    </row>
    <row r="45" spans="3:29">
      <c r="C45" s="3">
        <f t="shared" si="1"/>
        <v>3.0499999999999989</v>
      </c>
      <c r="D45" s="3"/>
      <c r="E45" s="3"/>
      <c r="G45" t="s">
        <v>90</v>
      </c>
      <c r="L45" s="17"/>
      <c r="M45" s="18"/>
      <c r="N45" s="32">
        <v>-121.55</v>
      </c>
      <c r="O45" s="18"/>
      <c r="P45" s="12">
        <f t="shared" si="4"/>
        <v>195.74844995571303</v>
      </c>
      <c r="Q45" s="39"/>
      <c r="R45" s="13"/>
      <c r="S45" s="13"/>
      <c r="T45" s="13"/>
      <c r="U45" s="13"/>
      <c r="V45" s="12"/>
      <c r="X45" s="67" t="s">
        <v>354</v>
      </c>
      <c r="Z45" s="75"/>
      <c r="AC45">
        <f>+AC40*12</f>
        <v>9150000</v>
      </c>
    </row>
    <row r="46" spans="3:29">
      <c r="C46" s="3">
        <f t="shared" si="1"/>
        <v>3.0599999999999987</v>
      </c>
      <c r="D46" s="3"/>
      <c r="E46" s="3"/>
      <c r="G46" t="s">
        <v>19</v>
      </c>
      <c r="L46" s="10">
        <v>7165</v>
      </c>
      <c r="M46" s="18"/>
      <c r="N46" s="38">
        <v>-155.61982500000002</v>
      </c>
      <c r="O46" s="18"/>
      <c r="P46" s="14">
        <f t="shared" si="4"/>
        <v>1202.5643369031325</v>
      </c>
      <c r="Q46" s="39"/>
      <c r="R46" s="17">
        <v>7165</v>
      </c>
      <c r="S46" s="18"/>
      <c r="T46" s="32">
        <v>-155.61982500000002</v>
      </c>
      <c r="U46" s="18"/>
      <c r="V46" s="12">
        <f>(+R46*$AF$1-T46)/$AF$2</f>
        <v>1202.5643369031325</v>
      </c>
      <c r="X46" s="67" t="s">
        <v>215</v>
      </c>
      <c r="Z46" s="75"/>
    </row>
    <row r="47" spans="3:29">
      <c r="C47" s="3"/>
      <c r="D47" s="3"/>
      <c r="E47" s="3"/>
      <c r="G47" s="94" t="s">
        <v>20</v>
      </c>
      <c r="L47" s="89">
        <f>SUM(L39:L46)</f>
        <v>204108</v>
      </c>
      <c r="M47" s="90"/>
      <c r="N47" s="89">
        <f>SUM(N39:N46)</f>
        <v>12554.413955</v>
      </c>
      <c r="O47" s="90"/>
      <c r="P47" s="89">
        <f>SUM(P39:P46)</f>
        <v>6899.9050571728812</v>
      </c>
      <c r="Q47" s="41"/>
      <c r="R47" s="91">
        <f>SUM(R39:R46)</f>
        <v>7165</v>
      </c>
      <c r="S47" s="92"/>
      <c r="T47" s="91">
        <f>SUM(T39:T46)</f>
        <v>1707.1124302451028</v>
      </c>
      <c r="U47" s="92"/>
      <c r="V47" s="91">
        <f>SUM(V39:V46)</f>
        <v>-1797.2460427491781</v>
      </c>
      <c r="X47" s="67" t="s">
        <v>354</v>
      </c>
      <c r="Z47" s="91">
        <f>SUM(Z39:Z46)</f>
        <v>-1581.0165959338151</v>
      </c>
    </row>
    <row r="48" spans="3:29">
      <c r="C48" s="3">
        <v>4</v>
      </c>
      <c r="D48" s="3"/>
      <c r="E48" s="3"/>
      <c r="G48" t="s">
        <v>21</v>
      </c>
      <c r="L48" s="9">
        <v>5255</v>
      </c>
      <c r="M48" s="8"/>
      <c r="N48" s="32">
        <v>-905.42427500000008</v>
      </c>
      <c r="O48" s="8"/>
      <c r="P48" s="12">
        <f>(+L48*$AF$1-N48)/$AF$2</f>
        <v>2156.311740075691</v>
      </c>
      <c r="Q48" s="39"/>
      <c r="R48" s="13"/>
      <c r="S48" s="13"/>
      <c r="T48" s="13"/>
      <c r="U48" s="13"/>
      <c r="V48" s="13"/>
      <c r="X48" s="67" t="s">
        <v>214</v>
      </c>
      <c r="Z48" s="75">
        <f t="shared" ref="Z48:Z49" si="5">+V48-P48</f>
        <v>-2156.311740075691</v>
      </c>
      <c r="AC48">
        <v>365</v>
      </c>
    </row>
    <row r="49" spans="3:29">
      <c r="C49" s="3">
        <f t="shared" ref="C49:C52" si="6">+C48+0.01</f>
        <v>4.01</v>
      </c>
      <c r="D49" s="3"/>
      <c r="E49" s="3"/>
      <c r="G49" t="s">
        <v>22</v>
      </c>
      <c r="L49" s="10">
        <v>641</v>
      </c>
      <c r="M49" s="8"/>
      <c r="N49" s="38">
        <v>-269.58680500000003</v>
      </c>
      <c r="O49" s="8"/>
      <c r="P49" s="14">
        <f>(+L49*$AF$1-N49)/$AF$2</f>
        <v>519.31605604315973</v>
      </c>
      <c r="Q49" s="39"/>
      <c r="R49" s="13"/>
      <c r="S49" s="13"/>
      <c r="T49" s="13"/>
      <c r="U49" s="13"/>
      <c r="V49" s="13"/>
      <c r="X49" s="67" t="s">
        <v>214</v>
      </c>
      <c r="Z49" s="75">
        <f t="shared" si="5"/>
        <v>-519.31605604315973</v>
      </c>
      <c r="AC49" s="13">
        <f>+AC28*AC48</f>
        <v>9125000</v>
      </c>
    </row>
    <row r="50" spans="3:29">
      <c r="D50" s="3"/>
      <c r="E50" s="3"/>
      <c r="G50" s="94" t="s">
        <v>23</v>
      </c>
      <c r="L50" s="11">
        <f>SUM(L47:L49)</f>
        <v>210004</v>
      </c>
      <c r="M50" s="8"/>
      <c r="N50" s="11">
        <f>SUM(N47:N49)</f>
        <v>11379.402875</v>
      </c>
      <c r="O50" s="8"/>
      <c r="P50" s="11">
        <f>SUM(P47:P49)</f>
        <v>9575.5328532917338</v>
      </c>
      <c r="Q50" s="41"/>
      <c r="R50" s="91">
        <f>SUM(R47:R49)</f>
        <v>7165</v>
      </c>
      <c r="S50" s="13"/>
      <c r="T50" s="91">
        <f>SUM(T47:T49)</f>
        <v>1707.1124302451028</v>
      </c>
      <c r="U50" s="13"/>
      <c r="V50" s="91">
        <f>SUM(V47:V49)</f>
        <v>-1797.2460427491781</v>
      </c>
      <c r="X50" s="67" t="s">
        <v>354</v>
      </c>
      <c r="Z50" s="91">
        <f>SUM(Z47:Z49)</f>
        <v>-4256.6443920526654</v>
      </c>
    </row>
    <row r="51" spans="3:29">
      <c r="C51" s="3">
        <f>+C49+0.01</f>
        <v>4.0199999999999996</v>
      </c>
      <c r="D51" s="3"/>
      <c r="E51" s="3"/>
      <c r="G51" t="s">
        <v>24</v>
      </c>
      <c r="L51" s="9">
        <v>0</v>
      </c>
      <c r="M51" s="8"/>
      <c r="N51" s="32">
        <v>-326.3</v>
      </c>
      <c r="O51" s="8"/>
      <c r="P51" s="12">
        <f>(+L51*$AF$1-N51)/$AF$2</f>
        <v>525.48514373137937</v>
      </c>
      <c r="Q51" s="39"/>
      <c r="R51" s="13"/>
      <c r="S51" s="13"/>
      <c r="T51" s="13"/>
      <c r="U51" s="13"/>
      <c r="V51" s="13"/>
      <c r="X51" s="67" t="s">
        <v>354</v>
      </c>
      <c r="Z51" s="75"/>
    </row>
    <row r="52" spans="3:29">
      <c r="C52" s="3">
        <f t="shared" si="6"/>
        <v>4.0299999999999994</v>
      </c>
      <c r="D52" s="3"/>
      <c r="E52" s="3"/>
      <c r="G52" t="s">
        <v>25</v>
      </c>
      <c r="L52" s="9">
        <v>0</v>
      </c>
      <c r="M52" s="8"/>
      <c r="N52" s="38">
        <v>7.8000000000000007</v>
      </c>
      <c r="O52" s="8"/>
      <c r="P52" s="14">
        <f>(+L52*$AF$1-N52)/$AF$2</f>
        <v>-12.561397858120623</v>
      </c>
      <c r="Q52" s="39"/>
      <c r="R52" s="13"/>
      <c r="S52" s="13"/>
      <c r="T52" s="13"/>
      <c r="U52" s="13"/>
      <c r="V52" s="13"/>
      <c r="X52" s="67" t="s">
        <v>354</v>
      </c>
      <c r="Z52" s="75"/>
    </row>
    <row r="53" spans="3:29" ht="16.5" thickBot="1">
      <c r="C53" s="3"/>
      <c r="D53" s="3"/>
      <c r="E53" s="3"/>
      <c r="G53" s="94" t="s">
        <v>30</v>
      </c>
      <c r="L53" s="36">
        <f>SUM(L50:L52)</f>
        <v>210004</v>
      </c>
      <c r="M53" s="8"/>
      <c r="N53" s="36">
        <f>SUM(N50:N52)</f>
        <v>11060.902875</v>
      </c>
      <c r="O53" s="8"/>
      <c r="P53" s="36">
        <f>SUM(P50:P52)</f>
        <v>10088.456599164992</v>
      </c>
      <c r="Q53" s="33"/>
      <c r="R53" s="36">
        <f>SUM(R50:R52)</f>
        <v>7165</v>
      </c>
      <c r="S53" s="13"/>
      <c r="T53" s="36">
        <f>SUM(T50:T52)</f>
        <v>1707.1124302451028</v>
      </c>
      <c r="U53" s="13"/>
      <c r="V53" s="36">
        <f>SUM(V50:V52)</f>
        <v>-1797.2460427491781</v>
      </c>
      <c r="Z53" s="36">
        <f>SUM(Z50:Z52)</f>
        <v>-4256.6443920526654</v>
      </c>
    </row>
    <row r="54" spans="3:29" ht="16.5" thickTop="1">
      <c r="C54" s="3"/>
      <c r="D54" s="3"/>
      <c r="E54" s="3"/>
      <c r="L54" s="8"/>
      <c r="M54" s="8"/>
      <c r="N54" s="8"/>
      <c r="O54" s="8"/>
      <c r="P54" s="12"/>
      <c r="Q54" s="13"/>
      <c r="R54" s="13"/>
      <c r="S54" s="13"/>
      <c r="T54" s="13"/>
      <c r="U54" s="13"/>
      <c r="V54" s="13"/>
      <c r="Z54" s="75"/>
    </row>
    <row r="55" spans="3:29">
      <c r="C55" s="3"/>
      <c r="D55" s="3"/>
      <c r="E55" s="3"/>
      <c r="L55" s="8"/>
      <c r="M55" s="8"/>
      <c r="N55" s="8"/>
      <c r="O55" s="8"/>
      <c r="P55" s="12"/>
      <c r="Q55" s="13"/>
      <c r="R55" s="13"/>
      <c r="S55" s="13"/>
      <c r="T55" s="13"/>
      <c r="U55" s="13"/>
      <c r="V55" s="13"/>
      <c r="Z55" s="75"/>
    </row>
    <row r="56" spans="3:29">
      <c r="C56" s="3"/>
      <c r="D56" s="3"/>
      <c r="E56" s="3"/>
      <c r="L56" s="8"/>
      <c r="M56" s="8"/>
      <c r="N56" s="8"/>
      <c r="O56" s="8"/>
      <c r="P56" s="12"/>
      <c r="R56" s="13"/>
      <c r="S56" s="13"/>
      <c r="T56" s="13"/>
      <c r="U56" s="13"/>
      <c r="V56" s="13"/>
      <c r="Z56" s="75"/>
    </row>
    <row r="57" spans="3:29">
      <c r="C57" s="3"/>
      <c r="D57" s="3"/>
      <c r="E57" s="3"/>
      <c r="L57" s="8"/>
      <c r="M57" s="8"/>
      <c r="N57" s="8"/>
      <c r="O57" s="8"/>
      <c r="P57" s="12"/>
      <c r="Q57" s="13"/>
      <c r="R57" s="13"/>
      <c r="S57" s="13"/>
      <c r="T57" s="13"/>
      <c r="U57" s="13"/>
      <c r="V57" s="13"/>
      <c r="Z57" s="75"/>
    </row>
    <row r="58" spans="3:29">
      <c r="C58" s="3"/>
      <c r="D58" s="3"/>
      <c r="E58" s="3"/>
      <c r="L58" s="8"/>
      <c r="M58" s="8"/>
      <c r="N58" s="8"/>
      <c r="O58" s="8"/>
      <c r="P58" s="12"/>
      <c r="Q58" s="13"/>
      <c r="R58" s="13"/>
      <c r="S58" s="13"/>
      <c r="T58" s="13"/>
      <c r="U58" s="13"/>
      <c r="V58" s="13"/>
      <c r="Z58" s="75"/>
    </row>
    <row r="59" spans="3:29">
      <c r="C59" s="3"/>
      <c r="D59" s="3"/>
      <c r="E59" s="3"/>
      <c r="L59" s="8"/>
      <c r="M59" s="8"/>
      <c r="N59" s="8"/>
      <c r="O59" s="8"/>
      <c r="P59" s="12"/>
      <c r="Q59" s="13"/>
      <c r="R59" s="13"/>
      <c r="S59" s="13"/>
      <c r="T59" s="13"/>
      <c r="U59" s="13"/>
      <c r="V59" s="13"/>
      <c r="Z59" s="75"/>
    </row>
    <row r="60" spans="3:29">
      <c r="C60" s="3"/>
      <c r="D60" s="3"/>
      <c r="E60" s="3"/>
      <c r="L60" s="8"/>
      <c r="M60" s="8"/>
      <c r="N60" s="8"/>
      <c r="O60" s="8"/>
      <c r="P60" s="12"/>
      <c r="Q60" s="13"/>
      <c r="R60" s="13"/>
      <c r="S60" s="13"/>
      <c r="T60" s="13"/>
      <c r="U60" s="13"/>
      <c r="V60" s="13"/>
      <c r="Z60" s="75"/>
    </row>
    <row r="61" spans="3:29">
      <c r="C61" s="3"/>
      <c r="D61" s="3"/>
      <c r="E61" s="3"/>
      <c r="L61" s="8"/>
      <c r="M61" s="8"/>
      <c r="N61" s="8"/>
      <c r="O61" s="8"/>
      <c r="P61" s="12"/>
      <c r="Q61" s="13"/>
      <c r="R61" s="13"/>
      <c r="S61" s="13"/>
      <c r="T61" s="13"/>
      <c r="U61" s="13"/>
      <c r="V61" s="13"/>
      <c r="Z61" s="75"/>
    </row>
    <row r="62" spans="3:29">
      <c r="C62" s="3"/>
      <c r="D62" s="3"/>
      <c r="E62" s="3"/>
      <c r="L62" s="8"/>
      <c r="M62" s="8"/>
      <c r="N62" s="8"/>
      <c r="O62" s="8"/>
      <c r="P62" s="12"/>
      <c r="Q62" s="13"/>
      <c r="R62" s="13"/>
      <c r="S62" s="13"/>
      <c r="T62" s="13"/>
      <c r="U62" s="13"/>
      <c r="V62" s="13"/>
      <c r="Z62" s="75"/>
    </row>
    <row r="63" spans="3:29">
      <c r="C63" s="3"/>
      <c r="D63" s="3"/>
      <c r="E63" s="3"/>
      <c r="L63" s="8"/>
      <c r="M63" s="8"/>
      <c r="N63" s="8"/>
      <c r="O63" s="8"/>
      <c r="P63" s="12"/>
      <c r="Q63" s="13"/>
      <c r="R63" s="13"/>
      <c r="S63" s="13"/>
      <c r="T63" s="13"/>
      <c r="U63" s="13"/>
      <c r="V63" s="13"/>
      <c r="Z63" s="75"/>
    </row>
    <row r="64" spans="3:29">
      <c r="C64" s="3"/>
      <c r="D64" s="3"/>
      <c r="E64" s="3"/>
      <c r="L64" s="8"/>
      <c r="M64" s="8"/>
      <c r="N64" s="8"/>
      <c r="O64" s="8"/>
      <c r="P64" s="12"/>
      <c r="Q64" s="13"/>
      <c r="R64" s="13"/>
      <c r="S64" s="13"/>
      <c r="T64" s="13"/>
      <c r="U64" s="13"/>
      <c r="V64" s="13"/>
      <c r="Z64" s="75"/>
    </row>
    <row r="65" spans="3:22">
      <c r="C65" s="3"/>
      <c r="D65" s="3"/>
      <c r="E65" s="3"/>
      <c r="P65" s="13"/>
      <c r="Q65" s="13"/>
      <c r="R65" s="13"/>
      <c r="S65" s="13"/>
      <c r="T65" s="13"/>
      <c r="U65" s="13"/>
      <c r="V65" s="13"/>
    </row>
    <row r="66" spans="3:22">
      <c r="C66" s="3"/>
      <c r="D66" s="3"/>
      <c r="E66" s="3"/>
      <c r="P66" s="13"/>
      <c r="Q66" s="13"/>
      <c r="R66" s="13"/>
      <c r="S66" s="13"/>
      <c r="T66" s="13"/>
      <c r="U66" s="13"/>
      <c r="V66" s="13"/>
    </row>
    <row r="67" spans="3:22">
      <c r="C67" s="3"/>
      <c r="D67" s="3"/>
      <c r="E67" s="3"/>
      <c r="P67" s="13"/>
      <c r="Q67" s="13"/>
      <c r="R67" s="13"/>
      <c r="S67" s="13"/>
      <c r="T67" s="13"/>
      <c r="U67" s="13"/>
      <c r="V67" s="13"/>
    </row>
    <row r="68" spans="3:22">
      <c r="C68" s="3"/>
      <c r="D68" s="3"/>
      <c r="E68" s="3"/>
      <c r="P68" s="13"/>
      <c r="Q68" s="13"/>
      <c r="R68" s="13"/>
      <c r="S68" s="13"/>
      <c r="T68" s="13"/>
      <c r="U68" s="13"/>
      <c r="V68" s="13"/>
    </row>
    <row r="69" spans="3:22">
      <c r="C69" s="3"/>
      <c r="D69" s="3"/>
      <c r="E69" s="3"/>
      <c r="P69" s="13"/>
      <c r="Q69" s="13"/>
      <c r="R69" s="13"/>
      <c r="S69" s="13"/>
      <c r="T69" s="13"/>
      <c r="U69" s="13"/>
      <c r="V69" s="13"/>
    </row>
    <row r="70" spans="3:22">
      <c r="C70" s="3"/>
      <c r="D70" s="3"/>
      <c r="E70" s="3"/>
      <c r="P70" s="13"/>
      <c r="Q70" s="13"/>
      <c r="R70" s="13"/>
      <c r="S70" s="13"/>
      <c r="T70" s="13"/>
      <c r="U70" s="13"/>
      <c r="V70" s="13"/>
    </row>
    <row r="71" spans="3:22">
      <c r="C71" s="3"/>
      <c r="D71" s="3"/>
      <c r="E71" s="3"/>
      <c r="P71" s="13"/>
      <c r="Q71" s="13"/>
      <c r="R71" s="13"/>
      <c r="S71" s="13"/>
      <c r="T71" s="13"/>
      <c r="U71" s="13"/>
      <c r="V71" s="13"/>
    </row>
    <row r="72" spans="3:22">
      <c r="C72" s="3"/>
      <c r="D72" s="3"/>
      <c r="E72" s="3"/>
      <c r="P72" s="13"/>
      <c r="Q72" s="13"/>
      <c r="R72" s="13"/>
      <c r="S72" s="13"/>
      <c r="T72" s="13"/>
      <c r="U72" s="13"/>
      <c r="V72" s="13"/>
    </row>
    <row r="73" spans="3:22">
      <c r="C73" s="3"/>
      <c r="D73" s="3"/>
      <c r="E73" s="3"/>
      <c r="P73" s="13"/>
      <c r="Q73" s="13"/>
      <c r="R73" s="13"/>
      <c r="S73" s="13"/>
      <c r="T73" s="13"/>
      <c r="U73" s="13"/>
      <c r="V73" s="13"/>
    </row>
    <row r="74" spans="3:22">
      <c r="C74" s="3"/>
      <c r="D74" s="3"/>
      <c r="E74" s="3"/>
      <c r="P74" s="13"/>
      <c r="Q74" s="13"/>
      <c r="R74" s="13"/>
      <c r="S74" s="13"/>
      <c r="T74" s="13"/>
      <c r="U74" s="13"/>
      <c r="V74" s="13"/>
    </row>
    <row r="75" spans="3:22">
      <c r="C75" s="3"/>
      <c r="D75" s="3"/>
      <c r="E75" s="3"/>
      <c r="P75" s="13"/>
      <c r="Q75" s="13"/>
      <c r="R75" s="13"/>
      <c r="S75" s="13"/>
      <c r="T75" s="13"/>
      <c r="U75" s="13"/>
      <c r="V75" s="13"/>
    </row>
    <row r="76" spans="3:22">
      <c r="C76" s="3"/>
      <c r="D76" s="3"/>
      <c r="E76" s="3"/>
      <c r="P76" s="13"/>
      <c r="Q76" s="13"/>
      <c r="R76" s="13"/>
      <c r="S76" s="13"/>
      <c r="T76" s="13"/>
      <c r="U76" s="13"/>
      <c r="V76" s="13"/>
    </row>
    <row r="77" spans="3:22">
      <c r="C77" s="3"/>
      <c r="D77" s="3"/>
      <c r="E77" s="3"/>
      <c r="P77" s="13"/>
      <c r="Q77" s="13"/>
      <c r="R77" s="13"/>
      <c r="S77" s="13"/>
      <c r="T77" s="13"/>
      <c r="U77" s="13"/>
      <c r="V77" s="13"/>
    </row>
    <row r="78" spans="3:22">
      <c r="C78" s="3"/>
      <c r="D78" s="3"/>
      <c r="E78" s="3"/>
      <c r="P78" s="13"/>
      <c r="Q78" s="13"/>
      <c r="R78" s="13"/>
      <c r="S78" s="13"/>
      <c r="T78" s="13"/>
      <c r="U78" s="13"/>
      <c r="V78" s="13"/>
    </row>
    <row r="79" spans="3:22">
      <c r="C79" s="3"/>
      <c r="D79" s="3"/>
      <c r="E79" s="3"/>
      <c r="P79" s="13"/>
      <c r="Q79" s="13"/>
      <c r="R79" s="13"/>
      <c r="S79" s="13"/>
      <c r="T79" s="13"/>
      <c r="U79" s="13"/>
      <c r="V79" s="13"/>
    </row>
    <row r="80" spans="3:22">
      <c r="C80" s="3"/>
      <c r="D80" s="3"/>
      <c r="E80" s="3"/>
      <c r="P80" s="13"/>
      <c r="Q80" s="13"/>
      <c r="R80" s="13"/>
      <c r="S80" s="13"/>
      <c r="T80" s="13"/>
      <c r="U80" s="13"/>
      <c r="V80" s="13"/>
    </row>
    <row r="81" spans="3:5">
      <c r="C81" s="3"/>
      <c r="D81" s="3"/>
      <c r="E81" s="3"/>
    </row>
    <row r="82" spans="3:5">
      <c r="C82" s="3"/>
      <c r="D82" s="3"/>
      <c r="E82" s="3"/>
    </row>
    <row r="83" spans="3:5">
      <c r="C83" s="3"/>
      <c r="D83" s="3"/>
      <c r="E83" s="3"/>
    </row>
    <row r="84" spans="3:5">
      <c r="C84" s="3"/>
      <c r="D84" s="3"/>
      <c r="E84" s="3"/>
    </row>
    <row r="85" spans="3:5">
      <c r="C85" s="3"/>
      <c r="D85" s="3"/>
      <c r="E85" s="3"/>
    </row>
    <row r="86" spans="3:5">
      <c r="C86" s="3"/>
      <c r="D86" s="3"/>
      <c r="E86" s="3"/>
    </row>
  </sheetData>
  <pageMargins left="0.7" right="0.7" top="0.75" bottom="0.75" header="0.3" footer="0.3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9"/>
  <sheetViews>
    <sheetView topLeftCell="A11"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4.75" bestFit="1" customWidth="1"/>
    <col min="10" max="10" width="2.625" customWidth="1"/>
    <col min="11" max="11" width="14.375" bestFit="1" customWidth="1"/>
    <col min="12" max="12" width="13.875" bestFit="1" customWidth="1"/>
  </cols>
  <sheetData>
    <row r="1" spans="1:27" s="67" customFormat="1">
      <c r="K1" s="67" t="s">
        <v>361</v>
      </c>
      <c r="L1" s="88"/>
      <c r="Z1" s="67" t="s">
        <v>357</v>
      </c>
    </row>
    <row r="2" spans="1:27" s="67" customFormat="1">
      <c r="K2" s="67" t="s">
        <v>358</v>
      </c>
      <c r="L2" s="88"/>
      <c r="Z2" s="67" t="s">
        <v>358</v>
      </c>
    </row>
    <row r="3" spans="1:27" s="67" customFormat="1">
      <c r="K3" s="67" t="s">
        <v>371</v>
      </c>
      <c r="L3" s="95"/>
      <c r="Z3" s="67" t="s">
        <v>359</v>
      </c>
    </row>
    <row r="4" spans="1:27">
      <c r="A4" s="67"/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229</v>
      </c>
      <c r="AA4" s="67"/>
    </row>
    <row r="5" spans="1:27">
      <c r="A5" s="67"/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201</v>
      </c>
    </row>
    <row r="6" spans="1:27">
      <c r="A6" s="67"/>
      <c r="B6" s="67"/>
      <c r="C6" s="67"/>
      <c r="D6" s="110" t="s">
        <v>187</v>
      </c>
      <c r="E6" s="110"/>
      <c r="F6" s="110"/>
      <c r="G6" s="110"/>
      <c r="H6" s="110"/>
      <c r="I6" s="110"/>
      <c r="J6" s="110"/>
      <c r="K6" s="110"/>
    </row>
    <row r="7" spans="1:2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2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27">
      <c r="A9" s="67"/>
      <c r="B9" s="68" t="s">
        <v>39</v>
      </c>
      <c r="C9" s="67"/>
      <c r="D9" s="67"/>
      <c r="E9" s="67"/>
      <c r="F9" s="67"/>
      <c r="G9" s="67"/>
      <c r="H9" s="67"/>
      <c r="I9" s="67"/>
      <c r="J9" s="67"/>
      <c r="K9" s="67"/>
    </row>
    <row r="10" spans="1:27">
      <c r="A10" s="67"/>
      <c r="B10" s="69" t="s">
        <v>40</v>
      </c>
      <c r="C10" s="67"/>
      <c r="D10" s="71" t="s">
        <v>41</v>
      </c>
      <c r="E10" s="71"/>
      <c r="F10" s="71"/>
      <c r="G10" s="71"/>
      <c r="H10" s="67"/>
      <c r="I10" s="69" t="s">
        <v>46</v>
      </c>
      <c r="J10" s="68"/>
      <c r="K10" s="69" t="s">
        <v>47</v>
      </c>
    </row>
    <row r="11" spans="1:2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27">
      <c r="A12" s="67"/>
      <c r="B12" s="68">
        <v>1</v>
      </c>
      <c r="C12" s="67"/>
      <c r="D12" s="67" t="s">
        <v>188</v>
      </c>
      <c r="E12" s="67"/>
      <c r="F12" s="67"/>
      <c r="G12" s="67"/>
      <c r="H12" s="67"/>
      <c r="I12" s="67"/>
      <c r="J12" s="72"/>
      <c r="K12" s="85" t="s">
        <v>202</v>
      </c>
      <c r="L12" s="67"/>
      <c r="M12" s="67"/>
      <c r="N12" s="67"/>
      <c r="O12" s="67"/>
    </row>
    <row r="13" spans="1:27">
      <c r="A13" s="67"/>
      <c r="B13" s="68">
        <v>2</v>
      </c>
      <c r="C13" s="67"/>
      <c r="D13" s="67" t="s">
        <v>189</v>
      </c>
      <c r="E13" s="67"/>
      <c r="F13" s="67"/>
      <c r="G13" s="67"/>
      <c r="H13" s="67"/>
      <c r="I13" s="76">
        <v>400658</v>
      </c>
      <c r="J13" s="72"/>
      <c r="K13" s="85" t="s">
        <v>203</v>
      </c>
      <c r="L13" s="67"/>
      <c r="M13" s="67"/>
      <c r="N13" s="67"/>
      <c r="O13" s="67"/>
    </row>
    <row r="14" spans="1:27">
      <c r="A14" s="67"/>
      <c r="B14" s="68"/>
      <c r="C14" s="67"/>
      <c r="D14" s="67"/>
      <c r="E14" s="67"/>
      <c r="F14" s="67"/>
      <c r="G14" s="67"/>
      <c r="H14" s="67"/>
      <c r="I14" s="67"/>
      <c r="J14" s="72"/>
      <c r="K14" s="86"/>
      <c r="L14" s="67"/>
      <c r="M14" s="67"/>
      <c r="N14" s="67"/>
      <c r="O14" s="67"/>
    </row>
    <row r="15" spans="1:27">
      <c r="A15" s="67"/>
      <c r="B15" s="68">
        <v>3</v>
      </c>
      <c r="C15" s="67"/>
      <c r="D15" s="67" t="s">
        <v>190</v>
      </c>
      <c r="E15" s="67"/>
      <c r="F15" s="67"/>
      <c r="G15" s="67"/>
      <c r="H15" s="67"/>
      <c r="J15" s="72"/>
      <c r="K15" s="86" t="s">
        <v>204</v>
      </c>
      <c r="L15" s="67"/>
      <c r="M15" s="67"/>
      <c r="N15" s="67"/>
      <c r="O15" s="67">
        <v>15</v>
      </c>
      <c r="X15" s="67" t="s">
        <v>356</v>
      </c>
    </row>
    <row r="16" spans="1:27">
      <c r="A16" s="67"/>
      <c r="B16" s="68">
        <v>4</v>
      </c>
      <c r="C16" s="67"/>
      <c r="D16" s="67" t="s">
        <v>191</v>
      </c>
      <c r="E16" s="72"/>
      <c r="F16" s="72"/>
      <c r="G16" s="72"/>
      <c r="H16" s="72"/>
      <c r="I16" s="98">
        <f>+O18</f>
        <v>294.76</v>
      </c>
      <c r="J16" s="72"/>
      <c r="K16" s="86" t="s">
        <v>205</v>
      </c>
      <c r="L16" s="67"/>
      <c r="M16" s="67"/>
      <c r="N16" s="67"/>
      <c r="O16" s="67">
        <v>104.03</v>
      </c>
    </row>
    <row r="17" spans="1:24">
      <c r="A17" s="67"/>
      <c r="B17" s="68"/>
      <c r="C17" s="67"/>
      <c r="D17" s="67"/>
      <c r="E17" s="72"/>
      <c r="F17" s="72"/>
      <c r="G17" s="72"/>
      <c r="H17" s="72"/>
      <c r="I17" s="79"/>
      <c r="J17" s="72"/>
      <c r="K17" s="86"/>
      <c r="L17" s="67"/>
      <c r="M17" s="67"/>
      <c r="N17" s="67"/>
      <c r="O17" s="71">
        <v>175.73</v>
      </c>
    </row>
    <row r="18" spans="1:24">
      <c r="A18" s="67"/>
      <c r="B18" s="68">
        <v>5</v>
      </c>
      <c r="C18" s="67"/>
      <c r="D18" s="83" t="s">
        <v>192</v>
      </c>
      <c r="E18" s="83"/>
      <c r="F18" s="83"/>
      <c r="G18" s="72"/>
      <c r="H18" s="72"/>
      <c r="I18" s="99">
        <f>+I16/I13</f>
        <v>7.3568979029496476E-4</v>
      </c>
      <c r="J18" s="72"/>
      <c r="K18" s="86" t="s">
        <v>206</v>
      </c>
      <c r="L18" s="67"/>
      <c r="M18" s="67"/>
      <c r="N18" s="67"/>
      <c r="O18" s="67">
        <f>SUM(O15:O17)</f>
        <v>294.76</v>
      </c>
    </row>
    <row r="19" spans="1:24">
      <c r="A19" s="67"/>
      <c r="B19" s="68"/>
      <c r="C19" s="67"/>
      <c r="D19" s="72"/>
      <c r="E19" s="72"/>
      <c r="F19" s="72"/>
      <c r="G19" s="72"/>
      <c r="H19" s="72"/>
      <c r="I19" s="79"/>
      <c r="J19" s="72"/>
      <c r="K19" s="67"/>
      <c r="L19" s="67"/>
      <c r="M19" s="67"/>
      <c r="N19" s="67"/>
      <c r="O19" s="67"/>
    </row>
    <row r="20" spans="1:24">
      <c r="A20" s="67"/>
      <c r="B20" s="68">
        <v>6</v>
      </c>
      <c r="C20" s="67"/>
      <c r="D20" s="67" t="s">
        <v>193</v>
      </c>
      <c r="E20" s="72"/>
      <c r="F20" s="72"/>
      <c r="G20" s="72"/>
      <c r="H20" s="72"/>
      <c r="I20" s="79"/>
      <c r="J20" s="72"/>
      <c r="K20" s="85" t="s">
        <v>202</v>
      </c>
      <c r="L20" s="67"/>
      <c r="M20" s="67"/>
      <c r="N20" s="67"/>
      <c r="O20" s="67"/>
      <c r="X20" s="67" t="s">
        <v>356</v>
      </c>
    </row>
    <row r="21" spans="1:24">
      <c r="A21" s="67"/>
      <c r="B21" s="68">
        <v>7</v>
      </c>
      <c r="C21" s="67"/>
      <c r="D21" s="67" t="s">
        <v>194</v>
      </c>
      <c r="E21" s="72"/>
      <c r="F21" s="72"/>
      <c r="G21" s="72"/>
      <c r="H21" s="72"/>
      <c r="I21" s="76">
        <v>47844076</v>
      </c>
      <c r="J21" s="72"/>
      <c r="K21" s="85" t="s">
        <v>203</v>
      </c>
    </row>
    <row r="22" spans="1:24">
      <c r="A22" s="67"/>
      <c r="B22" s="67"/>
      <c r="C22" s="67"/>
      <c r="D22" s="72"/>
      <c r="E22" s="72"/>
      <c r="F22" s="72"/>
      <c r="G22" s="72"/>
      <c r="H22" s="72"/>
      <c r="I22" s="79"/>
      <c r="J22" s="72"/>
      <c r="K22" s="72"/>
    </row>
    <row r="23" spans="1:24">
      <c r="A23" s="67"/>
      <c r="B23" s="68">
        <v>8</v>
      </c>
      <c r="C23" s="67"/>
      <c r="D23" s="83" t="s">
        <v>195</v>
      </c>
      <c r="E23" s="72"/>
      <c r="F23" s="72"/>
      <c r="G23" s="72"/>
      <c r="H23" s="72"/>
      <c r="I23" s="82">
        <f>+I18*I21</f>
        <v>35198.398239296359</v>
      </c>
      <c r="J23" s="72"/>
      <c r="K23" s="86" t="s">
        <v>207</v>
      </c>
    </row>
    <row r="24" spans="1:24">
      <c r="A24" s="67"/>
      <c r="B24" s="67"/>
      <c r="C24" s="67"/>
      <c r="D24" s="72"/>
      <c r="E24" s="72"/>
      <c r="F24" s="72"/>
      <c r="G24" s="72"/>
      <c r="H24" s="72"/>
      <c r="I24" s="72"/>
      <c r="J24" s="72"/>
      <c r="K24" s="72"/>
    </row>
    <row r="25" spans="1:24">
      <c r="A25" s="67"/>
      <c r="B25" s="68">
        <v>9</v>
      </c>
      <c r="C25" s="67"/>
      <c r="D25" s="47" t="s">
        <v>196</v>
      </c>
      <c r="E25" s="45"/>
      <c r="F25" s="72"/>
      <c r="G25" s="72"/>
      <c r="H25" s="72"/>
      <c r="I25" s="82"/>
      <c r="J25" s="72"/>
      <c r="K25" s="72"/>
    </row>
    <row r="26" spans="1:24">
      <c r="A26" s="67"/>
      <c r="B26" s="67"/>
      <c r="C26" s="67"/>
      <c r="D26" s="47"/>
      <c r="E26" s="45"/>
      <c r="F26" s="72"/>
      <c r="G26" s="72"/>
      <c r="H26" s="72"/>
      <c r="I26" s="72"/>
      <c r="J26" s="72"/>
      <c r="K26" s="72"/>
      <c r="X26" s="67" t="s">
        <v>356</v>
      </c>
    </row>
    <row r="27" spans="1:24">
      <c r="A27" s="67"/>
      <c r="B27" s="68">
        <v>10</v>
      </c>
      <c r="C27" s="67"/>
      <c r="D27" s="47" t="s">
        <v>198</v>
      </c>
      <c r="E27" s="67"/>
      <c r="F27" s="67"/>
      <c r="G27" s="67"/>
      <c r="H27" s="67"/>
      <c r="I27" s="45">
        <v>0.19477</v>
      </c>
      <c r="J27" s="72"/>
      <c r="K27" s="72"/>
    </row>
    <row r="28" spans="1:24">
      <c r="A28" s="67"/>
      <c r="B28" s="68">
        <v>11</v>
      </c>
      <c r="C28" s="67"/>
      <c r="D28" s="46" t="s">
        <v>197</v>
      </c>
      <c r="E28" s="67"/>
      <c r="F28" s="67"/>
      <c r="G28" s="67"/>
      <c r="H28" s="67"/>
      <c r="I28" s="65">
        <v>0.67586999999999997</v>
      </c>
      <c r="J28" s="67"/>
      <c r="K28" s="67"/>
    </row>
    <row r="29" spans="1:24">
      <c r="A29" s="67"/>
      <c r="B29" s="68">
        <v>12</v>
      </c>
      <c r="C29" s="67"/>
      <c r="D29" s="47" t="s">
        <v>199</v>
      </c>
      <c r="E29" s="67"/>
      <c r="F29" s="72"/>
      <c r="G29" s="72"/>
      <c r="H29" s="72"/>
      <c r="I29" s="45">
        <f>+I27*I28</f>
        <v>0.1316391999</v>
      </c>
      <c r="J29" s="72"/>
      <c r="K29" s="72" t="s">
        <v>104</v>
      </c>
    </row>
    <row r="30" spans="1:24">
      <c r="A30" s="67"/>
      <c r="B30" s="68"/>
      <c r="C30" s="67"/>
      <c r="D30" s="46"/>
      <c r="E30" s="67"/>
      <c r="F30" s="67"/>
      <c r="G30" s="67"/>
      <c r="H30" s="67"/>
      <c r="I30" s="45"/>
      <c r="J30" s="67"/>
      <c r="K30" s="67"/>
    </row>
    <row r="31" spans="1:24">
      <c r="A31" s="67"/>
      <c r="B31" s="68">
        <v>13</v>
      </c>
      <c r="C31" s="67"/>
      <c r="D31" s="46" t="s">
        <v>383</v>
      </c>
      <c r="E31" s="67"/>
      <c r="F31" s="67"/>
      <c r="G31" s="67"/>
      <c r="H31" s="67"/>
      <c r="I31" s="76">
        <f>-I23*I29</f>
        <v>-4633.4889819825412</v>
      </c>
      <c r="J31" s="67"/>
      <c r="K31" s="67" t="s">
        <v>208</v>
      </c>
    </row>
    <row r="32" spans="1:24">
      <c r="A32" s="67"/>
      <c r="B32" s="68"/>
      <c r="C32" s="67"/>
      <c r="D32" s="67"/>
      <c r="E32" s="67"/>
      <c r="F32" s="67"/>
      <c r="G32" s="67"/>
      <c r="H32" s="67"/>
      <c r="I32" s="67"/>
      <c r="J32" s="67"/>
      <c r="K32" s="67"/>
    </row>
    <row r="33" spans="1:24">
      <c r="A33" s="67"/>
      <c r="B33" s="68">
        <v>14</v>
      </c>
      <c r="C33" s="67"/>
      <c r="D33" s="72" t="s">
        <v>54</v>
      </c>
      <c r="E33" s="72"/>
      <c r="F33" s="72"/>
      <c r="G33" s="72"/>
      <c r="H33" s="72"/>
      <c r="I33" s="81">
        <v>0.35</v>
      </c>
      <c r="J33" s="72"/>
      <c r="K33" s="72"/>
    </row>
    <row r="34" spans="1:24">
      <c r="A34" s="67"/>
      <c r="B34" s="68"/>
      <c r="C34" s="67"/>
      <c r="D34" s="72"/>
      <c r="E34" s="72"/>
      <c r="F34" s="72"/>
      <c r="G34" s="72"/>
      <c r="H34" s="72"/>
      <c r="I34" s="72"/>
      <c r="J34" s="72"/>
      <c r="K34" s="72"/>
    </row>
    <row r="35" spans="1:24">
      <c r="A35" s="67"/>
      <c r="B35" s="68">
        <v>15</v>
      </c>
      <c r="C35" s="67"/>
      <c r="D35" s="67" t="s">
        <v>324</v>
      </c>
      <c r="E35" s="72"/>
      <c r="F35" s="72"/>
      <c r="G35" s="72"/>
      <c r="H35" s="72"/>
      <c r="I35" s="82">
        <f>-I31*I33</f>
        <v>1621.7211436938894</v>
      </c>
      <c r="J35" s="72"/>
      <c r="K35" s="72" t="s">
        <v>209</v>
      </c>
    </row>
    <row r="36" spans="1:24">
      <c r="A36" s="67"/>
      <c r="B36" s="68"/>
      <c r="C36" s="67"/>
      <c r="D36" s="67"/>
      <c r="E36" s="72"/>
      <c r="F36" s="72"/>
      <c r="G36" s="72"/>
      <c r="H36" s="72"/>
      <c r="I36" s="72"/>
      <c r="J36" s="72"/>
      <c r="K36" s="72"/>
    </row>
    <row r="37" spans="1:24">
      <c r="A37" s="67"/>
      <c r="B37" s="68">
        <v>16</v>
      </c>
      <c r="C37" s="67"/>
      <c r="D37" s="72" t="s">
        <v>242</v>
      </c>
      <c r="E37" s="72"/>
      <c r="F37" s="72"/>
      <c r="G37" s="72"/>
      <c r="H37" s="72"/>
      <c r="I37" s="80"/>
      <c r="J37" s="72"/>
      <c r="K37" s="72"/>
    </row>
    <row r="38" spans="1:24">
      <c r="A38" s="67"/>
      <c r="B38" s="68">
        <v>17</v>
      </c>
      <c r="C38" s="67"/>
      <c r="D38" s="83" t="s">
        <v>245</v>
      </c>
      <c r="E38" s="72"/>
      <c r="F38" s="72"/>
      <c r="G38" s="72"/>
      <c r="H38" s="72"/>
      <c r="I38" s="67"/>
      <c r="J38" s="67"/>
      <c r="K38" s="67"/>
    </row>
    <row r="39" spans="1:24" ht="16.5" thickBot="1">
      <c r="A39" s="67"/>
      <c r="B39" s="68">
        <v>18</v>
      </c>
      <c r="C39" s="67"/>
      <c r="D39" s="83" t="s">
        <v>246</v>
      </c>
      <c r="E39" s="72"/>
      <c r="F39" s="72"/>
      <c r="G39" s="72"/>
      <c r="H39" s="72"/>
      <c r="I39" s="84">
        <f>-I31-I35</f>
        <v>3011.7678382886515</v>
      </c>
      <c r="J39" s="72"/>
      <c r="K39" s="72" t="s">
        <v>210</v>
      </c>
      <c r="X39" s="67" t="s">
        <v>356</v>
      </c>
    </row>
    <row r="40" spans="1:24" ht="16.5" thickTop="1">
      <c r="A40" s="67"/>
      <c r="B40" s="68"/>
      <c r="C40" s="67"/>
      <c r="D40" s="67"/>
      <c r="E40" s="67"/>
      <c r="F40" s="67"/>
      <c r="G40" s="67"/>
      <c r="H40" s="67"/>
      <c r="I40" s="67"/>
      <c r="J40" s="67"/>
      <c r="K40" s="67"/>
      <c r="X40" s="67" t="s">
        <v>356</v>
      </c>
    </row>
    <row r="41" spans="1:24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1:24">
      <c r="X42" s="67" t="s">
        <v>356</v>
      </c>
    </row>
    <row r="43" spans="1:24">
      <c r="X43" s="67" t="s">
        <v>356</v>
      </c>
    </row>
    <row r="44" spans="1:24"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24">
      <c r="B45" s="72"/>
      <c r="C45" s="72"/>
      <c r="D45" s="51"/>
      <c r="E45" s="72"/>
      <c r="F45" s="72"/>
      <c r="G45" s="72"/>
      <c r="H45" s="72"/>
      <c r="I45" s="50"/>
      <c r="J45" s="72"/>
      <c r="K45" s="72"/>
    </row>
    <row r="46" spans="1:24">
      <c r="B46" s="72"/>
      <c r="C46" s="72"/>
      <c r="D46" s="83"/>
      <c r="E46" s="72"/>
      <c r="F46" s="72"/>
      <c r="G46" s="72"/>
      <c r="H46" s="72"/>
      <c r="I46" s="50"/>
      <c r="J46" s="72"/>
      <c r="K46" s="72"/>
    </row>
    <row r="47" spans="1:24">
      <c r="B47" s="72"/>
      <c r="C47" s="72"/>
      <c r="D47" s="44"/>
      <c r="E47" s="72"/>
      <c r="F47" s="72"/>
      <c r="G47" s="72"/>
      <c r="H47" s="72"/>
      <c r="I47" s="50"/>
      <c r="J47" s="72"/>
      <c r="K47" s="72"/>
    </row>
    <row r="48" spans="1:24">
      <c r="B48" s="72"/>
      <c r="C48" s="72"/>
      <c r="D48" s="83"/>
      <c r="E48" s="50"/>
      <c r="F48" s="72"/>
      <c r="G48" s="72"/>
      <c r="H48" s="72"/>
      <c r="I48" s="72"/>
      <c r="J48" s="72"/>
      <c r="K48" s="72"/>
    </row>
    <row r="49" spans="2:11">
      <c r="B49" s="72"/>
      <c r="C49" s="72"/>
      <c r="D49" s="72"/>
      <c r="E49" s="72"/>
      <c r="F49" s="72"/>
      <c r="G49" s="72"/>
      <c r="H49" s="72"/>
      <c r="I49" s="72"/>
      <c r="J49" s="72"/>
      <c r="K49" s="72"/>
    </row>
  </sheetData>
  <mergeCells count="3">
    <mergeCell ref="D4:K4"/>
    <mergeCell ref="D5:K5"/>
    <mergeCell ref="D6:K6"/>
  </mergeCells>
  <pageMargins left="0.7" right="0.7" top="0.75" bottom="0.75" header="0.3" footer="0.3"/>
  <pageSetup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3"/>
  <sheetViews>
    <sheetView topLeftCell="P4" workbookViewId="0">
      <selection activeCell="Z1" sqref="Z1:Z4"/>
    </sheetView>
  </sheetViews>
  <sheetFormatPr defaultRowHeight="15.75"/>
  <cols>
    <col min="2" max="2" width="5.625" customWidth="1"/>
    <col min="3" max="3" width="2.625" customWidth="1"/>
    <col min="9" max="9" width="2.625" customWidth="1"/>
    <col min="10" max="10" width="12.75" bestFit="1" customWidth="1"/>
    <col min="11" max="11" width="2.625" customWidth="1"/>
    <col min="12" max="12" width="13.25" bestFit="1" customWidth="1"/>
    <col min="13" max="13" width="13.875" bestFit="1" customWidth="1"/>
  </cols>
  <sheetData>
    <row r="1" spans="1:27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 t="s">
        <v>361</v>
      </c>
      <c r="M1" s="88"/>
      <c r="Z1" s="67"/>
    </row>
    <row r="2" spans="1:27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 t="s">
        <v>358</v>
      </c>
      <c r="M2" s="88"/>
      <c r="X2" s="67"/>
      <c r="Z2" s="67"/>
    </row>
    <row r="3" spans="1:27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 t="s">
        <v>372</v>
      </c>
      <c r="M3" s="95"/>
      <c r="X3" s="67"/>
      <c r="Z3" s="67"/>
    </row>
    <row r="4" spans="1:27">
      <c r="A4" s="67"/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110"/>
      <c r="M4" s="88" t="s">
        <v>230</v>
      </c>
      <c r="AA4" s="67"/>
    </row>
    <row r="5" spans="1:27">
      <c r="A5" s="67"/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110"/>
      <c r="M5" s="95" t="s">
        <v>309</v>
      </c>
    </row>
    <row r="6" spans="1:27">
      <c r="A6" s="67"/>
      <c r="B6" s="67"/>
      <c r="C6" s="67"/>
      <c r="D6" s="110" t="s">
        <v>317</v>
      </c>
      <c r="E6" s="110"/>
      <c r="F6" s="110"/>
      <c r="G6" s="110"/>
      <c r="H6" s="110"/>
      <c r="I6" s="110"/>
      <c r="J6" s="110"/>
      <c r="K6" s="110"/>
      <c r="L6" s="110"/>
      <c r="M6" s="67"/>
    </row>
    <row r="7" spans="1:2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2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27">
      <c r="A9" s="67"/>
      <c r="B9" s="100" t="s">
        <v>39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27">
      <c r="A10" s="67"/>
      <c r="B10" s="69" t="s">
        <v>40</v>
      </c>
      <c r="C10" s="67"/>
      <c r="D10" s="71" t="s">
        <v>41</v>
      </c>
      <c r="E10" s="71"/>
      <c r="F10" s="71"/>
      <c r="G10" s="71"/>
      <c r="H10" s="71"/>
      <c r="I10" s="72"/>
      <c r="J10" s="69" t="s">
        <v>46</v>
      </c>
      <c r="K10" s="100"/>
      <c r="L10" s="69" t="s">
        <v>47</v>
      </c>
      <c r="M10" s="67"/>
    </row>
    <row r="11" spans="1:27">
      <c r="A11" s="67"/>
      <c r="B11" s="67"/>
      <c r="C11" s="67"/>
      <c r="D11" s="67"/>
      <c r="E11" s="67"/>
      <c r="F11" s="67"/>
      <c r="G11" s="67"/>
      <c r="H11" s="67"/>
      <c r="I11" s="72"/>
      <c r="J11" s="67"/>
      <c r="K11" s="67"/>
      <c r="L11" s="67"/>
      <c r="M11" s="67"/>
    </row>
    <row r="12" spans="1:27">
      <c r="A12" s="67"/>
      <c r="B12" s="100">
        <v>1</v>
      </c>
      <c r="C12" s="67"/>
      <c r="D12" s="67"/>
      <c r="E12" s="67"/>
      <c r="F12" s="67"/>
      <c r="G12" s="67"/>
      <c r="H12" s="67"/>
      <c r="I12" s="67"/>
      <c r="J12" s="67"/>
      <c r="K12" s="67"/>
      <c r="L12" s="100" t="s">
        <v>318</v>
      </c>
      <c r="M12" s="67"/>
    </row>
    <row r="13" spans="1:27">
      <c r="A13" s="67"/>
      <c r="B13" s="100">
        <v>2</v>
      </c>
      <c r="C13" s="67"/>
      <c r="D13" s="67" t="s">
        <v>319</v>
      </c>
      <c r="E13" s="67"/>
      <c r="F13" s="67"/>
      <c r="G13" s="67"/>
      <c r="H13" s="67"/>
      <c r="I13" s="67"/>
      <c r="J13" s="67"/>
      <c r="K13" s="67"/>
      <c r="L13" s="100" t="s">
        <v>320</v>
      </c>
      <c r="M13" s="67"/>
    </row>
    <row r="14" spans="1:27">
      <c r="A14" s="67"/>
      <c r="B14" s="100">
        <v>3</v>
      </c>
      <c r="C14" s="67"/>
      <c r="D14" s="67" t="s">
        <v>321</v>
      </c>
      <c r="E14" s="67"/>
      <c r="F14" s="67"/>
      <c r="G14" s="67"/>
      <c r="H14" s="67"/>
      <c r="I14" s="67"/>
      <c r="J14" s="67"/>
      <c r="K14" s="67"/>
      <c r="L14" s="100" t="s">
        <v>322</v>
      </c>
      <c r="M14" s="67"/>
    </row>
    <row r="15" spans="1:27">
      <c r="A15" s="67"/>
      <c r="B15" s="100">
        <v>5</v>
      </c>
      <c r="C15" s="67"/>
      <c r="D15" s="67" t="s">
        <v>323</v>
      </c>
      <c r="E15" s="67"/>
      <c r="F15" s="67"/>
      <c r="G15" s="67"/>
      <c r="H15" s="67"/>
      <c r="I15" s="67"/>
      <c r="J15" s="76">
        <f>+'[4]Exh SC13'!$O$15</f>
        <v>-69347</v>
      </c>
      <c r="K15" s="67"/>
      <c r="L15" s="100" t="s">
        <v>299</v>
      </c>
      <c r="M15" s="67"/>
      <c r="X15" s="67"/>
    </row>
    <row r="16" spans="1:27">
      <c r="A16" s="67"/>
      <c r="B16" s="100"/>
      <c r="C16" s="67"/>
      <c r="D16" s="67"/>
      <c r="E16" s="67"/>
      <c r="F16" s="67"/>
      <c r="G16" s="67"/>
      <c r="H16" s="67"/>
      <c r="I16" s="67"/>
      <c r="J16" s="76"/>
      <c r="K16" s="67"/>
      <c r="L16" s="67"/>
      <c r="M16" s="67"/>
    </row>
    <row r="17" spans="1:24">
      <c r="A17" s="67"/>
      <c r="B17" s="100">
        <v>6</v>
      </c>
      <c r="C17" s="67"/>
      <c r="D17" s="72" t="s">
        <v>54</v>
      </c>
      <c r="E17" s="72"/>
      <c r="F17" s="72"/>
      <c r="G17" s="72"/>
      <c r="H17" s="72"/>
      <c r="I17" s="72"/>
      <c r="J17" s="81">
        <v>0.35</v>
      </c>
      <c r="K17" s="72"/>
      <c r="L17" s="72"/>
      <c r="M17" s="67"/>
    </row>
    <row r="18" spans="1:24">
      <c r="A18" s="67"/>
      <c r="B18" s="100"/>
      <c r="C18" s="67"/>
      <c r="D18" s="72"/>
      <c r="E18" s="72"/>
      <c r="F18" s="72"/>
      <c r="G18" s="72"/>
      <c r="H18" s="72"/>
      <c r="I18" s="72"/>
      <c r="J18" s="72"/>
      <c r="K18" s="72"/>
      <c r="L18" s="72"/>
      <c r="M18" s="67"/>
    </row>
    <row r="19" spans="1:24">
      <c r="A19" s="67"/>
      <c r="B19" s="100">
        <v>7</v>
      </c>
      <c r="C19" s="67"/>
      <c r="D19" s="67" t="s">
        <v>324</v>
      </c>
      <c r="E19" s="72"/>
      <c r="F19" s="72"/>
      <c r="G19" s="72"/>
      <c r="H19" s="72"/>
      <c r="I19" s="72"/>
      <c r="J19" s="82">
        <f>-J15*J17</f>
        <v>24271.449999999997</v>
      </c>
      <c r="K19" s="72"/>
      <c r="L19" s="72" t="s">
        <v>325</v>
      </c>
      <c r="M19" s="67"/>
    </row>
    <row r="20" spans="1:24">
      <c r="A20" s="67"/>
      <c r="B20" s="100"/>
      <c r="C20" s="67"/>
      <c r="D20" s="67"/>
      <c r="E20" s="72"/>
      <c r="F20" s="72"/>
      <c r="G20" s="72"/>
      <c r="H20" s="72"/>
      <c r="I20" s="72"/>
      <c r="J20" s="72"/>
      <c r="K20" s="72"/>
      <c r="L20" s="72"/>
      <c r="M20" s="67"/>
      <c r="X20" s="67"/>
    </row>
    <row r="21" spans="1:24">
      <c r="A21" s="67"/>
      <c r="B21" s="100">
        <v>8</v>
      </c>
      <c r="C21" s="67"/>
      <c r="D21" s="72" t="s">
        <v>86</v>
      </c>
      <c r="E21" s="72"/>
      <c r="F21" s="72"/>
      <c r="G21" s="72"/>
      <c r="H21" s="72"/>
      <c r="I21" s="72"/>
      <c r="J21" s="80"/>
      <c r="K21" s="72"/>
      <c r="L21" s="72"/>
      <c r="M21" s="67"/>
    </row>
    <row r="22" spans="1:24">
      <c r="A22" s="67"/>
      <c r="B22" s="100">
        <v>9</v>
      </c>
      <c r="C22" s="67"/>
      <c r="D22" s="83" t="s">
        <v>326</v>
      </c>
      <c r="E22" s="72"/>
      <c r="F22" s="72"/>
      <c r="G22" s="72"/>
      <c r="H22" s="72"/>
      <c r="I22" s="72"/>
      <c r="J22" s="67"/>
      <c r="K22" s="67"/>
      <c r="L22" s="67"/>
      <c r="M22" s="67"/>
    </row>
    <row r="23" spans="1:24" ht="16.5" thickBot="1">
      <c r="A23" s="67"/>
      <c r="B23" s="100">
        <v>10</v>
      </c>
      <c r="C23" s="67"/>
      <c r="D23" s="83" t="s">
        <v>327</v>
      </c>
      <c r="E23" s="72"/>
      <c r="F23" s="72"/>
      <c r="G23" s="72"/>
      <c r="H23" s="72"/>
      <c r="I23" s="72"/>
      <c r="J23" s="84">
        <f>-J15-J19</f>
        <v>45075.55</v>
      </c>
      <c r="K23" s="72"/>
      <c r="L23" s="72" t="s">
        <v>328</v>
      </c>
      <c r="M23" s="67"/>
    </row>
    <row r="24" spans="1:24" ht="16.5" thickTop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1:24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1:24">
      <c r="X26" s="67"/>
    </row>
    <row r="39" spans="24:24">
      <c r="X39" s="67"/>
    </row>
    <row r="40" spans="24:24">
      <c r="X40" s="67"/>
    </row>
    <row r="42" spans="24:24">
      <c r="X42" s="67"/>
    </row>
    <row r="43" spans="24:24">
      <c r="X43" s="67"/>
    </row>
  </sheetData>
  <mergeCells count="3">
    <mergeCell ref="D4:L4"/>
    <mergeCell ref="D5:L5"/>
    <mergeCell ref="D6:L6"/>
  </mergeCells>
  <pageMargins left="0.7" right="0.7" top="0.75" bottom="0.75" header="0.3" footer="0.3"/>
  <pageSetup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3"/>
  <sheetViews>
    <sheetView topLeftCell="Q52" workbookViewId="0">
      <selection activeCell="Z1" sqref="Z1:Z4"/>
    </sheetView>
  </sheetViews>
  <sheetFormatPr defaultRowHeight="15.75"/>
  <cols>
    <col min="2" max="2" width="5.625" customWidth="1"/>
    <col min="3" max="3" width="2.625" customWidth="1"/>
    <col min="9" max="9" width="2.625" customWidth="1"/>
    <col min="10" max="10" width="12.75" bestFit="1" customWidth="1"/>
    <col min="11" max="11" width="2.625" customWidth="1"/>
    <col min="12" max="12" width="13.25" bestFit="1" customWidth="1"/>
    <col min="13" max="13" width="13.875" bestFit="1" customWidth="1"/>
  </cols>
  <sheetData>
    <row r="1" spans="1:27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 t="s">
        <v>361</v>
      </c>
      <c r="M1" s="88"/>
      <c r="Z1" s="67"/>
    </row>
    <row r="2" spans="1:27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 t="s">
        <v>358</v>
      </c>
      <c r="M2" s="88"/>
      <c r="X2" s="67"/>
      <c r="Z2" s="67"/>
    </row>
    <row r="3" spans="1:27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 t="s">
        <v>373</v>
      </c>
      <c r="M3" s="95"/>
      <c r="X3" s="67"/>
      <c r="Z3" s="67"/>
    </row>
    <row r="4" spans="1:27">
      <c r="A4" s="67"/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110"/>
      <c r="M4" s="88" t="s">
        <v>337</v>
      </c>
      <c r="AA4" s="67"/>
    </row>
    <row r="5" spans="1:27">
      <c r="A5" s="67"/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110"/>
      <c r="M5" s="95" t="s">
        <v>310</v>
      </c>
    </row>
    <row r="6" spans="1:27">
      <c r="A6" s="67"/>
      <c r="B6" s="67"/>
      <c r="C6" s="67"/>
      <c r="D6" s="110" t="s">
        <v>314</v>
      </c>
      <c r="E6" s="110"/>
      <c r="F6" s="110"/>
      <c r="G6" s="110"/>
      <c r="H6" s="110"/>
      <c r="I6" s="110"/>
      <c r="J6" s="110"/>
      <c r="K6" s="110"/>
      <c r="L6" s="110"/>
      <c r="M6" s="67"/>
    </row>
    <row r="7" spans="1:2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2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27">
      <c r="A9" s="67"/>
      <c r="B9" s="100" t="s">
        <v>39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27">
      <c r="A10" s="67"/>
      <c r="B10" s="69" t="s">
        <v>40</v>
      </c>
      <c r="C10" s="67"/>
      <c r="D10" s="71" t="s">
        <v>41</v>
      </c>
      <c r="E10" s="71"/>
      <c r="F10" s="71"/>
      <c r="G10" s="71"/>
      <c r="H10" s="71"/>
      <c r="I10" s="72"/>
      <c r="J10" s="69" t="s">
        <v>46</v>
      </c>
      <c r="K10" s="100"/>
      <c r="L10" s="69" t="s">
        <v>47</v>
      </c>
      <c r="M10" s="67"/>
    </row>
    <row r="11" spans="1:27">
      <c r="A11" s="67"/>
      <c r="B11" s="67"/>
      <c r="C11" s="67"/>
      <c r="D11" s="67"/>
      <c r="E11" s="67"/>
      <c r="F11" s="67"/>
      <c r="G11" s="67"/>
      <c r="H11" s="67"/>
      <c r="I11" s="72"/>
      <c r="J11" s="67"/>
      <c r="K11" s="67"/>
      <c r="L11" s="67"/>
      <c r="M11" s="67"/>
    </row>
    <row r="12" spans="1:27">
      <c r="A12" s="67"/>
      <c r="B12" s="100">
        <v>1</v>
      </c>
      <c r="C12" s="67"/>
      <c r="D12" s="67"/>
      <c r="E12" s="67"/>
      <c r="F12" s="67"/>
      <c r="G12" s="67"/>
      <c r="H12" s="67"/>
      <c r="I12" s="67"/>
      <c r="J12" s="67"/>
      <c r="K12" s="67"/>
      <c r="L12" s="100" t="s">
        <v>318</v>
      </c>
      <c r="M12" s="67"/>
    </row>
    <row r="13" spans="1:27">
      <c r="A13" s="67"/>
      <c r="B13" s="100">
        <v>2</v>
      </c>
      <c r="C13" s="67"/>
      <c r="D13" s="67" t="s">
        <v>319</v>
      </c>
      <c r="E13" s="67"/>
      <c r="F13" s="67"/>
      <c r="G13" s="67"/>
      <c r="H13" s="67"/>
      <c r="I13" s="67"/>
      <c r="J13" s="67"/>
      <c r="K13" s="67"/>
      <c r="L13" s="100" t="s">
        <v>320</v>
      </c>
      <c r="M13" s="67"/>
    </row>
    <row r="14" spans="1:27">
      <c r="A14" s="67"/>
      <c r="B14" s="100">
        <v>3</v>
      </c>
      <c r="C14" s="67"/>
      <c r="D14" s="67" t="s">
        <v>343</v>
      </c>
      <c r="E14" s="67"/>
      <c r="F14" s="67"/>
      <c r="G14" s="67"/>
      <c r="H14" s="67"/>
      <c r="I14" s="67"/>
      <c r="J14" s="67"/>
      <c r="K14" s="67"/>
      <c r="L14" s="100" t="s">
        <v>322</v>
      </c>
      <c r="M14" s="67"/>
    </row>
    <row r="15" spans="1:27">
      <c r="A15" s="67"/>
      <c r="B15" s="100">
        <v>4</v>
      </c>
      <c r="C15" s="67"/>
      <c r="D15" s="67" t="s">
        <v>323</v>
      </c>
      <c r="E15" s="67"/>
      <c r="F15" s="67"/>
      <c r="G15" s="67"/>
      <c r="H15" s="67"/>
      <c r="I15" s="67"/>
      <c r="J15" s="76">
        <f>+'[4]Exh SC14'!$R$21</f>
        <v>-48250.077947146718</v>
      </c>
      <c r="K15" s="67"/>
      <c r="L15" s="100" t="s">
        <v>299</v>
      </c>
      <c r="M15" s="67"/>
      <c r="X15" s="67"/>
    </row>
    <row r="16" spans="1:27">
      <c r="A16" s="67"/>
      <c r="B16" s="100"/>
      <c r="C16" s="67"/>
      <c r="D16" s="67"/>
      <c r="E16" s="67"/>
      <c r="F16" s="67"/>
      <c r="G16" s="67"/>
      <c r="H16" s="67"/>
      <c r="I16" s="67"/>
      <c r="J16" s="76"/>
      <c r="K16" s="67"/>
      <c r="L16" s="67"/>
      <c r="M16" s="67"/>
    </row>
    <row r="17" spans="1:24">
      <c r="A17" s="67"/>
      <c r="B17" s="100">
        <v>5</v>
      </c>
      <c r="C17" s="67"/>
      <c r="D17" s="72" t="s">
        <v>54</v>
      </c>
      <c r="E17" s="72"/>
      <c r="F17" s="72"/>
      <c r="G17" s="72"/>
      <c r="H17" s="72"/>
      <c r="I17" s="72"/>
      <c r="J17" s="81">
        <v>0.35</v>
      </c>
      <c r="K17" s="72"/>
      <c r="L17" s="72"/>
      <c r="M17" s="67"/>
    </row>
    <row r="18" spans="1:24">
      <c r="A18" s="67"/>
      <c r="B18" s="100"/>
      <c r="C18" s="67"/>
      <c r="D18" s="72"/>
      <c r="E18" s="72"/>
      <c r="F18" s="72"/>
      <c r="G18" s="72"/>
      <c r="H18" s="72"/>
      <c r="I18" s="72"/>
      <c r="J18" s="72"/>
      <c r="K18" s="72"/>
      <c r="L18" s="72"/>
      <c r="M18" s="67"/>
    </row>
    <row r="19" spans="1:24">
      <c r="A19" s="67"/>
      <c r="B19" s="100">
        <v>6</v>
      </c>
      <c r="C19" s="67"/>
      <c r="D19" s="67" t="s">
        <v>324</v>
      </c>
      <c r="E19" s="72"/>
      <c r="F19" s="72"/>
      <c r="G19" s="72"/>
      <c r="H19" s="72"/>
      <c r="I19" s="72"/>
      <c r="J19" s="82">
        <f>-J15*J17</f>
        <v>16887.527281501349</v>
      </c>
      <c r="K19" s="72"/>
      <c r="L19" s="72" t="s">
        <v>123</v>
      </c>
      <c r="M19" s="67"/>
    </row>
    <row r="20" spans="1:24">
      <c r="A20" s="67"/>
      <c r="B20" s="100"/>
      <c r="C20" s="67"/>
      <c r="D20" s="67"/>
      <c r="E20" s="72"/>
      <c r="F20" s="72"/>
      <c r="G20" s="72"/>
      <c r="H20" s="72"/>
      <c r="I20" s="72"/>
      <c r="J20" s="72"/>
      <c r="K20" s="72"/>
      <c r="L20" s="72"/>
      <c r="M20" s="67"/>
      <c r="X20" s="67"/>
    </row>
    <row r="21" spans="1:24">
      <c r="A21" s="67"/>
      <c r="B21" s="100">
        <v>7</v>
      </c>
      <c r="C21" s="67"/>
      <c r="D21" s="72" t="s">
        <v>86</v>
      </c>
      <c r="E21" s="72"/>
      <c r="F21" s="72"/>
      <c r="G21" s="72"/>
      <c r="H21" s="72"/>
      <c r="I21" s="72"/>
      <c r="J21" s="80"/>
      <c r="K21" s="72"/>
      <c r="L21" s="72"/>
      <c r="M21" s="67"/>
    </row>
    <row r="22" spans="1:24">
      <c r="A22" s="67"/>
      <c r="B22" s="100">
        <v>8</v>
      </c>
      <c r="C22" s="67"/>
      <c r="D22" s="83" t="s">
        <v>344</v>
      </c>
      <c r="E22" s="72"/>
      <c r="F22" s="72"/>
      <c r="G22" s="72"/>
      <c r="H22" s="72"/>
      <c r="I22" s="72"/>
      <c r="J22" s="67"/>
      <c r="K22" s="67"/>
      <c r="L22" s="67"/>
      <c r="M22" s="67"/>
    </row>
    <row r="23" spans="1:24" ht="16.5" thickBot="1">
      <c r="A23" s="67"/>
      <c r="B23" s="100">
        <v>9</v>
      </c>
      <c r="C23" s="67"/>
      <c r="D23" s="83" t="s">
        <v>345</v>
      </c>
      <c r="E23" s="72"/>
      <c r="F23" s="72"/>
      <c r="G23" s="72"/>
      <c r="H23" s="72"/>
      <c r="I23" s="72"/>
      <c r="J23" s="84">
        <f>-J15-J19</f>
        <v>31362.550665645369</v>
      </c>
      <c r="K23" s="72"/>
      <c r="L23" s="72" t="s">
        <v>126</v>
      </c>
      <c r="M23" s="67"/>
    </row>
    <row r="24" spans="1:24" ht="16.5" thickTop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  <row r="25" spans="1:24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1:24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X26" s="67"/>
    </row>
    <row r="39" spans="24:24">
      <c r="X39" s="67"/>
    </row>
    <row r="40" spans="24:24">
      <c r="X40" s="67"/>
    </row>
    <row r="42" spans="24:24">
      <c r="X42" s="67"/>
    </row>
    <row r="43" spans="24:24">
      <c r="X43" s="67"/>
    </row>
  </sheetData>
  <mergeCells count="3">
    <mergeCell ref="D4:L4"/>
    <mergeCell ref="D5:L5"/>
    <mergeCell ref="D6:L6"/>
  </mergeCells>
  <pageMargins left="0.7" right="0.7" top="0.75" bottom="0.75" header="0.3" footer="0.3"/>
  <pageSetup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3"/>
  <sheetViews>
    <sheetView workbookViewId="0">
      <selection activeCell="Z1" sqref="Z1:Z4"/>
    </sheetView>
  </sheetViews>
  <sheetFormatPr defaultRowHeight="15.75"/>
  <cols>
    <col min="2" max="2" width="5.625" customWidth="1"/>
    <col min="3" max="3" width="2.625" customWidth="1"/>
    <col min="9" max="9" width="2.625" customWidth="1"/>
    <col min="10" max="10" width="12.75" bestFit="1" customWidth="1"/>
    <col min="11" max="11" width="2.625" customWidth="1"/>
    <col min="12" max="12" width="13.25" bestFit="1" customWidth="1"/>
    <col min="13" max="13" width="13.875" bestFit="1" customWidth="1"/>
  </cols>
  <sheetData>
    <row r="1" spans="1:27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 t="s">
        <v>361</v>
      </c>
      <c r="M1" s="88"/>
      <c r="Z1" s="67"/>
    </row>
    <row r="2" spans="1:27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 t="s">
        <v>358</v>
      </c>
      <c r="M2" s="88"/>
      <c r="X2" s="67"/>
      <c r="Z2" s="67"/>
    </row>
    <row r="3" spans="1:27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 t="s">
        <v>374</v>
      </c>
      <c r="M3" s="95"/>
      <c r="X3" s="67"/>
      <c r="Z3" s="67"/>
    </row>
    <row r="4" spans="1:27">
      <c r="A4" s="67"/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110"/>
      <c r="M4" s="88" t="s">
        <v>338</v>
      </c>
      <c r="AA4" s="67"/>
    </row>
    <row r="5" spans="1:27">
      <c r="A5" s="67"/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110"/>
      <c r="M5" s="95" t="s">
        <v>311</v>
      </c>
    </row>
    <row r="6" spans="1:27">
      <c r="A6" s="67"/>
      <c r="B6" s="67"/>
      <c r="C6" s="67"/>
      <c r="D6" s="110" t="s">
        <v>351</v>
      </c>
      <c r="E6" s="110"/>
      <c r="F6" s="110"/>
      <c r="G6" s="110"/>
      <c r="H6" s="110"/>
      <c r="I6" s="110"/>
      <c r="J6" s="110"/>
      <c r="K6" s="110"/>
      <c r="L6" s="110"/>
      <c r="M6" s="67"/>
    </row>
    <row r="7" spans="1:2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2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27">
      <c r="A9" s="67"/>
      <c r="B9" s="100" t="s">
        <v>39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27">
      <c r="A10" s="67"/>
      <c r="B10" s="69" t="s">
        <v>40</v>
      </c>
      <c r="C10" s="67"/>
      <c r="D10" s="71" t="s">
        <v>41</v>
      </c>
      <c r="E10" s="71"/>
      <c r="F10" s="71"/>
      <c r="G10" s="71"/>
      <c r="H10" s="71"/>
      <c r="I10" s="72"/>
      <c r="J10" s="69" t="s">
        <v>46</v>
      </c>
      <c r="K10" s="100"/>
      <c r="L10" s="69" t="s">
        <v>47</v>
      </c>
      <c r="M10" s="67"/>
    </row>
    <row r="11" spans="1:27">
      <c r="A11" s="67"/>
      <c r="B11" s="67"/>
      <c r="C11" s="67"/>
      <c r="D11" s="67"/>
      <c r="E11" s="67"/>
      <c r="F11" s="67"/>
      <c r="G11" s="67"/>
      <c r="H11" s="67"/>
      <c r="I11" s="72"/>
      <c r="J11" s="67"/>
      <c r="K11" s="67"/>
      <c r="L11" s="67"/>
      <c r="M11" s="67"/>
    </row>
    <row r="12" spans="1:27">
      <c r="A12" s="67"/>
      <c r="B12" s="100">
        <v>1</v>
      </c>
      <c r="C12" s="67"/>
      <c r="D12" s="67"/>
      <c r="E12" s="67"/>
      <c r="F12" s="67"/>
      <c r="G12" s="67"/>
      <c r="H12" s="67"/>
      <c r="I12" s="67"/>
      <c r="J12" s="67"/>
      <c r="K12" s="67"/>
      <c r="L12" s="100" t="s">
        <v>329</v>
      </c>
      <c r="M12" s="67"/>
    </row>
    <row r="13" spans="1:27">
      <c r="A13" s="67"/>
      <c r="B13" s="100">
        <v>2</v>
      </c>
      <c r="C13" s="67"/>
      <c r="D13" s="67"/>
      <c r="E13" s="67"/>
      <c r="F13" s="67"/>
      <c r="G13" s="67"/>
      <c r="H13" s="67"/>
      <c r="I13" s="67"/>
      <c r="J13" s="67"/>
      <c r="K13" s="67"/>
      <c r="L13" s="100" t="s">
        <v>330</v>
      </c>
      <c r="M13" s="67"/>
    </row>
    <row r="14" spans="1:27">
      <c r="A14" s="67"/>
      <c r="B14" s="100">
        <v>3</v>
      </c>
      <c r="C14" s="67"/>
      <c r="D14" s="67" t="s">
        <v>331</v>
      </c>
      <c r="E14" s="67"/>
      <c r="F14" s="67"/>
      <c r="G14" s="67"/>
      <c r="H14" s="67"/>
      <c r="I14" s="67"/>
      <c r="J14" s="67"/>
      <c r="K14" s="67"/>
      <c r="L14" s="100" t="s">
        <v>332</v>
      </c>
      <c r="M14" s="67"/>
    </row>
    <row r="15" spans="1:27">
      <c r="A15" s="67"/>
      <c r="B15" s="100">
        <v>4</v>
      </c>
      <c r="C15" s="67"/>
      <c r="D15" s="67" t="s">
        <v>352</v>
      </c>
      <c r="E15" s="67"/>
      <c r="F15" s="67"/>
      <c r="G15" s="67"/>
      <c r="H15" s="67"/>
      <c r="I15" s="67"/>
      <c r="J15" s="67"/>
      <c r="K15" s="67"/>
      <c r="L15" s="100" t="s">
        <v>333</v>
      </c>
      <c r="M15" s="67"/>
      <c r="X15" s="67"/>
    </row>
    <row r="16" spans="1:27">
      <c r="A16" s="67"/>
      <c r="B16" s="100">
        <v>5</v>
      </c>
      <c r="C16" s="67"/>
      <c r="D16" s="67" t="s">
        <v>323</v>
      </c>
      <c r="E16" s="67"/>
      <c r="F16" s="67"/>
      <c r="G16" s="67"/>
      <c r="H16" s="67"/>
      <c r="I16" s="67"/>
      <c r="J16" s="76">
        <v>-54264.960213583268</v>
      </c>
      <c r="K16" s="67"/>
      <c r="L16" s="100" t="s">
        <v>334</v>
      </c>
      <c r="M16" s="67"/>
    </row>
    <row r="17" spans="1:24">
      <c r="A17" s="67"/>
      <c r="B17" s="100"/>
      <c r="C17" s="67"/>
      <c r="D17" s="67"/>
      <c r="E17" s="67"/>
      <c r="F17" s="67"/>
      <c r="G17" s="67"/>
      <c r="H17" s="67"/>
      <c r="I17" s="67"/>
      <c r="J17" s="76"/>
      <c r="K17" s="72"/>
      <c r="L17" s="72"/>
      <c r="M17" s="67"/>
    </row>
    <row r="18" spans="1:24">
      <c r="A18" s="67"/>
      <c r="B18" s="100">
        <v>6</v>
      </c>
      <c r="C18" s="67"/>
      <c r="D18" s="72" t="s">
        <v>54</v>
      </c>
      <c r="E18" s="72"/>
      <c r="F18" s="72"/>
      <c r="G18" s="72"/>
      <c r="H18" s="72"/>
      <c r="I18" s="72"/>
      <c r="J18" s="81"/>
      <c r="K18" s="72"/>
      <c r="L18" s="72"/>
      <c r="M18" s="67"/>
    </row>
    <row r="19" spans="1:24">
      <c r="A19" s="67"/>
      <c r="B19" s="100"/>
      <c r="C19" s="67"/>
      <c r="D19" s="72"/>
      <c r="E19" s="72"/>
      <c r="F19" s="72"/>
      <c r="G19" s="72"/>
      <c r="H19" s="72"/>
      <c r="I19" s="72"/>
      <c r="J19" s="72"/>
      <c r="K19" s="72"/>
      <c r="L19" s="67"/>
      <c r="M19" s="67"/>
    </row>
    <row r="20" spans="1:24">
      <c r="A20" s="67"/>
      <c r="B20" s="100">
        <v>7</v>
      </c>
      <c r="C20" s="67"/>
      <c r="D20" s="67" t="s">
        <v>324</v>
      </c>
      <c r="E20" s="72"/>
      <c r="F20" s="72"/>
      <c r="G20" s="72"/>
      <c r="H20" s="72"/>
      <c r="I20" s="72"/>
      <c r="J20" s="82">
        <f>-J16*J18</f>
        <v>0</v>
      </c>
      <c r="K20" s="72"/>
      <c r="L20" s="85" t="s">
        <v>325</v>
      </c>
      <c r="M20" s="67"/>
      <c r="X20" s="67"/>
    </row>
    <row r="21" spans="1:24">
      <c r="A21" s="67"/>
      <c r="B21" s="100"/>
      <c r="C21" s="67"/>
      <c r="D21" s="67"/>
      <c r="E21" s="72"/>
      <c r="F21" s="72"/>
      <c r="G21" s="72"/>
      <c r="H21" s="72"/>
      <c r="I21" s="72"/>
      <c r="J21" s="72"/>
      <c r="K21" s="72"/>
      <c r="L21" s="72"/>
      <c r="M21" s="67"/>
    </row>
    <row r="22" spans="1:24">
      <c r="A22" s="67"/>
      <c r="B22" s="100">
        <v>8</v>
      </c>
      <c r="C22" s="67"/>
      <c r="D22" s="72" t="s">
        <v>86</v>
      </c>
      <c r="E22" s="72"/>
      <c r="F22" s="72"/>
      <c r="G22" s="72"/>
      <c r="H22" s="72"/>
      <c r="I22" s="72"/>
      <c r="J22" s="80"/>
      <c r="K22" s="67"/>
      <c r="L22" s="67"/>
      <c r="M22" s="67"/>
    </row>
    <row r="23" spans="1:24">
      <c r="A23" s="67"/>
      <c r="B23" s="100">
        <v>9</v>
      </c>
      <c r="C23" s="67"/>
      <c r="D23" s="83" t="s">
        <v>353</v>
      </c>
      <c r="E23" s="72"/>
      <c r="F23" s="72"/>
      <c r="G23" s="72"/>
      <c r="H23" s="72"/>
      <c r="I23" s="72"/>
      <c r="J23" s="67"/>
      <c r="K23" s="72"/>
      <c r="L23" s="67"/>
      <c r="M23" s="67"/>
    </row>
    <row r="24" spans="1:24" ht="16.5" thickBot="1">
      <c r="A24" s="67"/>
      <c r="B24" s="100">
        <v>10</v>
      </c>
      <c r="C24" s="67"/>
      <c r="D24" s="83" t="s">
        <v>346</v>
      </c>
      <c r="E24" s="72"/>
      <c r="F24" s="72"/>
      <c r="G24" s="72"/>
      <c r="H24" s="72"/>
      <c r="I24" s="72"/>
      <c r="J24" s="84">
        <f>-J16-J20</f>
        <v>54264.960213583268</v>
      </c>
      <c r="K24" s="67"/>
      <c r="L24" s="85" t="s">
        <v>328</v>
      </c>
      <c r="M24" s="67"/>
    </row>
    <row r="25" spans="1:24" ht="16.5" thickTop="1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1:24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X26" s="67"/>
    </row>
    <row r="27" spans="1:24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1:24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39" spans="24:24">
      <c r="X39" s="67"/>
    </row>
    <row r="40" spans="24:24">
      <c r="X40" s="67"/>
    </row>
    <row r="42" spans="24:24">
      <c r="X42" s="67"/>
    </row>
    <row r="43" spans="24:24">
      <c r="X43" s="67"/>
    </row>
  </sheetData>
  <mergeCells count="3">
    <mergeCell ref="D4:L4"/>
    <mergeCell ref="D5:L5"/>
    <mergeCell ref="D6:L6"/>
  </mergeCells>
  <pageMargins left="0.7" right="0.7" top="0.75" bottom="0.75" header="0.3" footer="0.3"/>
  <pageSetup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3"/>
  <sheetViews>
    <sheetView topLeftCell="Q31" workbookViewId="0">
      <selection activeCell="Z1" sqref="Z1:Z4"/>
    </sheetView>
  </sheetViews>
  <sheetFormatPr defaultRowHeight="15.75"/>
  <cols>
    <col min="2" max="2" width="5.625" customWidth="1"/>
    <col min="3" max="3" width="2.625" customWidth="1"/>
    <col min="9" max="9" width="2.625" customWidth="1"/>
    <col min="10" max="10" width="10.75" bestFit="1" customWidth="1"/>
    <col min="11" max="11" width="2.625" customWidth="1"/>
    <col min="12" max="12" width="13.25" bestFit="1" customWidth="1"/>
    <col min="13" max="13" width="13.875" bestFit="1" customWidth="1"/>
  </cols>
  <sheetData>
    <row r="1" spans="1:27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 t="s">
        <v>361</v>
      </c>
      <c r="M1" s="88"/>
      <c r="N1" s="67"/>
      <c r="Z1" s="67"/>
    </row>
    <row r="2" spans="1:27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 t="s">
        <v>358</v>
      </c>
      <c r="M2" s="88"/>
      <c r="N2" s="67"/>
      <c r="X2" s="67"/>
      <c r="Z2" s="67"/>
    </row>
    <row r="3" spans="1:27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 t="s">
        <v>375</v>
      </c>
      <c r="M3" s="95"/>
      <c r="N3" s="67"/>
      <c r="X3" s="67"/>
      <c r="Z3" s="67"/>
    </row>
    <row r="4" spans="1:27">
      <c r="A4" s="67"/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110"/>
      <c r="M4" s="88" t="s">
        <v>316</v>
      </c>
      <c r="N4" s="67"/>
      <c r="AA4" s="67"/>
    </row>
    <row r="5" spans="1:27">
      <c r="A5" s="67"/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110"/>
      <c r="M5" s="95" t="s">
        <v>312</v>
      </c>
      <c r="N5" s="67"/>
    </row>
    <row r="6" spans="1:27">
      <c r="A6" s="67"/>
      <c r="B6" s="67"/>
      <c r="C6" s="67"/>
      <c r="D6" s="110" t="s">
        <v>315</v>
      </c>
      <c r="E6" s="110"/>
      <c r="F6" s="110"/>
      <c r="G6" s="110"/>
      <c r="H6" s="110"/>
      <c r="I6" s="110"/>
      <c r="J6" s="110"/>
      <c r="K6" s="110"/>
      <c r="L6" s="110"/>
      <c r="M6" s="67"/>
      <c r="N6" s="67"/>
    </row>
    <row r="7" spans="1:2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2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27">
      <c r="A9" s="67"/>
      <c r="B9" s="100" t="s">
        <v>39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27">
      <c r="A10" s="67"/>
      <c r="B10" s="69" t="s">
        <v>40</v>
      </c>
      <c r="C10" s="67"/>
      <c r="D10" s="71" t="s">
        <v>41</v>
      </c>
      <c r="E10" s="71"/>
      <c r="F10" s="71"/>
      <c r="G10" s="71"/>
      <c r="H10" s="71"/>
      <c r="I10" s="72"/>
      <c r="J10" s="69" t="s">
        <v>46</v>
      </c>
      <c r="K10" s="100"/>
      <c r="L10" s="69" t="s">
        <v>47</v>
      </c>
      <c r="M10" s="67"/>
      <c r="N10" s="67"/>
    </row>
    <row r="11" spans="1:27">
      <c r="A11" s="67"/>
      <c r="B11" s="67"/>
      <c r="C11" s="67"/>
      <c r="D11" s="67"/>
      <c r="E11" s="67"/>
      <c r="F11" s="67"/>
      <c r="G11" s="67"/>
      <c r="H11" s="67"/>
      <c r="I11" s="72"/>
      <c r="J11" s="67"/>
      <c r="K11" s="67"/>
      <c r="L11" s="67"/>
      <c r="M11" s="67"/>
      <c r="N11" s="67"/>
    </row>
    <row r="12" spans="1:2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27">
      <c r="A13" s="67"/>
      <c r="B13" s="100">
        <v>1</v>
      </c>
      <c r="C13" s="67"/>
      <c r="D13" s="67"/>
      <c r="E13" s="67"/>
      <c r="F13" s="67"/>
      <c r="G13" s="67"/>
      <c r="H13" s="67"/>
      <c r="I13" s="67"/>
      <c r="J13" s="67"/>
      <c r="K13" s="67"/>
      <c r="L13" s="100" t="s">
        <v>329</v>
      </c>
      <c r="M13" s="67"/>
      <c r="N13" s="67"/>
    </row>
    <row r="14" spans="1:27">
      <c r="A14" s="67"/>
      <c r="B14" s="100">
        <v>2</v>
      </c>
      <c r="C14" s="67"/>
      <c r="D14" s="67"/>
      <c r="E14" s="67"/>
      <c r="F14" s="67"/>
      <c r="G14" s="67"/>
      <c r="H14" s="67"/>
      <c r="I14" s="67"/>
      <c r="J14" s="67"/>
      <c r="K14" s="67"/>
      <c r="L14" s="100" t="s">
        <v>330</v>
      </c>
      <c r="M14" s="67"/>
      <c r="N14" s="67"/>
    </row>
    <row r="15" spans="1:27">
      <c r="A15" s="67"/>
      <c r="B15" s="100">
        <v>3</v>
      </c>
      <c r="C15" s="67"/>
      <c r="D15" s="67"/>
      <c r="E15" s="67"/>
      <c r="F15" s="67"/>
      <c r="G15" s="67"/>
      <c r="H15" s="67"/>
      <c r="I15" s="67"/>
      <c r="J15" s="67"/>
      <c r="K15" s="67"/>
      <c r="L15" s="100" t="s">
        <v>332</v>
      </c>
      <c r="M15" s="67"/>
      <c r="N15" s="67"/>
      <c r="X15" s="67"/>
    </row>
    <row r="16" spans="1:27">
      <c r="A16" s="67"/>
      <c r="B16" s="100">
        <v>4</v>
      </c>
      <c r="C16" s="67"/>
      <c r="D16" s="67" t="s">
        <v>335</v>
      </c>
      <c r="E16" s="67"/>
      <c r="F16" s="67"/>
      <c r="G16" s="67"/>
      <c r="H16" s="67"/>
      <c r="I16" s="67"/>
      <c r="J16" s="67"/>
      <c r="K16" s="67"/>
      <c r="L16" s="100" t="s">
        <v>333</v>
      </c>
      <c r="M16" s="67"/>
      <c r="N16" s="67"/>
    </row>
    <row r="17" spans="1:24">
      <c r="A17" s="67"/>
      <c r="B17" s="100">
        <v>5</v>
      </c>
      <c r="C17" s="67"/>
      <c r="D17" s="67" t="s">
        <v>336</v>
      </c>
      <c r="E17" s="67"/>
      <c r="F17" s="67"/>
      <c r="G17" s="67"/>
      <c r="H17" s="67"/>
      <c r="I17" s="67"/>
      <c r="J17" s="76">
        <v>-1316</v>
      </c>
      <c r="K17" s="67"/>
      <c r="L17" s="100" t="s">
        <v>334</v>
      </c>
      <c r="M17" s="67"/>
      <c r="N17" s="67"/>
    </row>
    <row r="18" spans="1:24">
      <c r="A18" s="67"/>
      <c r="B18" s="100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24">
      <c r="A19" s="67"/>
      <c r="B19" s="100">
        <v>6</v>
      </c>
      <c r="C19" s="67"/>
      <c r="D19" s="72" t="s">
        <v>54</v>
      </c>
      <c r="E19" s="72"/>
      <c r="F19" s="72"/>
      <c r="G19" s="72"/>
      <c r="H19" s="72"/>
      <c r="I19" s="72"/>
      <c r="J19" s="81">
        <v>0.35</v>
      </c>
      <c r="K19" s="72"/>
      <c r="L19" s="72"/>
      <c r="M19" s="67"/>
      <c r="N19" s="67"/>
    </row>
    <row r="20" spans="1:24">
      <c r="A20" s="67"/>
      <c r="B20" s="100"/>
      <c r="C20" s="67"/>
      <c r="D20" s="72"/>
      <c r="E20" s="72"/>
      <c r="F20" s="72"/>
      <c r="G20" s="72"/>
      <c r="H20" s="72"/>
      <c r="I20" s="72"/>
      <c r="J20" s="72"/>
      <c r="K20" s="72"/>
      <c r="L20" s="67"/>
      <c r="M20" s="67"/>
      <c r="N20" s="67"/>
      <c r="X20" s="67"/>
    </row>
    <row r="21" spans="1:24">
      <c r="A21" s="67"/>
      <c r="B21" s="100">
        <v>7</v>
      </c>
      <c r="C21" s="67"/>
      <c r="D21" s="67" t="s">
        <v>324</v>
      </c>
      <c r="E21" s="72"/>
      <c r="F21" s="72"/>
      <c r="G21" s="72"/>
      <c r="H21" s="72"/>
      <c r="I21" s="72"/>
      <c r="J21" s="82">
        <f>-J17*J19</f>
        <v>460.59999999999997</v>
      </c>
      <c r="K21" s="72"/>
      <c r="L21" s="72" t="s">
        <v>325</v>
      </c>
      <c r="M21" s="67"/>
      <c r="N21" s="67"/>
    </row>
    <row r="22" spans="1:24">
      <c r="A22" s="67"/>
      <c r="B22" s="100"/>
      <c r="C22" s="67"/>
      <c r="D22" s="67"/>
      <c r="E22" s="72"/>
      <c r="F22" s="72"/>
      <c r="G22" s="72"/>
      <c r="H22" s="72"/>
      <c r="I22" s="72"/>
      <c r="J22" s="72"/>
      <c r="K22" s="72"/>
      <c r="L22" s="72"/>
      <c r="M22" s="67"/>
      <c r="N22" s="67"/>
    </row>
    <row r="23" spans="1:24">
      <c r="A23" s="67"/>
      <c r="B23" s="100">
        <v>8</v>
      </c>
      <c r="C23" s="67"/>
      <c r="D23" s="72" t="s">
        <v>86</v>
      </c>
      <c r="E23" s="72"/>
      <c r="F23" s="72"/>
      <c r="G23" s="72"/>
      <c r="H23" s="72"/>
      <c r="I23" s="72"/>
      <c r="J23" s="80"/>
      <c r="K23" s="67"/>
      <c r="L23" s="67"/>
      <c r="M23" s="67"/>
      <c r="N23" s="67"/>
    </row>
    <row r="24" spans="1:24">
      <c r="A24" s="67"/>
      <c r="B24" s="100">
        <v>9</v>
      </c>
      <c r="C24" s="67"/>
      <c r="D24" s="83" t="s">
        <v>347</v>
      </c>
      <c r="E24" s="72"/>
      <c r="F24" s="72"/>
      <c r="G24" s="72"/>
      <c r="H24" s="72"/>
      <c r="I24" s="72"/>
      <c r="J24" s="67"/>
      <c r="K24" s="72"/>
      <c r="L24" s="67"/>
      <c r="M24" s="67"/>
      <c r="N24" s="67"/>
    </row>
    <row r="25" spans="1:24" ht="16.5" thickBot="1">
      <c r="A25" s="67"/>
      <c r="B25" s="100">
        <v>10</v>
      </c>
      <c r="C25" s="67"/>
      <c r="D25" s="83" t="s">
        <v>348</v>
      </c>
      <c r="E25" s="72"/>
      <c r="F25" s="72"/>
      <c r="G25" s="72"/>
      <c r="H25" s="72"/>
      <c r="I25" s="72"/>
      <c r="J25" s="84">
        <f>-J17-J21</f>
        <v>855.40000000000009</v>
      </c>
      <c r="K25" s="67"/>
      <c r="L25" s="72" t="s">
        <v>328</v>
      </c>
      <c r="M25" s="67"/>
      <c r="N25" s="67"/>
    </row>
    <row r="26" spans="1:24" ht="16.5" thickTop="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X26" s="67"/>
    </row>
    <row r="27" spans="1:24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</row>
    <row r="28" spans="1:24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24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</row>
    <row r="39" spans="24:24">
      <c r="X39" s="67"/>
    </row>
    <row r="40" spans="24:24">
      <c r="X40" s="67"/>
    </row>
    <row r="42" spans="24:24">
      <c r="X42" s="67"/>
    </row>
    <row r="43" spans="24:24">
      <c r="X43" s="67"/>
    </row>
  </sheetData>
  <mergeCells count="3">
    <mergeCell ref="D4:L4"/>
    <mergeCell ref="D5:L5"/>
    <mergeCell ref="D6:L6"/>
  </mergeCells>
  <pageMargins left="0.7" right="0.7" top="0.75" bottom="0.75" header="0.3" footer="0.3"/>
  <pageSetup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43"/>
  <sheetViews>
    <sheetView topLeftCell="C1"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3.75" bestFit="1" customWidth="1"/>
    <col min="10" max="10" width="2.625" customWidth="1"/>
    <col min="11" max="11" width="14.375" bestFit="1" customWidth="1"/>
    <col min="12" max="12" width="13.875" bestFit="1" customWidth="1"/>
  </cols>
  <sheetData>
    <row r="1" spans="2:27" s="67" customFormat="1">
      <c r="K1" s="67" t="s">
        <v>361</v>
      </c>
      <c r="L1" s="88"/>
    </row>
    <row r="2" spans="2:27" s="67" customFormat="1">
      <c r="K2" s="67" t="s">
        <v>358</v>
      </c>
      <c r="L2" s="88"/>
    </row>
    <row r="3" spans="2:27" s="67" customFormat="1">
      <c r="K3" s="67" t="s">
        <v>376</v>
      </c>
      <c r="L3" s="95"/>
    </row>
    <row r="4" spans="2:27"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262</v>
      </c>
      <c r="M4" s="88"/>
      <c r="AA4" s="67"/>
    </row>
    <row r="5" spans="2:27"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114</v>
      </c>
    </row>
    <row r="6" spans="2:27">
      <c r="D6" s="110" t="s">
        <v>72</v>
      </c>
      <c r="E6" s="110"/>
      <c r="F6" s="110"/>
      <c r="G6" s="110"/>
      <c r="H6" s="110"/>
      <c r="I6" s="110"/>
      <c r="J6" s="110"/>
      <c r="K6" s="110"/>
    </row>
    <row r="9" spans="2:27">
      <c r="B9" s="1" t="s">
        <v>39</v>
      </c>
    </row>
    <row r="10" spans="2:27">
      <c r="B10" s="2" t="s">
        <v>40</v>
      </c>
      <c r="D10" s="71" t="s">
        <v>41</v>
      </c>
      <c r="E10" s="71"/>
      <c r="F10" s="71"/>
      <c r="G10" s="71"/>
      <c r="I10" s="2" t="s">
        <v>46</v>
      </c>
      <c r="J10" s="1"/>
      <c r="K10" s="2" t="s">
        <v>47</v>
      </c>
    </row>
    <row r="12" spans="2:27">
      <c r="B12" s="1">
        <v>1</v>
      </c>
      <c r="D12" s="72" t="s">
        <v>251</v>
      </c>
      <c r="E12" s="5"/>
      <c r="F12" s="5"/>
      <c r="G12" s="5"/>
      <c r="H12" s="5"/>
      <c r="I12" s="5"/>
      <c r="J12" s="5"/>
      <c r="K12" s="5"/>
      <c r="L12" s="5"/>
    </row>
    <row r="13" spans="2:27">
      <c r="B13" s="1">
        <v>2</v>
      </c>
      <c r="D13" s="5" t="s">
        <v>73</v>
      </c>
      <c r="E13" s="5"/>
      <c r="F13" s="5"/>
      <c r="G13" s="5"/>
      <c r="H13" s="5"/>
      <c r="I13" s="5"/>
      <c r="J13" s="5"/>
      <c r="K13" s="5"/>
      <c r="L13" s="5"/>
    </row>
    <row r="14" spans="2:27">
      <c r="B14" s="1">
        <v>3</v>
      </c>
      <c r="D14" s="26" t="s">
        <v>74</v>
      </c>
      <c r="E14" s="5"/>
      <c r="F14" s="5"/>
      <c r="G14" s="5"/>
      <c r="H14" s="5"/>
      <c r="I14" s="5"/>
      <c r="J14" s="5"/>
      <c r="K14" s="5"/>
      <c r="L14" s="5"/>
    </row>
    <row r="15" spans="2:27">
      <c r="B15" s="1"/>
      <c r="D15" s="5"/>
      <c r="E15" s="5"/>
      <c r="F15" s="5"/>
      <c r="G15" s="5"/>
      <c r="H15" s="5"/>
      <c r="I15" s="23"/>
      <c r="J15" s="5"/>
      <c r="K15" s="25"/>
      <c r="L15" s="5"/>
      <c r="X15" s="67"/>
    </row>
    <row r="16" spans="2:27">
      <c r="B16" s="1">
        <v>4</v>
      </c>
      <c r="D16" s="26" t="s">
        <v>75</v>
      </c>
      <c r="E16" s="5"/>
      <c r="F16" s="5"/>
      <c r="G16" s="5"/>
      <c r="H16" s="5"/>
      <c r="I16" s="23"/>
      <c r="J16" s="5"/>
      <c r="K16" s="5"/>
      <c r="L16" s="5"/>
    </row>
    <row r="17" spans="2:24">
      <c r="B17" s="1">
        <v>5</v>
      </c>
      <c r="D17" s="26" t="s">
        <v>76</v>
      </c>
      <c r="E17" s="5"/>
      <c r="F17" s="5"/>
      <c r="G17" s="5"/>
      <c r="H17" s="5"/>
      <c r="I17" s="5"/>
      <c r="J17" s="5"/>
      <c r="K17" s="26"/>
      <c r="L17" s="5"/>
    </row>
    <row r="18" spans="2:24">
      <c r="B18" s="1">
        <v>6</v>
      </c>
      <c r="D18" s="26" t="s">
        <v>77</v>
      </c>
      <c r="E18" s="5"/>
      <c r="F18" s="5"/>
      <c r="G18" s="5"/>
      <c r="H18" s="5"/>
      <c r="I18" s="27"/>
      <c r="J18" s="5"/>
      <c r="K18" s="26"/>
      <c r="L18" s="5"/>
    </row>
    <row r="19" spans="2:24">
      <c r="B19" s="1">
        <v>7</v>
      </c>
      <c r="D19" s="5"/>
      <c r="E19" s="101" t="s">
        <v>106</v>
      </c>
      <c r="F19" s="37"/>
      <c r="G19" s="5"/>
      <c r="H19" s="5"/>
      <c r="I19" s="82">
        <f>+[5]Summary!$E$55</f>
        <v>16220</v>
      </c>
      <c r="J19" s="5"/>
      <c r="K19" s="86" t="s">
        <v>27</v>
      </c>
      <c r="L19" s="5"/>
    </row>
    <row r="20" spans="2:24">
      <c r="B20" s="1">
        <v>8</v>
      </c>
      <c r="D20" s="5"/>
      <c r="E20" s="102" t="s">
        <v>107</v>
      </c>
      <c r="F20" s="37"/>
      <c r="G20" s="5"/>
      <c r="H20" s="5"/>
      <c r="I20" s="19">
        <f>+[5]Summary!$E$57</f>
        <v>165</v>
      </c>
      <c r="J20" s="5"/>
      <c r="K20" s="85" t="s">
        <v>28</v>
      </c>
      <c r="L20" s="5"/>
      <c r="X20" s="67"/>
    </row>
    <row r="21" spans="2:24">
      <c r="B21" s="1">
        <v>9</v>
      </c>
      <c r="D21" s="5"/>
      <c r="E21" s="103" t="s">
        <v>108</v>
      </c>
      <c r="F21" s="37"/>
      <c r="G21" s="5"/>
      <c r="H21" s="5"/>
      <c r="I21" s="19">
        <f>+[5]Summary!$E$59</f>
        <v>155008</v>
      </c>
      <c r="J21" s="5"/>
      <c r="K21" s="85" t="s">
        <v>80</v>
      </c>
      <c r="L21" s="5"/>
    </row>
    <row r="22" spans="2:24">
      <c r="B22" s="1">
        <v>10</v>
      </c>
      <c r="D22" s="5"/>
      <c r="E22" s="103" t="s">
        <v>78</v>
      </c>
      <c r="F22" s="37"/>
      <c r="G22" s="5"/>
      <c r="H22" s="5"/>
      <c r="I22" s="19">
        <f>+[5]Summary!E61</f>
        <v>91919</v>
      </c>
      <c r="J22" s="5"/>
      <c r="K22" s="86" t="s">
        <v>81</v>
      </c>
      <c r="L22" s="5"/>
    </row>
    <row r="23" spans="2:24">
      <c r="B23" s="1">
        <v>11</v>
      </c>
      <c r="D23" s="29"/>
      <c r="E23" s="103" t="s">
        <v>109</v>
      </c>
      <c r="F23" s="37"/>
      <c r="G23" s="5"/>
      <c r="H23" s="5"/>
      <c r="I23" s="19">
        <f>+[5]Summary!$E$62</f>
        <v>7966</v>
      </c>
      <c r="J23" s="5"/>
      <c r="K23" s="5"/>
      <c r="L23" s="5"/>
    </row>
    <row r="24" spans="2:24">
      <c r="B24" s="1">
        <v>12</v>
      </c>
      <c r="D24" s="29"/>
      <c r="E24" s="103" t="s">
        <v>79</v>
      </c>
      <c r="F24" s="37"/>
      <c r="G24" s="5"/>
      <c r="H24" s="5"/>
      <c r="I24" s="19">
        <f>+[5]Summary!$E$63</f>
        <v>13</v>
      </c>
      <c r="J24" s="5"/>
      <c r="K24" s="5"/>
      <c r="L24" s="5"/>
    </row>
    <row r="25" spans="2:24">
      <c r="B25" s="1">
        <v>13</v>
      </c>
      <c r="D25" s="26"/>
      <c r="E25" s="103" t="s">
        <v>110</v>
      </c>
      <c r="F25" s="37"/>
      <c r="G25" s="5"/>
      <c r="H25" s="5"/>
      <c r="I25" s="15">
        <f>+[5]Summary!$E$65</f>
        <v>88426</v>
      </c>
      <c r="J25" s="5"/>
      <c r="K25" s="5"/>
      <c r="L25" s="5"/>
    </row>
    <row r="26" spans="2:24">
      <c r="B26" s="1"/>
      <c r="D26" s="26"/>
      <c r="F26" s="37"/>
      <c r="G26" s="5"/>
      <c r="H26" s="5"/>
      <c r="J26" s="5"/>
      <c r="K26" s="5"/>
      <c r="L26" s="5"/>
      <c r="X26" s="67"/>
    </row>
    <row r="27" spans="2:24">
      <c r="B27" s="1">
        <v>14</v>
      </c>
      <c r="D27" s="83" t="s">
        <v>355</v>
      </c>
      <c r="F27" s="37"/>
      <c r="G27" s="5"/>
      <c r="H27" s="5"/>
      <c r="I27" s="82">
        <f>SUM(I19:I26)</f>
        <v>359717</v>
      </c>
      <c r="J27" s="5"/>
      <c r="K27" s="5" t="s">
        <v>82</v>
      </c>
      <c r="L27" s="5"/>
    </row>
    <row r="28" spans="2:24">
      <c r="D28" s="26"/>
      <c r="E28" s="29"/>
      <c r="F28" s="37"/>
      <c r="G28" s="5"/>
      <c r="H28" s="5"/>
      <c r="I28" s="19"/>
      <c r="J28" s="5"/>
      <c r="K28" s="5"/>
      <c r="L28" s="5"/>
    </row>
    <row r="29" spans="2:24">
      <c r="B29" s="1">
        <v>15</v>
      </c>
      <c r="D29" s="5" t="s">
        <v>54</v>
      </c>
      <c r="F29" s="37"/>
      <c r="G29" s="5"/>
      <c r="H29" s="5"/>
      <c r="I29" s="22">
        <v>0.35</v>
      </c>
      <c r="J29" s="5"/>
      <c r="K29" s="5"/>
      <c r="L29" s="5"/>
    </row>
    <row r="30" spans="2:24">
      <c r="B30" s="1"/>
      <c r="D30" s="5"/>
      <c r="E30" s="29"/>
      <c r="F30" s="37"/>
      <c r="G30" s="5"/>
      <c r="H30" s="5"/>
      <c r="I30" s="5"/>
      <c r="J30" s="5"/>
      <c r="K30" s="5"/>
      <c r="L30" s="5"/>
    </row>
    <row r="31" spans="2:24">
      <c r="B31" s="1">
        <v>16</v>
      </c>
      <c r="D31" t="s">
        <v>68</v>
      </c>
      <c r="E31" s="29"/>
      <c r="F31" s="37"/>
      <c r="G31" s="5"/>
      <c r="H31" s="5"/>
      <c r="I31" s="23">
        <f>-I27*I29</f>
        <v>-125900.95</v>
      </c>
      <c r="J31" s="5"/>
      <c r="K31" s="5" t="s">
        <v>83</v>
      </c>
      <c r="L31" s="5"/>
    </row>
    <row r="32" spans="2:24">
      <c r="B32" s="1"/>
      <c r="E32" s="5"/>
      <c r="F32" s="5"/>
      <c r="G32" s="5"/>
      <c r="H32" s="5"/>
      <c r="I32" s="5"/>
      <c r="J32" s="5"/>
      <c r="K32" s="5"/>
      <c r="L32" s="5"/>
    </row>
    <row r="33" spans="2:24">
      <c r="B33" s="1">
        <v>17</v>
      </c>
      <c r="D33" s="72" t="s">
        <v>259</v>
      </c>
      <c r="E33" s="5"/>
      <c r="F33" s="5"/>
      <c r="G33" s="5"/>
      <c r="H33" s="5"/>
      <c r="I33" s="21"/>
      <c r="J33" s="5"/>
      <c r="K33" s="5"/>
    </row>
    <row r="34" spans="2:24" ht="16.5" thickBot="1">
      <c r="B34" s="1">
        <v>18</v>
      </c>
      <c r="D34" s="83" t="s">
        <v>349</v>
      </c>
      <c r="E34" s="5"/>
      <c r="F34" s="5"/>
      <c r="G34" s="5"/>
      <c r="H34" s="5"/>
      <c r="I34" s="28">
        <f>-I27-I31</f>
        <v>-233816.05</v>
      </c>
      <c r="J34" s="5"/>
      <c r="K34" s="72" t="s">
        <v>252</v>
      </c>
    </row>
    <row r="35" spans="2:24" ht="16.5" thickTop="1">
      <c r="D35" s="5"/>
      <c r="E35" s="5"/>
      <c r="F35" s="5"/>
      <c r="G35" s="5"/>
      <c r="H35" s="5"/>
      <c r="I35" s="5"/>
      <c r="J35" s="5"/>
      <c r="K35" s="5"/>
    </row>
    <row r="39" spans="2:24">
      <c r="X39" s="67"/>
    </row>
    <row r="40" spans="2:24">
      <c r="X40" s="67"/>
    </row>
    <row r="42" spans="2:24">
      <c r="X42" s="67"/>
    </row>
    <row r="43" spans="2:24">
      <c r="X43" s="67"/>
    </row>
  </sheetData>
  <mergeCells count="3">
    <mergeCell ref="D4:K4"/>
    <mergeCell ref="D5:K5"/>
    <mergeCell ref="D6:K6"/>
  </mergeCells>
  <pageMargins left="0.7" right="0.7" top="0.75" bottom="0.75" header="0.3" footer="0.3"/>
  <pageSetup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43"/>
  <sheetViews>
    <sheetView topLeftCell="P55"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3.75" bestFit="1" customWidth="1"/>
    <col min="10" max="10" width="2.625" customWidth="1"/>
    <col min="11" max="11" width="14.375" bestFit="1" customWidth="1"/>
    <col min="12" max="12" width="13.875" bestFit="1" customWidth="1"/>
  </cols>
  <sheetData>
    <row r="1" spans="2:27">
      <c r="B1" s="67"/>
      <c r="C1" s="67"/>
      <c r="D1" s="67"/>
      <c r="E1" s="67"/>
      <c r="F1" s="67"/>
      <c r="G1" s="67"/>
      <c r="H1" s="67"/>
      <c r="I1" s="67"/>
      <c r="J1" s="67"/>
      <c r="K1" s="67" t="s">
        <v>361</v>
      </c>
      <c r="L1" s="88"/>
      <c r="Z1" s="67"/>
    </row>
    <row r="2" spans="2:27">
      <c r="B2" s="67"/>
      <c r="C2" s="67"/>
      <c r="D2" s="67"/>
      <c r="E2" s="67"/>
      <c r="F2" s="67"/>
      <c r="G2" s="67"/>
      <c r="H2" s="67"/>
      <c r="I2" s="67"/>
      <c r="J2" s="67"/>
      <c r="K2" s="67" t="s">
        <v>358</v>
      </c>
      <c r="L2" s="88"/>
      <c r="X2" s="67"/>
      <c r="Z2" s="67"/>
    </row>
    <row r="3" spans="2:27">
      <c r="B3" s="67"/>
      <c r="C3" s="67"/>
      <c r="D3" s="67"/>
      <c r="E3" s="67"/>
      <c r="F3" s="67"/>
      <c r="G3" s="67"/>
      <c r="H3" s="67"/>
      <c r="I3" s="67"/>
      <c r="J3" s="67"/>
      <c r="K3" s="67" t="s">
        <v>377</v>
      </c>
      <c r="L3" s="95"/>
      <c r="X3" s="67"/>
      <c r="Z3" s="67"/>
    </row>
    <row r="4" spans="2:27"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339</v>
      </c>
      <c r="AA4" s="67"/>
    </row>
    <row r="5" spans="2:27"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341</v>
      </c>
    </row>
    <row r="6" spans="2:27">
      <c r="B6" s="67"/>
      <c r="C6" s="67"/>
      <c r="D6" s="110" t="s">
        <v>263</v>
      </c>
      <c r="E6" s="110"/>
      <c r="F6" s="110"/>
      <c r="G6" s="110"/>
      <c r="H6" s="110"/>
      <c r="I6" s="110"/>
      <c r="J6" s="110"/>
      <c r="K6" s="110"/>
      <c r="L6" s="67"/>
    </row>
    <row r="7" spans="2:27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2:27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2:27">
      <c r="B9" s="100" t="s">
        <v>39</v>
      </c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2:27">
      <c r="B10" s="69" t="s">
        <v>40</v>
      </c>
      <c r="C10" s="67"/>
      <c r="D10" s="71" t="s">
        <v>41</v>
      </c>
      <c r="E10" s="71"/>
      <c r="F10" s="71"/>
      <c r="G10" s="71"/>
      <c r="H10" s="67"/>
      <c r="I10" s="69" t="s">
        <v>46</v>
      </c>
      <c r="J10" s="100"/>
      <c r="K10" s="69" t="s">
        <v>47</v>
      </c>
      <c r="L10" s="67"/>
    </row>
    <row r="11" spans="2:27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2:27">
      <c r="B12" s="100">
        <v>1</v>
      </c>
      <c r="C12" s="67"/>
      <c r="D12" s="72" t="s">
        <v>274</v>
      </c>
      <c r="E12" s="72"/>
      <c r="F12" s="72"/>
      <c r="G12" s="72"/>
      <c r="H12" s="72"/>
      <c r="I12" s="72"/>
      <c r="J12" s="72"/>
      <c r="K12" s="72"/>
      <c r="L12" s="72"/>
    </row>
    <row r="13" spans="2:27">
      <c r="B13" s="100">
        <v>2</v>
      </c>
      <c r="C13" s="67"/>
      <c r="D13" s="72" t="s">
        <v>275</v>
      </c>
      <c r="E13" s="72"/>
      <c r="F13" s="72"/>
      <c r="G13" s="72"/>
      <c r="H13" s="72"/>
      <c r="I13" s="72"/>
      <c r="J13" s="72"/>
      <c r="K13" s="72"/>
      <c r="L13" s="72"/>
    </row>
    <row r="14" spans="2:27">
      <c r="B14" s="100">
        <v>3</v>
      </c>
      <c r="C14" s="67"/>
      <c r="D14" s="83" t="s">
        <v>276</v>
      </c>
      <c r="E14" s="72"/>
      <c r="F14" s="72"/>
      <c r="G14" s="72"/>
      <c r="H14" s="72"/>
      <c r="I14" s="72"/>
      <c r="J14" s="72"/>
      <c r="K14" s="72"/>
      <c r="L14" s="72"/>
    </row>
    <row r="15" spans="2:27">
      <c r="B15" s="100"/>
      <c r="C15" s="67"/>
      <c r="D15" s="72"/>
      <c r="E15" s="72"/>
      <c r="F15" s="72"/>
      <c r="G15" s="72"/>
      <c r="H15" s="72"/>
      <c r="I15" s="82"/>
      <c r="J15" s="72"/>
      <c r="K15" s="25"/>
      <c r="L15" s="72"/>
      <c r="X15" s="67"/>
    </row>
    <row r="16" spans="2:27">
      <c r="B16" s="100">
        <v>4</v>
      </c>
      <c r="C16" s="67"/>
      <c r="D16" s="83" t="s">
        <v>75</v>
      </c>
      <c r="E16" s="72"/>
      <c r="F16" s="72"/>
      <c r="G16" s="72"/>
      <c r="H16" s="72"/>
      <c r="I16" s="82"/>
      <c r="J16" s="72"/>
      <c r="K16" s="72"/>
      <c r="L16" s="72"/>
    </row>
    <row r="17" spans="2:24">
      <c r="B17" s="100">
        <v>5</v>
      </c>
      <c r="C17" s="67"/>
      <c r="D17" s="83" t="s">
        <v>277</v>
      </c>
      <c r="E17" s="72"/>
      <c r="F17" s="72"/>
      <c r="G17" s="72"/>
      <c r="H17" s="72"/>
      <c r="I17" s="72"/>
      <c r="J17" s="72"/>
      <c r="K17" s="83"/>
      <c r="L17" s="72"/>
    </row>
    <row r="18" spans="2:24">
      <c r="B18" s="100">
        <v>6</v>
      </c>
      <c r="C18" s="67"/>
      <c r="D18" s="83" t="s">
        <v>278</v>
      </c>
      <c r="E18" s="72"/>
      <c r="F18" s="72"/>
      <c r="G18" s="72"/>
      <c r="H18" s="72"/>
      <c r="I18" s="27"/>
      <c r="J18" s="72"/>
      <c r="K18" s="83"/>
      <c r="L18" s="72"/>
    </row>
    <row r="19" spans="2:24">
      <c r="B19" s="100">
        <v>7</v>
      </c>
      <c r="C19" s="67"/>
      <c r="D19" s="72"/>
      <c r="E19" s="101" t="s">
        <v>106</v>
      </c>
      <c r="F19" s="72"/>
      <c r="G19" s="72"/>
      <c r="H19" s="72"/>
      <c r="I19" s="82">
        <f>+[6]Summary!F55</f>
        <v>-760</v>
      </c>
      <c r="J19" s="72"/>
      <c r="K19" s="86" t="s">
        <v>264</v>
      </c>
      <c r="L19" s="72"/>
    </row>
    <row r="20" spans="2:24">
      <c r="B20" s="100">
        <v>8</v>
      </c>
      <c r="C20" s="67"/>
      <c r="D20" s="72"/>
      <c r="E20" s="102" t="s">
        <v>107</v>
      </c>
      <c r="F20" s="72"/>
      <c r="G20" s="72"/>
      <c r="H20" s="72"/>
      <c r="I20" s="79">
        <f>+[6]Summary!F57</f>
        <v>0</v>
      </c>
      <c r="J20" s="72"/>
      <c r="K20" s="85" t="s">
        <v>265</v>
      </c>
      <c r="L20" s="72"/>
      <c r="X20" s="67"/>
    </row>
    <row r="21" spans="2:24">
      <c r="B21" s="100">
        <v>9</v>
      </c>
      <c r="C21" s="67"/>
      <c r="D21" s="72"/>
      <c r="E21" s="103" t="s">
        <v>108</v>
      </c>
      <c r="F21" s="72"/>
      <c r="G21" s="72"/>
      <c r="H21" s="72"/>
      <c r="I21" s="79">
        <f>+[6]Summary!F60</f>
        <v>0</v>
      </c>
      <c r="J21" s="72"/>
      <c r="K21" s="85" t="s">
        <v>266</v>
      </c>
      <c r="L21" s="72"/>
    </row>
    <row r="22" spans="2:24">
      <c r="B22" s="100">
        <v>10</v>
      </c>
      <c r="C22" s="67"/>
      <c r="D22" s="72"/>
      <c r="E22" s="103" t="s">
        <v>78</v>
      </c>
      <c r="F22" s="72"/>
      <c r="G22" s="72"/>
      <c r="H22" s="72"/>
      <c r="I22" s="79">
        <f>+[6]Summary!F61</f>
        <v>0</v>
      </c>
      <c r="J22" s="72"/>
      <c r="K22" s="86" t="s">
        <v>267</v>
      </c>
      <c r="L22" s="72"/>
    </row>
    <row r="23" spans="2:24">
      <c r="B23" s="100">
        <v>11</v>
      </c>
      <c r="C23" s="67"/>
      <c r="D23" s="29"/>
      <c r="E23" s="103" t="s">
        <v>109</v>
      </c>
      <c r="F23" s="72"/>
      <c r="G23" s="72"/>
      <c r="H23" s="72"/>
      <c r="I23" s="79">
        <f>+[6]Summary!F62</f>
        <v>0</v>
      </c>
      <c r="J23" s="72"/>
      <c r="K23" s="86" t="s">
        <v>268</v>
      </c>
      <c r="L23" s="72"/>
    </row>
    <row r="24" spans="2:24">
      <c r="B24" s="100">
        <v>12</v>
      </c>
      <c r="C24" s="67"/>
      <c r="D24" s="29"/>
      <c r="E24" s="103" t="s">
        <v>79</v>
      </c>
      <c r="F24" s="72"/>
      <c r="G24" s="72"/>
      <c r="H24" s="72"/>
      <c r="I24" s="79">
        <f>+[6]Summary!F63</f>
        <v>0</v>
      </c>
      <c r="J24" s="72"/>
      <c r="K24" s="86" t="s">
        <v>269</v>
      </c>
      <c r="L24" s="72"/>
    </row>
    <row r="25" spans="2:24">
      <c r="B25" s="100">
        <v>13</v>
      </c>
      <c r="C25" s="67"/>
      <c r="D25" s="83"/>
      <c r="E25" s="103" t="s">
        <v>110</v>
      </c>
      <c r="F25" s="83"/>
      <c r="G25" s="72"/>
      <c r="H25" s="72"/>
      <c r="I25" s="77">
        <f>+[6]Summary!F65</f>
        <v>-86748</v>
      </c>
      <c r="J25" s="72"/>
      <c r="K25" s="72"/>
      <c r="L25" s="72"/>
    </row>
    <row r="26" spans="2:24">
      <c r="B26" s="100"/>
      <c r="C26" s="67"/>
      <c r="D26" s="83"/>
      <c r="E26" s="83"/>
      <c r="F26" s="83"/>
      <c r="G26" s="72"/>
      <c r="H26" s="72"/>
      <c r="J26" s="72"/>
      <c r="K26" s="72"/>
      <c r="L26" s="72"/>
      <c r="X26" s="67"/>
    </row>
    <row r="27" spans="2:24">
      <c r="B27" s="100">
        <v>14</v>
      </c>
      <c r="C27" s="67"/>
      <c r="D27" s="83"/>
      <c r="E27" s="83" t="s">
        <v>270</v>
      </c>
      <c r="F27" s="83"/>
      <c r="G27" s="72"/>
      <c r="H27" s="72"/>
      <c r="I27" s="79">
        <f>SUM(I19:I25)</f>
        <v>-87508</v>
      </c>
      <c r="J27" s="72"/>
      <c r="K27" s="72" t="s">
        <v>82</v>
      </c>
      <c r="L27" s="72"/>
    </row>
    <row r="28" spans="2:24">
      <c r="B28" s="67"/>
      <c r="C28" s="67"/>
      <c r="D28" s="83"/>
      <c r="E28" s="83"/>
      <c r="F28" s="83"/>
      <c r="G28" s="72"/>
      <c r="H28" s="72"/>
      <c r="I28" s="79"/>
      <c r="J28" s="72"/>
      <c r="K28" s="72"/>
      <c r="L28" s="72"/>
    </row>
    <row r="29" spans="2:24">
      <c r="B29" s="100">
        <v>15</v>
      </c>
      <c r="C29" s="67"/>
      <c r="D29" s="72" t="s">
        <v>54</v>
      </c>
      <c r="E29" s="72"/>
      <c r="F29" s="72"/>
      <c r="G29" s="72"/>
      <c r="H29" s="72"/>
      <c r="I29" s="81">
        <v>0.35</v>
      </c>
      <c r="J29" s="72"/>
      <c r="K29" s="72"/>
      <c r="L29" s="72"/>
    </row>
    <row r="30" spans="2:24">
      <c r="B30" s="100"/>
      <c r="C30" s="67"/>
      <c r="D30" s="72"/>
      <c r="E30" s="72"/>
      <c r="F30" s="72"/>
      <c r="G30" s="72"/>
      <c r="H30" s="72"/>
      <c r="I30" s="72"/>
      <c r="J30" s="72"/>
      <c r="K30" s="72"/>
      <c r="L30" s="72"/>
    </row>
    <row r="31" spans="2:24">
      <c r="B31" s="100">
        <v>16</v>
      </c>
      <c r="C31" s="67"/>
      <c r="D31" s="67" t="s">
        <v>324</v>
      </c>
      <c r="E31" s="72"/>
      <c r="F31" s="72"/>
      <c r="G31" s="72"/>
      <c r="H31" s="72"/>
      <c r="I31" s="82">
        <f>-I27*I29</f>
        <v>30627.8</v>
      </c>
      <c r="J31" s="72"/>
      <c r="K31" s="72" t="s">
        <v>83</v>
      </c>
      <c r="L31" s="72"/>
    </row>
    <row r="32" spans="2:24">
      <c r="B32" s="100"/>
      <c r="C32" s="67"/>
      <c r="D32" s="67"/>
      <c r="E32" s="72"/>
      <c r="F32" s="72"/>
      <c r="G32" s="72"/>
      <c r="H32" s="72"/>
      <c r="I32" s="72"/>
      <c r="J32" s="72"/>
      <c r="K32" s="72"/>
      <c r="L32" s="72"/>
    </row>
    <row r="33" spans="2:24">
      <c r="B33" s="100">
        <v>17</v>
      </c>
      <c r="C33" s="67"/>
      <c r="D33" s="72" t="s">
        <v>271</v>
      </c>
      <c r="E33" s="72"/>
      <c r="F33" s="72"/>
      <c r="G33" s="72"/>
      <c r="H33" s="72"/>
      <c r="I33" s="80"/>
      <c r="J33" s="72"/>
      <c r="K33" s="72"/>
      <c r="L33" s="67"/>
    </row>
    <row r="34" spans="2:24">
      <c r="B34" s="100">
        <v>18</v>
      </c>
      <c r="C34" s="67"/>
      <c r="D34" s="83" t="s">
        <v>272</v>
      </c>
      <c r="E34" s="72"/>
      <c r="F34" s="72"/>
      <c r="G34" s="72"/>
      <c r="H34" s="72"/>
      <c r="I34" s="67"/>
      <c r="J34" s="67"/>
      <c r="K34" s="67"/>
      <c r="L34" s="67"/>
    </row>
    <row r="35" spans="2:24" ht="16.5" thickBot="1">
      <c r="B35" s="100">
        <v>19</v>
      </c>
      <c r="C35" s="67"/>
      <c r="D35" s="83" t="s">
        <v>273</v>
      </c>
      <c r="E35" s="72"/>
      <c r="F35" s="72"/>
      <c r="G35" s="72"/>
      <c r="H35" s="72"/>
      <c r="I35" s="84">
        <f>-I27-I31</f>
        <v>56880.2</v>
      </c>
      <c r="J35" s="72"/>
      <c r="K35" s="72" t="s">
        <v>252</v>
      </c>
      <c r="L35" s="67"/>
    </row>
    <row r="36" spans="2:24" ht="16.5" thickTop="1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24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24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24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X39" s="67"/>
    </row>
    <row r="40" spans="2:24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X40" s="67"/>
    </row>
    <row r="42" spans="2:24">
      <c r="X42" s="67"/>
    </row>
    <row r="43" spans="2:24">
      <c r="X43" s="67"/>
    </row>
  </sheetData>
  <mergeCells count="3">
    <mergeCell ref="D4:K4"/>
    <mergeCell ref="D5:K5"/>
    <mergeCell ref="D6:K6"/>
  </mergeCells>
  <pageMargins left="0.7" right="0.7" top="0.75" bottom="0.75" header="0.3" footer="0.3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43"/>
  <sheetViews>
    <sheetView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3.75" bestFit="1" customWidth="1"/>
    <col min="10" max="10" width="2.625" customWidth="1"/>
    <col min="11" max="11" width="14.375" bestFit="1" customWidth="1"/>
    <col min="12" max="12" width="15.125" bestFit="1" customWidth="1"/>
  </cols>
  <sheetData>
    <row r="1" spans="2:27">
      <c r="B1" s="67"/>
      <c r="C1" s="67"/>
      <c r="D1" s="67"/>
      <c r="E1" s="67"/>
      <c r="F1" s="67"/>
      <c r="G1" s="67"/>
      <c r="H1" s="67"/>
      <c r="I1" s="67"/>
      <c r="J1" s="67"/>
      <c r="K1" s="67" t="s">
        <v>361</v>
      </c>
      <c r="L1" s="88"/>
      <c r="Z1" s="67"/>
    </row>
    <row r="2" spans="2:27">
      <c r="B2" s="67"/>
      <c r="C2" s="67"/>
      <c r="D2" s="67"/>
      <c r="E2" s="67"/>
      <c r="F2" s="67"/>
      <c r="G2" s="67"/>
      <c r="H2" s="67"/>
      <c r="I2" s="67"/>
      <c r="J2" s="67"/>
      <c r="K2" s="67" t="s">
        <v>358</v>
      </c>
      <c r="L2" s="88"/>
      <c r="X2" s="67"/>
      <c r="Z2" s="67"/>
    </row>
    <row r="3" spans="2:27">
      <c r="B3" s="67"/>
      <c r="C3" s="67"/>
      <c r="D3" s="67"/>
      <c r="E3" s="67"/>
      <c r="F3" s="67"/>
      <c r="G3" s="67"/>
      <c r="H3" s="67"/>
      <c r="I3" s="67"/>
      <c r="J3" s="67"/>
      <c r="K3" s="67" t="s">
        <v>378</v>
      </c>
      <c r="L3" s="95"/>
      <c r="M3" s="88"/>
      <c r="X3" s="67"/>
      <c r="Z3" s="67"/>
    </row>
    <row r="4" spans="2:27"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95"/>
      <c r="M4" s="95"/>
      <c r="AA4" s="67"/>
    </row>
    <row r="5" spans="2:27"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109"/>
    </row>
    <row r="6" spans="2:27">
      <c r="B6" s="67"/>
      <c r="C6" s="67"/>
      <c r="D6" s="110" t="s">
        <v>279</v>
      </c>
      <c r="E6" s="110"/>
      <c r="F6" s="110"/>
      <c r="G6" s="110"/>
      <c r="H6" s="110"/>
      <c r="I6" s="110"/>
      <c r="J6" s="110"/>
      <c r="K6" s="110"/>
      <c r="L6" s="88" t="s">
        <v>379</v>
      </c>
    </row>
    <row r="7" spans="2:27">
      <c r="B7" s="67"/>
      <c r="C7" s="67"/>
      <c r="D7" s="67"/>
      <c r="E7" s="67"/>
      <c r="F7" s="67"/>
      <c r="G7" s="67"/>
      <c r="H7" s="67"/>
      <c r="I7" s="67"/>
      <c r="J7" s="67"/>
      <c r="K7" s="67"/>
      <c r="L7" s="95" t="s">
        <v>288</v>
      </c>
    </row>
    <row r="8" spans="2:27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2:27">
      <c r="B9" s="100" t="s">
        <v>39</v>
      </c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2:27">
      <c r="B10" s="69" t="s">
        <v>40</v>
      </c>
      <c r="C10" s="67"/>
      <c r="D10" s="71" t="s">
        <v>41</v>
      </c>
      <c r="E10" s="71"/>
      <c r="F10" s="71"/>
      <c r="G10" s="71"/>
      <c r="H10" s="67"/>
      <c r="I10" s="69" t="s">
        <v>46</v>
      </c>
      <c r="J10" s="100"/>
      <c r="K10" s="69" t="s">
        <v>47</v>
      </c>
      <c r="L10" s="67"/>
    </row>
    <row r="11" spans="2:27">
      <c r="B11" s="100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2:27">
      <c r="B12" s="100">
        <v>1</v>
      </c>
      <c r="C12" s="67"/>
      <c r="D12" s="67"/>
      <c r="E12" s="67"/>
      <c r="F12" s="67"/>
      <c r="G12" s="67"/>
      <c r="H12" s="67"/>
      <c r="I12" s="67"/>
      <c r="J12" s="67"/>
      <c r="K12" s="100" t="s">
        <v>280</v>
      </c>
      <c r="L12" s="67"/>
    </row>
    <row r="13" spans="2:27">
      <c r="B13" s="100">
        <v>2</v>
      </c>
      <c r="C13" s="67"/>
      <c r="D13" s="67" t="s">
        <v>281</v>
      </c>
      <c r="E13" s="67"/>
      <c r="F13" s="67"/>
      <c r="G13" s="67"/>
      <c r="H13" s="67"/>
      <c r="I13" s="67"/>
      <c r="J13" s="67"/>
      <c r="K13" s="100" t="s">
        <v>282</v>
      </c>
      <c r="L13" s="67"/>
    </row>
    <row r="14" spans="2:27">
      <c r="B14" s="100">
        <v>3</v>
      </c>
      <c r="C14" s="67"/>
      <c r="D14" s="67" t="s">
        <v>283</v>
      </c>
      <c r="E14" s="67"/>
      <c r="F14" s="67"/>
      <c r="G14" s="67"/>
      <c r="H14" s="67"/>
      <c r="I14" s="67"/>
      <c r="J14" s="67"/>
      <c r="K14" s="100" t="s">
        <v>284</v>
      </c>
      <c r="L14" s="67"/>
    </row>
    <row r="15" spans="2:27">
      <c r="B15" s="100">
        <v>4</v>
      </c>
      <c r="C15" s="67"/>
      <c r="D15" s="67" t="s">
        <v>285</v>
      </c>
      <c r="E15" s="67"/>
      <c r="F15" s="67"/>
      <c r="G15" s="67"/>
      <c r="H15" s="67"/>
      <c r="I15" s="76">
        <f>+'[7]EPI-1'!$E$22</f>
        <v>-85687</v>
      </c>
      <c r="J15" s="67"/>
      <c r="K15" s="100" t="s">
        <v>286</v>
      </c>
      <c r="L15" s="67"/>
      <c r="X15" s="67"/>
    </row>
    <row r="16" spans="2:27">
      <c r="B16" s="100"/>
      <c r="C16" s="67"/>
      <c r="D16" s="67"/>
      <c r="E16" s="67"/>
      <c r="F16" s="67"/>
      <c r="G16" s="67"/>
      <c r="H16" s="67"/>
      <c r="I16" s="67"/>
      <c r="J16" s="67"/>
      <c r="K16" s="100"/>
      <c r="L16" s="67"/>
    </row>
    <row r="17" spans="2:24">
      <c r="B17" s="100">
        <v>5</v>
      </c>
      <c r="C17" s="67"/>
      <c r="D17" s="72" t="s">
        <v>54</v>
      </c>
      <c r="E17" s="72"/>
      <c r="F17" s="72"/>
      <c r="G17" s="72"/>
      <c r="H17" s="72"/>
      <c r="I17" s="81">
        <v>0.35</v>
      </c>
      <c r="J17" s="72"/>
      <c r="K17" s="72"/>
      <c r="L17" s="67"/>
    </row>
    <row r="18" spans="2:24">
      <c r="B18" s="100"/>
      <c r="C18" s="67"/>
      <c r="D18" s="72"/>
      <c r="E18" s="72"/>
      <c r="F18" s="72"/>
      <c r="G18" s="72"/>
      <c r="H18" s="72"/>
      <c r="I18" s="72"/>
      <c r="J18" s="72"/>
      <c r="K18" s="72"/>
      <c r="L18" s="67"/>
    </row>
    <row r="19" spans="2:24">
      <c r="B19" s="100">
        <v>6</v>
      </c>
      <c r="C19" s="67"/>
      <c r="D19" s="67" t="s">
        <v>324</v>
      </c>
      <c r="E19" s="72"/>
      <c r="F19" s="72"/>
      <c r="G19" s="72"/>
      <c r="H19" s="72"/>
      <c r="I19" s="82">
        <f>-I15*I17</f>
        <v>29990.449999999997</v>
      </c>
      <c r="J19" s="72"/>
      <c r="K19" s="72" t="s">
        <v>123</v>
      </c>
      <c r="L19" s="67"/>
    </row>
    <row r="20" spans="2:24">
      <c r="B20" s="100"/>
      <c r="C20" s="67"/>
      <c r="D20" s="67"/>
      <c r="E20" s="72"/>
      <c r="F20" s="72"/>
      <c r="G20" s="72"/>
      <c r="H20" s="72"/>
      <c r="I20" s="72"/>
      <c r="J20" s="72"/>
      <c r="K20" s="72"/>
      <c r="L20" s="67"/>
      <c r="X20" s="67"/>
    </row>
    <row r="21" spans="2:24">
      <c r="B21" s="100">
        <v>7</v>
      </c>
      <c r="C21" s="67"/>
      <c r="D21" s="72" t="s">
        <v>271</v>
      </c>
      <c r="E21" s="72"/>
      <c r="F21" s="72"/>
      <c r="G21" s="72"/>
      <c r="H21" s="72"/>
      <c r="I21" s="80"/>
      <c r="J21" s="72"/>
      <c r="K21" s="72"/>
      <c r="L21" s="67"/>
    </row>
    <row r="22" spans="2:24">
      <c r="B22" s="100">
        <v>8</v>
      </c>
      <c r="C22" s="67"/>
      <c r="D22" s="83" t="s">
        <v>287</v>
      </c>
      <c r="E22" s="72"/>
      <c r="F22" s="72"/>
      <c r="G22" s="72"/>
      <c r="H22" s="72"/>
      <c r="I22" s="67"/>
      <c r="J22" s="67"/>
      <c r="K22" s="67"/>
      <c r="L22" s="67"/>
    </row>
    <row r="23" spans="2:24" ht="16.5" thickBot="1">
      <c r="B23" s="100">
        <v>9</v>
      </c>
      <c r="C23" s="67"/>
      <c r="D23" s="83" t="s">
        <v>273</v>
      </c>
      <c r="E23" s="72"/>
      <c r="F23" s="72"/>
      <c r="G23" s="72"/>
      <c r="H23" s="72"/>
      <c r="I23" s="84">
        <f>-I15-I19</f>
        <v>55696.55</v>
      </c>
      <c r="J23" s="72"/>
      <c r="K23" s="72" t="s">
        <v>126</v>
      </c>
      <c r="L23" s="67"/>
    </row>
    <row r="24" spans="2:24" ht="16.5" thickTop="1">
      <c r="B24" s="100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24">
      <c r="B25" s="100"/>
      <c r="C25" s="67"/>
      <c r="D25" s="67"/>
      <c r="E25" s="67"/>
      <c r="F25" s="67"/>
      <c r="G25" s="67"/>
      <c r="H25" s="67"/>
      <c r="I25" s="67"/>
      <c r="J25" s="67"/>
      <c r="K25" s="100"/>
      <c r="L25" s="67"/>
    </row>
    <row r="26" spans="2:24">
      <c r="B26" s="67"/>
      <c r="C26" s="67"/>
      <c r="D26" s="67"/>
      <c r="E26" s="67"/>
      <c r="F26" s="67"/>
      <c r="G26" s="67"/>
      <c r="H26" s="67"/>
      <c r="I26" s="67"/>
      <c r="J26" s="67"/>
      <c r="K26" s="100"/>
      <c r="L26" s="67"/>
      <c r="X26" s="67"/>
    </row>
    <row r="27" spans="2:24">
      <c r="B27" s="67"/>
      <c r="C27" s="67"/>
      <c r="D27" s="67"/>
      <c r="E27" s="67"/>
      <c r="F27" s="67"/>
      <c r="G27" s="67"/>
      <c r="H27" s="67"/>
      <c r="I27" s="67"/>
      <c r="J27" s="67"/>
      <c r="K27" s="100"/>
      <c r="L27" s="67"/>
    </row>
    <row r="39" spans="24:24">
      <c r="X39" s="67"/>
    </row>
    <row r="40" spans="24:24">
      <c r="X40" s="67"/>
    </row>
    <row r="42" spans="24:24">
      <c r="X42" s="67"/>
    </row>
    <row r="43" spans="24:24">
      <c r="X43" s="67"/>
    </row>
  </sheetData>
  <mergeCells count="3">
    <mergeCell ref="D4:K4"/>
    <mergeCell ref="D6:K6"/>
    <mergeCell ref="D5:K5"/>
  </mergeCells>
  <pageMargins left="0.7" right="0.7" top="0.75" bottom="0.75" header="0.3" footer="0.3"/>
  <pageSetup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43"/>
  <sheetViews>
    <sheetView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3.75" bestFit="1" customWidth="1"/>
    <col min="10" max="10" width="2.625" customWidth="1"/>
    <col min="11" max="11" width="14.375" bestFit="1" customWidth="1"/>
    <col min="12" max="12" width="13.875" bestFit="1" customWidth="1"/>
  </cols>
  <sheetData>
    <row r="1" spans="2:27" s="67" customFormat="1">
      <c r="K1" s="67" t="s">
        <v>361</v>
      </c>
      <c r="L1" s="88"/>
      <c r="Z1" s="67" t="s">
        <v>357</v>
      </c>
    </row>
    <row r="2" spans="2:27" s="67" customFormat="1">
      <c r="K2" s="67" t="s">
        <v>358</v>
      </c>
      <c r="L2" s="88"/>
      <c r="Z2" s="67" t="s">
        <v>358</v>
      </c>
    </row>
    <row r="3" spans="2:27" s="67" customFormat="1">
      <c r="K3" s="67" t="s">
        <v>380</v>
      </c>
      <c r="L3" s="95"/>
      <c r="Z3" s="67" t="s">
        <v>359</v>
      </c>
    </row>
    <row r="4" spans="2:27"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340</v>
      </c>
      <c r="AA4" s="67"/>
    </row>
    <row r="5" spans="2:27"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113</v>
      </c>
    </row>
    <row r="6" spans="2:27">
      <c r="D6" s="110" t="s">
        <v>55</v>
      </c>
      <c r="E6" s="110"/>
      <c r="F6" s="110"/>
      <c r="G6" s="110"/>
      <c r="H6" s="110"/>
      <c r="I6" s="110"/>
      <c r="J6" s="110"/>
      <c r="K6" s="110"/>
    </row>
    <row r="9" spans="2:27">
      <c r="B9" s="1" t="s">
        <v>39</v>
      </c>
    </row>
    <row r="10" spans="2:27">
      <c r="B10" s="2" t="s">
        <v>40</v>
      </c>
      <c r="D10" s="71" t="s">
        <v>41</v>
      </c>
      <c r="E10" s="71"/>
      <c r="F10" s="71"/>
      <c r="G10" s="71"/>
      <c r="I10" s="2" t="s">
        <v>46</v>
      </c>
      <c r="J10" s="1"/>
      <c r="K10" s="2" t="s">
        <v>47</v>
      </c>
    </row>
    <row r="12" spans="2:27">
      <c r="B12" s="1">
        <v>1</v>
      </c>
      <c r="D12" s="5" t="s">
        <v>56</v>
      </c>
      <c r="E12" s="5"/>
      <c r="F12" s="5"/>
      <c r="G12" s="5"/>
      <c r="H12" s="5"/>
      <c r="I12" s="5"/>
      <c r="J12" s="5"/>
      <c r="K12" s="5"/>
      <c r="L12" s="5"/>
    </row>
    <row r="13" spans="2:27">
      <c r="B13" s="1">
        <v>2</v>
      </c>
      <c r="D13" s="5" t="s">
        <v>57</v>
      </c>
      <c r="E13" s="5"/>
      <c r="F13" s="5"/>
      <c r="G13" s="5"/>
      <c r="H13" s="5"/>
      <c r="I13" s="5"/>
      <c r="J13" s="5"/>
      <c r="K13" s="5"/>
      <c r="L13" s="5"/>
    </row>
    <row r="14" spans="2:27">
      <c r="B14" s="1">
        <v>3</v>
      </c>
      <c r="D14" s="26" t="s">
        <v>58</v>
      </c>
      <c r="E14" s="5"/>
      <c r="F14" s="5"/>
      <c r="G14" s="5"/>
      <c r="H14" s="5"/>
      <c r="I14" s="5"/>
      <c r="J14" s="5"/>
      <c r="K14" s="5"/>
      <c r="L14" s="5"/>
    </row>
    <row r="15" spans="2:27">
      <c r="B15" s="1"/>
      <c r="D15" s="5"/>
      <c r="E15" s="5"/>
      <c r="F15" s="5"/>
      <c r="G15" s="5"/>
      <c r="H15" s="5"/>
      <c r="I15" s="23"/>
      <c r="J15" s="5"/>
      <c r="K15" s="25"/>
      <c r="L15" s="5"/>
      <c r="X15" s="67" t="s">
        <v>356</v>
      </c>
    </row>
    <row r="16" spans="2:27">
      <c r="B16" s="1">
        <v>4</v>
      </c>
      <c r="D16" s="5"/>
      <c r="E16" s="5" t="s">
        <v>59</v>
      </c>
      <c r="F16" s="5"/>
      <c r="G16" s="5"/>
      <c r="H16" s="5"/>
      <c r="I16" s="23">
        <f>+'[8]C-PT'!$O$12</f>
        <v>12909</v>
      </c>
      <c r="J16" s="5"/>
      <c r="K16" s="85" t="s">
        <v>67</v>
      </c>
      <c r="L16" s="5"/>
    </row>
    <row r="17" spans="2:24">
      <c r="B17" s="1">
        <v>5</v>
      </c>
      <c r="D17" s="5"/>
      <c r="E17" s="5"/>
      <c r="F17" s="5"/>
      <c r="G17" s="5"/>
      <c r="H17" s="5"/>
      <c r="I17" s="5"/>
      <c r="J17" s="5"/>
      <c r="K17" s="86" t="s">
        <v>64</v>
      </c>
      <c r="L17" s="5"/>
    </row>
    <row r="18" spans="2:24">
      <c r="B18" s="1">
        <v>6</v>
      </c>
      <c r="D18" s="5"/>
      <c r="E18" s="5" t="s">
        <v>60</v>
      </c>
      <c r="F18" s="5"/>
      <c r="G18" s="5"/>
      <c r="H18" s="5"/>
      <c r="I18" s="27">
        <f>+'[8]C-PT'!$O$14</f>
        <v>193551</v>
      </c>
      <c r="J18" s="5"/>
      <c r="K18" s="86" t="s">
        <v>65</v>
      </c>
      <c r="L18" s="5"/>
    </row>
    <row r="19" spans="2:24">
      <c r="B19" s="1">
        <v>7</v>
      </c>
      <c r="D19" s="5"/>
      <c r="E19" s="5"/>
      <c r="F19" s="5"/>
      <c r="G19" s="5"/>
      <c r="H19" s="5"/>
      <c r="I19" s="19"/>
      <c r="J19" s="5"/>
      <c r="K19" s="86" t="s">
        <v>66</v>
      </c>
      <c r="L19" s="5"/>
    </row>
    <row r="20" spans="2:24">
      <c r="B20" s="1">
        <v>8</v>
      </c>
      <c r="D20" s="5"/>
      <c r="E20" s="5" t="s">
        <v>61</v>
      </c>
      <c r="F20" s="5"/>
      <c r="G20" s="5"/>
      <c r="H20" s="5"/>
      <c r="I20" s="15">
        <f>+'[8]C-PT'!$O$16</f>
        <v>2613</v>
      </c>
      <c r="J20" s="5"/>
      <c r="L20" s="5"/>
      <c r="X20" s="67" t="s">
        <v>356</v>
      </c>
    </row>
    <row r="21" spans="2:24">
      <c r="B21" s="1"/>
      <c r="D21" s="5"/>
      <c r="E21" s="5"/>
      <c r="F21" s="5"/>
      <c r="G21" s="5"/>
      <c r="H21" s="5"/>
      <c r="I21" s="5"/>
      <c r="J21" s="5"/>
      <c r="L21" s="5"/>
    </row>
    <row r="22" spans="2:24">
      <c r="B22" s="1">
        <v>9</v>
      </c>
      <c r="D22" s="5"/>
      <c r="E22" s="5" t="s">
        <v>62</v>
      </c>
      <c r="F22" s="5"/>
      <c r="G22" s="5"/>
      <c r="H22" s="5"/>
      <c r="I22" s="23"/>
      <c r="J22" s="5"/>
      <c r="K22" s="5"/>
      <c r="L22" s="5"/>
    </row>
    <row r="23" spans="2:24">
      <c r="B23" s="1">
        <v>10</v>
      </c>
      <c r="D23" s="5"/>
      <c r="E23" s="26" t="s">
        <v>63</v>
      </c>
      <c r="F23" s="5"/>
      <c r="G23" s="5"/>
      <c r="H23" s="5"/>
      <c r="I23" s="20">
        <f>SUM(I16:I20)</f>
        <v>209073</v>
      </c>
      <c r="J23" s="5"/>
      <c r="K23" s="5" t="s">
        <v>69</v>
      </c>
      <c r="L23" s="5"/>
    </row>
    <row r="24" spans="2:24">
      <c r="B24" s="1"/>
      <c r="D24" s="5"/>
      <c r="E24" s="5"/>
      <c r="F24" s="5"/>
      <c r="G24" s="5"/>
      <c r="H24" s="5"/>
      <c r="I24" s="21"/>
      <c r="J24" s="5"/>
      <c r="K24" s="5"/>
      <c r="L24" s="5"/>
    </row>
    <row r="25" spans="2:24">
      <c r="B25" s="1">
        <v>11</v>
      </c>
      <c r="D25" s="5" t="s">
        <v>54</v>
      </c>
      <c r="E25" s="5"/>
      <c r="F25" s="5"/>
      <c r="G25" s="5"/>
      <c r="H25" s="5"/>
      <c r="I25" s="22">
        <v>0.35</v>
      </c>
      <c r="J25" s="5"/>
      <c r="K25" s="5"/>
      <c r="L25" s="5"/>
    </row>
    <row r="26" spans="2:24">
      <c r="B26" s="1"/>
      <c r="D26" s="5"/>
      <c r="E26" s="5"/>
      <c r="F26" s="5"/>
      <c r="G26" s="5"/>
      <c r="H26" s="5"/>
      <c r="I26" s="5"/>
      <c r="J26" s="5"/>
      <c r="K26" s="5"/>
      <c r="L26" s="5"/>
      <c r="X26" s="67" t="s">
        <v>356</v>
      </c>
    </row>
    <row r="27" spans="2:24">
      <c r="B27" s="1">
        <v>12</v>
      </c>
      <c r="D27" t="s">
        <v>68</v>
      </c>
      <c r="E27" s="5"/>
      <c r="F27" s="5"/>
      <c r="G27" s="5"/>
      <c r="H27" s="5"/>
      <c r="I27" s="23">
        <f>-I23*I25</f>
        <v>-73175.549999999988</v>
      </c>
      <c r="J27" s="5"/>
      <c r="K27" s="5" t="s">
        <v>70</v>
      </c>
      <c r="L27" s="5"/>
    </row>
    <row r="28" spans="2:24">
      <c r="E28" s="5"/>
      <c r="F28" s="5"/>
      <c r="G28" s="5"/>
      <c r="H28" s="5"/>
      <c r="I28" s="5"/>
      <c r="J28" s="5"/>
      <c r="K28" s="5"/>
      <c r="L28" s="5"/>
    </row>
    <row r="29" spans="2:24">
      <c r="B29" s="1">
        <v>13</v>
      </c>
      <c r="D29" s="72" t="s">
        <v>253</v>
      </c>
      <c r="E29" s="5"/>
      <c r="F29" s="5"/>
      <c r="G29" s="5"/>
      <c r="H29" s="5"/>
      <c r="I29" s="21"/>
      <c r="J29" s="5"/>
      <c r="K29" s="5"/>
      <c r="L29" s="5"/>
    </row>
    <row r="30" spans="2:24" ht="16.5" thickBot="1">
      <c r="B30" s="1">
        <v>14</v>
      </c>
      <c r="D30" s="83" t="s">
        <v>254</v>
      </c>
      <c r="E30" s="5"/>
      <c r="F30" s="5"/>
      <c r="G30" s="5"/>
      <c r="H30" s="5"/>
      <c r="I30" s="28">
        <f>-I23-I27</f>
        <v>-135897.45000000001</v>
      </c>
      <c r="J30" s="5"/>
      <c r="K30" s="5" t="s">
        <v>71</v>
      </c>
      <c r="L30" s="5"/>
    </row>
    <row r="31" spans="2:24" ht="16.5" thickTop="1">
      <c r="B31" s="1"/>
      <c r="D31" s="5"/>
      <c r="E31" s="5"/>
      <c r="F31" s="5"/>
      <c r="G31" s="5"/>
      <c r="H31" s="5"/>
      <c r="I31" s="5"/>
      <c r="J31" s="5"/>
      <c r="K31" s="5"/>
      <c r="L31" s="5"/>
    </row>
    <row r="32" spans="2:24">
      <c r="B32" s="1"/>
      <c r="D32" s="5"/>
      <c r="E32" s="5"/>
      <c r="F32" s="5"/>
      <c r="G32" s="5"/>
      <c r="H32" s="5"/>
      <c r="I32" s="23"/>
      <c r="J32" s="5"/>
      <c r="K32" s="5"/>
      <c r="L32" s="5"/>
    </row>
    <row r="33" spans="2:24">
      <c r="B33" s="1"/>
      <c r="D33" s="5"/>
      <c r="E33" s="5"/>
      <c r="F33" s="5"/>
      <c r="G33" s="5"/>
      <c r="H33" s="5"/>
      <c r="I33" s="5"/>
      <c r="J33" s="5"/>
      <c r="K33" s="5"/>
      <c r="L33" s="5"/>
    </row>
    <row r="34" spans="2:24">
      <c r="D34" s="5"/>
      <c r="E34" s="5"/>
      <c r="F34" s="5"/>
      <c r="G34" s="5"/>
      <c r="H34" s="5"/>
      <c r="I34" s="5"/>
      <c r="J34" s="5"/>
      <c r="K34" s="5"/>
      <c r="L34" s="5"/>
    </row>
    <row r="35" spans="2:24">
      <c r="D35" s="5"/>
      <c r="E35" s="5"/>
      <c r="F35" s="5"/>
      <c r="G35" s="5"/>
      <c r="H35" s="5"/>
      <c r="I35" s="5"/>
      <c r="J35" s="5"/>
      <c r="K35" s="5"/>
      <c r="L35" s="5"/>
    </row>
    <row r="36" spans="2:24">
      <c r="D36" s="5"/>
      <c r="E36" s="5"/>
      <c r="F36" s="5"/>
      <c r="G36" s="5"/>
      <c r="H36" s="5"/>
      <c r="I36" s="5"/>
      <c r="J36" s="5"/>
      <c r="K36" s="5"/>
      <c r="L36" s="5"/>
    </row>
    <row r="37" spans="2:24">
      <c r="D37" s="5"/>
      <c r="E37" s="5"/>
      <c r="F37" s="5"/>
      <c r="G37" s="5"/>
      <c r="H37" s="5"/>
      <c r="I37" s="5"/>
      <c r="J37" s="5"/>
      <c r="K37" s="5"/>
      <c r="L37" s="5"/>
    </row>
    <row r="38" spans="2:24">
      <c r="D38" s="5"/>
      <c r="E38" s="5"/>
      <c r="F38" s="5"/>
      <c r="G38" s="5"/>
      <c r="H38" s="5"/>
      <c r="I38" s="5"/>
      <c r="J38" s="5"/>
      <c r="K38" s="5"/>
      <c r="L38" s="5"/>
    </row>
    <row r="39" spans="2:24">
      <c r="D39" s="5"/>
      <c r="E39" s="5"/>
      <c r="F39" s="5"/>
      <c r="G39" s="5"/>
      <c r="H39" s="5"/>
      <c r="I39" s="5"/>
      <c r="J39" s="5"/>
      <c r="K39" s="5"/>
      <c r="L39" s="5"/>
      <c r="X39" s="67" t="s">
        <v>356</v>
      </c>
    </row>
    <row r="40" spans="2:24">
      <c r="D40" s="5"/>
      <c r="E40" s="5"/>
      <c r="F40" s="5"/>
      <c r="G40" s="5"/>
      <c r="H40" s="5"/>
      <c r="I40" s="5"/>
      <c r="J40" s="5"/>
      <c r="K40" s="5"/>
      <c r="L40" s="5"/>
      <c r="X40" s="67" t="s">
        <v>356</v>
      </c>
    </row>
    <row r="41" spans="2:24">
      <c r="D41" s="5"/>
      <c r="E41" s="5"/>
      <c r="F41" s="5"/>
      <c r="G41" s="5"/>
      <c r="H41" s="5"/>
      <c r="I41" s="5"/>
      <c r="J41" s="5"/>
      <c r="K41" s="5"/>
      <c r="L41" s="5"/>
    </row>
    <row r="42" spans="2:24">
      <c r="X42" s="67" t="s">
        <v>356</v>
      </c>
    </row>
    <row r="43" spans="2:24">
      <c r="X43" s="67" t="s">
        <v>356</v>
      </c>
    </row>
  </sheetData>
  <mergeCells count="3">
    <mergeCell ref="D4:K4"/>
    <mergeCell ref="D5:K5"/>
    <mergeCell ref="D6:K6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43"/>
  <sheetViews>
    <sheetView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2.75" bestFit="1" customWidth="1"/>
    <col min="10" max="10" width="2.625" customWidth="1"/>
    <col min="11" max="11" width="15" bestFit="1" customWidth="1"/>
    <col min="12" max="12" width="12.75" bestFit="1" customWidth="1"/>
  </cols>
  <sheetData>
    <row r="1" spans="2:27" s="67" customFormat="1">
      <c r="K1" s="67" t="s">
        <v>361</v>
      </c>
      <c r="L1" s="88"/>
      <c r="Z1" s="67" t="s">
        <v>357</v>
      </c>
    </row>
    <row r="2" spans="2:27" s="67" customFormat="1">
      <c r="K2" s="67" t="s">
        <v>358</v>
      </c>
      <c r="L2" s="88"/>
      <c r="Z2" s="67" t="s">
        <v>358</v>
      </c>
    </row>
    <row r="3" spans="2:27" s="67" customFormat="1">
      <c r="I3" s="88"/>
      <c r="K3" s="67" t="s">
        <v>362</v>
      </c>
      <c r="L3" s="95"/>
      <c r="Z3" s="67" t="s">
        <v>359</v>
      </c>
    </row>
    <row r="4" spans="2:27"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220</v>
      </c>
      <c r="AA4" s="67"/>
    </row>
    <row r="5" spans="2:27"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115</v>
      </c>
    </row>
    <row r="6" spans="2:27">
      <c r="D6" s="110" t="s">
        <v>84</v>
      </c>
      <c r="E6" s="110"/>
      <c r="F6" s="110"/>
      <c r="G6" s="110"/>
      <c r="H6" s="110"/>
      <c r="I6" s="110"/>
      <c r="J6" s="110"/>
      <c r="K6" s="110"/>
    </row>
    <row r="9" spans="2:27">
      <c r="B9" s="16" t="s">
        <v>39</v>
      </c>
    </row>
    <row r="10" spans="2:27">
      <c r="B10" s="2" t="s">
        <v>40</v>
      </c>
      <c r="D10" s="71" t="s">
        <v>41</v>
      </c>
      <c r="E10" s="71"/>
      <c r="F10" s="71"/>
      <c r="G10" s="71"/>
      <c r="I10" s="2" t="s">
        <v>85</v>
      </c>
      <c r="J10" s="16"/>
      <c r="K10" s="2" t="s">
        <v>47</v>
      </c>
    </row>
    <row r="12" spans="2:27">
      <c r="B12" s="16">
        <v>1</v>
      </c>
      <c r="D12" s="5" t="s">
        <v>95</v>
      </c>
      <c r="E12" s="5"/>
      <c r="F12" s="5"/>
      <c r="G12" s="5"/>
      <c r="H12" s="5"/>
      <c r="I12" s="5"/>
      <c r="J12" s="5"/>
    </row>
    <row r="13" spans="2:27">
      <c r="B13" s="16">
        <v>2</v>
      </c>
      <c r="D13" s="5" t="s">
        <v>96</v>
      </c>
      <c r="E13" s="5"/>
      <c r="F13" s="5"/>
      <c r="G13" s="5"/>
      <c r="H13" s="5"/>
      <c r="I13" s="5"/>
      <c r="J13" s="5"/>
      <c r="K13" s="30" t="s">
        <v>100</v>
      </c>
    </row>
    <row r="14" spans="2:27">
      <c r="B14" s="16">
        <v>3</v>
      </c>
      <c r="D14" s="26" t="s">
        <v>97</v>
      </c>
      <c r="E14" s="5"/>
      <c r="F14" s="5"/>
      <c r="G14" s="5"/>
      <c r="H14" s="5"/>
      <c r="J14" s="5"/>
      <c r="K14" s="30" t="s">
        <v>101</v>
      </c>
    </row>
    <row r="15" spans="2:27">
      <c r="B15" s="16">
        <v>4</v>
      </c>
      <c r="D15" s="26" t="s">
        <v>98</v>
      </c>
      <c r="E15" s="5"/>
      <c r="F15" s="5"/>
      <c r="G15" s="5"/>
      <c r="H15" s="5"/>
      <c r="I15" s="23">
        <f>+'[1]2011'!$H$22</f>
        <v>-112221.289</v>
      </c>
      <c r="J15" s="5"/>
      <c r="K15" s="31" t="s">
        <v>102</v>
      </c>
      <c r="X15" s="67" t="s">
        <v>356</v>
      </c>
    </row>
    <row r="16" spans="2:27">
      <c r="B16" s="16"/>
      <c r="D16" s="5"/>
      <c r="E16" s="5"/>
      <c r="F16" s="5"/>
      <c r="G16" s="5"/>
      <c r="H16" s="5"/>
      <c r="I16" s="5"/>
      <c r="J16" s="5"/>
      <c r="K16" s="5"/>
    </row>
    <row r="17" spans="2:24">
      <c r="B17" s="16"/>
      <c r="D17" s="26"/>
      <c r="E17" s="5"/>
      <c r="F17" s="5"/>
      <c r="G17" s="5"/>
      <c r="H17" s="5"/>
      <c r="I17" s="5"/>
      <c r="J17" s="5"/>
      <c r="K17" s="30"/>
    </row>
    <row r="18" spans="2:24">
      <c r="B18" s="16">
        <v>5</v>
      </c>
      <c r="D18" s="26" t="s">
        <v>91</v>
      </c>
      <c r="E18" s="5"/>
      <c r="F18" s="5"/>
      <c r="G18" s="5"/>
      <c r="H18" s="5"/>
      <c r="I18" s="19"/>
      <c r="J18" s="5"/>
      <c r="K18" s="30"/>
    </row>
    <row r="19" spans="2:24">
      <c r="B19" s="16">
        <v>6</v>
      </c>
      <c r="D19" s="26" t="s">
        <v>92</v>
      </c>
      <c r="E19" s="5"/>
      <c r="F19" s="5"/>
      <c r="G19" s="5"/>
      <c r="H19" s="5"/>
      <c r="I19" s="19"/>
      <c r="J19" s="5"/>
      <c r="K19" s="5"/>
    </row>
    <row r="20" spans="2:24">
      <c r="B20" s="16">
        <v>7</v>
      </c>
      <c r="D20" s="83" t="s">
        <v>235</v>
      </c>
      <c r="E20" s="5"/>
      <c r="F20" s="5"/>
      <c r="G20" s="5"/>
      <c r="H20" s="5"/>
      <c r="I20" s="19"/>
      <c r="J20" s="5"/>
      <c r="K20" s="30" t="s">
        <v>100</v>
      </c>
      <c r="X20" s="67" t="s">
        <v>356</v>
      </c>
    </row>
    <row r="21" spans="2:24">
      <c r="B21" s="16">
        <v>8</v>
      </c>
      <c r="D21" s="26" t="s">
        <v>93</v>
      </c>
      <c r="E21" s="5"/>
      <c r="F21" s="5"/>
      <c r="G21" s="5"/>
      <c r="H21" s="5"/>
      <c r="I21" s="23"/>
      <c r="J21" s="5"/>
      <c r="K21" s="30" t="s">
        <v>101</v>
      </c>
    </row>
    <row r="22" spans="2:24">
      <c r="B22" s="16">
        <v>9</v>
      </c>
      <c r="D22" s="26" t="s">
        <v>94</v>
      </c>
      <c r="E22" s="5"/>
      <c r="F22" s="5"/>
      <c r="G22" s="5"/>
      <c r="H22" s="5"/>
      <c r="I22" s="77">
        <f>+'[1]2011'!$H$38</f>
        <v>-114993.414</v>
      </c>
      <c r="J22" s="5"/>
      <c r="K22" s="31" t="s">
        <v>102</v>
      </c>
    </row>
    <row r="23" spans="2:24">
      <c r="B23" s="16"/>
      <c r="D23" s="26"/>
      <c r="E23" s="5"/>
      <c r="F23" s="5"/>
      <c r="G23" s="5"/>
      <c r="H23" s="5"/>
      <c r="I23" s="20"/>
      <c r="J23" s="5"/>
      <c r="K23" s="5"/>
    </row>
    <row r="24" spans="2:24">
      <c r="B24" s="16">
        <v>10</v>
      </c>
      <c r="D24" s="26" t="s">
        <v>99</v>
      </c>
      <c r="E24" s="5"/>
      <c r="F24" s="5"/>
      <c r="G24" s="5"/>
      <c r="H24" s="5"/>
      <c r="I24" s="19">
        <f>+I15-I22</f>
        <v>2772.125</v>
      </c>
      <c r="J24" s="5"/>
      <c r="K24" s="31" t="s">
        <v>103</v>
      </c>
    </row>
    <row r="25" spans="2:24">
      <c r="D25" s="5"/>
      <c r="E25" s="5"/>
      <c r="F25" s="5"/>
      <c r="G25" s="5"/>
      <c r="H25" s="5"/>
      <c r="I25" s="5"/>
      <c r="J25" s="5"/>
      <c r="K25" s="5"/>
    </row>
    <row r="26" spans="2:24">
      <c r="B26" s="16">
        <v>11</v>
      </c>
      <c r="D26" s="5" t="s">
        <v>54</v>
      </c>
      <c r="E26" s="5"/>
      <c r="F26" s="5"/>
      <c r="G26" s="5"/>
      <c r="H26" s="5"/>
      <c r="I26" s="22">
        <v>0.35</v>
      </c>
      <c r="K26" s="5"/>
      <c r="X26" s="67" t="s">
        <v>356</v>
      </c>
    </row>
    <row r="27" spans="2:24">
      <c r="B27" s="16"/>
      <c r="D27" s="5"/>
      <c r="E27" s="5"/>
      <c r="F27" s="5"/>
      <c r="G27" s="5"/>
      <c r="H27" s="5"/>
      <c r="I27" s="5"/>
    </row>
    <row r="28" spans="2:24">
      <c r="B28" s="16">
        <v>12</v>
      </c>
      <c r="D28" s="67" t="s">
        <v>324</v>
      </c>
      <c r="E28" s="5"/>
      <c r="F28" s="5"/>
      <c r="G28" s="5"/>
      <c r="H28" s="5"/>
      <c r="I28" s="23">
        <f>-I24*I26</f>
        <v>-970.24374999999998</v>
      </c>
      <c r="K28" t="s">
        <v>104</v>
      </c>
    </row>
    <row r="29" spans="2:24">
      <c r="E29" s="5"/>
      <c r="F29" s="5"/>
      <c r="G29" s="5"/>
      <c r="H29" s="5"/>
      <c r="I29" s="5"/>
    </row>
    <row r="30" spans="2:24">
      <c r="B30" s="16">
        <v>13</v>
      </c>
      <c r="D30" s="72" t="s">
        <v>249</v>
      </c>
      <c r="E30" s="5"/>
      <c r="F30" s="5"/>
      <c r="G30" s="5"/>
      <c r="H30" s="5"/>
      <c r="I30" s="21"/>
      <c r="K30" s="5"/>
    </row>
    <row r="31" spans="2:24" ht="16.5" thickBot="1">
      <c r="B31" s="16">
        <v>14</v>
      </c>
      <c r="D31" s="83" t="s">
        <v>250</v>
      </c>
      <c r="E31" s="5"/>
      <c r="F31" s="5"/>
      <c r="G31" s="5"/>
      <c r="H31" s="5"/>
      <c r="I31" s="28">
        <f>+I24+I28</f>
        <v>1801.8812499999999</v>
      </c>
      <c r="K31" s="5" t="s">
        <v>105</v>
      </c>
    </row>
    <row r="32" spans="2:24" ht="16.5" thickTop="1">
      <c r="B32" s="16"/>
      <c r="E32" s="5"/>
      <c r="F32" s="5"/>
      <c r="G32" s="5"/>
      <c r="H32" s="5"/>
      <c r="I32" s="23"/>
      <c r="J32" s="5"/>
      <c r="K32" s="5"/>
    </row>
    <row r="33" spans="2:24">
      <c r="E33" s="5"/>
      <c r="F33" s="5"/>
      <c r="G33" s="5"/>
      <c r="H33" s="5"/>
      <c r="I33" s="5"/>
      <c r="J33" s="5"/>
      <c r="K33" s="5"/>
    </row>
    <row r="34" spans="2:24">
      <c r="B34" s="16"/>
      <c r="D34" s="5"/>
      <c r="E34" s="5"/>
      <c r="F34" s="5"/>
      <c r="G34" s="5"/>
      <c r="H34" s="5"/>
      <c r="I34" s="21"/>
      <c r="J34" s="5"/>
      <c r="K34" s="5"/>
    </row>
    <row r="35" spans="2:24">
      <c r="B35" s="16"/>
      <c r="D35" s="26"/>
      <c r="E35" s="5"/>
      <c r="F35" s="5"/>
      <c r="G35" s="5"/>
      <c r="H35" s="5"/>
      <c r="I35" s="20"/>
      <c r="J35" s="5"/>
      <c r="K35" s="5"/>
    </row>
    <row r="36" spans="2:24">
      <c r="B36" s="16"/>
      <c r="D36" s="5"/>
      <c r="E36" s="5"/>
      <c r="F36" s="5"/>
      <c r="G36" s="5"/>
      <c r="H36" s="5"/>
      <c r="I36" s="5"/>
      <c r="J36" s="5"/>
      <c r="K36" s="5"/>
    </row>
    <row r="39" spans="2:24">
      <c r="X39" s="67" t="s">
        <v>356</v>
      </c>
    </row>
    <row r="40" spans="2:24">
      <c r="X40" s="67" t="s">
        <v>356</v>
      </c>
    </row>
    <row r="42" spans="2:24">
      <c r="X42" s="67" t="s">
        <v>356</v>
      </c>
    </row>
    <row r="43" spans="2:24">
      <c r="X43" s="67" t="s">
        <v>356</v>
      </c>
    </row>
  </sheetData>
  <mergeCells count="3">
    <mergeCell ref="D4:K4"/>
    <mergeCell ref="D5:K5"/>
    <mergeCell ref="D6:K6"/>
  </mergeCells>
  <pageMargins left="0.7" right="0.7" top="0.75" bottom="0.75" header="0.3" footer="0.3"/>
  <pageSetup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43"/>
  <sheetViews>
    <sheetView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2.75" bestFit="1" customWidth="1"/>
    <col min="10" max="10" width="2.625" customWidth="1"/>
    <col min="11" max="11" width="12.625" bestFit="1" customWidth="1"/>
    <col min="12" max="12" width="12.75" bestFit="1" customWidth="1"/>
  </cols>
  <sheetData>
    <row r="1" spans="2:26">
      <c r="I1" s="67"/>
      <c r="J1" s="88"/>
      <c r="K1" s="67" t="s">
        <v>361</v>
      </c>
      <c r="L1" s="88"/>
      <c r="M1" s="67"/>
      <c r="Z1" s="67" t="s">
        <v>357</v>
      </c>
    </row>
    <row r="2" spans="2:26" s="67" customFormat="1">
      <c r="D2" s="68"/>
      <c r="E2" s="68"/>
      <c r="F2" s="68"/>
      <c r="G2" s="68"/>
      <c r="H2" s="68"/>
      <c r="J2" s="88"/>
      <c r="K2" s="67" t="s">
        <v>358</v>
      </c>
      <c r="L2" s="88"/>
      <c r="M2" s="105"/>
      <c r="Z2" s="67" t="s">
        <v>358</v>
      </c>
    </row>
    <row r="3" spans="2:26" s="67" customFormat="1">
      <c r="D3" s="68"/>
      <c r="E3" s="68"/>
      <c r="F3" s="68"/>
      <c r="G3" s="68"/>
      <c r="H3" s="68"/>
      <c r="J3" s="95"/>
      <c r="K3" s="67" t="s">
        <v>364</v>
      </c>
      <c r="L3" s="95"/>
      <c r="M3" s="105"/>
      <c r="Z3" s="67" t="s">
        <v>359</v>
      </c>
    </row>
    <row r="4" spans="2:26" s="67" customFormat="1"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222</v>
      </c>
    </row>
    <row r="5" spans="2:26"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112</v>
      </c>
    </row>
    <row r="6" spans="2:26">
      <c r="D6" s="110" t="s">
        <v>53</v>
      </c>
      <c r="E6" s="110"/>
      <c r="F6" s="110"/>
      <c r="G6" s="110"/>
      <c r="H6" s="110"/>
      <c r="I6" s="110"/>
      <c r="J6" s="110"/>
      <c r="K6" s="110"/>
    </row>
    <row r="9" spans="2:26">
      <c r="B9" s="1" t="s">
        <v>39</v>
      </c>
    </row>
    <row r="10" spans="2:26">
      <c r="B10" s="2" t="s">
        <v>40</v>
      </c>
      <c r="D10" s="71" t="s">
        <v>41</v>
      </c>
      <c r="E10" s="71"/>
      <c r="F10" s="71"/>
      <c r="G10" s="71"/>
      <c r="I10" s="2" t="s">
        <v>46</v>
      </c>
      <c r="J10" s="1"/>
      <c r="K10" s="2" t="s">
        <v>47</v>
      </c>
    </row>
    <row r="12" spans="2:26">
      <c r="B12" s="1">
        <v>1</v>
      </c>
      <c r="D12" t="s">
        <v>42</v>
      </c>
      <c r="K12" s="96" t="s">
        <v>48</v>
      </c>
    </row>
    <row r="13" spans="2:26">
      <c r="B13" s="1">
        <v>2</v>
      </c>
      <c r="D13" t="s">
        <v>43</v>
      </c>
      <c r="K13" s="96" t="s">
        <v>49</v>
      </c>
    </row>
    <row r="14" spans="2:26">
      <c r="B14" s="1">
        <v>3</v>
      </c>
      <c r="D14" t="s">
        <v>44</v>
      </c>
      <c r="K14" s="96" t="s">
        <v>50</v>
      </c>
    </row>
    <row r="15" spans="2:26" ht="16.5" thickBot="1">
      <c r="B15" s="1">
        <v>4</v>
      </c>
      <c r="D15" t="s">
        <v>45</v>
      </c>
      <c r="I15" s="24">
        <f>-30431</f>
        <v>-30431</v>
      </c>
      <c r="K15" s="97" t="s">
        <v>51</v>
      </c>
      <c r="X15" s="67" t="s">
        <v>356</v>
      </c>
    </row>
    <row r="16" spans="2:26" ht="16.5" thickTop="1">
      <c r="B16" s="1"/>
    </row>
    <row r="20" spans="24:24">
      <c r="X20" s="67" t="s">
        <v>356</v>
      </c>
    </row>
    <row r="26" spans="24:24">
      <c r="X26" s="67" t="s">
        <v>356</v>
      </c>
    </row>
    <row r="39" spans="24:24">
      <c r="X39" s="67" t="s">
        <v>356</v>
      </c>
    </row>
    <row r="40" spans="24:24">
      <c r="X40" s="67" t="s">
        <v>356</v>
      </c>
    </row>
    <row r="42" spans="24:24">
      <c r="X42" s="67" t="s">
        <v>356</v>
      </c>
    </row>
    <row r="43" spans="24:24">
      <c r="X43" s="67" t="s">
        <v>356</v>
      </c>
    </row>
  </sheetData>
  <mergeCells count="3">
    <mergeCell ref="D4:K4"/>
    <mergeCell ref="D5:K5"/>
    <mergeCell ref="D6:K6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3"/>
  <sheetViews>
    <sheetView topLeftCell="O38"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2.75" bestFit="1" customWidth="1"/>
    <col min="10" max="10" width="2.625" customWidth="1"/>
    <col min="11" max="11" width="15" bestFit="1" customWidth="1"/>
    <col min="12" max="12" width="12.75" bestFit="1" customWidth="1"/>
  </cols>
  <sheetData>
    <row r="1" spans="1:27" s="67" customFormat="1">
      <c r="K1" s="67" t="s">
        <v>361</v>
      </c>
      <c r="L1" s="88"/>
    </row>
    <row r="2" spans="1:27">
      <c r="A2" s="67"/>
      <c r="B2" s="67"/>
      <c r="C2" s="67"/>
      <c r="D2" s="67"/>
      <c r="E2" s="67"/>
      <c r="F2" s="67"/>
      <c r="G2" s="67"/>
      <c r="H2" s="67"/>
      <c r="I2" s="67"/>
      <c r="J2" s="67"/>
      <c r="K2" s="67" t="s">
        <v>358</v>
      </c>
      <c r="L2" s="88"/>
      <c r="X2" s="67"/>
      <c r="Z2" s="67"/>
    </row>
    <row r="3" spans="1:27">
      <c r="A3" s="67"/>
      <c r="B3" s="67"/>
      <c r="C3" s="67"/>
      <c r="D3" s="67"/>
      <c r="E3" s="67"/>
      <c r="F3" s="67"/>
      <c r="G3" s="67"/>
      <c r="H3" s="67"/>
      <c r="I3" s="67"/>
      <c r="J3" s="67"/>
      <c r="K3" s="67" t="s">
        <v>365</v>
      </c>
      <c r="L3" s="95"/>
      <c r="X3" s="67"/>
      <c r="Z3" s="67"/>
    </row>
    <row r="4" spans="1:27">
      <c r="A4" s="67"/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223</v>
      </c>
      <c r="AA4" s="67"/>
    </row>
    <row r="5" spans="1:27">
      <c r="A5" s="67"/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289</v>
      </c>
    </row>
    <row r="6" spans="1:27">
      <c r="A6" s="67"/>
      <c r="B6" s="67"/>
      <c r="C6" s="67"/>
      <c r="D6" s="110" t="s">
        <v>290</v>
      </c>
      <c r="E6" s="110"/>
      <c r="F6" s="110"/>
      <c r="G6" s="110"/>
      <c r="H6" s="110"/>
      <c r="I6" s="110"/>
      <c r="J6" s="110"/>
      <c r="K6" s="110"/>
      <c r="L6" s="67"/>
    </row>
    <row r="7" spans="1:2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2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27">
      <c r="A9" s="67"/>
      <c r="B9" s="100" t="s">
        <v>39</v>
      </c>
      <c r="C9" s="67"/>
      <c r="D9" s="67"/>
      <c r="E9" s="67"/>
      <c r="F9" s="67"/>
      <c r="G9" s="67"/>
      <c r="H9" s="67"/>
      <c r="I9" s="100" t="s">
        <v>291</v>
      </c>
      <c r="J9" s="67"/>
      <c r="K9" s="67"/>
      <c r="L9" s="67"/>
    </row>
    <row r="10" spans="1:27">
      <c r="A10" s="67"/>
      <c r="B10" s="69" t="s">
        <v>40</v>
      </c>
      <c r="C10" s="67"/>
      <c r="D10" s="71" t="s">
        <v>41</v>
      </c>
      <c r="E10" s="71"/>
      <c r="F10" s="71"/>
      <c r="G10" s="71"/>
      <c r="H10" s="67"/>
      <c r="I10" s="69" t="s">
        <v>46</v>
      </c>
      <c r="J10" s="100"/>
      <c r="K10" s="69" t="s">
        <v>47</v>
      </c>
      <c r="L10" s="67"/>
    </row>
    <row r="11" spans="1:2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27">
      <c r="A12" s="67"/>
      <c r="B12" s="100">
        <v>1</v>
      </c>
      <c r="C12" s="67"/>
      <c r="D12" s="67" t="s">
        <v>292</v>
      </c>
      <c r="E12" s="67"/>
      <c r="F12" s="67"/>
      <c r="G12" s="67"/>
      <c r="H12" s="67"/>
      <c r="I12" s="67"/>
      <c r="J12" s="67"/>
      <c r="K12" s="100" t="s">
        <v>293</v>
      </c>
      <c r="L12" s="67"/>
    </row>
    <row r="13" spans="1:27">
      <c r="A13" s="67"/>
      <c r="B13" s="100">
        <v>2</v>
      </c>
      <c r="C13" s="67"/>
      <c r="D13" s="67" t="s">
        <v>294</v>
      </c>
      <c r="E13" s="67"/>
      <c r="F13" s="67"/>
      <c r="G13" s="67"/>
      <c r="H13" s="67"/>
      <c r="I13" s="76">
        <v>203201</v>
      </c>
      <c r="J13" s="67"/>
      <c r="K13" s="100" t="s">
        <v>308</v>
      </c>
      <c r="L13" s="67"/>
    </row>
    <row r="14" spans="1:27">
      <c r="A14" s="67"/>
      <c r="B14" s="100"/>
      <c r="C14" s="67"/>
      <c r="D14" s="67"/>
      <c r="E14" s="67"/>
      <c r="F14" s="67"/>
      <c r="G14" s="67"/>
      <c r="H14" s="67"/>
      <c r="I14" s="67"/>
      <c r="J14" s="67"/>
      <c r="K14" s="100"/>
      <c r="L14" s="67"/>
    </row>
    <row r="15" spans="1:27">
      <c r="A15" s="67"/>
      <c r="B15" s="100">
        <v>3</v>
      </c>
      <c r="C15" s="67"/>
      <c r="D15" s="67" t="s">
        <v>342</v>
      </c>
      <c r="E15" s="67"/>
      <c r="F15" s="67"/>
      <c r="G15" s="67"/>
      <c r="H15" s="67"/>
      <c r="I15" s="67"/>
      <c r="J15" s="67"/>
      <c r="K15" s="100" t="s">
        <v>295</v>
      </c>
      <c r="L15" s="67"/>
      <c r="X15" s="67"/>
    </row>
    <row r="16" spans="1:27">
      <c r="A16" s="67"/>
      <c r="B16" s="100">
        <v>4</v>
      </c>
      <c r="C16" s="67"/>
      <c r="D16" s="67" t="s">
        <v>296</v>
      </c>
      <c r="E16" s="67"/>
      <c r="F16" s="67"/>
      <c r="G16" s="67"/>
      <c r="H16" s="67"/>
      <c r="I16" s="67"/>
      <c r="J16" s="67"/>
      <c r="K16" s="100" t="s">
        <v>297</v>
      </c>
      <c r="L16" s="67"/>
    </row>
    <row r="17" spans="1:24">
      <c r="A17" s="67"/>
      <c r="B17" s="100">
        <v>5</v>
      </c>
      <c r="C17" s="67"/>
      <c r="D17" s="67" t="s">
        <v>298</v>
      </c>
      <c r="E17" s="67"/>
      <c r="F17" s="67"/>
      <c r="G17" s="67"/>
      <c r="H17" s="67"/>
      <c r="I17" s="77">
        <f>+'[2]Exh SC10C'!$K$17</f>
        <v>-75923</v>
      </c>
      <c r="J17" s="67"/>
      <c r="K17" s="100" t="s">
        <v>299</v>
      </c>
      <c r="L17" s="67"/>
    </row>
    <row r="18" spans="1:24">
      <c r="A18" s="67"/>
      <c r="B18" s="100"/>
      <c r="C18" s="67"/>
      <c r="D18" s="67"/>
      <c r="E18" s="67"/>
      <c r="F18" s="67"/>
      <c r="G18" s="67"/>
      <c r="H18" s="67"/>
      <c r="I18" s="67"/>
      <c r="J18" s="67"/>
      <c r="K18" s="100"/>
      <c r="L18" s="67"/>
    </row>
    <row r="19" spans="1:24">
      <c r="A19" s="67"/>
      <c r="B19" s="100">
        <v>6</v>
      </c>
      <c r="C19" s="67"/>
      <c r="D19" s="67" t="s">
        <v>292</v>
      </c>
      <c r="E19" s="67"/>
      <c r="F19" s="67"/>
      <c r="G19" s="67"/>
      <c r="H19" s="67"/>
      <c r="I19" s="67"/>
      <c r="J19" s="67"/>
      <c r="K19" s="100"/>
      <c r="L19" s="67"/>
    </row>
    <row r="20" spans="1:24">
      <c r="A20" s="67"/>
      <c r="B20" s="100">
        <v>7</v>
      </c>
      <c r="C20" s="67"/>
      <c r="D20" s="67" t="s">
        <v>300</v>
      </c>
      <c r="E20" s="67"/>
      <c r="F20" s="67"/>
      <c r="G20" s="67"/>
      <c r="H20" s="67"/>
      <c r="I20" s="67"/>
      <c r="J20" s="67"/>
      <c r="K20" s="100"/>
      <c r="L20" s="67"/>
      <c r="X20" s="67"/>
    </row>
    <row r="21" spans="1:24">
      <c r="A21" s="67"/>
      <c r="B21" s="100">
        <v>8</v>
      </c>
      <c r="C21" s="67"/>
      <c r="D21" s="67" t="s">
        <v>301</v>
      </c>
      <c r="E21" s="67"/>
      <c r="F21" s="67"/>
      <c r="G21" s="67"/>
      <c r="H21" s="67"/>
      <c r="I21" s="104">
        <f>+I13+I17</f>
        <v>127278</v>
      </c>
      <c r="J21" s="67"/>
      <c r="K21" s="100" t="s">
        <v>302</v>
      </c>
      <c r="L21" s="67"/>
    </row>
    <row r="22" spans="1:24">
      <c r="A22" s="67"/>
      <c r="B22" s="100"/>
      <c r="C22" s="67"/>
      <c r="D22" s="67"/>
      <c r="E22" s="67"/>
      <c r="F22" s="67"/>
      <c r="G22" s="67"/>
      <c r="H22" s="67"/>
      <c r="I22" s="67"/>
      <c r="J22" s="67"/>
      <c r="K22" s="100"/>
      <c r="L22" s="67"/>
    </row>
    <row r="23" spans="1:24">
      <c r="A23" s="67"/>
      <c r="B23" s="100">
        <v>9</v>
      </c>
      <c r="C23" s="67"/>
      <c r="D23" s="72" t="s">
        <v>54</v>
      </c>
      <c r="E23" s="72"/>
      <c r="F23" s="72"/>
      <c r="G23" s="72"/>
      <c r="H23" s="72"/>
      <c r="I23" s="81">
        <v>0.35</v>
      </c>
      <c r="J23" s="72"/>
      <c r="K23" s="85"/>
      <c r="L23" s="67"/>
    </row>
    <row r="24" spans="1:24">
      <c r="A24" s="67"/>
      <c r="B24" s="100"/>
      <c r="C24" s="67"/>
      <c r="D24" s="72"/>
      <c r="E24" s="72"/>
      <c r="F24" s="72"/>
      <c r="G24" s="72"/>
      <c r="H24" s="72"/>
      <c r="I24" s="72"/>
      <c r="J24" s="72"/>
      <c r="K24" s="85"/>
      <c r="L24" s="67"/>
    </row>
    <row r="25" spans="1:24">
      <c r="A25" s="67"/>
      <c r="B25" s="100">
        <v>10</v>
      </c>
      <c r="C25" s="67"/>
      <c r="D25" s="67" t="s">
        <v>324</v>
      </c>
      <c r="E25" s="72"/>
      <c r="F25" s="72"/>
      <c r="G25" s="72"/>
      <c r="H25" s="72"/>
      <c r="I25" s="82">
        <f>-I21*I23</f>
        <v>-44547.299999999996</v>
      </c>
      <c r="J25" s="72"/>
      <c r="K25" s="85" t="s">
        <v>303</v>
      </c>
      <c r="L25" s="67"/>
    </row>
    <row r="26" spans="1:24">
      <c r="A26" s="67"/>
      <c r="B26" s="100"/>
      <c r="C26" s="67"/>
      <c r="D26" s="67"/>
      <c r="E26" s="72"/>
      <c r="F26" s="72"/>
      <c r="G26" s="72"/>
      <c r="H26" s="72"/>
      <c r="I26" s="72"/>
      <c r="J26" s="72"/>
      <c r="K26" s="85"/>
      <c r="L26" s="67"/>
      <c r="X26" s="67"/>
    </row>
    <row r="27" spans="1:24">
      <c r="A27" s="67"/>
      <c r="B27" s="100">
        <v>11</v>
      </c>
      <c r="C27" s="67"/>
      <c r="D27" s="72" t="s">
        <v>304</v>
      </c>
      <c r="E27" s="72"/>
      <c r="F27" s="72"/>
      <c r="G27" s="72"/>
      <c r="H27" s="72"/>
      <c r="I27" s="80"/>
      <c r="J27" s="72"/>
      <c r="K27" s="85"/>
      <c r="L27" s="67"/>
    </row>
    <row r="28" spans="1:24">
      <c r="A28" s="67"/>
      <c r="B28" s="100">
        <v>12</v>
      </c>
      <c r="C28" s="67"/>
      <c r="D28" s="83" t="s">
        <v>305</v>
      </c>
      <c r="E28" s="72"/>
      <c r="F28" s="72"/>
      <c r="G28" s="72"/>
      <c r="H28" s="72"/>
      <c r="I28" s="67"/>
      <c r="J28" s="67"/>
      <c r="K28" s="67"/>
      <c r="L28" s="67"/>
    </row>
    <row r="29" spans="1:24" ht="16.5" thickBot="1">
      <c r="A29" s="67"/>
      <c r="B29" s="100">
        <v>13</v>
      </c>
      <c r="C29" s="67"/>
      <c r="D29" s="83" t="s">
        <v>306</v>
      </c>
      <c r="E29" s="72"/>
      <c r="F29" s="72"/>
      <c r="G29" s="72"/>
      <c r="H29" s="72"/>
      <c r="I29" s="84">
        <f>-I21-I25</f>
        <v>-82730.700000000012</v>
      </c>
      <c r="J29" s="72"/>
      <c r="K29" s="85" t="s">
        <v>307</v>
      </c>
      <c r="L29" s="67"/>
    </row>
    <row r="30" spans="1:24" ht="16.5" thickTop="1">
      <c r="A30" s="67"/>
      <c r="B30" s="100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24">
      <c r="A31" s="67"/>
      <c r="B31" s="100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24">
      <c r="A32" s="67"/>
      <c r="B32" s="100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9" spans="24:24">
      <c r="X39" s="67"/>
    </row>
    <row r="40" spans="24:24">
      <c r="X40" s="67"/>
    </row>
    <row r="42" spans="24:24">
      <c r="X42" s="67"/>
    </row>
    <row r="43" spans="24:24">
      <c r="X43" s="67"/>
    </row>
  </sheetData>
  <mergeCells count="3">
    <mergeCell ref="D4:K4"/>
    <mergeCell ref="D5:K5"/>
    <mergeCell ref="D6:K6"/>
  </mergeCells>
  <pageMargins left="0.7" right="0.7" top="0.75" bottom="0.75" header="0.3" footer="0.3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43"/>
  <sheetViews>
    <sheetView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3.75" bestFit="1" customWidth="1"/>
    <col min="10" max="10" width="2.625" customWidth="1"/>
    <col min="11" max="11" width="14.375" bestFit="1" customWidth="1"/>
    <col min="12" max="12" width="12.75" bestFit="1" customWidth="1"/>
  </cols>
  <sheetData>
    <row r="1" spans="2:27" s="67" customFormat="1">
      <c r="K1" s="67" t="s">
        <v>361</v>
      </c>
      <c r="L1" s="88"/>
      <c r="Z1" s="67" t="s">
        <v>357</v>
      </c>
    </row>
    <row r="2" spans="2:27" s="67" customFormat="1">
      <c r="K2" s="67" t="s">
        <v>358</v>
      </c>
      <c r="L2" s="88"/>
      <c r="Z2" s="67" t="s">
        <v>358</v>
      </c>
    </row>
    <row r="3" spans="2:27" s="67" customFormat="1">
      <c r="K3" s="67" t="s">
        <v>366</v>
      </c>
      <c r="L3" s="95"/>
      <c r="Z3" s="67" t="s">
        <v>359</v>
      </c>
    </row>
    <row r="4" spans="2:27"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224</v>
      </c>
      <c r="M4" s="88"/>
      <c r="AA4" s="67"/>
    </row>
    <row r="5" spans="2:27"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130</v>
      </c>
      <c r="M5" s="95"/>
    </row>
    <row r="6" spans="2:27">
      <c r="D6" s="110" t="s">
        <v>128</v>
      </c>
      <c r="E6" s="110"/>
      <c r="F6" s="110"/>
      <c r="G6" s="110"/>
      <c r="H6" s="110"/>
      <c r="I6" s="110"/>
      <c r="J6" s="110"/>
      <c r="K6" s="110"/>
    </row>
    <row r="9" spans="2:27">
      <c r="B9" s="42" t="s">
        <v>39</v>
      </c>
    </row>
    <row r="10" spans="2:27">
      <c r="B10" s="2" t="s">
        <v>40</v>
      </c>
      <c r="D10" s="71" t="s">
        <v>41</v>
      </c>
      <c r="E10" s="71"/>
      <c r="F10" s="71"/>
      <c r="G10" s="71"/>
      <c r="I10" s="2" t="s">
        <v>46</v>
      </c>
      <c r="J10" s="42"/>
      <c r="K10" s="2" t="s">
        <v>47</v>
      </c>
    </row>
    <row r="12" spans="2:27">
      <c r="B12" s="54">
        <v>1</v>
      </c>
      <c r="C12" s="53"/>
      <c r="D12" s="55" t="s">
        <v>117</v>
      </c>
      <c r="E12" s="55"/>
      <c r="F12" s="55"/>
      <c r="G12" s="55"/>
      <c r="H12" s="55"/>
      <c r="I12" s="55"/>
      <c r="J12" s="55"/>
      <c r="K12" s="63" t="s">
        <v>118</v>
      </c>
      <c r="L12" s="5"/>
    </row>
    <row r="13" spans="2:27">
      <c r="B13" s="54">
        <v>2</v>
      </c>
      <c r="C13" s="53"/>
      <c r="D13" s="55" t="s">
        <v>119</v>
      </c>
      <c r="E13" s="55"/>
      <c r="F13" s="55"/>
      <c r="G13" s="55"/>
      <c r="H13" s="55"/>
      <c r="I13" s="53"/>
      <c r="J13" s="55"/>
      <c r="K13" s="63" t="s">
        <v>120</v>
      </c>
      <c r="L13" s="5"/>
    </row>
    <row r="14" spans="2:27">
      <c r="B14" s="54">
        <v>3</v>
      </c>
      <c r="C14" s="53"/>
      <c r="D14" s="61" t="s">
        <v>127</v>
      </c>
      <c r="E14" s="55"/>
      <c r="F14" s="55"/>
      <c r="G14" s="55"/>
      <c r="H14" s="55"/>
      <c r="I14" s="55"/>
      <c r="J14" s="55"/>
      <c r="K14" s="64" t="s">
        <v>121</v>
      </c>
      <c r="L14" s="5"/>
    </row>
    <row r="15" spans="2:27">
      <c r="B15" s="54">
        <v>4</v>
      </c>
      <c r="C15" s="53"/>
      <c r="D15" s="61" t="s">
        <v>122</v>
      </c>
      <c r="E15" s="55"/>
      <c r="F15" s="55"/>
      <c r="G15" s="55"/>
      <c r="H15" s="55"/>
      <c r="I15" s="60">
        <f>-306645</f>
        <v>-306645</v>
      </c>
      <c r="J15" s="55"/>
      <c r="K15" s="86" t="s">
        <v>261</v>
      </c>
      <c r="L15" s="5"/>
      <c r="X15" s="67" t="s">
        <v>356</v>
      </c>
    </row>
    <row r="16" spans="2:27">
      <c r="B16" s="53"/>
      <c r="C16" s="53"/>
      <c r="D16" s="61"/>
      <c r="E16" s="61"/>
      <c r="F16" s="61"/>
      <c r="G16" s="55"/>
      <c r="H16" s="55"/>
      <c r="I16" s="56"/>
      <c r="J16" s="55"/>
      <c r="K16" s="55"/>
      <c r="L16" s="5"/>
    </row>
    <row r="17" spans="2:24">
      <c r="B17" s="54">
        <v>5</v>
      </c>
      <c r="C17" s="53"/>
      <c r="D17" s="55" t="s">
        <v>54</v>
      </c>
      <c r="E17" s="55"/>
      <c r="F17" s="55"/>
      <c r="G17" s="55"/>
      <c r="H17" s="55"/>
      <c r="I17" s="59">
        <v>0.35</v>
      </c>
      <c r="J17" s="55"/>
      <c r="K17" s="55"/>
      <c r="L17" s="5"/>
    </row>
    <row r="18" spans="2:24">
      <c r="B18" s="54"/>
      <c r="C18" s="53"/>
      <c r="D18" s="55"/>
      <c r="E18" s="55"/>
      <c r="F18" s="55"/>
      <c r="G18" s="55"/>
      <c r="H18" s="55"/>
      <c r="I18" s="55"/>
      <c r="J18" s="55"/>
      <c r="K18" s="55"/>
      <c r="L18" s="5"/>
    </row>
    <row r="19" spans="2:24">
      <c r="B19" s="54">
        <v>6</v>
      </c>
      <c r="C19" s="53"/>
      <c r="D19" s="67" t="s">
        <v>324</v>
      </c>
      <c r="E19" s="55"/>
      <c r="F19" s="55"/>
      <c r="G19" s="55"/>
      <c r="H19" s="55"/>
      <c r="I19" s="60">
        <f>-I15*I17</f>
        <v>107325.75</v>
      </c>
      <c r="J19" s="55"/>
      <c r="K19" s="55" t="s">
        <v>123</v>
      </c>
      <c r="L19" s="5"/>
    </row>
    <row r="20" spans="2:24">
      <c r="B20" s="54"/>
      <c r="C20" s="53"/>
      <c r="D20" s="53"/>
      <c r="E20" s="55"/>
      <c r="F20" s="55"/>
      <c r="G20" s="55"/>
      <c r="H20" s="55"/>
      <c r="I20" s="55"/>
      <c r="J20" s="55"/>
      <c r="K20" s="55"/>
      <c r="L20" s="5"/>
      <c r="X20" s="67" t="s">
        <v>356</v>
      </c>
    </row>
    <row r="21" spans="2:24">
      <c r="B21" s="54">
        <v>7</v>
      </c>
      <c r="C21" s="53"/>
      <c r="D21" s="55" t="s">
        <v>86</v>
      </c>
      <c r="E21" s="55"/>
      <c r="F21" s="55"/>
      <c r="G21" s="55"/>
      <c r="H21" s="55"/>
      <c r="I21" s="58"/>
      <c r="J21" s="55"/>
      <c r="K21" s="55"/>
      <c r="L21" s="5"/>
    </row>
    <row r="22" spans="2:24">
      <c r="B22" s="54">
        <v>8</v>
      </c>
      <c r="C22" s="53"/>
      <c r="D22" s="61" t="s">
        <v>124</v>
      </c>
      <c r="E22" s="55"/>
      <c r="F22" s="55"/>
      <c r="G22" s="55"/>
      <c r="H22" s="55"/>
      <c r="I22" s="53"/>
      <c r="J22" s="53"/>
      <c r="K22" s="53"/>
      <c r="L22" s="5"/>
    </row>
    <row r="23" spans="2:24" ht="16.5" thickBot="1">
      <c r="B23" s="54">
        <v>9</v>
      </c>
      <c r="C23" s="53"/>
      <c r="D23" s="61" t="s">
        <v>125</v>
      </c>
      <c r="E23" s="55"/>
      <c r="F23" s="55"/>
      <c r="G23" s="55"/>
      <c r="H23" s="55"/>
      <c r="I23" s="62">
        <f>-I15-I19</f>
        <v>199319.25</v>
      </c>
      <c r="J23" s="55"/>
      <c r="K23" s="55" t="s">
        <v>126</v>
      </c>
      <c r="L23" s="5"/>
    </row>
    <row r="24" spans="2:24" ht="16.5" thickTop="1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"/>
    </row>
    <row r="25" spans="2:24">
      <c r="B25" s="63"/>
      <c r="C25" s="55"/>
      <c r="D25" s="61"/>
      <c r="E25" s="48"/>
      <c r="F25" s="49"/>
      <c r="G25" s="55"/>
      <c r="H25" s="55"/>
      <c r="I25" s="56"/>
      <c r="J25" s="55"/>
      <c r="K25" s="55"/>
      <c r="L25" s="5"/>
    </row>
    <row r="26" spans="2:24">
      <c r="B26" s="63"/>
      <c r="C26" s="55"/>
      <c r="D26" s="61"/>
      <c r="E26" s="55"/>
      <c r="F26" s="49"/>
      <c r="G26" s="55"/>
      <c r="H26" s="55"/>
      <c r="I26" s="55"/>
      <c r="J26" s="55"/>
      <c r="K26" s="55"/>
      <c r="L26" s="5"/>
      <c r="X26" s="67" t="s">
        <v>356</v>
      </c>
    </row>
    <row r="27" spans="2:24">
      <c r="B27" s="63"/>
      <c r="C27" s="55"/>
      <c r="D27" s="61"/>
      <c r="E27" s="55"/>
      <c r="F27" s="49"/>
      <c r="G27" s="55"/>
      <c r="H27" s="55"/>
      <c r="I27" s="56"/>
      <c r="J27" s="55"/>
      <c r="K27" s="55"/>
      <c r="L27" s="5"/>
    </row>
    <row r="28" spans="2:24">
      <c r="B28" s="55"/>
      <c r="C28" s="55"/>
      <c r="D28" s="61"/>
      <c r="E28" s="48"/>
      <c r="F28" s="49"/>
      <c r="G28" s="55"/>
      <c r="H28" s="55"/>
      <c r="I28" s="56"/>
      <c r="J28" s="55"/>
      <c r="K28" s="55"/>
      <c r="L28" s="5"/>
    </row>
    <row r="29" spans="2:24">
      <c r="B29" s="63"/>
      <c r="C29" s="55"/>
      <c r="D29" s="55"/>
      <c r="E29" s="55"/>
      <c r="F29" s="49"/>
      <c r="G29" s="55"/>
      <c r="H29" s="55"/>
      <c r="I29" s="58"/>
      <c r="J29" s="55"/>
      <c r="K29" s="55"/>
      <c r="L29" s="5"/>
    </row>
    <row r="30" spans="2:24">
      <c r="B30" s="63"/>
      <c r="C30" s="55"/>
      <c r="D30" s="55"/>
      <c r="E30" s="48"/>
      <c r="F30" s="49"/>
      <c r="G30" s="55"/>
      <c r="H30" s="55"/>
      <c r="I30" s="55"/>
      <c r="J30" s="55"/>
      <c r="K30" s="55"/>
      <c r="L30" s="5"/>
    </row>
    <row r="31" spans="2:24">
      <c r="B31" s="63"/>
      <c r="C31" s="55"/>
      <c r="D31" s="55"/>
      <c r="E31" s="48"/>
      <c r="F31" s="49"/>
      <c r="G31" s="55"/>
      <c r="H31" s="55"/>
      <c r="I31" s="60"/>
      <c r="J31" s="55"/>
      <c r="K31" s="55"/>
      <c r="L31" s="5"/>
    </row>
    <row r="32" spans="2:24">
      <c r="B32" s="63"/>
      <c r="C32" s="55"/>
      <c r="D32" s="55"/>
      <c r="E32" s="55"/>
      <c r="F32" s="55"/>
      <c r="G32" s="55"/>
      <c r="H32" s="55"/>
      <c r="I32" s="55"/>
      <c r="J32" s="55"/>
      <c r="K32" s="55"/>
      <c r="L32" s="5"/>
    </row>
    <row r="33" spans="2:24">
      <c r="B33" s="63"/>
      <c r="C33" s="55"/>
      <c r="D33" s="55"/>
      <c r="E33" s="55"/>
      <c r="F33" s="55"/>
      <c r="G33" s="55"/>
      <c r="H33" s="55"/>
      <c r="I33" s="58"/>
      <c r="J33" s="55"/>
      <c r="K33" s="55"/>
    </row>
    <row r="34" spans="2:24">
      <c r="B34" s="63"/>
      <c r="C34" s="55"/>
      <c r="D34" s="61"/>
      <c r="E34" s="55"/>
      <c r="F34" s="55"/>
      <c r="G34" s="55"/>
      <c r="H34" s="55"/>
      <c r="I34" s="57"/>
      <c r="J34" s="55"/>
      <c r="K34" s="55"/>
    </row>
    <row r="35" spans="2:24"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9" spans="2:24">
      <c r="X39" s="67" t="s">
        <v>356</v>
      </c>
    </row>
    <row r="40" spans="2:24">
      <c r="X40" s="67" t="s">
        <v>356</v>
      </c>
    </row>
    <row r="42" spans="2:24">
      <c r="X42" s="67" t="s">
        <v>356</v>
      </c>
    </row>
    <row r="43" spans="2:24">
      <c r="X43" s="67" t="s">
        <v>356</v>
      </c>
    </row>
  </sheetData>
  <mergeCells count="3">
    <mergeCell ref="D4:K4"/>
    <mergeCell ref="D5:K5"/>
    <mergeCell ref="D6:K6"/>
  </mergeCells>
  <pageMargins left="0.7" right="0.7" top="0.75" bottom="0.75" header="0.3" footer="0.3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3"/>
  <sheetViews>
    <sheetView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3.75" bestFit="1" customWidth="1"/>
    <col min="10" max="10" width="2.625" customWidth="1"/>
    <col min="11" max="11" width="14.375" bestFit="1" customWidth="1"/>
    <col min="12" max="12" width="12.75" bestFit="1" customWidth="1"/>
  </cols>
  <sheetData>
    <row r="1" spans="1:27" s="67" customFormat="1">
      <c r="K1" s="67" t="s">
        <v>361</v>
      </c>
      <c r="L1" s="88"/>
      <c r="Z1" s="67" t="s">
        <v>357</v>
      </c>
    </row>
    <row r="2" spans="1:27" s="67" customFormat="1">
      <c r="K2" s="67" t="s">
        <v>358</v>
      </c>
      <c r="L2" s="88"/>
      <c r="Z2" s="67" t="s">
        <v>358</v>
      </c>
    </row>
    <row r="3" spans="1:27" s="67" customFormat="1">
      <c r="K3" s="67" t="s">
        <v>367</v>
      </c>
      <c r="L3" s="95"/>
      <c r="Z3" s="67" t="s">
        <v>359</v>
      </c>
    </row>
    <row r="4" spans="1:27">
      <c r="A4" s="67"/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225</v>
      </c>
      <c r="AA4" s="67"/>
    </row>
    <row r="5" spans="1:27">
      <c r="A5" s="67"/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164</v>
      </c>
    </row>
    <row r="6" spans="1:27">
      <c r="A6" s="67"/>
      <c r="B6" s="67"/>
      <c r="C6" s="67"/>
      <c r="D6" s="110" t="s">
        <v>131</v>
      </c>
      <c r="E6" s="110"/>
      <c r="F6" s="110"/>
      <c r="G6" s="110"/>
      <c r="H6" s="110"/>
      <c r="I6" s="110"/>
      <c r="J6" s="110"/>
      <c r="K6" s="110"/>
    </row>
    <row r="7" spans="1:2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2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27">
      <c r="A9" s="67"/>
      <c r="B9" s="68" t="s">
        <v>39</v>
      </c>
      <c r="C9" s="67"/>
      <c r="D9" s="67"/>
      <c r="E9" s="67"/>
      <c r="F9" s="67"/>
      <c r="G9" s="67"/>
      <c r="H9" s="67"/>
      <c r="I9" s="67"/>
      <c r="J9" s="67"/>
      <c r="K9" s="67"/>
    </row>
    <row r="10" spans="1:27">
      <c r="A10" s="67"/>
      <c r="B10" s="69" t="s">
        <v>40</v>
      </c>
      <c r="C10" s="67"/>
      <c r="D10" s="71" t="s">
        <v>41</v>
      </c>
      <c r="E10" s="71"/>
      <c r="F10" s="71"/>
      <c r="G10" s="71"/>
      <c r="H10" s="67"/>
      <c r="I10" s="69" t="s">
        <v>46</v>
      </c>
      <c r="J10" s="68"/>
      <c r="K10" s="69" t="s">
        <v>47</v>
      </c>
    </row>
    <row r="11" spans="1:2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27">
      <c r="A12" s="67"/>
      <c r="B12" s="68">
        <v>1</v>
      </c>
      <c r="C12" s="67"/>
      <c r="D12" s="72" t="s">
        <v>132</v>
      </c>
      <c r="E12" s="72"/>
      <c r="F12" s="72"/>
      <c r="G12" s="72"/>
      <c r="H12" s="72"/>
      <c r="I12" s="82">
        <f>+'[3]Employee Meals, Gifts, Awards'!$E$2</f>
        <v>3471</v>
      </c>
      <c r="J12" s="72"/>
      <c r="K12" s="85" t="s">
        <v>133</v>
      </c>
    </row>
    <row r="13" spans="1:27">
      <c r="A13" s="67"/>
      <c r="B13" s="68"/>
      <c r="C13" s="67"/>
      <c r="D13" s="72"/>
      <c r="E13" s="72"/>
      <c r="F13" s="72"/>
      <c r="G13" s="72"/>
      <c r="H13" s="72"/>
      <c r="I13" s="79"/>
      <c r="J13" s="72"/>
      <c r="K13" s="85" t="s">
        <v>134</v>
      </c>
    </row>
    <row r="14" spans="1:27">
      <c r="A14" s="67"/>
      <c r="B14" s="68">
        <v>2</v>
      </c>
      <c r="C14" s="67"/>
      <c r="D14" s="83" t="s">
        <v>135</v>
      </c>
      <c r="E14" s="72"/>
      <c r="F14" s="72"/>
      <c r="G14" s="72"/>
      <c r="H14" s="72"/>
      <c r="I14" s="79">
        <f>+'[3]Employee Meals, Gifts, Awards'!$E$3</f>
        <v>4200</v>
      </c>
      <c r="J14" s="72"/>
      <c r="K14" s="86" t="s">
        <v>136</v>
      </c>
    </row>
    <row r="15" spans="1:27">
      <c r="A15" s="67"/>
      <c r="B15" s="68"/>
      <c r="C15" s="67"/>
      <c r="D15" s="83"/>
      <c r="E15" s="72"/>
      <c r="F15" s="72"/>
      <c r="G15" s="72"/>
      <c r="H15" s="72"/>
      <c r="I15" s="79"/>
      <c r="J15" s="72"/>
      <c r="K15" s="86" t="s">
        <v>137</v>
      </c>
      <c r="X15" s="67" t="s">
        <v>356</v>
      </c>
    </row>
    <row r="16" spans="1:27">
      <c r="A16" s="67"/>
      <c r="B16" s="68">
        <v>3</v>
      </c>
      <c r="C16" s="67"/>
      <c r="D16" s="83" t="s">
        <v>138</v>
      </c>
      <c r="E16" s="83"/>
      <c r="F16" s="83"/>
      <c r="G16" s="72"/>
      <c r="H16" s="72"/>
      <c r="I16" s="79">
        <f>+'[3]Employee Meals, Gifts, Awards'!$E$4</f>
        <v>5160</v>
      </c>
      <c r="J16" s="72"/>
      <c r="K16" s="86" t="s">
        <v>139</v>
      </c>
    </row>
    <row r="17" spans="1:24">
      <c r="A17" s="67"/>
      <c r="B17" s="68"/>
      <c r="C17" s="67"/>
      <c r="D17" s="72"/>
      <c r="E17" s="72"/>
      <c r="F17" s="72"/>
      <c r="G17" s="72"/>
      <c r="H17" s="72"/>
      <c r="I17" s="79"/>
      <c r="J17" s="72"/>
      <c r="K17" s="86" t="s">
        <v>140</v>
      </c>
    </row>
    <row r="18" spans="1:24">
      <c r="A18" s="67"/>
      <c r="B18" s="68">
        <v>4</v>
      </c>
      <c r="C18" s="67"/>
      <c r="D18" s="72" t="s">
        <v>141</v>
      </c>
      <c r="E18" s="72"/>
      <c r="F18" s="72"/>
      <c r="G18" s="72"/>
      <c r="H18" s="72"/>
      <c r="I18" s="79">
        <f>+'[3]Employee Meals, Gifts, Awards'!$E$5</f>
        <v>1459.5</v>
      </c>
      <c r="J18" s="72"/>
      <c r="K18" s="86" t="s">
        <v>142</v>
      </c>
    </row>
    <row r="19" spans="1:24">
      <c r="A19" s="67"/>
      <c r="B19" s="68"/>
      <c r="C19" s="67"/>
      <c r="D19" s="72"/>
      <c r="E19" s="72"/>
      <c r="F19" s="72"/>
      <c r="G19" s="72"/>
      <c r="H19" s="72"/>
      <c r="I19" s="79"/>
      <c r="J19" s="72"/>
      <c r="K19" s="86" t="s">
        <v>143</v>
      </c>
    </row>
    <row r="20" spans="1:24">
      <c r="A20" s="67"/>
      <c r="B20" s="68">
        <v>5</v>
      </c>
      <c r="C20" s="67"/>
      <c r="D20" s="72" t="s">
        <v>144</v>
      </c>
      <c r="E20" s="72"/>
      <c r="F20" s="72"/>
      <c r="G20" s="72"/>
      <c r="H20" s="72"/>
      <c r="I20" s="77">
        <f>+'[3]Gift Certificates'!$E$2</f>
        <v>1280</v>
      </c>
      <c r="J20" s="72"/>
      <c r="K20" s="86" t="s">
        <v>145</v>
      </c>
      <c r="X20" s="67" t="s">
        <v>356</v>
      </c>
    </row>
    <row r="21" spans="1:24">
      <c r="A21" s="67"/>
      <c r="B21" s="68"/>
      <c r="C21" s="67"/>
      <c r="D21" s="72"/>
      <c r="E21" s="72"/>
      <c r="F21" s="72"/>
      <c r="G21" s="72"/>
      <c r="H21" s="72"/>
      <c r="I21" s="79"/>
      <c r="J21" s="72"/>
      <c r="K21" s="67"/>
    </row>
    <row r="22" spans="1:24">
      <c r="A22" s="67"/>
      <c r="B22" s="68">
        <v>6</v>
      </c>
      <c r="C22" s="67"/>
      <c r="D22" s="83" t="s">
        <v>146</v>
      </c>
      <c r="E22" s="72"/>
      <c r="F22" s="72"/>
      <c r="G22" s="72"/>
      <c r="H22" s="72"/>
      <c r="I22" s="79"/>
      <c r="J22" s="72"/>
      <c r="K22" s="72"/>
    </row>
    <row r="23" spans="1:24">
      <c r="A23" s="67"/>
      <c r="B23" s="68">
        <v>7</v>
      </c>
      <c r="C23" s="67"/>
      <c r="D23" s="83" t="s">
        <v>147</v>
      </c>
      <c r="E23" s="72"/>
      <c r="F23" s="72"/>
      <c r="G23" s="72"/>
      <c r="H23" s="72"/>
      <c r="I23" s="79"/>
      <c r="J23" s="72"/>
      <c r="K23" s="72"/>
    </row>
    <row r="24" spans="1:24">
      <c r="A24" s="67"/>
      <c r="B24" s="68">
        <v>8</v>
      </c>
      <c r="C24" s="67"/>
      <c r="D24" s="83" t="s">
        <v>236</v>
      </c>
      <c r="E24" s="72"/>
      <c r="F24" s="72"/>
      <c r="G24" s="72"/>
      <c r="H24" s="72"/>
      <c r="I24" s="79">
        <f>SUM(I12:I20)</f>
        <v>15570.5</v>
      </c>
      <c r="J24" s="72"/>
      <c r="K24" s="72"/>
    </row>
    <row r="25" spans="1:24">
      <c r="A25" s="67"/>
      <c r="B25" s="67"/>
      <c r="C25" s="67"/>
      <c r="D25" s="72"/>
      <c r="E25" s="72"/>
      <c r="F25" s="72"/>
      <c r="G25" s="72"/>
      <c r="H25" s="72"/>
      <c r="I25" s="79"/>
      <c r="J25" s="72"/>
      <c r="K25" s="72"/>
    </row>
    <row r="26" spans="1:24">
      <c r="A26" s="67"/>
      <c r="B26" s="68">
        <v>9</v>
      </c>
      <c r="C26" s="67"/>
      <c r="D26" s="72" t="s">
        <v>54</v>
      </c>
      <c r="E26" s="72"/>
      <c r="F26" s="72"/>
      <c r="G26" s="72"/>
      <c r="H26" s="72"/>
      <c r="I26" s="81">
        <v>0.35</v>
      </c>
      <c r="J26" s="72"/>
      <c r="K26" s="72"/>
      <c r="X26" s="67" t="s">
        <v>356</v>
      </c>
    </row>
    <row r="27" spans="1:24">
      <c r="A27" s="67"/>
      <c r="B27" s="67"/>
      <c r="C27" s="67"/>
      <c r="D27" s="72"/>
      <c r="E27" s="72"/>
      <c r="F27" s="72"/>
      <c r="G27" s="72"/>
      <c r="H27" s="72"/>
      <c r="I27" s="72"/>
      <c r="J27" s="72"/>
      <c r="K27" s="72"/>
    </row>
    <row r="28" spans="1:24">
      <c r="B28" s="68">
        <v>10</v>
      </c>
      <c r="D28" s="67" t="s">
        <v>324</v>
      </c>
      <c r="E28" s="72"/>
      <c r="F28" s="72"/>
      <c r="G28" s="72"/>
      <c r="H28" s="72"/>
      <c r="I28" s="82">
        <f>-I24*I26</f>
        <v>-5449.6749999999993</v>
      </c>
      <c r="J28" s="72"/>
      <c r="K28" s="72" t="s">
        <v>123</v>
      </c>
    </row>
    <row r="29" spans="1:24">
      <c r="B29" s="68"/>
      <c r="D29" s="67"/>
      <c r="E29" s="72"/>
      <c r="F29" s="72"/>
      <c r="G29" s="72"/>
      <c r="H29" s="72"/>
      <c r="I29" s="72"/>
      <c r="J29" s="72"/>
      <c r="K29" s="72"/>
    </row>
    <row r="30" spans="1:24">
      <c r="B30" s="68">
        <v>11</v>
      </c>
      <c r="D30" s="72" t="s">
        <v>86</v>
      </c>
      <c r="E30" s="72"/>
      <c r="F30" s="72"/>
      <c r="G30" s="72"/>
      <c r="H30" s="72"/>
      <c r="I30" s="80"/>
      <c r="J30" s="72"/>
      <c r="K30" s="72"/>
    </row>
    <row r="31" spans="1:24">
      <c r="B31" s="68">
        <v>12</v>
      </c>
      <c r="D31" s="83" t="s">
        <v>162</v>
      </c>
      <c r="E31" s="72"/>
      <c r="F31" s="72"/>
      <c r="G31" s="72"/>
      <c r="H31" s="72"/>
      <c r="I31" s="67"/>
      <c r="J31" s="67"/>
      <c r="K31" s="67"/>
    </row>
    <row r="32" spans="1:24" ht="16.5" thickBot="1">
      <c r="B32" s="68">
        <v>13</v>
      </c>
      <c r="D32" s="83" t="s">
        <v>237</v>
      </c>
      <c r="E32" s="72"/>
      <c r="F32" s="72"/>
      <c r="G32" s="72"/>
      <c r="H32" s="72"/>
      <c r="I32" s="84">
        <f>+I24+I28</f>
        <v>10120.825000000001</v>
      </c>
      <c r="J32" s="72"/>
      <c r="K32" s="72" t="s">
        <v>126</v>
      </c>
    </row>
    <row r="33" spans="24:24" ht="16.5" thickTop="1"/>
    <row r="39" spans="24:24">
      <c r="X39" s="67" t="s">
        <v>356</v>
      </c>
    </row>
    <row r="40" spans="24:24">
      <c r="X40" s="67" t="s">
        <v>356</v>
      </c>
    </row>
    <row r="42" spans="24:24">
      <c r="X42" s="67" t="s">
        <v>356</v>
      </c>
    </row>
    <row r="43" spans="24:24">
      <c r="X43" s="67" t="s">
        <v>356</v>
      </c>
    </row>
  </sheetData>
  <mergeCells count="3">
    <mergeCell ref="D4:K4"/>
    <mergeCell ref="D5:K5"/>
    <mergeCell ref="D6:K6"/>
  </mergeCells>
  <pageMargins left="0.7" right="0.7" top="0.75" bottom="0.75" header="0.3" footer="0.3"/>
  <pageSetup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3"/>
  <sheetViews>
    <sheetView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3.75" bestFit="1" customWidth="1"/>
    <col min="10" max="10" width="2.625" customWidth="1"/>
    <col min="11" max="11" width="14.375" bestFit="1" customWidth="1"/>
    <col min="12" max="12" width="12.75" bestFit="1" customWidth="1"/>
  </cols>
  <sheetData>
    <row r="1" spans="1:27" s="67" customFormat="1">
      <c r="K1" s="67" t="s">
        <v>361</v>
      </c>
      <c r="L1" s="88"/>
      <c r="Z1" s="67" t="s">
        <v>357</v>
      </c>
    </row>
    <row r="2" spans="1:27" s="67" customFormat="1">
      <c r="K2" s="67" t="s">
        <v>358</v>
      </c>
      <c r="L2" s="88"/>
      <c r="Z2" s="67" t="s">
        <v>358</v>
      </c>
    </row>
    <row r="3" spans="1:27" s="67" customFormat="1">
      <c r="K3" s="67" t="s">
        <v>368</v>
      </c>
      <c r="L3" s="95"/>
      <c r="Z3" s="67" t="s">
        <v>359</v>
      </c>
    </row>
    <row r="4" spans="1:27">
      <c r="A4" s="67"/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226</v>
      </c>
      <c r="M4" s="67"/>
      <c r="AA4" s="67"/>
    </row>
    <row r="5" spans="1:27">
      <c r="A5" s="67"/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165</v>
      </c>
      <c r="M5" s="67"/>
    </row>
    <row r="6" spans="1:27">
      <c r="A6" s="67"/>
      <c r="B6" s="67"/>
      <c r="C6" s="67"/>
      <c r="D6" s="110" t="s">
        <v>148</v>
      </c>
      <c r="E6" s="110"/>
      <c r="F6" s="110"/>
      <c r="G6" s="110"/>
      <c r="H6" s="110"/>
      <c r="I6" s="110"/>
      <c r="J6" s="110"/>
      <c r="K6" s="110"/>
      <c r="L6" s="67"/>
      <c r="M6" s="67"/>
    </row>
    <row r="7" spans="1:2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2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27">
      <c r="A9" s="67"/>
      <c r="B9" s="68" t="s">
        <v>39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27">
      <c r="A10" s="67"/>
      <c r="B10" s="69" t="s">
        <v>40</v>
      </c>
      <c r="C10" s="67"/>
      <c r="D10" s="71" t="s">
        <v>41</v>
      </c>
      <c r="E10" s="71"/>
      <c r="F10" s="71"/>
      <c r="G10" s="71"/>
      <c r="H10" s="67"/>
      <c r="I10" s="69" t="s">
        <v>46</v>
      </c>
      <c r="J10" s="68"/>
      <c r="K10" s="69" t="s">
        <v>47</v>
      </c>
      <c r="L10" s="67"/>
      <c r="M10" s="67"/>
    </row>
    <row r="11" spans="1:2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27">
      <c r="A12" s="67"/>
      <c r="B12" s="68">
        <v>1</v>
      </c>
      <c r="C12" s="67"/>
      <c r="D12" s="72" t="s">
        <v>149</v>
      </c>
      <c r="E12" s="72"/>
      <c r="F12" s="72"/>
      <c r="G12" s="72"/>
      <c r="H12" s="72"/>
      <c r="I12" s="67"/>
      <c r="J12" s="72"/>
      <c r="K12" s="85" t="s">
        <v>133</v>
      </c>
      <c r="L12" s="72"/>
      <c r="M12" s="67"/>
    </row>
    <row r="13" spans="1:27">
      <c r="A13" s="67"/>
      <c r="B13" s="68">
        <v>2</v>
      </c>
      <c r="C13" s="67"/>
      <c r="D13" s="72" t="s">
        <v>150</v>
      </c>
      <c r="E13" s="72"/>
      <c r="F13" s="72"/>
      <c r="G13" s="72"/>
      <c r="H13" s="72"/>
      <c r="I13" s="79">
        <f>-'[3]Dues and Fees'!$N$244</f>
        <v>-22598.981929912636</v>
      </c>
      <c r="J13" s="72"/>
      <c r="K13" s="85" t="s">
        <v>134</v>
      </c>
      <c r="L13" s="72"/>
      <c r="M13" s="67"/>
    </row>
    <row r="14" spans="1:27">
      <c r="A14" s="67"/>
      <c r="B14" s="68"/>
      <c r="C14" s="67"/>
      <c r="D14" s="67"/>
      <c r="E14" s="72"/>
      <c r="F14" s="72"/>
      <c r="G14" s="72"/>
      <c r="H14" s="72"/>
      <c r="I14" s="79"/>
      <c r="J14" s="72"/>
      <c r="K14" s="86" t="s">
        <v>136</v>
      </c>
      <c r="L14" s="72"/>
      <c r="M14" s="67"/>
    </row>
    <row r="15" spans="1:27">
      <c r="A15" s="67"/>
      <c r="B15" s="68">
        <v>3</v>
      </c>
      <c r="C15" s="67"/>
      <c r="D15" s="72" t="s">
        <v>153</v>
      </c>
      <c r="E15" s="72"/>
      <c r="F15" s="72"/>
      <c r="G15" s="72"/>
      <c r="H15" s="72"/>
      <c r="I15" s="67"/>
      <c r="J15" s="72"/>
      <c r="K15" s="86" t="s">
        <v>137</v>
      </c>
      <c r="L15" s="72"/>
      <c r="M15" s="67"/>
      <c r="X15" s="67" t="s">
        <v>356</v>
      </c>
    </row>
    <row r="16" spans="1:27">
      <c r="A16" s="67"/>
      <c r="B16" s="68">
        <v>4</v>
      </c>
      <c r="C16" s="67"/>
      <c r="D16" s="83" t="s">
        <v>155</v>
      </c>
      <c r="E16" s="72"/>
      <c r="F16" s="72"/>
      <c r="G16" s="72"/>
      <c r="H16" s="72"/>
      <c r="I16" s="79">
        <f>-'[3]Charitable Contributions'!E2</f>
        <v>-134.01</v>
      </c>
      <c r="J16" s="72"/>
      <c r="K16" s="86" t="s">
        <v>139</v>
      </c>
      <c r="L16" s="72"/>
      <c r="M16" s="67"/>
    </row>
    <row r="17" spans="1:24">
      <c r="A17" s="67"/>
      <c r="B17" s="68"/>
      <c r="C17" s="67"/>
      <c r="D17" s="72"/>
      <c r="E17" s="72"/>
      <c r="F17" s="72"/>
      <c r="G17" s="72"/>
      <c r="H17" s="72"/>
      <c r="I17" s="67"/>
      <c r="J17" s="72"/>
      <c r="K17" s="86" t="s">
        <v>140</v>
      </c>
      <c r="L17" s="72"/>
      <c r="M17" s="67"/>
    </row>
    <row r="18" spans="1:24">
      <c r="A18" s="67"/>
      <c r="B18" s="68">
        <v>5</v>
      </c>
      <c r="C18" s="67"/>
      <c r="D18" s="83" t="s">
        <v>260</v>
      </c>
      <c r="E18" s="72"/>
      <c r="F18" s="72"/>
      <c r="G18" s="72"/>
      <c r="H18" s="72"/>
      <c r="I18" s="79">
        <f>-'[3]Charitable Contributions'!E3</f>
        <v>-65.819599949999997</v>
      </c>
      <c r="J18" s="72"/>
      <c r="K18" s="86"/>
      <c r="L18" s="72"/>
      <c r="M18" s="67"/>
    </row>
    <row r="19" spans="1:24">
      <c r="A19" s="67"/>
      <c r="B19" s="68"/>
      <c r="C19" s="67"/>
      <c r="D19" s="72"/>
      <c r="E19" s="72"/>
      <c r="F19" s="72"/>
      <c r="G19" s="72"/>
      <c r="H19" s="72"/>
      <c r="I19" s="67"/>
      <c r="J19" s="72"/>
      <c r="K19" s="86" t="s">
        <v>151</v>
      </c>
      <c r="L19" s="72"/>
      <c r="M19" s="67"/>
    </row>
    <row r="20" spans="1:24">
      <c r="A20" s="67"/>
      <c r="B20" s="68">
        <v>6</v>
      </c>
      <c r="C20" s="67"/>
      <c r="D20" s="83" t="s">
        <v>156</v>
      </c>
      <c r="E20" s="72"/>
      <c r="F20" s="72"/>
      <c r="G20" s="72"/>
      <c r="H20" s="72"/>
      <c r="I20" s="79">
        <f>-'[3]Charitable Contributions'!E4</f>
        <v>-38.200000000000003</v>
      </c>
      <c r="J20" s="72"/>
      <c r="K20" s="86" t="s">
        <v>152</v>
      </c>
      <c r="L20" s="72"/>
      <c r="M20" s="67"/>
      <c r="X20" s="67" t="s">
        <v>356</v>
      </c>
    </row>
    <row r="21" spans="1:24">
      <c r="A21" s="67"/>
      <c r="B21" s="68"/>
      <c r="C21" s="67"/>
      <c r="D21" s="72"/>
      <c r="E21" s="72"/>
      <c r="F21" s="72"/>
      <c r="G21" s="72"/>
      <c r="H21" s="72"/>
      <c r="I21" s="67"/>
      <c r="J21" s="72"/>
      <c r="K21" s="86" t="s">
        <v>154</v>
      </c>
      <c r="L21" s="72"/>
      <c r="M21" s="67"/>
    </row>
    <row r="22" spans="1:24">
      <c r="A22" s="67"/>
      <c r="B22" s="68">
        <v>7</v>
      </c>
      <c r="C22" s="67"/>
      <c r="D22" s="72" t="s">
        <v>157</v>
      </c>
      <c r="E22" s="72"/>
      <c r="F22" s="72"/>
      <c r="G22" s="72"/>
      <c r="H22" s="72"/>
      <c r="I22" s="77">
        <f>-'[3]Charitable Contributions'!E5</f>
        <v>-20.78</v>
      </c>
      <c r="J22" s="72"/>
      <c r="K22" s="67"/>
      <c r="L22" s="72"/>
      <c r="M22" s="67"/>
    </row>
    <row r="23" spans="1:24">
      <c r="A23" s="67"/>
      <c r="B23" s="68"/>
      <c r="C23" s="67"/>
      <c r="D23" s="72"/>
      <c r="E23" s="72"/>
      <c r="F23" s="72"/>
      <c r="G23" s="72"/>
      <c r="H23" s="72"/>
      <c r="I23" s="79"/>
      <c r="J23" s="72"/>
      <c r="K23" s="67"/>
      <c r="L23" s="72"/>
      <c r="M23" s="67"/>
    </row>
    <row r="24" spans="1:24">
      <c r="A24" s="67"/>
      <c r="B24" s="68">
        <v>8</v>
      </c>
      <c r="C24" s="67"/>
      <c r="D24" s="83" t="s">
        <v>146</v>
      </c>
      <c r="E24" s="72"/>
      <c r="F24" s="72"/>
      <c r="G24" s="72"/>
      <c r="H24" s="72"/>
      <c r="I24" s="79"/>
      <c r="J24" s="72"/>
      <c r="K24" s="72"/>
      <c r="L24" s="72"/>
      <c r="M24" s="67"/>
    </row>
    <row r="25" spans="1:24">
      <c r="A25" s="67"/>
      <c r="B25" s="68">
        <v>9</v>
      </c>
      <c r="C25" s="67"/>
      <c r="D25" s="83" t="s">
        <v>158</v>
      </c>
      <c r="E25" s="72"/>
      <c r="F25" s="72"/>
      <c r="G25" s="72"/>
      <c r="H25" s="72"/>
      <c r="I25" s="79"/>
      <c r="J25" s="72"/>
      <c r="K25" s="85"/>
      <c r="L25" s="72"/>
      <c r="M25" s="67"/>
    </row>
    <row r="26" spans="1:24">
      <c r="A26" s="67"/>
      <c r="B26" s="68">
        <v>10</v>
      </c>
      <c r="C26" s="67"/>
      <c r="D26" s="83" t="s">
        <v>159</v>
      </c>
      <c r="E26" s="72"/>
      <c r="F26" s="72"/>
      <c r="G26" s="72"/>
      <c r="H26" s="72"/>
      <c r="I26" s="79">
        <f>SUM(I12:I23)</f>
        <v>-22857.791529862632</v>
      </c>
      <c r="J26" s="72"/>
      <c r="K26" s="85" t="s">
        <v>238</v>
      </c>
      <c r="L26" s="72"/>
      <c r="M26" s="67"/>
      <c r="X26" s="67" t="s">
        <v>356</v>
      </c>
    </row>
    <row r="27" spans="1:24">
      <c r="A27" s="67"/>
      <c r="B27" s="67"/>
      <c r="C27" s="67"/>
      <c r="D27" s="72"/>
      <c r="E27" s="72"/>
      <c r="F27" s="72"/>
      <c r="G27" s="72"/>
      <c r="H27" s="72"/>
      <c r="I27" s="79"/>
      <c r="J27" s="72"/>
      <c r="K27" s="85"/>
      <c r="L27" s="72"/>
      <c r="M27" s="67"/>
    </row>
    <row r="28" spans="1:24">
      <c r="A28" s="67"/>
      <c r="B28" s="68">
        <v>11</v>
      </c>
      <c r="C28" s="67"/>
      <c r="D28" s="72" t="s">
        <v>54</v>
      </c>
      <c r="E28" s="72"/>
      <c r="F28" s="72"/>
      <c r="G28" s="72"/>
      <c r="H28" s="72"/>
      <c r="I28" s="81">
        <v>0.35</v>
      </c>
      <c r="J28" s="72"/>
      <c r="K28" s="85"/>
      <c r="L28" s="67"/>
      <c r="M28" s="67"/>
    </row>
    <row r="29" spans="1:24">
      <c r="A29" s="67"/>
      <c r="B29" s="67"/>
      <c r="C29" s="67"/>
      <c r="D29" s="72"/>
      <c r="E29" s="72"/>
      <c r="F29" s="72"/>
      <c r="G29" s="72"/>
      <c r="H29" s="72"/>
      <c r="I29" s="72"/>
      <c r="J29" s="72"/>
      <c r="K29" s="85"/>
      <c r="L29" s="67"/>
      <c r="M29" s="67"/>
    </row>
    <row r="30" spans="1:24">
      <c r="A30" s="67"/>
      <c r="B30" s="68">
        <v>12</v>
      </c>
      <c r="C30" s="67"/>
      <c r="D30" s="67" t="s">
        <v>324</v>
      </c>
      <c r="E30" s="72"/>
      <c r="F30" s="72"/>
      <c r="G30" s="72"/>
      <c r="H30" s="72"/>
      <c r="I30" s="82">
        <f>-I26*I28</f>
        <v>8000.2270354519205</v>
      </c>
      <c r="J30" s="72"/>
      <c r="K30" s="85" t="s">
        <v>70</v>
      </c>
      <c r="L30" s="67"/>
      <c r="M30" s="67"/>
    </row>
    <row r="31" spans="1:24">
      <c r="A31" s="67"/>
      <c r="B31" s="68"/>
      <c r="C31" s="67"/>
      <c r="D31" s="67"/>
      <c r="E31" s="72"/>
      <c r="F31" s="72"/>
      <c r="G31" s="72"/>
      <c r="H31" s="72"/>
      <c r="I31" s="72"/>
      <c r="J31" s="72"/>
      <c r="K31" s="85"/>
      <c r="L31" s="67"/>
      <c r="M31" s="67"/>
    </row>
    <row r="32" spans="1:24">
      <c r="A32" s="67"/>
      <c r="B32" s="68">
        <v>13</v>
      </c>
      <c r="C32" s="67"/>
      <c r="D32" s="72" t="s">
        <v>242</v>
      </c>
      <c r="E32" s="72"/>
      <c r="F32" s="72"/>
      <c r="G32" s="72"/>
      <c r="H32" s="72"/>
      <c r="I32" s="80"/>
      <c r="J32" s="72"/>
      <c r="K32" s="85"/>
      <c r="L32" s="67"/>
      <c r="M32" s="67"/>
    </row>
    <row r="33" spans="1:24">
      <c r="A33" s="67"/>
      <c r="B33" s="68">
        <v>14</v>
      </c>
      <c r="C33" s="67"/>
      <c r="D33" s="83" t="s">
        <v>247</v>
      </c>
      <c r="E33" s="72"/>
      <c r="F33" s="72"/>
      <c r="G33" s="72"/>
      <c r="H33" s="72"/>
      <c r="I33" s="67"/>
      <c r="J33" s="67"/>
      <c r="K33" s="96"/>
      <c r="L33" s="67"/>
      <c r="M33" s="67"/>
    </row>
    <row r="34" spans="1:24" ht="16.5" thickBot="1">
      <c r="A34" s="67"/>
      <c r="B34" s="68">
        <v>15</v>
      </c>
      <c r="C34" s="67"/>
      <c r="D34" s="83" t="s">
        <v>248</v>
      </c>
      <c r="E34" s="72"/>
      <c r="F34" s="72"/>
      <c r="G34" s="72"/>
      <c r="H34" s="72"/>
      <c r="I34" s="84">
        <f>-I26-I30</f>
        <v>14857.564494410712</v>
      </c>
      <c r="J34" s="72"/>
      <c r="K34" s="85" t="s">
        <v>239</v>
      </c>
      <c r="L34" s="67"/>
      <c r="M34" s="67"/>
    </row>
    <row r="35" spans="1:24" ht="16.5" thickTop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96"/>
      <c r="L35" s="67"/>
      <c r="M35" s="67"/>
    </row>
    <row r="36" spans="1:24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96"/>
      <c r="L36" s="67"/>
      <c r="M36" s="67"/>
    </row>
    <row r="37" spans="1:24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96"/>
      <c r="L37" s="67"/>
      <c r="M37" s="67"/>
    </row>
    <row r="38" spans="1:24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96"/>
      <c r="L38" s="67"/>
      <c r="M38" s="67"/>
    </row>
    <row r="39" spans="1:24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X39" s="67" t="s">
        <v>356</v>
      </c>
    </row>
    <row r="40" spans="1:24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X40" s="67" t="s">
        <v>356</v>
      </c>
    </row>
    <row r="41" spans="1:24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1:24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X42" s="67" t="s">
        <v>356</v>
      </c>
    </row>
    <row r="43" spans="1:24">
      <c r="X43" s="67" t="s">
        <v>356</v>
      </c>
    </row>
  </sheetData>
  <mergeCells count="3">
    <mergeCell ref="D4:K4"/>
    <mergeCell ref="D5:K5"/>
    <mergeCell ref="D6:K6"/>
  </mergeCells>
  <pageMargins left="0.7" right="0.7" top="0.75" bottom="0.75" header="0.3" footer="0.3"/>
  <pageSetup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3"/>
  <sheetViews>
    <sheetView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3.75" bestFit="1" customWidth="1"/>
    <col min="10" max="10" width="2.625" customWidth="1"/>
    <col min="11" max="11" width="14.375" bestFit="1" customWidth="1"/>
    <col min="12" max="12" width="12.75" bestFit="1" customWidth="1"/>
  </cols>
  <sheetData>
    <row r="1" spans="1:27" s="67" customFormat="1">
      <c r="K1" s="67" t="s">
        <v>361</v>
      </c>
      <c r="L1" s="88"/>
      <c r="Z1" s="67" t="s">
        <v>357</v>
      </c>
    </row>
    <row r="2" spans="1:27" s="67" customFormat="1">
      <c r="K2" s="67" t="s">
        <v>358</v>
      </c>
      <c r="L2" s="88"/>
      <c r="Z2" s="67" t="s">
        <v>358</v>
      </c>
    </row>
    <row r="3" spans="1:27" s="67" customFormat="1">
      <c r="K3" s="67" t="s">
        <v>369</v>
      </c>
      <c r="L3" s="95"/>
      <c r="Z3" s="67" t="s">
        <v>359</v>
      </c>
    </row>
    <row r="4" spans="1:27">
      <c r="A4" s="67"/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227</v>
      </c>
      <c r="AA4" s="67"/>
    </row>
    <row r="5" spans="1:27">
      <c r="A5" s="67"/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166</v>
      </c>
    </row>
    <row r="6" spans="1:27">
      <c r="A6" s="67"/>
      <c r="B6" s="67"/>
      <c r="C6" s="67"/>
      <c r="D6" s="110" t="s">
        <v>167</v>
      </c>
      <c r="E6" s="110"/>
      <c r="F6" s="110"/>
      <c r="G6" s="110"/>
      <c r="H6" s="110"/>
      <c r="I6" s="110"/>
      <c r="J6" s="110"/>
      <c r="K6" s="110"/>
    </row>
    <row r="7" spans="1:2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2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27">
      <c r="A9" s="67"/>
      <c r="B9" s="68" t="s">
        <v>39</v>
      </c>
      <c r="C9" s="67"/>
      <c r="D9" s="67"/>
      <c r="E9" s="67"/>
      <c r="F9" s="67"/>
      <c r="G9" s="67"/>
      <c r="H9" s="67"/>
      <c r="I9" s="67"/>
      <c r="J9" s="67"/>
      <c r="K9" s="67"/>
    </row>
    <row r="10" spans="1:27">
      <c r="A10" s="67"/>
      <c r="B10" s="69" t="s">
        <v>40</v>
      </c>
      <c r="C10" s="67"/>
      <c r="D10" s="71" t="s">
        <v>41</v>
      </c>
      <c r="E10" s="71"/>
      <c r="F10" s="71"/>
      <c r="G10" s="71"/>
      <c r="H10" s="67"/>
      <c r="I10" s="69" t="s">
        <v>46</v>
      </c>
      <c r="J10" s="68"/>
      <c r="K10" s="69" t="s">
        <v>47</v>
      </c>
    </row>
    <row r="11" spans="1:2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27">
      <c r="A12" s="67"/>
      <c r="B12" s="68">
        <v>1</v>
      </c>
      <c r="C12" s="67"/>
      <c r="D12" s="67"/>
      <c r="E12" s="67"/>
      <c r="F12" s="67"/>
      <c r="G12" s="67"/>
      <c r="H12" s="67"/>
      <c r="I12" s="67"/>
      <c r="J12" s="72"/>
      <c r="K12" s="85" t="s">
        <v>133</v>
      </c>
    </row>
    <row r="13" spans="1:27">
      <c r="A13" s="67"/>
      <c r="B13" s="68">
        <v>2</v>
      </c>
      <c r="C13" s="67"/>
      <c r="D13" s="67"/>
      <c r="E13" s="67"/>
      <c r="F13" s="67"/>
      <c r="G13" s="67"/>
      <c r="H13" s="67"/>
      <c r="I13" s="67"/>
      <c r="J13" s="72"/>
      <c r="K13" s="85" t="s">
        <v>134</v>
      </c>
    </row>
    <row r="14" spans="1:27">
      <c r="A14" s="67"/>
      <c r="B14" s="68">
        <v>3</v>
      </c>
      <c r="C14" s="67"/>
      <c r="J14" s="72"/>
      <c r="K14" s="86" t="s">
        <v>136</v>
      </c>
    </row>
    <row r="15" spans="1:27">
      <c r="A15" s="67"/>
      <c r="B15" s="68">
        <v>4</v>
      </c>
      <c r="C15" s="67"/>
      <c r="J15" s="72"/>
      <c r="K15" s="86" t="s">
        <v>137</v>
      </c>
      <c r="X15" s="67" t="s">
        <v>356</v>
      </c>
    </row>
    <row r="16" spans="1:27">
      <c r="A16" s="67"/>
      <c r="B16" s="68">
        <v>5</v>
      </c>
      <c r="C16" s="67"/>
      <c r="D16" s="72" t="s">
        <v>171</v>
      </c>
      <c r="E16" s="72"/>
      <c r="F16" s="72"/>
      <c r="G16" s="72"/>
      <c r="H16" s="72"/>
      <c r="I16" s="79"/>
      <c r="J16" s="72"/>
      <c r="K16" s="86" t="s">
        <v>139</v>
      </c>
    </row>
    <row r="17" spans="1:24">
      <c r="A17" s="67"/>
      <c r="B17" s="68">
        <v>6</v>
      </c>
      <c r="C17" s="67"/>
      <c r="D17" s="72" t="s">
        <v>172</v>
      </c>
      <c r="E17" s="72"/>
      <c r="F17" s="72"/>
      <c r="G17" s="72"/>
      <c r="H17" s="72"/>
      <c r="I17" s="82">
        <f>-[3]Advertising!$E$15-'[3]Wattson and DSM Costs'!$E$10</f>
        <v>-720.5954356531231</v>
      </c>
      <c r="J17" s="72"/>
      <c r="K17" s="86" t="s">
        <v>140</v>
      </c>
    </row>
    <row r="18" spans="1:24">
      <c r="A18" s="67"/>
      <c r="B18" s="68">
        <v>7</v>
      </c>
      <c r="C18" s="67"/>
      <c r="D18" s="83"/>
      <c r="E18" s="83"/>
      <c r="F18" s="83"/>
      <c r="G18" s="72"/>
      <c r="H18" s="72"/>
      <c r="I18" s="79"/>
      <c r="J18" s="72"/>
      <c r="K18" s="86" t="s">
        <v>168</v>
      </c>
    </row>
    <row r="19" spans="1:24">
      <c r="A19" s="67"/>
      <c r="B19" s="68"/>
      <c r="C19" s="67"/>
      <c r="D19" s="72" t="s">
        <v>174</v>
      </c>
      <c r="E19" s="72"/>
      <c r="F19" s="72"/>
      <c r="G19" s="72"/>
      <c r="H19" s="72"/>
      <c r="I19" s="79"/>
      <c r="J19" s="72"/>
      <c r="K19" s="86" t="s">
        <v>169</v>
      </c>
    </row>
    <row r="20" spans="1:24">
      <c r="A20" s="67"/>
      <c r="B20" s="68"/>
      <c r="C20" s="67"/>
      <c r="D20" s="83" t="s">
        <v>173</v>
      </c>
      <c r="E20" s="72"/>
      <c r="F20" s="72"/>
      <c r="G20" s="72"/>
      <c r="H20" s="72"/>
      <c r="I20" s="77">
        <f>-[3]Advertising!$E$17</f>
        <v>-15596</v>
      </c>
      <c r="J20" s="72"/>
      <c r="K20" s="86" t="s">
        <v>170</v>
      </c>
      <c r="X20" s="67" t="s">
        <v>356</v>
      </c>
    </row>
    <row r="21" spans="1:24">
      <c r="A21" s="67"/>
      <c r="B21" s="68"/>
      <c r="C21" s="67"/>
      <c r="D21" s="72"/>
      <c r="E21" s="72"/>
      <c r="F21" s="72"/>
      <c r="G21" s="72"/>
      <c r="H21" s="72"/>
      <c r="I21" s="79"/>
      <c r="J21" s="72"/>
      <c r="K21" s="67"/>
    </row>
    <row r="22" spans="1:24">
      <c r="A22" s="67"/>
      <c r="B22" s="68">
        <v>8</v>
      </c>
      <c r="C22" s="67"/>
      <c r="D22" s="72" t="s">
        <v>171</v>
      </c>
      <c r="E22" s="72"/>
      <c r="F22" s="72"/>
      <c r="G22" s="72"/>
      <c r="H22" s="72"/>
      <c r="I22" s="79">
        <f>SUM(I13:I20)</f>
        <v>-16316.595435653124</v>
      </c>
      <c r="J22" s="72"/>
      <c r="K22" s="72"/>
    </row>
    <row r="23" spans="1:24">
      <c r="A23" s="67"/>
      <c r="B23" s="68">
        <v>9</v>
      </c>
      <c r="C23" s="67"/>
      <c r="D23" s="72" t="s">
        <v>172</v>
      </c>
      <c r="E23" s="72"/>
      <c r="F23" s="72"/>
      <c r="G23" s="72"/>
      <c r="H23" s="72"/>
      <c r="J23" s="72"/>
      <c r="K23" s="72"/>
    </row>
    <row r="24" spans="1:24">
      <c r="A24" s="67"/>
      <c r="B24" s="68"/>
      <c r="C24" s="67"/>
      <c r="D24" s="72"/>
      <c r="E24" s="72"/>
      <c r="F24" s="72"/>
      <c r="G24" s="72"/>
      <c r="H24" s="72"/>
      <c r="I24" s="79"/>
      <c r="J24" s="72"/>
      <c r="K24" s="72"/>
    </row>
    <row r="25" spans="1:24">
      <c r="A25" s="67"/>
      <c r="B25" s="68">
        <v>10</v>
      </c>
      <c r="C25" s="67"/>
      <c r="D25" s="72" t="s">
        <v>54</v>
      </c>
      <c r="E25" s="72"/>
      <c r="F25" s="72"/>
      <c r="G25" s="72"/>
      <c r="H25" s="72"/>
      <c r="I25" s="81">
        <v>0.35</v>
      </c>
      <c r="J25" s="72"/>
      <c r="K25" s="72"/>
    </row>
    <row r="26" spans="1:24">
      <c r="A26" s="67"/>
      <c r="B26" s="68"/>
      <c r="C26" s="67"/>
      <c r="D26" s="72"/>
      <c r="E26" s="72"/>
      <c r="F26" s="72"/>
      <c r="G26" s="72"/>
      <c r="H26" s="72"/>
      <c r="I26" s="72"/>
      <c r="J26" s="72"/>
      <c r="K26" s="85"/>
      <c r="X26" s="67" t="s">
        <v>356</v>
      </c>
    </row>
    <row r="27" spans="1:24">
      <c r="A27" s="67"/>
      <c r="B27" s="68">
        <v>11</v>
      </c>
      <c r="C27" s="67"/>
      <c r="D27" s="67" t="s">
        <v>324</v>
      </c>
      <c r="E27" s="72"/>
      <c r="F27" s="72"/>
      <c r="G27" s="72"/>
      <c r="H27" s="72"/>
      <c r="I27" s="82">
        <f>-I22*I25</f>
        <v>5710.8084024785931</v>
      </c>
      <c r="J27" s="72"/>
      <c r="K27" s="85" t="s">
        <v>240</v>
      </c>
    </row>
    <row r="28" spans="1:24">
      <c r="A28" s="67"/>
      <c r="B28" s="68"/>
      <c r="C28" s="67"/>
      <c r="D28" s="67"/>
      <c r="E28" s="72"/>
      <c r="F28" s="72"/>
      <c r="G28" s="72"/>
      <c r="H28" s="72"/>
      <c r="I28" s="72"/>
      <c r="J28" s="72"/>
      <c r="K28" s="85"/>
    </row>
    <row r="29" spans="1:24">
      <c r="A29" s="67"/>
      <c r="B29" s="68">
        <v>12</v>
      </c>
      <c r="C29" s="67"/>
      <c r="D29" s="72" t="s">
        <v>255</v>
      </c>
      <c r="E29" s="72"/>
      <c r="F29" s="72"/>
      <c r="G29" s="72"/>
      <c r="H29" s="72"/>
      <c r="I29" s="80"/>
      <c r="J29" s="72"/>
      <c r="K29" s="85"/>
    </row>
    <row r="30" spans="1:24">
      <c r="A30" s="67"/>
      <c r="B30" s="68">
        <v>13</v>
      </c>
      <c r="C30" s="67"/>
      <c r="D30" s="83" t="s">
        <v>256</v>
      </c>
      <c r="E30" s="72"/>
      <c r="F30" s="72"/>
      <c r="G30" s="72"/>
      <c r="H30" s="72"/>
      <c r="I30" s="67"/>
      <c r="J30" s="67"/>
      <c r="K30" s="96"/>
    </row>
    <row r="31" spans="1:24">
      <c r="A31" s="67"/>
      <c r="B31" s="68">
        <v>14</v>
      </c>
      <c r="C31" s="67"/>
      <c r="D31" s="83" t="s">
        <v>257</v>
      </c>
      <c r="E31" s="72"/>
      <c r="F31" s="72"/>
      <c r="G31" s="72"/>
      <c r="H31" s="72"/>
    </row>
    <row r="32" spans="1:24" ht="16.5" thickBot="1">
      <c r="A32" s="67"/>
      <c r="B32" s="68">
        <v>15</v>
      </c>
      <c r="C32" s="67"/>
      <c r="D32" s="83" t="s">
        <v>258</v>
      </c>
      <c r="E32" s="67"/>
      <c r="F32" s="67"/>
      <c r="G32" s="67"/>
      <c r="H32" s="67"/>
      <c r="I32" s="84">
        <f>-I22-I27</f>
        <v>10605.787033174531</v>
      </c>
      <c r="J32" s="72"/>
      <c r="K32" s="85" t="s">
        <v>241</v>
      </c>
    </row>
    <row r="33" spans="24:24" ht="16.5" thickTop="1"/>
    <row r="39" spans="24:24">
      <c r="X39" s="67" t="s">
        <v>356</v>
      </c>
    </row>
    <row r="40" spans="24:24">
      <c r="X40" s="67" t="s">
        <v>356</v>
      </c>
    </row>
    <row r="42" spans="24:24">
      <c r="X42" s="67" t="s">
        <v>356</v>
      </c>
    </row>
    <row r="43" spans="24:24">
      <c r="X43" s="67" t="s">
        <v>356</v>
      </c>
    </row>
  </sheetData>
  <mergeCells count="3">
    <mergeCell ref="D4:K4"/>
    <mergeCell ref="D5:K5"/>
    <mergeCell ref="D6:K6"/>
  </mergeCells>
  <pageMargins left="0.7" right="0.7" top="0.75" bottom="0.75" header="0.3" footer="0.3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3"/>
  <sheetViews>
    <sheetView workbookViewId="0">
      <selection activeCell="Z1" sqref="Z1:Z4"/>
    </sheetView>
  </sheetViews>
  <sheetFormatPr defaultRowHeight="15.75"/>
  <cols>
    <col min="2" max="2" width="5.625" customWidth="1"/>
    <col min="3" max="3" width="1.625" customWidth="1"/>
    <col min="9" max="9" width="13.75" bestFit="1" customWidth="1"/>
    <col min="10" max="10" width="2.625" customWidth="1"/>
    <col min="11" max="11" width="14.375" bestFit="1" customWidth="1"/>
    <col min="12" max="12" width="12.75" bestFit="1" customWidth="1"/>
  </cols>
  <sheetData>
    <row r="1" spans="1:27" s="67" customFormat="1">
      <c r="K1" s="67" t="s">
        <v>361</v>
      </c>
      <c r="L1" s="88"/>
      <c r="Z1" s="67" t="s">
        <v>357</v>
      </c>
    </row>
    <row r="2" spans="1:27" s="67" customFormat="1">
      <c r="K2" s="67" t="s">
        <v>358</v>
      </c>
      <c r="L2" s="88"/>
      <c r="Z2" s="67" t="s">
        <v>358</v>
      </c>
    </row>
    <row r="3" spans="1:27" s="67" customFormat="1">
      <c r="K3" s="67" t="s">
        <v>370</v>
      </c>
      <c r="L3" s="95"/>
      <c r="Z3" s="67" t="s">
        <v>359</v>
      </c>
    </row>
    <row r="4" spans="1:27">
      <c r="A4" s="67"/>
      <c r="B4" s="67"/>
      <c r="C4" s="67"/>
      <c r="D4" s="110" t="s">
        <v>52</v>
      </c>
      <c r="E4" s="110"/>
      <c r="F4" s="110"/>
      <c r="G4" s="110"/>
      <c r="H4" s="110"/>
      <c r="I4" s="110"/>
      <c r="J4" s="110"/>
      <c r="K4" s="110"/>
      <c r="L4" s="88" t="s">
        <v>228</v>
      </c>
      <c r="AA4" s="67"/>
    </row>
    <row r="5" spans="1:27">
      <c r="A5" s="67"/>
      <c r="B5" s="67"/>
      <c r="C5" s="67"/>
      <c r="D5" s="110" t="s">
        <v>116</v>
      </c>
      <c r="E5" s="110"/>
      <c r="F5" s="110"/>
      <c r="G5" s="110"/>
      <c r="H5" s="110"/>
      <c r="I5" s="110"/>
      <c r="J5" s="110"/>
      <c r="K5" s="110"/>
      <c r="L5" s="95" t="s">
        <v>185</v>
      </c>
    </row>
    <row r="6" spans="1:27">
      <c r="A6" s="67"/>
      <c r="B6" s="67"/>
      <c r="C6" s="67"/>
      <c r="D6" s="110" t="s">
        <v>382</v>
      </c>
      <c r="E6" s="110"/>
      <c r="F6" s="110"/>
      <c r="G6" s="110"/>
      <c r="H6" s="110"/>
      <c r="I6" s="110"/>
      <c r="J6" s="110"/>
      <c r="K6" s="110"/>
      <c r="L6" s="67"/>
    </row>
    <row r="7" spans="1:2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2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27">
      <c r="A9" s="67"/>
      <c r="B9" s="68" t="s">
        <v>39</v>
      </c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27">
      <c r="A10" s="67"/>
      <c r="B10" s="69" t="s">
        <v>40</v>
      </c>
      <c r="C10" s="67"/>
      <c r="D10" s="71" t="s">
        <v>41</v>
      </c>
      <c r="E10" s="71"/>
      <c r="F10" s="71"/>
      <c r="G10" s="71"/>
      <c r="H10" s="67"/>
      <c r="I10" s="69" t="s">
        <v>46</v>
      </c>
      <c r="J10" s="68"/>
      <c r="K10" s="69" t="s">
        <v>47</v>
      </c>
      <c r="L10" s="67"/>
    </row>
    <row r="11" spans="1:2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27">
      <c r="A12" s="67"/>
      <c r="B12" s="68">
        <v>1</v>
      </c>
      <c r="C12" s="67"/>
      <c r="J12" s="72"/>
      <c r="K12" s="85" t="s">
        <v>133</v>
      </c>
      <c r="L12" s="67"/>
    </row>
    <row r="13" spans="1:27">
      <c r="A13" s="67"/>
      <c r="B13" s="68">
        <v>2</v>
      </c>
      <c r="C13" s="67"/>
      <c r="J13" s="72"/>
      <c r="K13" s="85" t="s">
        <v>134</v>
      </c>
      <c r="L13" s="67"/>
    </row>
    <row r="14" spans="1:27">
      <c r="A14" s="67"/>
      <c r="B14" s="68">
        <v>3</v>
      </c>
      <c r="C14" s="67"/>
      <c r="D14" s="67" t="s">
        <v>176</v>
      </c>
      <c r="E14" s="67"/>
      <c r="F14" s="67"/>
      <c r="G14" s="67"/>
      <c r="H14" s="67"/>
      <c r="I14" s="67"/>
      <c r="J14" s="72"/>
      <c r="K14" s="86" t="s">
        <v>136</v>
      </c>
      <c r="L14" s="67"/>
    </row>
    <row r="15" spans="1:27">
      <c r="A15" s="67"/>
      <c r="B15" s="68">
        <v>4</v>
      </c>
      <c r="C15" s="67"/>
      <c r="D15" s="67" t="s">
        <v>177</v>
      </c>
      <c r="E15" s="67"/>
      <c r="F15" s="67"/>
      <c r="G15" s="67"/>
      <c r="H15" s="67"/>
      <c r="I15" s="66">
        <f>-[3]Aircraft!$E$3</f>
        <v>-1087</v>
      </c>
      <c r="J15" s="72"/>
      <c r="K15" s="86" t="s">
        <v>137</v>
      </c>
      <c r="L15" s="67"/>
      <c r="X15" s="67" t="s">
        <v>356</v>
      </c>
    </row>
    <row r="16" spans="1:27">
      <c r="A16" s="67"/>
      <c r="B16" s="67"/>
      <c r="C16" s="67"/>
      <c r="D16" s="72"/>
      <c r="E16" s="72"/>
      <c r="F16" s="72"/>
      <c r="G16" s="72"/>
      <c r="H16" s="72"/>
      <c r="I16" s="79"/>
      <c r="J16" s="72"/>
      <c r="K16" s="86" t="s">
        <v>139</v>
      </c>
      <c r="L16" s="67"/>
    </row>
    <row r="17" spans="1:24">
      <c r="A17" s="67"/>
      <c r="B17" s="68">
        <v>5</v>
      </c>
      <c r="C17" s="67"/>
      <c r="D17" s="67" t="s">
        <v>176</v>
      </c>
      <c r="E17" s="72"/>
      <c r="F17" s="72"/>
      <c r="G17" s="72"/>
      <c r="H17" s="72"/>
      <c r="I17" s="79"/>
      <c r="J17" s="72"/>
      <c r="K17" s="86" t="s">
        <v>179</v>
      </c>
      <c r="L17" s="67"/>
    </row>
    <row r="18" spans="1:24">
      <c r="A18" s="67"/>
      <c r="B18" s="68">
        <v>6</v>
      </c>
      <c r="C18" s="67"/>
      <c r="D18" s="83" t="s">
        <v>178</v>
      </c>
      <c r="E18" s="83"/>
      <c r="F18" s="83"/>
      <c r="G18" s="72"/>
      <c r="H18" s="72"/>
      <c r="I18" s="77">
        <f>-[3]Aircraft!$E$4</f>
        <v>-165</v>
      </c>
      <c r="J18" s="72"/>
      <c r="K18" s="86" t="s">
        <v>180</v>
      </c>
      <c r="L18" s="67"/>
    </row>
    <row r="19" spans="1:24">
      <c r="A19" s="67"/>
      <c r="B19" s="68"/>
      <c r="C19" s="67"/>
      <c r="D19" s="72"/>
      <c r="E19" s="72"/>
      <c r="F19" s="72"/>
      <c r="G19" s="72"/>
      <c r="H19" s="72"/>
      <c r="I19" s="79"/>
      <c r="J19" s="72"/>
      <c r="K19" s="67"/>
      <c r="L19" s="67"/>
    </row>
    <row r="20" spans="1:24">
      <c r="A20" s="67"/>
      <c r="B20" s="68">
        <v>7</v>
      </c>
      <c r="C20" s="67"/>
      <c r="D20" s="72" t="s">
        <v>181</v>
      </c>
      <c r="E20" s="72"/>
      <c r="F20" s="72"/>
      <c r="G20" s="72"/>
      <c r="H20" s="72"/>
      <c r="I20" s="79">
        <f>SUM(I15:I18)</f>
        <v>-1252</v>
      </c>
      <c r="J20" s="72"/>
      <c r="K20" s="86" t="s">
        <v>182</v>
      </c>
      <c r="L20" s="67"/>
      <c r="X20" s="67" t="s">
        <v>356</v>
      </c>
    </row>
    <row r="21" spans="1:24">
      <c r="A21" s="67"/>
      <c r="B21" s="68">
        <v>8</v>
      </c>
      <c r="C21" s="67"/>
      <c r="D21" s="72" t="s">
        <v>172</v>
      </c>
      <c r="E21" s="72"/>
      <c r="F21" s="72"/>
      <c r="G21" s="72"/>
      <c r="H21" s="72"/>
      <c r="I21" s="67"/>
      <c r="J21" s="72"/>
      <c r="K21" s="72"/>
      <c r="L21" s="67"/>
    </row>
    <row r="22" spans="1:24">
      <c r="A22" s="67"/>
      <c r="B22" s="67"/>
      <c r="C22" s="67"/>
      <c r="D22" s="72"/>
      <c r="E22" s="72"/>
      <c r="F22" s="72"/>
      <c r="G22" s="72"/>
      <c r="H22" s="72"/>
      <c r="I22" s="79"/>
      <c r="J22" s="72"/>
      <c r="K22" s="72"/>
      <c r="L22" s="67"/>
    </row>
    <row r="23" spans="1:24">
      <c r="A23" s="67"/>
      <c r="B23" s="68">
        <v>9</v>
      </c>
      <c r="C23" s="67"/>
      <c r="D23" s="72" t="s">
        <v>54</v>
      </c>
      <c r="E23" s="72"/>
      <c r="F23" s="72"/>
      <c r="G23" s="72"/>
      <c r="H23" s="72"/>
      <c r="I23" s="81">
        <v>0.35</v>
      </c>
      <c r="J23" s="72"/>
      <c r="K23" s="72"/>
      <c r="L23" s="67"/>
    </row>
    <row r="24" spans="1:24">
      <c r="A24" s="67"/>
      <c r="B24" s="67"/>
      <c r="C24" s="67"/>
      <c r="D24" s="72"/>
      <c r="E24" s="72"/>
      <c r="F24" s="72"/>
      <c r="G24" s="72"/>
      <c r="H24" s="72"/>
      <c r="I24" s="72"/>
      <c r="J24" s="72"/>
      <c r="K24" s="72"/>
      <c r="L24" s="67"/>
    </row>
    <row r="25" spans="1:24">
      <c r="A25" s="67"/>
      <c r="B25" s="68">
        <v>10</v>
      </c>
      <c r="C25" s="67"/>
      <c r="D25" s="67" t="s">
        <v>324</v>
      </c>
      <c r="E25" s="72"/>
      <c r="F25" s="72"/>
      <c r="G25" s="72"/>
      <c r="H25" s="72"/>
      <c r="I25" s="82">
        <f>-I20*I23</f>
        <v>438.2</v>
      </c>
      <c r="J25" s="72"/>
      <c r="K25" s="72" t="s">
        <v>183</v>
      </c>
      <c r="L25" s="67"/>
    </row>
    <row r="26" spans="1:24">
      <c r="A26" s="67"/>
      <c r="B26" s="67"/>
      <c r="C26" s="67"/>
      <c r="D26" s="67"/>
      <c r="E26" s="72"/>
      <c r="F26" s="72"/>
      <c r="G26" s="72"/>
      <c r="H26" s="72"/>
      <c r="I26" s="72"/>
      <c r="J26" s="72"/>
      <c r="K26" s="72"/>
      <c r="L26" s="67"/>
      <c r="X26" s="67" t="s">
        <v>356</v>
      </c>
    </row>
    <row r="27" spans="1:24">
      <c r="A27" s="67"/>
      <c r="B27" s="96">
        <v>11</v>
      </c>
      <c r="C27" s="67"/>
      <c r="D27" s="72" t="s">
        <v>242</v>
      </c>
      <c r="E27" s="72"/>
      <c r="F27" s="72"/>
      <c r="G27" s="72"/>
      <c r="H27" s="72"/>
      <c r="I27" s="80"/>
      <c r="J27" s="72"/>
      <c r="K27" s="72"/>
      <c r="L27" s="67"/>
    </row>
    <row r="28" spans="1:24">
      <c r="A28" s="67"/>
      <c r="B28" s="96">
        <v>12</v>
      </c>
      <c r="C28" s="67"/>
      <c r="D28" s="83" t="s">
        <v>243</v>
      </c>
      <c r="E28" s="72"/>
      <c r="F28" s="72"/>
      <c r="G28" s="72"/>
      <c r="H28" s="72"/>
      <c r="I28" s="67"/>
      <c r="J28" s="67"/>
      <c r="K28" s="67"/>
      <c r="L28" s="67"/>
    </row>
    <row r="29" spans="1:24" ht="16.5" thickBot="1">
      <c r="A29" s="67"/>
      <c r="B29" s="96">
        <v>13</v>
      </c>
      <c r="C29" s="67"/>
      <c r="D29" s="83" t="s">
        <v>244</v>
      </c>
      <c r="E29" s="72"/>
      <c r="F29" s="72"/>
      <c r="G29" s="72"/>
      <c r="H29" s="72"/>
      <c r="I29" s="84">
        <f>-I20-I25</f>
        <v>813.8</v>
      </c>
      <c r="J29" s="72"/>
      <c r="K29" s="72" t="s">
        <v>184</v>
      </c>
      <c r="L29" s="67"/>
    </row>
    <row r="30" spans="1:24" ht="16.5" thickTop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1:24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24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1:24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9" spans="1:24">
      <c r="X39" s="67" t="s">
        <v>356</v>
      </c>
    </row>
    <row r="40" spans="1:24">
      <c r="X40" s="67" t="s">
        <v>356</v>
      </c>
    </row>
    <row r="42" spans="1:24">
      <c r="X42" s="67" t="s">
        <v>356</v>
      </c>
    </row>
    <row r="43" spans="1:24">
      <c r="X43" s="67" t="s">
        <v>356</v>
      </c>
    </row>
  </sheetData>
  <mergeCells count="3">
    <mergeCell ref="D4:K4"/>
    <mergeCell ref="D5:K5"/>
    <mergeCell ref="D6:K6"/>
  </mergeCells>
  <pageMargins left="0.7" right="0.7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1A62780-3924-46BB-A0F7-EFDE3B353557}"/>
</file>

<file path=customXml/itemProps2.xml><?xml version="1.0" encoding="utf-8"?>
<ds:datastoreItem xmlns:ds="http://schemas.openxmlformats.org/officeDocument/2006/customXml" ds:itemID="{9DC722AB-E0AE-444B-9B1B-306870486E97}"/>
</file>

<file path=customXml/itemProps3.xml><?xml version="1.0" encoding="utf-8"?>
<ds:datastoreItem xmlns:ds="http://schemas.openxmlformats.org/officeDocument/2006/customXml" ds:itemID="{1DC2A895-6D9A-44EC-8337-3A5224A66D1D}"/>
</file>

<file path=customXml/itemProps4.xml><?xml version="1.0" encoding="utf-8"?>
<ds:datastoreItem xmlns:ds="http://schemas.openxmlformats.org/officeDocument/2006/customXml" ds:itemID="{CF14E7E0-88B6-4611-AC64-7AEF602F38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11</vt:i4>
      </vt:variant>
    </vt:vector>
  </HeadingPairs>
  <TitlesOfParts>
    <vt:vector size="29" baseType="lpstr">
      <vt:lpstr>Summary</vt:lpstr>
      <vt:lpstr>Rev Norm</vt:lpstr>
      <vt:lpstr>DFIT</vt:lpstr>
      <vt:lpstr>STIP</vt:lpstr>
      <vt:lpstr>Perf Excel</vt:lpstr>
      <vt:lpstr>Discretionary</vt:lpstr>
      <vt:lpstr>Dues &amp; Don'ts</vt:lpstr>
      <vt:lpstr>Advertising DSM</vt:lpstr>
      <vt:lpstr>Aircraft</vt:lpstr>
      <vt:lpstr>Audit</vt:lpstr>
      <vt:lpstr>BOD Stock</vt:lpstr>
      <vt:lpstr>BOD Retainer</vt:lpstr>
      <vt:lpstr>Officer Benefits</vt:lpstr>
      <vt:lpstr>Comp Study</vt:lpstr>
      <vt:lpstr>Labor</vt:lpstr>
      <vt:lpstr>Exec Labor</vt:lpstr>
      <vt:lpstr>Insur</vt:lpstr>
      <vt:lpstr>Prop Tax</vt:lpstr>
      <vt:lpstr>'Advertising DSM'!Print_Area</vt:lpstr>
      <vt:lpstr>Aircraft!Print_Area</vt:lpstr>
      <vt:lpstr>Audit!Print_Area</vt:lpstr>
      <vt:lpstr>DFIT!Print_Area</vt:lpstr>
      <vt:lpstr>Discretionary!Print_Area</vt:lpstr>
      <vt:lpstr>'Dues &amp; Don''ts'!Print_Area</vt:lpstr>
      <vt:lpstr>Labor!Print_Area</vt:lpstr>
      <vt:lpstr>'Perf Excel'!Print_Area</vt:lpstr>
      <vt:lpstr>'Prop Tax'!Print_Area</vt:lpstr>
      <vt:lpstr>'Rev Norm'!Print_Area</vt:lpstr>
      <vt:lpstr>Summary!Print_Area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Dittmer</dc:creator>
  <cp:lastModifiedBy>Lea Daeschel</cp:lastModifiedBy>
  <cp:lastPrinted>2012-09-13T16:49:00Z</cp:lastPrinted>
  <dcterms:created xsi:type="dcterms:W3CDTF">2012-08-10T14:56:21Z</dcterms:created>
  <dcterms:modified xsi:type="dcterms:W3CDTF">2012-09-13T16:54:12Z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0x0101006E56B4D1795A2E4DB2F0B01679ED314A00DEEBBBECEF4A9741925D1E0FF525C9BE</vt:lpwstr>
  </property>
  <property fmtid="{D5CDD505-2E9C-101B-9397-08002B2CF9AE}" pid="4" name="_docset_NoMedatataSyncRequired">
    <vt:lpwstr>False</vt:lpwstr>
  </property>
</Properties>
</file>